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ustomProperty3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omments3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fileSharing readOnlyRecommended="1"/>
  <workbookPr hidePivotFieldList="1"/>
  <mc:AlternateContent xmlns:mc="http://schemas.openxmlformats.org/markup-compatibility/2006">
    <mc:Choice Requires="x15">
      <x15ac:absPath xmlns:x15ac="http://schemas.microsoft.com/office/spreadsheetml/2010/11/ac" url="P:\AC\Peoples Gas TECO\2022 Engagement\Alliance WP\Accrual Forecast Plant\"/>
    </mc:Choice>
  </mc:AlternateContent>
  <xr:revisionPtr revIDLastSave="0" documentId="13_ncr:1_{ED925591-7F43-4F26-BB69-EEF13F5D48C8}" xr6:coauthVersionLast="47" xr6:coauthVersionMax="47" xr10:uidLastSave="{00000000-0000-0000-0000-000000000000}"/>
  <bookViews>
    <workbookView xWindow="-28920" yWindow="-120" windowWidth="29040" windowHeight="15840" tabRatio="819" firstSheet="2" activeTab="14" xr2:uid="{00000000-000D-0000-FFFF-FFFF00000000}"/>
  </bookViews>
  <sheets>
    <sheet name="Proposed Rates" sheetId="1" r:id="rId1"/>
    <sheet name="Proposed Accruals" sheetId="2" r:id="rId2"/>
    <sheet name="Plant &amp; Reserve" sheetId="3" r:id="rId3"/>
    <sheet name="Reserve Allocation" sheetId="16" r:id="rId4"/>
    <sheet name="Avg Age" sheetId="17" r:id="rId5"/>
    <sheet name="Parameter" sheetId="14" r:id="rId6"/>
    <sheet name="Comparative" sheetId="5" state="hidden" r:id="rId7"/>
    <sheet name="Annual Status" sheetId="6" state="hidden" r:id="rId8"/>
    <sheet name="ASR Assets" sheetId="7" state="hidden" r:id="rId9"/>
    <sheet name="ASR Reserves" sheetId="8" state="hidden" r:id="rId10"/>
    <sheet name="COR Reserve" sheetId="9" state="hidden" r:id="rId11"/>
    <sheet name="Theoretical Reserve" sheetId="10" r:id="rId12"/>
    <sheet name="Rate Computation" sheetId="11" r:id="rId13"/>
    <sheet name="Report Table" sheetId="15" r:id="rId14"/>
    <sheet name="Rate Comparsion" sheetId="13" r:id="rId15"/>
  </sheets>
  <externalReferences>
    <externalReference r:id="rId16"/>
  </externalReferences>
  <definedNames>
    <definedName name="_Key1" hidden="1">#REF!</definedName>
    <definedName name="_Order1" hidden="1">255</definedName>
    <definedName name="_Sort" hidden="1">#REF!</definedName>
    <definedName name="adds">#REF!</definedName>
    <definedName name="DIST">#REF!</definedName>
    <definedName name="DISTLIST">#REF!</definedName>
    <definedName name="l">#REF!</definedName>
    <definedName name="PagePrint">#REF!</definedName>
    <definedName name="_xlnm.Print_Area" localSheetId="8">'ASR Assets'!$A$1:$H$56</definedName>
    <definedName name="_xlnm.Print_Area" localSheetId="9">'ASR Reserves'!$A$1:$J$58</definedName>
    <definedName name="_xlnm.Print_Area" localSheetId="6">Comparative!$A$1:$R$290</definedName>
    <definedName name="_xlnm.Print_Area" localSheetId="2">'Plant &amp; Reserve'!$A$1:$K$69,'Plant &amp; Reserve'!$M$1:$U$69</definedName>
    <definedName name="_xlnm.Print_Area" localSheetId="1">'Proposed Accruals'!$A$1:$R$68</definedName>
    <definedName name="_xlnm.Print_Area" localSheetId="0">'Proposed Rates'!$A$1:$X$59</definedName>
    <definedName name="_xlnm.Print_Titles" localSheetId="6">Comparative!$1:$12</definedName>
    <definedName name="_xlnm.Print_Titles" localSheetId="2">'Plant &amp; Reserve'!$1:$13</definedName>
    <definedName name="_xlnm.Print_Titles" localSheetId="1">'Proposed Accruals'!$1:$12</definedName>
    <definedName name="_xlnm.Print_Titles" localSheetId="0">'Proposed Rates'!$1:$12</definedName>
    <definedName name="PrintRangeC1">#REF!</definedName>
    <definedName name="REFORECAST_1">'[1]OOR PRESENT.'!#REF!</definedName>
    <definedName name="REFORECAST_2">'[1]OOR PRESENT.'!#REF!</definedName>
    <definedName name="REFORECAST_3">'[1]OOR PRESENT.'!#REF!</definedName>
    <definedName name="REFORECAST_4">'[1]OOR PRESENT.'!#REF!</definedName>
    <definedName name="REFORECAST_5">'[1]OOR PRESENT.'!#REF!</definedName>
    <definedName name="rev153data">#REF!</definedName>
    <definedName name="rev451data">#REF!</definedName>
    <definedName name="TABLE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05" i="15" l="1"/>
  <c r="C1075" i="15"/>
  <c r="C668" i="15"/>
  <c r="C638" i="15"/>
  <c r="C146" i="15" l="1"/>
  <c r="C116" i="15"/>
  <c r="I43" i="14" l="1"/>
  <c r="I44" i="14"/>
  <c r="I45" i="14"/>
  <c r="I46" i="14"/>
  <c r="I47" i="14"/>
  <c r="I48" i="14"/>
  <c r="I49" i="14"/>
  <c r="I50" i="14"/>
  <c r="I51" i="14"/>
  <c r="I52" i="14"/>
  <c r="I53" i="14"/>
  <c r="I33" i="14"/>
  <c r="I34" i="14"/>
  <c r="I35" i="14"/>
  <c r="I36" i="14"/>
  <c r="P31" i="13"/>
  <c r="K15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36" i="14"/>
  <c r="K35" i="14"/>
  <c r="K34" i="14"/>
  <c r="K33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N80" i="16"/>
  <c r="H16" i="16" l="1"/>
  <c r="U71" i="3"/>
  <c r="F71" i="3"/>
  <c r="Q71" i="3"/>
  <c r="D942" i="17" l="1"/>
  <c r="D704" i="17"/>
  <c r="C702" i="17"/>
  <c r="E702" i="17" s="1"/>
  <c r="D200" i="17"/>
  <c r="C1006" i="17"/>
  <c r="C1005" i="17"/>
  <c r="C1004" i="17"/>
  <c r="C1003" i="17"/>
  <c r="C1002" i="17"/>
  <c r="C1001" i="17"/>
  <c r="C1000" i="17"/>
  <c r="C999" i="17"/>
  <c r="C998" i="17"/>
  <c r="C997" i="17"/>
  <c r="C996" i="17"/>
  <c r="C995" i="17"/>
  <c r="C994" i="17"/>
  <c r="C993" i="17"/>
  <c r="C992" i="17"/>
  <c r="C991" i="17"/>
  <c r="C990" i="17"/>
  <c r="C988" i="17"/>
  <c r="C987" i="17"/>
  <c r="C986" i="17"/>
  <c r="C985" i="17"/>
  <c r="C984" i="17"/>
  <c r="C983" i="17"/>
  <c r="C982" i="17"/>
  <c r="C981" i="17"/>
  <c r="C980" i="17"/>
  <c r="C979" i="17"/>
  <c r="C978" i="17"/>
  <c r="C977" i="17"/>
  <c r="C975" i="17"/>
  <c r="C974" i="17"/>
  <c r="C973" i="17"/>
  <c r="C972" i="17"/>
  <c r="C971" i="17"/>
  <c r="C970" i="17"/>
  <c r="C969" i="17"/>
  <c r="C968" i="17"/>
  <c r="C967" i="17"/>
  <c r="C966" i="17"/>
  <c r="C965" i="17"/>
  <c r="C964" i="17"/>
  <c r="C963" i="17"/>
  <c r="C962" i="17"/>
  <c r="C961" i="17"/>
  <c r="C960" i="17"/>
  <c r="C959" i="17"/>
  <c r="C958" i="17"/>
  <c r="C957" i="17"/>
  <c r="C956" i="17"/>
  <c r="C955" i="17"/>
  <c r="C954" i="17"/>
  <c r="C953" i="17"/>
  <c r="C952" i="17"/>
  <c r="C951" i="17"/>
  <c r="C950" i="17"/>
  <c r="C949" i="17"/>
  <c r="C948" i="17"/>
  <c r="C947" i="17"/>
  <c r="C946" i="17"/>
  <c r="C945" i="17"/>
  <c r="C944" i="17"/>
  <c r="C943" i="17"/>
  <c r="C941" i="17"/>
  <c r="C940" i="17"/>
  <c r="C939" i="17"/>
  <c r="C938" i="17"/>
  <c r="C937" i="17"/>
  <c r="C936" i="17"/>
  <c r="C935" i="17"/>
  <c r="C934" i="17"/>
  <c r="C932" i="17"/>
  <c r="C931" i="17"/>
  <c r="C930" i="17"/>
  <c r="C929" i="17"/>
  <c r="C928" i="17"/>
  <c r="C927" i="17"/>
  <c r="C926" i="17"/>
  <c r="C925" i="17"/>
  <c r="C924" i="17"/>
  <c r="C923" i="17"/>
  <c r="C922" i="17"/>
  <c r="C921" i="17"/>
  <c r="C920" i="17"/>
  <c r="C919" i="17"/>
  <c r="C918" i="17"/>
  <c r="C917" i="17"/>
  <c r="C916" i="17"/>
  <c r="C915" i="17"/>
  <c r="C914" i="17"/>
  <c r="C913" i="17"/>
  <c r="C912" i="17"/>
  <c r="C910" i="17"/>
  <c r="C908" i="17"/>
  <c r="C907" i="17"/>
  <c r="C906" i="17"/>
  <c r="C905" i="17"/>
  <c r="C904" i="17"/>
  <c r="C903" i="17"/>
  <c r="C902" i="17"/>
  <c r="C901" i="17"/>
  <c r="C900" i="17"/>
  <c r="C899" i="17"/>
  <c r="C898" i="17"/>
  <c r="C897" i="17"/>
  <c r="C896" i="17"/>
  <c r="C895" i="17"/>
  <c r="C894" i="17"/>
  <c r="C892" i="17"/>
  <c r="C891" i="17"/>
  <c r="C890" i="17"/>
  <c r="C889" i="17"/>
  <c r="C888" i="17"/>
  <c r="C887" i="17"/>
  <c r="C886" i="17"/>
  <c r="C885" i="17"/>
  <c r="C884" i="17"/>
  <c r="C883" i="17"/>
  <c r="C882" i="17"/>
  <c r="C881" i="17"/>
  <c r="C880" i="17"/>
  <c r="C879" i="17"/>
  <c r="C878" i="17"/>
  <c r="C877" i="17"/>
  <c r="C876" i="17"/>
  <c r="C875" i="17"/>
  <c r="C874" i="17"/>
  <c r="C873" i="17"/>
  <c r="C872" i="17"/>
  <c r="C871" i="17"/>
  <c r="C870" i="17"/>
  <c r="C869" i="17"/>
  <c r="C868" i="17"/>
  <c r="C867" i="17"/>
  <c r="C866" i="17"/>
  <c r="C865" i="17"/>
  <c r="C864" i="17"/>
  <c r="C863" i="17"/>
  <c r="C862" i="17"/>
  <c r="C861" i="17"/>
  <c r="C860" i="17"/>
  <c r="C859" i="17"/>
  <c r="C858" i="17"/>
  <c r="C857" i="17"/>
  <c r="C856" i="17"/>
  <c r="C855" i="17"/>
  <c r="C854" i="17"/>
  <c r="C853" i="17"/>
  <c r="C851" i="17"/>
  <c r="C850" i="17"/>
  <c r="C849" i="17"/>
  <c r="C848" i="17"/>
  <c r="C847" i="17"/>
  <c r="C846" i="17"/>
  <c r="C845" i="17"/>
  <c r="C844" i="17"/>
  <c r="C843" i="17"/>
  <c r="C842" i="17"/>
  <c r="C841" i="17"/>
  <c r="C840" i="17"/>
  <c r="C839" i="17"/>
  <c r="C838" i="17"/>
  <c r="C837" i="17"/>
  <c r="C836" i="17"/>
  <c r="C835" i="17"/>
  <c r="C834" i="17"/>
  <c r="C833" i="17"/>
  <c r="C831" i="17"/>
  <c r="C830" i="17"/>
  <c r="C829" i="17"/>
  <c r="C828" i="17"/>
  <c r="C827" i="17"/>
  <c r="C826" i="17"/>
  <c r="C825" i="17"/>
  <c r="C824" i="17"/>
  <c r="C823" i="17"/>
  <c r="C822" i="17"/>
  <c r="C821" i="17"/>
  <c r="C820" i="17"/>
  <c r="C819" i="17"/>
  <c r="C818" i="17"/>
  <c r="C817" i="17"/>
  <c r="C816" i="17"/>
  <c r="C815" i="17"/>
  <c r="C814" i="17"/>
  <c r="C813" i="17"/>
  <c r="C812" i="17"/>
  <c r="C811" i="17"/>
  <c r="C810" i="17"/>
  <c r="C809" i="17"/>
  <c r="C807" i="17"/>
  <c r="C806" i="17"/>
  <c r="C805" i="17"/>
  <c r="C804" i="17"/>
  <c r="C803" i="17"/>
  <c r="C802" i="17"/>
  <c r="C801" i="17"/>
  <c r="C800" i="17"/>
  <c r="C799" i="17"/>
  <c r="C798" i="17"/>
  <c r="C797" i="17"/>
  <c r="C796" i="17"/>
  <c r="C795" i="17"/>
  <c r="C794" i="17"/>
  <c r="C793" i="17"/>
  <c r="C792" i="17"/>
  <c r="C791" i="17"/>
  <c r="C790" i="17"/>
  <c r="C789" i="17"/>
  <c r="C787" i="17"/>
  <c r="C786" i="17"/>
  <c r="C785" i="17"/>
  <c r="C784" i="17"/>
  <c r="C783" i="17"/>
  <c r="C782" i="17"/>
  <c r="C781" i="17"/>
  <c r="C780" i="17"/>
  <c r="C779" i="17"/>
  <c r="C778" i="17"/>
  <c r="C777" i="17"/>
  <c r="C776" i="17"/>
  <c r="C775" i="17"/>
  <c r="C773" i="17"/>
  <c r="C772" i="17"/>
  <c r="C771" i="17"/>
  <c r="C770" i="17"/>
  <c r="C769" i="17"/>
  <c r="C768" i="17"/>
  <c r="C767" i="17"/>
  <c r="C766" i="17"/>
  <c r="C765" i="17"/>
  <c r="C764" i="17"/>
  <c r="C763" i="17"/>
  <c r="C762" i="17"/>
  <c r="C761" i="17"/>
  <c r="C760" i="17"/>
  <c r="C759" i="17"/>
  <c r="C758" i="17"/>
  <c r="C757" i="17"/>
  <c r="C755" i="17"/>
  <c r="C754" i="17"/>
  <c r="C753" i="17"/>
  <c r="C752" i="17"/>
  <c r="C751" i="17"/>
  <c r="C750" i="17"/>
  <c r="C749" i="17"/>
  <c r="C747" i="17"/>
  <c r="C746" i="17"/>
  <c r="C745" i="17"/>
  <c r="C744" i="17"/>
  <c r="C743" i="17"/>
  <c r="C742" i="17"/>
  <c r="C741" i="17"/>
  <c r="C740" i="17"/>
  <c r="C739" i="17"/>
  <c r="C738" i="17"/>
  <c r="C737" i="17"/>
  <c r="C736" i="17"/>
  <c r="C735" i="17"/>
  <c r="C734" i="17"/>
  <c r="C733" i="17"/>
  <c r="C732" i="17"/>
  <c r="C731" i="17"/>
  <c r="C730" i="17"/>
  <c r="C729" i="17"/>
  <c r="C728" i="17"/>
  <c r="C727" i="17"/>
  <c r="C726" i="17"/>
  <c r="C725" i="17"/>
  <c r="C724" i="17"/>
  <c r="C723" i="17"/>
  <c r="C722" i="17"/>
  <c r="C721" i="17"/>
  <c r="C720" i="17"/>
  <c r="C719" i="17"/>
  <c r="C718" i="17"/>
  <c r="C717" i="17"/>
  <c r="C716" i="17"/>
  <c r="C715" i="17"/>
  <c r="C714" i="17"/>
  <c r="C713" i="17"/>
  <c r="C712" i="17"/>
  <c r="C711" i="17"/>
  <c r="C710" i="17"/>
  <c r="C709" i="17"/>
  <c r="C708" i="17"/>
  <c r="C707" i="17"/>
  <c r="C706" i="17"/>
  <c r="C705" i="17"/>
  <c r="C703" i="17"/>
  <c r="C701" i="17"/>
  <c r="C700" i="17"/>
  <c r="C699" i="17"/>
  <c r="C698" i="17"/>
  <c r="C697" i="17"/>
  <c r="C696" i="17"/>
  <c r="C695" i="17"/>
  <c r="C694" i="17"/>
  <c r="C693" i="17"/>
  <c r="C692" i="17"/>
  <c r="C691" i="17"/>
  <c r="C690" i="17"/>
  <c r="C689" i="17"/>
  <c r="C688" i="17"/>
  <c r="C687" i="17"/>
  <c r="C686" i="17"/>
  <c r="C685" i="17"/>
  <c r="C684" i="17"/>
  <c r="C683" i="17"/>
  <c r="C682" i="17"/>
  <c r="C681" i="17"/>
  <c r="C680" i="17"/>
  <c r="C679" i="17"/>
  <c r="C678" i="17"/>
  <c r="C677" i="17"/>
  <c r="C676" i="17"/>
  <c r="C675" i="17"/>
  <c r="C674" i="17"/>
  <c r="C673" i="17"/>
  <c r="C672" i="17"/>
  <c r="C671" i="17"/>
  <c r="C670" i="17"/>
  <c r="C669" i="17"/>
  <c r="C668" i="17"/>
  <c r="C667" i="17"/>
  <c r="C666" i="17"/>
  <c r="C665" i="17"/>
  <c r="C664" i="17"/>
  <c r="C663" i="17"/>
  <c r="C662" i="17"/>
  <c r="C661" i="17"/>
  <c r="C660" i="17"/>
  <c r="C659" i="17"/>
  <c r="C658" i="17"/>
  <c r="C657" i="17"/>
  <c r="C655" i="17"/>
  <c r="C654" i="17"/>
  <c r="C653" i="17"/>
  <c r="C652" i="17"/>
  <c r="C651" i="17"/>
  <c r="C650" i="17"/>
  <c r="C649" i="17"/>
  <c r="C648" i="17"/>
  <c r="C647" i="17"/>
  <c r="C646" i="17"/>
  <c r="C645" i="17"/>
  <c r="C644" i="17"/>
  <c r="C643" i="17"/>
  <c r="C642" i="17"/>
  <c r="C641" i="17"/>
  <c r="C640" i="17"/>
  <c r="C639" i="17"/>
  <c r="C638" i="17"/>
  <c r="C637" i="17"/>
  <c r="C636" i="17"/>
  <c r="C635" i="17"/>
  <c r="C634" i="17"/>
  <c r="C633" i="17"/>
  <c r="C632" i="17"/>
  <c r="C631" i="17"/>
  <c r="C630" i="17"/>
  <c r="C629" i="17"/>
  <c r="C628" i="17"/>
  <c r="C627" i="17"/>
  <c r="C626" i="17"/>
  <c r="C625" i="17"/>
  <c r="C624" i="17"/>
  <c r="C623" i="17"/>
  <c r="C622" i="17"/>
  <c r="C621" i="17"/>
  <c r="C620" i="17"/>
  <c r="C619" i="17"/>
  <c r="C618" i="17"/>
  <c r="C617" i="17"/>
  <c r="C616" i="17"/>
  <c r="C615" i="17"/>
  <c r="C614" i="17"/>
  <c r="C613" i="17"/>
  <c r="C612" i="17"/>
  <c r="C611" i="17"/>
  <c r="C610" i="17"/>
  <c r="C609" i="17"/>
  <c r="C608" i="17"/>
  <c r="C607" i="17"/>
  <c r="C606" i="17"/>
  <c r="C605" i="17"/>
  <c r="C604" i="17"/>
  <c r="C603" i="17"/>
  <c r="C602" i="17"/>
  <c r="C601" i="17"/>
  <c r="C600" i="17"/>
  <c r="C599" i="17"/>
  <c r="C598" i="17"/>
  <c r="C597" i="17"/>
  <c r="C596" i="17"/>
  <c r="C595" i="17"/>
  <c r="C594" i="17"/>
  <c r="C593" i="17"/>
  <c r="C592" i="17"/>
  <c r="C590" i="17"/>
  <c r="C589" i="17"/>
  <c r="C588" i="17"/>
  <c r="C587" i="17"/>
  <c r="C586" i="17"/>
  <c r="C585" i="17"/>
  <c r="C584" i="17"/>
  <c r="C583" i="17"/>
  <c r="C582" i="17"/>
  <c r="C581" i="17"/>
  <c r="C580" i="17"/>
  <c r="C579" i="17"/>
  <c r="C578" i="17"/>
  <c r="C577" i="17"/>
  <c r="C576" i="17"/>
  <c r="C575" i="17"/>
  <c r="C574" i="17"/>
  <c r="C573" i="17"/>
  <c r="C572" i="17"/>
  <c r="C571" i="17"/>
  <c r="C570" i="17"/>
  <c r="C569" i="17"/>
  <c r="C568" i="17"/>
  <c r="C567" i="17"/>
  <c r="C566" i="17"/>
  <c r="C565" i="17"/>
  <c r="C564" i="17"/>
  <c r="C563" i="17"/>
  <c r="C562" i="17"/>
  <c r="C561" i="17"/>
  <c r="C560" i="17"/>
  <c r="C559" i="17"/>
  <c r="C558" i="17"/>
  <c r="C557" i="17"/>
  <c r="C556" i="17"/>
  <c r="C555" i="17"/>
  <c r="C554" i="17"/>
  <c r="C553" i="17"/>
  <c r="C552" i="17"/>
  <c r="C551" i="17"/>
  <c r="C550" i="17"/>
  <c r="C549" i="17"/>
  <c r="C548" i="17"/>
  <c r="C547" i="17"/>
  <c r="C546" i="17"/>
  <c r="C545" i="17"/>
  <c r="C544" i="17"/>
  <c r="C543" i="17"/>
  <c r="C542" i="17"/>
  <c r="C541" i="17"/>
  <c r="C540" i="17"/>
  <c r="C539" i="17"/>
  <c r="C537" i="17"/>
  <c r="C536" i="17"/>
  <c r="C535" i="17"/>
  <c r="C534" i="17"/>
  <c r="C533" i="17"/>
  <c r="C532" i="17"/>
  <c r="C531" i="17"/>
  <c r="C530" i="17"/>
  <c r="C529" i="17"/>
  <c r="C528" i="17"/>
  <c r="C527" i="17"/>
  <c r="C526" i="17"/>
  <c r="C525" i="17"/>
  <c r="C524" i="17"/>
  <c r="C523" i="17"/>
  <c r="C522" i="17"/>
  <c r="C521" i="17"/>
  <c r="C520" i="17"/>
  <c r="C519" i="17"/>
  <c r="C518" i="17"/>
  <c r="C517" i="17"/>
  <c r="C516" i="17"/>
  <c r="C515" i="17"/>
  <c r="C514" i="17"/>
  <c r="C513" i="17"/>
  <c r="C512" i="17"/>
  <c r="C511" i="17"/>
  <c r="C510" i="17"/>
  <c r="C509" i="17"/>
  <c r="C508" i="17"/>
  <c r="C507" i="17"/>
  <c r="C506" i="17"/>
  <c r="C505" i="17"/>
  <c r="C504" i="17"/>
  <c r="C503" i="17"/>
  <c r="C502" i="17"/>
  <c r="C501" i="17"/>
  <c r="C500" i="17"/>
  <c r="C499" i="17"/>
  <c r="C498" i="17"/>
  <c r="C497" i="17"/>
  <c r="C496" i="17"/>
  <c r="C495" i="17"/>
  <c r="C494" i="17"/>
  <c r="C492" i="17"/>
  <c r="C491" i="17"/>
  <c r="C490" i="17"/>
  <c r="C489" i="17"/>
  <c r="C488" i="17"/>
  <c r="C487" i="17"/>
  <c r="C486" i="17"/>
  <c r="C485" i="17"/>
  <c r="C484" i="17"/>
  <c r="C483" i="17"/>
  <c r="C482" i="17"/>
  <c r="C481" i="17"/>
  <c r="C480" i="17"/>
  <c r="C479" i="17"/>
  <c r="C478" i="17"/>
  <c r="C477" i="17"/>
  <c r="C476" i="17"/>
  <c r="C475" i="17"/>
  <c r="C474" i="17"/>
  <c r="C473" i="17"/>
  <c r="C472" i="17"/>
  <c r="C471" i="17"/>
  <c r="C470" i="17"/>
  <c r="C469" i="17"/>
  <c r="C468" i="17"/>
  <c r="C466" i="17"/>
  <c r="C465" i="17"/>
  <c r="C464" i="17"/>
  <c r="C463" i="17"/>
  <c r="C462" i="17"/>
  <c r="C461" i="17"/>
  <c r="C460" i="17"/>
  <c r="C459" i="17"/>
  <c r="C458" i="17"/>
  <c r="C457" i="17"/>
  <c r="C456" i="17"/>
  <c r="C455" i="17"/>
  <c r="C454" i="17"/>
  <c r="C453" i="17"/>
  <c r="C452" i="17"/>
  <c r="C451" i="17"/>
  <c r="C450" i="17"/>
  <c r="C449" i="17"/>
  <c r="C448" i="17"/>
  <c r="C447" i="17"/>
  <c r="C446" i="17"/>
  <c r="C445" i="17"/>
  <c r="C444" i="17"/>
  <c r="C443" i="17"/>
  <c r="C442" i="17"/>
  <c r="C441" i="17"/>
  <c r="C440" i="17"/>
  <c r="C439" i="17"/>
  <c r="C438" i="17"/>
  <c r="C437" i="17"/>
  <c r="C436" i="17"/>
  <c r="C435" i="17"/>
  <c r="C434" i="17"/>
  <c r="C433" i="17"/>
  <c r="C432" i="17"/>
  <c r="C431" i="17"/>
  <c r="C430" i="17"/>
  <c r="C429" i="17"/>
  <c r="C428" i="17"/>
  <c r="C427" i="17"/>
  <c r="C426" i="17"/>
  <c r="C424" i="17"/>
  <c r="C423" i="17"/>
  <c r="C422" i="17"/>
  <c r="C421" i="17"/>
  <c r="C420" i="17"/>
  <c r="C419" i="17"/>
  <c r="C418" i="17"/>
  <c r="C417" i="17"/>
  <c r="C416" i="17"/>
  <c r="C415" i="17"/>
  <c r="C414" i="17"/>
  <c r="C413" i="17"/>
  <c r="C412" i="17"/>
  <c r="C411" i="17"/>
  <c r="C410" i="17"/>
  <c r="C409" i="17"/>
  <c r="C408" i="17"/>
  <c r="C407" i="17"/>
  <c r="C406" i="17"/>
  <c r="C405" i="17"/>
  <c r="C404" i="17"/>
  <c r="C403" i="17"/>
  <c r="C402" i="17"/>
  <c r="C401" i="17"/>
  <c r="C400" i="17"/>
  <c r="C399" i="17"/>
  <c r="C398" i="17"/>
  <c r="C397" i="17"/>
  <c r="C396" i="17"/>
  <c r="C395" i="17"/>
  <c r="C394" i="17"/>
  <c r="C393" i="17"/>
  <c r="C392" i="17"/>
  <c r="C391" i="17"/>
  <c r="C390" i="17"/>
  <c r="C389" i="17"/>
  <c r="C388" i="17"/>
  <c r="C387" i="17"/>
  <c r="C386" i="17"/>
  <c r="C385" i="17"/>
  <c r="C384" i="17"/>
  <c r="C383" i="17"/>
  <c r="C382" i="17"/>
  <c r="C381" i="17"/>
  <c r="C380" i="17"/>
  <c r="C379" i="17"/>
  <c r="C378" i="17"/>
  <c r="C377" i="17"/>
  <c r="C376" i="17"/>
  <c r="C375" i="17"/>
  <c r="C374" i="17"/>
  <c r="C373" i="17"/>
  <c r="C372" i="17"/>
  <c r="C371" i="17"/>
  <c r="C370" i="17"/>
  <c r="C369" i="17"/>
  <c r="C368" i="17"/>
  <c r="C367" i="17"/>
  <c r="C366" i="17"/>
  <c r="C365" i="17"/>
  <c r="C364" i="17"/>
  <c r="C363" i="17"/>
  <c r="C362" i="17"/>
  <c r="C361" i="17"/>
  <c r="C360" i="17"/>
  <c r="C359" i="17"/>
  <c r="C358" i="17"/>
  <c r="C357" i="17"/>
  <c r="C356" i="17"/>
  <c r="C355" i="17"/>
  <c r="C354" i="17"/>
  <c r="C353" i="17"/>
  <c r="C352" i="17"/>
  <c r="C351" i="17"/>
  <c r="C350" i="17"/>
  <c r="C349" i="17"/>
  <c r="C348" i="17"/>
  <c r="C347" i="17"/>
  <c r="C346" i="17"/>
  <c r="C345" i="17"/>
  <c r="C344" i="17"/>
  <c r="C343" i="17"/>
  <c r="C342" i="17"/>
  <c r="C341" i="17"/>
  <c r="C340" i="17"/>
  <c r="C339" i="17"/>
  <c r="C338" i="17"/>
  <c r="C337" i="17"/>
  <c r="C336" i="17"/>
  <c r="C335" i="17"/>
  <c r="C334" i="17"/>
  <c r="C333" i="17"/>
  <c r="C331" i="17"/>
  <c r="C330" i="17"/>
  <c r="C329" i="17"/>
  <c r="C328" i="17"/>
  <c r="C327" i="17"/>
  <c r="C326" i="17"/>
  <c r="C325" i="17"/>
  <c r="C324" i="17"/>
  <c r="C323" i="17"/>
  <c r="C322" i="17"/>
  <c r="C321" i="17"/>
  <c r="C320" i="17"/>
  <c r="C319" i="17"/>
  <c r="C318" i="17"/>
  <c r="C317" i="17"/>
  <c r="C316" i="17"/>
  <c r="C315" i="17"/>
  <c r="C314" i="17"/>
  <c r="C313" i="17"/>
  <c r="C312" i="17"/>
  <c r="C311" i="17"/>
  <c r="C310" i="17"/>
  <c r="C309" i="17"/>
  <c r="C308" i="17"/>
  <c r="C307" i="17"/>
  <c r="C306" i="17"/>
  <c r="C305" i="17"/>
  <c r="C304" i="17"/>
  <c r="C303" i="17"/>
  <c r="C302" i="17"/>
  <c r="C301" i="17"/>
  <c r="C300" i="17"/>
  <c r="C298" i="17"/>
  <c r="C297" i="17"/>
  <c r="C296" i="17"/>
  <c r="C295" i="17"/>
  <c r="C294" i="17"/>
  <c r="C293" i="17"/>
  <c r="C292" i="17"/>
  <c r="C291" i="17"/>
  <c r="C290" i="17"/>
  <c r="C289" i="17"/>
  <c r="C288" i="17"/>
  <c r="C287" i="17"/>
  <c r="C286" i="17"/>
  <c r="C285" i="17"/>
  <c r="C284" i="17"/>
  <c r="C283" i="17"/>
  <c r="C282" i="17"/>
  <c r="C281" i="17"/>
  <c r="C280" i="17"/>
  <c r="C279" i="17"/>
  <c r="C278" i="17"/>
  <c r="C277" i="17"/>
  <c r="C276" i="17"/>
  <c r="C275" i="17"/>
  <c r="C274" i="17"/>
  <c r="C273" i="17"/>
  <c r="C272" i="17"/>
  <c r="C271" i="17"/>
  <c r="C270" i="17"/>
  <c r="C269" i="17"/>
  <c r="C268" i="17"/>
  <c r="C267" i="17"/>
  <c r="C266" i="17"/>
  <c r="C265" i="17"/>
  <c r="C264" i="17"/>
  <c r="C263" i="17"/>
  <c r="C262" i="17"/>
  <c r="C261" i="17"/>
  <c r="C260" i="17"/>
  <c r="C259" i="17"/>
  <c r="C258" i="17"/>
  <c r="C257" i="17"/>
  <c r="C256" i="17"/>
  <c r="C255" i="17"/>
  <c r="C254" i="17"/>
  <c r="C253" i="17"/>
  <c r="C252" i="17"/>
  <c r="C251" i="17"/>
  <c r="C250" i="17"/>
  <c r="C249" i="17"/>
  <c r="C248" i="17"/>
  <c r="C247" i="17"/>
  <c r="C246" i="17"/>
  <c r="C245" i="17"/>
  <c r="C244" i="17"/>
  <c r="C243" i="17"/>
  <c r="C242" i="17"/>
  <c r="C240" i="17"/>
  <c r="C239" i="17"/>
  <c r="C237" i="17"/>
  <c r="C236" i="17"/>
  <c r="C235" i="17"/>
  <c r="C234" i="17"/>
  <c r="C233" i="17"/>
  <c r="C232" i="17"/>
  <c r="C231" i="17"/>
  <c r="C230" i="17"/>
  <c r="C229" i="17"/>
  <c r="C228" i="17"/>
  <c r="C227" i="17"/>
  <c r="C226" i="17"/>
  <c r="C225" i="17"/>
  <c r="C224" i="17"/>
  <c r="C223" i="17"/>
  <c r="C222" i="17"/>
  <c r="C221" i="17"/>
  <c r="C220" i="17"/>
  <c r="C219" i="17"/>
  <c r="C218" i="17"/>
  <c r="C217" i="17"/>
  <c r="C216" i="17"/>
  <c r="C215" i="17"/>
  <c r="C214" i="17"/>
  <c r="C213" i="17"/>
  <c r="C212" i="17"/>
  <c r="C211" i="17"/>
  <c r="C210" i="17"/>
  <c r="C209" i="17"/>
  <c r="C208" i="17"/>
  <c r="C207" i="17"/>
  <c r="C206" i="17"/>
  <c r="C205" i="17"/>
  <c r="C204" i="17"/>
  <c r="C203" i="17"/>
  <c r="C202" i="17"/>
  <c r="C201" i="17"/>
  <c r="C199" i="17"/>
  <c r="C198" i="17"/>
  <c r="C197" i="17"/>
  <c r="C196" i="17"/>
  <c r="C195" i="17"/>
  <c r="C194" i="17"/>
  <c r="C193" i="17"/>
  <c r="C192" i="17"/>
  <c r="C191" i="17"/>
  <c r="C190" i="17"/>
  <c r="C189" i="17"/>
  <c r="C188" i="17"/>
  <c r="C187" i="17"/>
  <c r="C186" i="17"/>
  <c r="C185" i="17"/>
  <c r="C184" i="17"/>
  <c r="C183" i="17"/>
  <c r="C182" i="17"/>
  <c r="C181" i="17"/>
  <c r="C180" i="17"/>
  <c r="C179" i="17"/>
  <c r="C178" i="17"/>
  <c r="C177" i="17"/>
  <c r="C176" i="17"/>
  <c r="C175" i="17"/>
  <c r="C174" i="17"/>
  <c r="C173" i="17"/>
  <c r="C172" i="17"/>
  <c r="C171" i="17"/>
  <c r="C170" i="17"/>
  <c r="C169" i="17"/>
  <c r="C168" i="17"/>
  <c r="C167" i="17"/>
  <c r="C166" i="17"/>
  <c r="C165" i="17"/>
  <c r="C164" i="17"/>
  <c r="C163" i="17"/>
  <c r="C162" i="17"/>
  <c r="C161" i="17"/>
  <c r="C160" i="17"/>
  <c r="C159" i="17"/>
  <c r="C158" i="17"/>
  <c r="C157" i="17"/>
  <c r="C156" i="17"/>
  <c r="C155" i="17"/>
  <c r="C154" i="17"/>
  <c r="C153" i="17"/>
  <c r="C152" i="17"/>
  <c r="C151" i="17"/>
  <c r="C150" i="17"/>
  <c r="C149" i="17"/>
  <c r="C148" i="17"/>
  <c r="C147" i="17"/>
  <c r="C146" i="17"/>
  <c r="C145" i="17"/>
  <c r="C144" i="17"/>
  <c r="C143" i="17"/>
  <c r="C142" i="17"/>
  <c r="C141" i="17"/>
  <c r="C140" i="17"/>
  <c r="C139" i="17"/>
  <c r="C138" i="17"/>
  <c r="C137" i="17"/>
  <c r="C136" i="17"/>
  <c r="C135" i="17"/>
  <c r="C134" i="17"/>
  <c r="C133" i="17"/>
  <c r="C132" i="17"/>
  <c r="C131" i="17"/>
  <c r="C130" i="17"/>
  <c r="C129" i="17"/>
  <c r="C127" i="17"/>
  <c r="C126" i="17"/>
  <c r="C125" i="17"/>
  <c r="C124" i="17"/>
  <c r="C123" i="17"/>
  <c r="C122" i="17"/>
  <c r="C121" i="17"/>
  <c r="C120" i="17"/>
  <c r="C119" i="17"/>
  <c r="C118" i="17"/>
  <c r="C117" i="17"/>
  <c r="C116" i="17"/>
  <c r="C115" i="17"/>
  <c r="C114" i="17"/>
  <c r="C113" i="17"/>
  <c r="C112" i="17"/>
  <c r="C111" i="17"/>
  <c r="C110" i="17"/>
  <c r="C109" i="17"/>
  <c r="C108" i="17"/>
  <c r="C107" i="17"/>
  <c r="C106" i="17"/>
  <c r="C105" i="17"/>
  <c r="C104" i="17"/>
  <c r="C103" i="17"/>
  <c r="C102" i="17"/>
  <c r="C101" i="17"/>
  <c r="C100" i="17"/>
  <c r="C99" i="17"/>
  <c r="C98" i="17"/>
  <c r="C97" i="17"/>
  <c r="C96" i="17"/>
  <c r="C95" i="17"/>
  <c r="C94" i="17"/>
  <c r="C93" i="17"/>
  <c r="C92" i="17"/>
  <c r="C91" i="17"/>
  <c r="C90" i="17"/>
  <c r="C89" i="17"/>
  <c r="C88" i="17"/>
  <c r="C87" i="17"/>
  <c r="C86" i="17"/>
  <c r="C85" i="17"/>
  <c r="C84" i="17"/>
  <c r="C83" i="17"/>
  <c r="C82" i="17"/>
  <c r="C81" i="17"/>
  <c r="C80" i="17"/>
  <c r="C79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39" i="17"/>
  <c r="C38" i="17"/>
  <c r="C37" i="17"/>
  <c r="C35" i="17"/>
  <c r="C34" i="17"/>
  <c r="C32" i="17"/>
  <c r="C31" i="17"/>
  <c r="C30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4" i="17"/>
  <c r="C3" i="17"/>
  <c r="C2" i="17"/>
  <c r="C6" i="17"/>
  <c r="I669" i="10" l="1"/>
  <c r="G669" i="10"/>
  <c r="H669" i="10" s="1"/>
  <c r="B612" i="15"/>
  <c r="K58" i="14" l="1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P64" i="2"/>
  <c r="F61" i="16"/>
  <c r="J51" i="13"/>
  <c r="J56" i="13" l="1"/>
  <c r="C55" i="13"/>
  <c r="J55" i="13"/>
  <c r="C950" i="15"/>
  <c r="C71" i="2"/>
  <c r="D71" i="2"/>
  <c r="F71" i="2"/>
  <c r="C72" i="2"/>
  <c r="D72" i="2"/>
  <c r="E72" i="2"/>
  <c r="F72" i="2"/>
  <c r="C73" i="2"/>
  <c r="D73" i="2"/>
  <c r="E73" i="2"/>
  <c r="F73" i="2"/>
  <c r="C74" i="2"/>
  <c r="D74" i="2"/>
  <c r="E74" i="2"/>
  <c r="F74" i="2"/>
  <c r="F47" i="3"/>
  <c r="L63" i="2"/>
  <c r="L64" i="2"/>
  <c r="L65" i="2"/>
  <c r="D1007" i="17"/>
  <c r="D989" i="17"/>
  <c r="D976" i="17"/>
  <c r="D933" i="17"/>
  <c r="D911" i="17"/>
  <c r="D909" i="17"/>
  <c r="D893" i="17"/>
  <c r="D852" i="17"/>
  <c r="D832" i="17"/>
  <c r="D808" i="17"/>
  <c r="D788" i="17"/>
  <c r="D774" i="17"/>
  <c r="D756" i="17"/>
  <c r="D748" i="17"/>
  <c r="D656" i="17"/>
  <c r="D591" i="17"/>
  <c r="D538" i="17"/>
  <c r="D493" i="17"/>
  <c r="D467" i="17"/>
  <c r="D425" i="17"/>
  <c r="D332" i="17"/>
  <c r="D299" i="17"/>
  <c r="D241" i="17"/>
  <c r="D238" i="17"/>
  <c r="D128" i="17"/>
  <c r="D78" i="17"/>
  <c r="D40" i="17"/>
  <c r="D36" i="17"/>
  <c r="D33" i="17"/>
  <c r="D29" i="17"/>
  <c r="D5" i="17"/>
  <c r="D1008" i="17" s="1"/>
  <c r="E34" i="17"/>
  <c r="E35" i="17"/>
  <c r="E37" i="17"/>
  <c r="E38" i="17"/>
  <c r="E39" i="17"/>
  <c r="E30" i="17"/>
  <c r="E31" i="17"/>
  <c r="E32" i="17"/>
  <c r="E990" i="17"/>
  <c r="E991" i="17"/>
  <c r="E992" i="17"/>
  <c r="E993" i="17"/>
  <c r="E994" i="17"/>
  <c r="E995" i="17"/>
  <c r="E996" i="17"/>
  <c r="E997" i="17"/>
  <c r="E998" i="17"/>
  <c r="E999" i="17"/>
  <c r="E1000" i="17"/>
  <c r="E1001" i="17"/>
  <c r="E1002" i="17"/>
  <c r="E1003" i="17"/>
  <c r="E1004" i="17"/>
  <c r="E1005" i="17"/>
  <c r="E1006" i="17"/>
  <c r="E977" i="17"/>
  <c r="E978" i="17"/>
  <c r="E979" i="17"/>
  <c r="E980" i="17"/>
  <c r="E981" i="17"/>
  <c r="E982" i="17"/>
  <c r="E983" i="17"/>
  <c r="E984" i="17"/>
  <c r="E985" i="17"/>
  <c r="E986" i="17"/>
  <c r="E987" i="17"/>
  <c r="E988" i="17"/>
  <c r="E943" i="17"/>
  <c r="E944" i="17"/>
  <c r="E945" i="17"/>
  <c r="E946" i="17"/>
  <c r="E947" i="17"/>
  <c r="E948" i="17"/>
  <c r="E949" i="17"/>
  <c r="E950" i="17"/>
  <c r="E951" i="17"/>
  <c r="E952" i="17"/>
  <c r="E953" i="17"/>
  <c r="E954" i="17"/>
  <c r="E955" i="17"/>
  <c r="E956" i="17"/>
  <c r="E957" i="17"/>
  <c r="E958" i="17"/>
  <c r="E959" i="17"/>
  <c r="E960" i="17"/>
  <c r="E961" i="17"/>
  <c r="E962" i="17"/>
  <c r="E963" i="17"/>
  <c r="E964" i="17"/>
  <c r="E965" i="17"/>
  <c r="E966" i="17"/>
  <c r="E967" i="17"/>
  <c r="E968" i="17"/>
  <c r="E969" i="17"/>
  <c r="E970" i="17"/>
  <c r="E971" i="17"/>
  <c r="E972" i="17"/>
  <c r="E973" i="17"/>
  <c r="E974" i="17"/>
  <c r="E975" i="17"/>
  <c r="E934" i="17"/>
  <c r="E935" i="17"/>
  <c r="E936" i="17"/>
  <c r="E937" i="17"/>
  <c r="E938" i="17"/>
  <c r="E939" i="17"/>
  <c r="E940" i="17"/>
  <c r="E941" i="17"/>
  <c r="E912" i="17"/>
  <c r="E913" i="17"/>
  <c r="E914" i="17"/>
  <c r="E915" i="17"/>
  <c r="E916" i="17"/>
  <c r="E917" i="17"/>
  <c r="E918" i="17"/>
  <c r="E919" i="17"/>
  <c r="E920" i="17"/>
  <c r="E921" i="17"/>
  <c r="E922" i="17"/>
  <c r="E923" i="17"/>
  <c r="E924" i="17"/>
  <c r="E925" i="17"/>
  <c r="E926" i="17"/>
  <c r="E927" i="17"/>
  <c r="E928" i="17"/>
  <c r="E929" i="17"/>
  <c r="E930" i="17"/>
  <c r="E931" i="17"/>
  <c r="E932" i="17"/>
  <c r="E910" i="17"/>
  <c r="E911" i="17" s="1"/>
  <c r="F911" i="17" s="1"/>
  <c r="R53" i="1" s="1"/>
  <c r="E894" i="17"/>
  <c r="E895" i="17"/>
  <c r="E896" i="17"/>
  <c r="E897" i="17"/>
  <c r="E898" i="17"/>
  <c r="E899" i="17"/>
  <c r="E900" i="17"/>
  <c r="E901" i="17"/>
  <c r="E902" i="17"/>
  <c r="E903" i="17"/>
  <c r="E904" i="17"/>
  <c r="E905" i="17"/>
  <c r="E906" i="17"/>
  <c r="E907" i="17"/>
  <c r="E908" i="17"/>
  <c r="E853" i="17"/>
  <c r="E854" i="17"/>
  <c r="E855" i="17"/>
  <c r="E856" i="17"/>
  <c r="E857" i="17"/>
  <c r="E858" i="17"/>
  <c r="E859" i="17"/>
  <c r="E860" i="17"/>
  <c r="E861" i="17"/>
  <c r="E862" i="17"/>
  <c r="E863" i="17"/>
  <c r="E864" i="17"/>
  <c r="E865" i="17"/>
  <c r="E866" i="17"/>
  <c r="E867" i="17"/>
  <c r="E868" i="17"/>
  <c r="E869" i="17"/>
  <c r="E870" i="17"/>
  <c r="E871" i="17"/>
  <c r="E872" i="17"/>
  <c r="E873" i="17"/>
  <c r="E874" i="17"/>
  <c r="E875" i="17"/>
  <c r="E876" i="17"/>
  <c r="E877" i="17"/>
  <c r="E878" i="17"/>
  <c r="E879" i="17"/>
  <c r="E880" i="17"/>
  <c r="E881" i="17"/>
  <c r="E882" i="17"/>
  <c r="E883" i="17"/>
  <c r="E884" i="17"/>
  <c r="E885" i="17"/>
  <c r="E886" i="17"/>
  <c r="E887" i="17"/>
  <c r="E888" i="17"/>
  <c r="E889" i="17"/>
  <c r="E890" i="17"/>
  <c r="E891" i="17"/>
  <c r="E892" i="17"/>
  <c r="E833" i="17"/>
  <c r="E834" i="17"/>
  <c r="E835" i="17"/>
  <c r="E836" i="17"/>
  <c r="E837" i="17"/>
  <c r="E838" i="17"/>
  <c r="E839" i="17"/>
  <c r="E840" i="17"/>
  <c r="E841" i="17"/>
  <c r="E842" i="17"/>
  <c r="E843" i="17"/>
  <c r="E844" i="17"/>
  <c r="E845" i="17"/>
  <c r="E846" i="17"/>
  <c r="E847" i="17"/>
  <c r="E848" i="17"/>
  <c r="E849" i="17"/>
  <c r="E850" i="17"/>
  <c r="E851" i="17"/>
  <c r="E809" i="17"/>
  <c r="E810" i="17"/>
  <c r="E811" i="17"/>
  <c r="E812" i="17"/>
  <c r="E813" i="17"/>
  <c r="E814" i="17"/>
  <c r="E815" i="17"/>
  <c r="E816" i="17"/>
  <c r="E817" i="17"/>
  <c r="E818" i="17"/>
  <c r="E819" i="17"/>
  <c r="E820" i="17"/>
  <c r="E821" i="17"/>
  <c r="E822" i="17"/>
  <c r="E823" i="17"/>
  <c r="E824" i="17"/>
  <c r="E825" i="17"/>
  <c r="E826" i="17"/>
  <c r="E827" i="17"/>
  <c r="E828" i="17"/>
  <c r="E829" i="17"/>
  <c r="E830" i="17"/>
  <c r="E831" i="17"/>
  <c r="E789" i="17"/>
  <c r="E790" i="17"/>
  <c r="E791" i="17"/>
  <c r="E792" i="17"/>
  <c r="E793" i="17"/>
  <c r="E794" i="17"/>
  <c r="E795" i="17"/>
  <c r="E796" i="17"/>
  <c r="E797" i="17"/>
  <c r="E798" i="17"/>
  <c r="E799" i="17"/>
  <c r="E800" i="17"/>
  <c r="E801" i="17"/>
  <c r="E802" i="17"/>
  <c r="E803" i="17"/>
  <c r="E804" i="17"/>
  <c r="E805" i="17"/>
  <c r="E806" i="17"/>
  <c r="E807" i="17"/>
  <c r="E775" i="17"/>
  <c r="E776" i="17"/>
  <c r="E777" i="17"/>
  <c r="E778" i="17"/>
  <c r="E779" i="17"/>
  <c r="E780" i="17"/>
  <c r="E781" i="17"/>
  <c r="E782" i="17"/>
  <c r="E783" i="17"/>
  <c r="E784" i="17"/>
  <c r="E785" i="17"/>
  <c r="E786" i="17"/>
  <c r="E787" i="17"/>
  <c r="E757" i="17"/>
  <c r="E758" i="17"/>
  <c r="E759" i="17"/>
  <c r="E760" i="17"/>
  <c r="E761" i="17"/>
  <c r="E762" i="17"/>
  <c r="E763" i="17"/>
  <c r="E764" i="17"/>
  <c r="E765" i="17"/>
  <c r="E766" i="17"/>
  <c r="E767" i="17"/>
  <c r="E768" i="17"/>
  <c r="E769" i="17"/>
  <c r="E770" i="17"/>
  <c r="E771" i="17"/>
  <c r="E772" i="17"/>
  <c r="E773" i="17"/>
  <c r="E749" i="17"/>
  <c r="E750" i="17"/>
  <c r="E751" i="17"/>
  <c r="E752" i="17"/>
  <c r="E753" i="17"/>
  <c r="E754" i="17"/>
  <c r="E755" i="17"/>
  <c r="E705" i="17"/>
  <c r="E706" i="17"/>
  <c r="E707" i="17"/>
  <c r="E708" i="17"/>
  <c r="E709" i="17"/>
  <c r="E710" i="17"/>
  <c r="E711" i="17"/>
  <c r="E712" i="17"/>
  <c r="E713" i="17"/>
  <c r="E714" i="17"/>
  <c r="E715" i="17"/>
  <c r="E716" i="17"/>
  <c r="E717" i="17"/>
  <c r="E718" i="17"/>
  <c r="E719" i="17"/>
  <c r="E720" i="17"/>
  <c r="E721" i="17"/>
  <c r="E722" i="17"/>
  <c r="E723" i="17"/>
  <c r="E724" i="17"/>
  <c r="E725" i="17"/>
  <c r="E726" i="17"/>
  <c r="E727" i="17"/>
  <c r="E728" i="17"/>
  <c r="E729" i="17"/>
  <c r="E730" i="17"/>
  <c r="E731" i="17"/>
  <c r="E732" i="17"/>
  <c r="E733" i="17"/>
  <c r="E734" i="17"/>
  <c r="E735" i="17"/>
  <c r="E736" i="17"/>
  <c r="E737" i="17"/>
  <c r="E738" i="17"/>
  <c r="E739" i="17"/>
  <c r="E740" i="17"/>
  <c r="E741" i="17"/>
  <c r="E742" i="17"/>
  <c r="E743" i="17"/>
  <c r="E744" i="17"/>
  <c r="E745" i="17"/>
  <c r="E746" i="17"/>
  <c r="E747" i="17"/>
  <c r="E657" i="17"/>
  <c r="E658" i="17"/>
  <c r="E659" i="17"/>
  <c r="E660" i="17"/>
  <c r="E661" i="17"/>
  <c r="E662" i="17"/>
  <c r="E663" i="17"/>
  <c r="E664" i="17"/>
  <c r="E665" i="17"/>
  <c r="E666" i="17"/>
  <c r="E667" i="17"/>
  <c r="E668" i="17"/>
  <c r="E669" i="17"/>
  <c r="E670" i="17"/>
  <c r="E671" i="17"/>
  <c r="E672" i="17"/>
  <c r="E673" i="17"/>
  <c r="E674" i="17"/>
  <c r="E675" i="17"/>
  <c r="E676" i="17"/>
  <c r="E677" i="17"/>
  <c r="E678" i="17"/>
  <c r="E679" i="17"/>
  <c r="E680" i="17"/>
  <c r="E681" i="17"/>
  <c r="E682" i="17"/>
  <c r="E683" i="17"/>
  <c r="E684" i="17"/>
  <c r="E685" i="17"/>
  <c r="E686" i="17"/>
  <c r="E687" i="17"/>
  <c r="E688" i="17"/>
  <c r="E689" i="17"/>
  <c r="E690" i="17"/>
  <c r="E691" i="17"/>
  <c r="E692" i="17"/>
  <c r="E693" i="17"/>
  <c r="E694" i="17"/>
  <c r="E695" i="17"/>
  <c r="E696" i="17"/>
  <c r="E697" i="17"/>
  <c r="E698" i="17"/>
  <c r="E699" i="17"/>
  <c r="E700" i="17"/>
  <c r="E701" i="17"/>
  <c r="E703" i="17"/>
  <c r="E592" i="17"/>
  <c r="E593" i="17"/>
  <c r="E594" i="17"/>
  <c r="E595" i="17"/>
  <c r="E596" i="17"/>
  <c r="E597" i="17"/>
  <c r="E598" i="17"/>
  <c r="E599" i="17"/>
  <c r="E600" i="17"/>
  <c r="E601" i="17"/>
  <c r="E602" i="17"/>
  <c r="E603" i="17"/>
  <c r="E604" i="17"/>
  <c r="E605" i="17"/>
  <c r="E606" i="17"/>
  <c r="E607" i="17"/>
  <c r="E608" i="17"/>
  <c r="E609" i="17"/>
  <c r="E610" i="17"/>
  <c r="E611" i="17"/>
  <c r="E612" i="17"/>
  <c r="E613" i="17"/>
  <c r="E614" i="17"/>
  <c r="E615" i="17"/>
  <c r="E616" i="17"/>
  <c r="E617" i="17"/>
  <c r="E618" i="17"/>
  <c r="E619" i="17"/>
  <c r="E620" i="17"/>
  <c r="E621" i="17"/>
  <c r="E622" i="17"/>
  <c r="E623" i="17"/>
  <c r="E624" i="17"/>
  <c r="E625" i="17"/>
  <c r="E626" i="17"/>
  <c r="E627" i="17"/>
  <c r="E628" i="17"/>
  <c r="E629" i="17"/>
  <c r="E630" i="17"/>
  <c r="E631" i="17"/>
  <c r="E632" i="17"/>
  <c r="E633" i="17"/>
  <c r="E634" i="17"/>
  <c r="E635" i="17"/>
  <c r="E636" i="17"/>
  <c r="E637" i="17"/>
  <c r="E638" i="17"/>
  <c r="E639" i="17"/>
  <c r="E640" i="17"/>
  <c r="E641" i="17"/>
  <c r="E642" i="17"/>
  <c r="E643" i="17"/>
  <c r="E644" i="17"/>
  <c r="E645" i="17"/>
  <c r="E646" i="17"/>
  <c r="E647" i="17"/>
  <c r="E648" i="17"/>
  <c r="E649" i="17"/>
  <c r="E650" i="17"/>
  <c r="E651" i="17"/>
  <c r="E652" i="17"/>
  <c r="E653" i="17"/>
  <c r="E654" i="17"/>
  <c r="E655" i="17"/>
  <c r="E539" i="17"/>
  <c r="E540" i="17"/>
  <c r="E541" i="17"/>
  <c r="E542" i="17"/>
  <c r="E543" i="17"/>
  <c r="E544" i="17"/>
  <c r="E545" i="17"/>
  <c r="E546" i="17"/>
  <c r="E547" i="17"/>
  <c r="E548" i="17"/>
  <c r="E549" i="17"/>
  <c r="E550" i="17"/>
  <c r="E551" i="17"/>
  <c r="E552" i="17"/>
  <c r="E553" i="17"/>
  <c r="E554" i="17"/>
  <c r="E555" i="17"/>
  <c r="E556" i="17"/>
  <c r="E557" i="17"/>
  <c r="E558" i="17"/>
  <c r="E559" i="17"/>
  <c r="E560" i="17"/>
  <c r="E561" i="17"/>
  <c r="E562" i="17"/>
  <c r="E563" i="17"/>
  <c r="E564" i="17"/>
  <c r="E565" i="17"/>
  <c r="E566" i="17"/>
  <c r="E567" i="17"/>
  <c r="E568" i="17"/>
  <c r="E569" i="17"/>
  <c r="E570" i="17"/>
  <c r="E571" i="17"/>
  <c r="E572" i="17"/>
  <c r="E573" i="17"/>
  <c r="E574" i="17"/>
  <c r="E575" i="17"/>
  <c r="E576" i="17"/>
  <c r="E577" i="17"/>
  <c r="E578" i="17"/>
  <c r="E579" i="17"/>
  <c r="E580" i="17"/>
  <c r="E581" i="17"/>
  <c r="E582" i="17"/>
  <c r="E583" i="17"/>
  <c r="E584" i="17"/>
  <c r="E585" i="17"/>
  <c r="E586" i="17"/>
  <c r="E587" i="17"/>
  <c r="E588" i="17"/>
  <c r="E589" i="17"/>
  <c r="E590" i="17"/>
  <c r="E494" i="17"/>
  <c r="E495" i="17"/>
  <c r="E496" i="17"/>
  <c r="E497" i="17"/>
  <c r="E498" i="17"/>
  <c r="E499" i="17"/>
  <c r="E500" i="17"/>
  <c r="E501" i="17"/>
  <c r="E502" i="17"/>
  <c r="E503" i="17"/>
  <c r="E504" i="17"/>
  <c r="E505" i="17"/>
  <c r="E506" i="17"/>
  <c r="E507" i="17"/>
  <c r="E508" i="17"/>
  <c r="E509" i="17"/>
  <c r="E510" i="17"/>
  <c r="E511" i="17"/>
  <c r="E512" i="17"/>
  <c r="E513" i="17"/>
  <c r="E514" i="17"/>
  <c r="E515" i="17"/>
  <c r="E516" i="17"/>
  <c r="E517" i="17"/>
  <c r="E518" i="17"/>
  <c r="E519" i="17"/>
  <c r="E520" i="17"/>
  <c r="E521" i="17"/>
  <c r="E522" i="17"/>
  <c r="E523" i="17"/>
  <c r="E524" i="17"/>
  <c r="E525" i="17"/>
  <c r="E526" i="17"/>
  <c r="E527" i="17"/>
  <c r="E528" i="17"/>
  <c r="E529" i="17"/>
  <c r="E530" i="17"/>
  <c r="E531" i="17"/>
  <c r="E532" i="17"/>
  <c r="E533" i="17"/>
  <c r="E534" i="17"/>
  <c r="E535" i="17"/>
  <c r="E536" i="17"/>
  <c r="E537" i="17"/>
  <c r="E468" i="17"/>
  <c r="E469" i="17"/>
  <c r="E470" i="17"/>
  <c r="E471" i="17"/>
  <c r="E472" i="17"/>
  <c r="E473" i="17"/>
  <c r="E474" i="17"/>
  <c r="E475" i="17"/>
  <c r="E476" i="17"/>
  <c r="E477" i="17"/>
  <c r="E478" i="17"/>
  <c r="E479" i="17"/>
  <c r="E480" i="17"/>
  <c r="E481" i="17"/>
  <c r="E482" i="17"/>
  <c r="E483" i="17"/>
  <c r="E484" i="17"/>
  <c r="E485" i="17"/>
  <c r="E486" i="17"/>
  <c r="E487" i="17"/>
  <c r="E488" i="17"/>
  <c r="E489" i="17"/>
  <c r="E490" i="17"/>
  <c r="E491" i="17"/>
  <c r="E492" i="17"/>
  <c r="E426" i="17"/>
  <c r="E427" i="17"/>
  <c r="E428" i="17"/>
  <c r="E429" i="17"/>
  <c r="E430" i="17"/>
  <c r="E431" i="17"/>
  <c r="E432" i="17"/>
  <c r="E433" i="17"/>
  <c r="E434" i="17"/>
  <c r="E435" i="17"/>
  <c r="E436" i="17"/>
  <c r="E437" i="17"/>
  <c r="E438" i="17"/>
  <c r="E439" i="17"/>
  <c r="E440" i="17"/>
  <c r="E441" i="17"/>
  <c r="E442" i="17"/>
  <c r="E443" i="17"/>
  <c r="E444" i="17"/>
  <c r="E445" i="17"/>
  <c r="E446" i="17"/>
  <c r="E447" i="17"/>
  <c r="E448" i="17"/>
  <c r="E449" i="17"/>
  <c r="E450" i="17"/>
  <c r="E451" i="17"/>
  <c r="E452" i="17"/>
  <c r="E453" i="17"/>
  <c r="E454" i="17"/>
  <c r="E455" i="17"/>
  <c r="E456" i="17"/>
  <c r="E457" i="17"/>
  <c r="E458" i="17"/>
  <c r="E459" i="17"/>
  <c r="E460" i="17"/>
  <c r="E461" i="17"/>
  <c r="E462" i="17"/>
  <c r="E463" i="17"/>
  <c r="E464" i="17"/>
  <c r="E465" i="17"/>
  <c r="E466" i="17"/>
  <c r="E333" i="17"/>
  <c r="E334" i="17"/>
  <c r="E335" i="17"/>
  <c r="E336" i="17"/>
  <c r="E337" i="17"/>
  <c r="E338" i="17"/>
  <c r="E339" i="17"/>
  <c r="E340" i="17"/>
  <c r="E341" i="17"/>
  <c r="E342" i="17"/>
  <c r="E343" i="17"/>
  <c r="E344" i="17"/>
  <c r="E345" i="17"/>
  <c r="E346" i="17"/>
  <c r="E347" i="17"/>
  <c r="E348" i="17"/>
  <c r="E349" i="17"/>
  <c r="E350" i="17"/>
  <c r="E351" i="17"/>
  <c r="E352" i="17"/>
  <c r="E353" i="17"/>
  <c r="E354" i="17"/>
  <c r="E355" i="17"/>
  <c r="E356" i="17"/>
  <c r="E357" i="17"/>
  <c r="E358" i="17"/>
  <c r="E359" i="17"/>
  <c r="E360" i="17"/>
  <c r="E361" i="17"/>
  <c r="E362" i="17"/>
  <c r="E363" i="17"/>
  <c r="E364" i="17"/>
  <c r="E365" i="17"/>
  <c r="E366" i="17"/>
  <c r="E367" i="17"/>
  <c r="E368" i="17"/>
  <c r="E369" i="17"/>
  <c r="E370" i="17"/>
  <c r="E371" i="17"/>
  <c r="E372" i="17"/>
  <c r="E373" i="17"/>
  <c r="E374" i="17"/>
  <c r="E375" i="17"/>
  <c r="E376" i="17"/>
  <c r="E377" i="17"/>
  <c r="E378" i="17"/>
  <c r="E379" i="17"/>
  <c r="E380" i="17"/>
  <c r="E381" i="17"/>
  <c r="E382" i="17"/>
  <c r="E383" i="17"/>
  <c r="E384" i="17"/>
  <c r="E385" i="17"/>
  <c r="E386" i="17"/>
  <c r="E387" i="17"/>
  <c r="E388" i="17"/>
  <c r="E389" i="17"/>
  <c r="E390" i="17"/>
  <c r="E391" i="17"/>
  <c r="E392" i="17"/>
  <c r="E393" i="17"/>
  <c r="E394" i="17"/>
  <c r="E395" i="17"/>
  <c r="E396" i="17"/>
  <c r="E397" i="17"/>
  <c r="E398" i="17"/>
  <c r="E399" i="17"/>
  <c r="E400" i="17"/>
  <c r="E401" i="17"/>
  <c r="E402" i="17"/>
  <c r="E403" i="17"/>
  <c r="E404" i="17"/>
  <c r="E405" i="17"/>
  <c r="E406" i="17"/>
  <c r="E407" i="17"/>
  <c r="E408" i="17"/>
  <c r="E409" i="17"/>
  <c r="E410" i="17"/>
  <c r="E411" i="17"/>
  <c r="E412" i="17"/>
  <c r="E413" i="17"/>
  <c r="E414" i="17"/>
  <c r="E415" i="17"/>
  <c r="E416" i="17"/>
  <c r="E417" i="17"/>
  <c r="E418" i="17"/>
  <c r="E419" i="17"/>
  <c r="E420" i="17"/>
  <c r="E421" i="17"/>
  <c r="E422" i="17"/>
  <c r="E423" i="17"/>
  <c r="E424" i="17"/>
  <c r="E300" i="17"/>
  <c r="E301" i="17"/>
  <c r="E302" i="17"/>
  <c r="E303" i="17"/>
  <c r="E304" i="17"/>
  <c r="E305" i="17"/>
  <c r="E306" i="17"/>
  <c r="E307" i="17"/>
  <c r="E308" i="17"/>
  <c r="E309" i="17"/>
  <c r="E310" i="17"/>
  <c r="E311" i="17"/>
  <c r="E312" i="17"/>
  <c r="E313" i="17"/>
  <c r="E314" i="17"/>
  <c r="E315" i="17"/>
  <c r="E316" i="17"/>
  <c r="E317" i="17"/>
  <c r="E318" i="17"/>
  <c r="E319" i="17"/>
  <c r="E320" i="17"/>
  <c r="E321" i="17"/>
  <c r="E322" i="17"/>
  <c r="E323" i="17"/>
  <c r="E324" i="17"/>
  <c r="E325" i="17"/>
  <c r="E326" i="17"/>
  <c r="E327" i="17"/>
  <c r="E328" i="17"/>
  <c r="E329" i="17"/>
  <c r="E330" i="17"/>
  <c r="E331" i="17"/>
  <c r="E242" i="17"/>
  <c r="E243" i="17"/>
  <c r="E244" i="17"/>
  <c r="E245" i="17"/>
  <c r="E246" i="17"/>
  <c r="E247" i="17"/>
  <c r="E248" i="17"/>
  <c r="E249" i="17"/>
  <c r="E250" i="17"/>
  <c r="E251" i="17"/>
  <c r="E252" i="17"/>
  <c r="E253" i="17"/>
  <c r="E254" i="17"/>
  <c r="E255" i="17"/>
  <c r="E256" i="17"/>
  <c r="E257" i="17"/>
  <c r="E258" i="17"/>
  <c r="E259" i="17"/>
  <c r="E260" i="17"/>
  <c r="E261" i="17"/>
  <c r="E262" i="17"/>
  <c r="E263" i="17"/>
  <c r="E264" i="17"/>
  <c r="E265" i="17"/>
  <c r="E266" i="17"/>
  <c r="E267" i="17"/>
  <c r="E268" i="17"/>
  <c r="E269" i="17"/>
  <c r="E270" i="17"/>
  <c r="E271" i="17"/>
  <c r="E272" i="17"/>
  <c r="E273" i="17"/>
  <c r="E274" i="17"/>
  <c r="E275" i="17"/>
  <c r="E276" i="17"/>
  <c r="E277" i="17"/>
  <c r="E278" i="17"/>
  <c r="E279" i="17"/>
  <c r="E280" i="17"/>
  <c r="E281" i="17"/>
  <c r="E282" i="17"/>
  <c r="E283" i="17"/>
  <c r="E284" i="17"/>
  <c r="E285" i="17"/>
  <c r="E286" i="17"/>
  <c r="E287" i="17"/>
  <c r="E288" i="17"/>
  <c r="E289" i="17"/>
  <c r="E290" i="17"/>
  <c r="E291" i="17"/>
  <c r="E292" i="17"/>
  <c r="E293" i="17"/>
  <c r="E294" i="17"/>
  <c r="E295" i="17"/>
  <c r="E296" i="17"/>
  <c r="E297" i="17"/>
  <c r="E298" i="17"/>
  <c r="E239" i="17"/>
  <c r="E240" i="17"/>
  <c r="E201" i="17"/>
  <c r="E202" i="17"/>
  <c r="E203" i="17"/>
  <c r="E204" i="17"/>
  <c r="E205" i="17"/>
  <c r="E206" i="17"/>
  <c r="E207" i="17"/>
  <c r="E208" i="17"/>
  <c r="E209" i="17"/>
  <c r="E210" i="17"/>
  <c r="E211" i="17"/>
  <c r="E212" i="17"/>
  <c r="E213" i="17"/>
  <c r="E214" i="17"/>
  <c r="E215" i="17"/>
  <c r="E216" i="17"/>
  <c r="E217" i="17"/>
  <c r="E218" i="17"/>
  <c r="E219" i="17"/>
  <c r="E220" i="17"/>
  <c r="E221" i="17"/>
  <c r="E222" i="17"/>
  <c r="E223" i="17"/>
  <c r="E224" i="17"/>
  <c r="E225" i="17"/>
  <c r="E226" i="17"/>
  <c r="E227" i="17"/>
  <c r="E228" i="17"/>
  <c r="E229" i="17"/>
  <c r="E230" i="17"/>
  <c r="E231" i="17"/>
  <c r="E232" i="17"/>
  <c r="E233" i="17"/>
  <c r="E234" i="17"/>
  <c r="E235" i="17"/>
  <c r="E236" i="17"/>
  <c r="E237" i="17"/>
  <c r="E129" i="17"/>
  <c r="E130" i="17"/>
  <c r="E131" i="17"/>
  <c r="E132" i="17"/>
  <c r="E133" i="17"/>
  <c r="E134" i="17"/>
  <c r="E135" i="17"/>
  <c r="E136" i="17"/>
  <c r="E137" i="17"/>
  <c r="E138" i="17"/>
  <c r="E139" i="17"/>
  <c r="E140" i="17"/>
  <c r="E141" i="17"/>
  <c r="E142" i="17"/>
  <c r="E143" i="17"/>
  <c r="E144" i="17"/>
  <c r="E145" i="17"/>
  <c r="E146" i="17"/>
  <c r="E147" i="17"/>
  <c r="E148" i="17"/>
  <c r="E149" i="17"/>
  <c r="E150" i="17"/>
  <c r="E151" i="17"/>
  <c r="E152" i="17"/>
  <c r="E153" i="17"/>
  <c r="E154" i="17"/>
  <c r="E155" i="17"/>
  <c r="E156" i="17"/>
  <c r="E157" i="17"/>
  <c r="E158" i="17"/>
  <c r="E159" i="17"/>
  <c r="E160" i="17"/>
  <c r="E161" i="17"/>
  <c r="E162" i="17"/>
  <c r="E163" i="17"/>
  <c r="E164" i="17"/>
  <c r="E165" i="17"/>
  <c r="E166" i="17"/>
  <c r="E167" i="17"/>
  <c r="E168" i="17"/>
  <c r="E169" i="17"/>
  <c r="E170" i="17"/>
  <c r="E171" i="17"/>
  <c r="E172" i="17"/>
  <c r="E173" i="17"/>
  <c r="E174" i="17"/>
  <c r="E175" i="17"/>
  <c r="E176" i="17"/>
  <c r="E177" i="17"/>
  <c r="E178" i="17"/>
  <c r="E179" i="17"/>
  <c r="E180" i="17"/>
  <c r="E181" i="17"/>
  <c r="E182" i="17"/>
  <c r="E183" i="17"/>
  <c r="E184" i="17"/>
  <c r="E185" i="17"/>
  <c r="E186" i="17"/>
  <c r="E187" i="17"/>
  <c r="E188" i="17"/>
  <c r="E189" i="17"/>
  <c r="E190" i="17"/>
  <c r="E191" i="17"/>
  <c r="E192" i="17"/>
  <c r="E193" i="17"/>
  <c r="E194" i="17"/>
  <c r="E195" i="17"/>
  <c r="E196" i="17"/>
  <c r="E197" i="17"/>
  <c r="E198" i="17"/>
  <c r="E199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7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" i="17"/>
  <c r="E3" i="17"/>
  <c r="E4" i="17"/>
  <c r="C1065" i="15"/>
  <c r="C1027" i="15"/>
  <c r="U64" i="1"/>
  <c r="T64" i="1"/>
  <c r="C50" i="13"/>
  <c r="C52" i="13"/>
  <c r="C63" i="2"/>
  <c r="A64" i="2"/>
  <c r="C65" i="2"/>
  <c r="E241" i="17" l="1"/>
  <c r="F241" i="17" s="1"/>
  <c r="R20" i="1" s="1"/>
  <c r="E467" i="17"/>
  <c r="F467" i="17" s="1"/>
  <c r="R24" i="1" s="1"/>
  <c r="E748" i="17"/>
  <c r="F748" i="17" s="1"/>
  <c r="R31" i="1" s="1"/>
  <c r="E774" i="17"/>
  <c r="F774" i="17" s="1"/>
  <c r="R50" i="1" s="1"/>
  <c r="E808" i="17"/>
  <c r="F808" i="17" s="1"/>
  <c r="R52" i="1" s="1"/>
  <c r="E852" i="17"/>
  <c r="F852" i="17" s="1"/>
  <c r="R39" i="1" s="1"/>
  <c r="E893" i="17"/>
  <c r="F893" i="17" s="1"/>
  <c r="R40" i="1" s="1"/>
  <c r="E976" i="17"/>
  <c r="F976" i="17" s="1"/>
  <c r="R57" i="1" s="1"/>
  <c r="E989" i="17"/>
  <c r="F989" i="17" s="1"/>
  <c r="R58" i="1" s="1"/>
  <c r="E33" i="17"/>
  <c r="F33" i="17" s="1"/>
  <c r="R63" i="1" s="1"/>
  <c r="E29" i="17"/>
  <c r="F29" i="17" s="1"/>
  <c r="R48" i="1" s="1"/>
  <c r="E128" i="17"/>
  <c r="F128" i="17" s="1"/>
  <c r="R17" i="1" s="1"/>
  <c r="E238" i="17"/>
  <c r="F238" i="17" s="1"/>
  <c r="R19" i="1" s="1"/>
  <c r="E78" i="17"/>
  <c r="F78" i="17" s="1"/>
  <c r="R16" i="1" s="1"/>
  <c r="E200" i="17"/>
  <c r="F200" i="17" s="1"/>
  <c r="R18" i="1" s="1"/>
  <c r="E299" i="17"/>
  <c r="F299" i="17" s="1"/>
  <c r="R21" i="1" s="1"/>
  <c r="E332" i="17"/>
  <c r="F332" i="17" s="1"/>
  <c r="R22" i="1" s="1"/>
  <c r="E425" i="17"/>
  <c r="F425" i="17" s="1"/>
  <c r="R23" i="1" s="1"/>
  <c r="E493" i="17"/>
  <c r="F493" i="17" s="1"/>
  <c r="R25" i="1" s="1"/>
  <c r="E538" i="17"/>
  <c r="F538" i="17" s="1"/>
  <c r="R26" i="1" s="1"/>
  <c r="E591" i="17"/>
  <c r="F591" i="17" s="1"/>
  <c r="R27" i="1" s="1"/>
  <c r="E656" i="17"/>
  <c r="F656" i="17" s="1"/>
  <c r="R28" i="1" s="1"/>
  <c r="E704" i="17"/>
  <c r="F704" i="17" s="1"/>
  <c r="R29" i="1" s="1"/>
  <c r="E756" i="17"/>
  <c r="F756" i="17" s="1"/>
  <c r="R49" i="1" s="1"/>
  <c r="E788" i="17"/>
  <c r="F788" i="17" s="1"/>
  <c r="R51" i="1" s="1"/>
  <c r="E832" i="17"/>
  <c r="F832" i="17" s="1"/>
  <c r="R38" i="1" s="1"/>
  <c r="E909" i="17"/>
  <c r="F909" i="17" s="1"/>
  <c r="R41" i="1" s="1"/>
  <c r="E933" i="17"/>
  <c r="F933" i="17" s="1"/>
  <c r="R54" i="1" s="1"/>
  <c r="E942" i="17"/>
  <c r="F942" i="17" s="1"/>
  <c r="R55" i="1" s="1"/>
  <c r="E1007" i="17"/>
  <c r="F1007" i="17" s="1"/>
  <c r="R59" i="1" s="1"/>
  <c r="E40" i="17"/>
  <c r="F40" i="17" s="1"/>
  <c r="R65" i="1" s="1"/>
  <c r="E36" i="17"/>
  <c r="F36" i="17" s="1"/>
  <c r="R64" i="1" s="1"/>
  <c r="E5" i="17"/>
  <c r="F5" i="17" s="1"/>
  <c r="R47" i="1" s="1"/>
  <c r="E1008" i="17" l="1"/>
  <c r="F1008" i="17" s="1"/>
  <c r="N65" i="16" l="1"/>
  <c r="E66" i="11" s="1"/>
  <c r="N58" i="16"/>
  <c r="E59" i="11" s="1"/>
  <c r="N57" i="16"/>
  <c r="E58" i="11" s="1"/>
  <c r="N56" i="16"/>
  <c r="E57" i="11" s="1"/>
  <c r="N55" i="16"/>
  <c r="E56" i="11" s="1"/>
  <c r="N54" i="16"/>
  <c r="E55" i="11" s="1"/>
  <c r="N53" i="16"/>
  <c r="E54" i="11" s="1"/>
  <c r="N52" i="16"/>
  <c r="E53" i="11" s="1"/>
  <c r="N51" i="16"/>
  <c r="E52" i="11" s="1"/>
  <c r="N50" i="16"/>
  <c r="E51" i="11" s="1"/>
  <c r="N49" i="16"/>
  <c r="E50" i="11" s="1"/>
  <c r="N48" i="16"/>
  <c r="N47" i="16"/>
  <c r="N46" i="16"/>
  <c r="N45" i="16"/>
  <c r="M70" i="16"/>
  <c r="K70" i="16"/>
  <c r="I70" i="16"/>
  <c r="N78" i="16"/>
  <c r="N74" i="16"/>
  <c r="U73" i="3"/>
  <c r="Q75" i="3"/>
  <c r="Q72" i="3"/>
  <c r="Q76" i="3" s="1"/>
  <c r="F72" i="3"/>
  <c r="T69" i="3"/>
  <c r="S69" i="3"/>
  <c r="R69" i="3"/>
  <c r="M64" i="3"/>
  <c r="O63" i="3"/>
  <c r="O64" i="3"/>
  <c r="O65" i="3"/>
  <c r="F63" i="3"/>
  <c r="C63" i="3"/>
  <c r="C65" i="3"/>
  <c r="F57" i="3"/>
  <c r="F58" i="3"/>
  <c r="F59" i="3"/>
  <c r="F55" i="3"/>
  <c r="F54" i="3"/>
  <c r="F53" i="3"/>
  <c r="F52" i="3"/>
  <c r="F51" i="3"/>
  <c r="F50" i="3"/>
  <c r="F49" i="3"/>
  <c r="F41" i="3"/>
  <c r="F40" i="3"/>
  <c r="F39" i="3"/>
  <c r="F38" i="3"/>
  <c r="M68" i="16"/>
  <c r="L68" i="16"/>
  <c r="K68" i="16"/>
  <c r="I68" i="16"/>
  <c r="O59" i="16"/>
  <c r="N59" i="16"/>
  <c r="M59" i="16"/>
  <c r="L59" i="16"/>
  <c r="K59" i="16"/>
  <c r="F50" i="2" l="1"/>
  <c r="E47" i="11"/>
  <c r="F51" i="2"/>
  <c r="E48" i="11"/>
  <c r="F52" i="2"/>
  <c r="E49" i="11"/>
  <c r="F49" i="2"/>
  <c r="E46" i="11"/>
  <c r="Q63" i="3"/>
  <c r="U63" i="3" s="1"/>
  <c r="F63" i="2"/>
  <c r="B63" i="3"/>
  <c r="B65" i="3"/>
  <c r="F59" i="16"/>
  <c r="A1" i="16"/>
  <c r="A3" i="16"/>
  <c r="A4" i="16"/>
  <c r="A5" i="16"/>
  <c r="A13" i="16"/>
  <c r="B14" i="16"/>
  <c r="C14" i="16"/>
  <c r="B15" i="16"/>
  <c r="C15" i="16"/>
  <c r="A19" i="16"/>
  <c r="B19" i="16"/>
  <c r="C20" i="16"/>
  <c r="C21" i="16"/>
  <c r="C22" i="16"/>
  <c r="C23" i="16"/>
  <c r="A24" i="16"/>
  <c r="B24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A44" i="16"/>
  <c r="B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A59" i="16"/>
  <c r="B59" i="16"/>
  <c r="C59" i="16"/>
  <c r="C65" i="16"/>
  <c r="C67" i="16"/>
  <c r="C70" i="16"/>
  <c r="A74" i="16"/>
  <c r="C74" i="16"/>
  <c r="A75" i="16"/>
  <c r="C75" i="16"/>
  <c r="N75" i="16"/>
  <c r="A76" i="16"/>
  <c r="C76" i="16"/>
  <c r="N76" i="16"/>
  <c r="A77" i="16"/>
  <c r="C77" i="16"/>
  <c r="F77" i="16"/>
  <c r="N77" i="16" s="1"/>
  <c r="C79" i="16"/>
  <c r="D1030" i="10"/>
  <c r="O65" i="1"/>
  <c r="P65" i="1" s="1"/>
  <c r="O64" i="1"/>
  <c r="O63" i="1"/>
  <c r="P63" i="1" s="1"/>
  <c r="N64" i="1"/>
  <c r="P64" i="1" s="1"/>
  <c r="C1036" i="15" s="1"/>
  <c r="M64" i="1"/>
  <c r="I1036" i="10"/>
  <c r="H1036" i="10"/>
  <c r="I1037" i="10"/>
  <c r="H1037" i="10"/>
  <c r="D1037" i="10"/>
  <c r="D79" i="11" s="1"/>
  <c r="D1039" i="15"/>
  <c r="D1036" i="15"/>
  <c r="C1033" i="15"/>
  <c r="C1034" i="15" s="1"/>
  <c r="D1024" i="15"/>
  <c r="C598" i="15"/>
  <c r="C603" i="15"/>
  <c r="C595" i="15"/>
  <c r="C594" i="15"/>
  <c r="C563" i="15"/>
  <c r="C564" i="15"/>
  <c r="C572" i="15"/>
  <c r="C567" i="15"/>
  <c r="C628" i="15"/>
  <c r="C633" i="15"/>
  <c r="C625" i="15"/>
  <c r="C624" i="15"/>
  <c r="C658" i="15"/>
  <c r="C655" i="15"/>
  <c r="C654" i="15"/>
  <c r="C663" i="15"/>
  <c r="C748" i="15"/>
  <c r="C749" i="15"/>
  <c r="C686" i="15"/>
  <c r="C685" i="15"/>
  <c r="C694" i="15"/>
  <c r="C689" i="15"/>
  <c r="C752" i="15"/>
  <c r="C758" i="15"/>
  <c r="B792" i="15"/>
  <c r="C788" i="15"/>
  <c r="C778" i="15"/>
  <c r="C779" i="15"/>
  <c r="C782" i="15"/>
  <c r="C726" i="15"/>
  <c r="C716" i="15"/>
  <c r="C717" i="15"/>
  <c r="C720" i="15"/>
  <c r="C534" i="15"/>
  <c r="C533" i="15"/>
  <c r="C543" i="15"/>
  <c r="C537" i="15"/>
  <c r="C469" i="15"/>
  <c r="C468" i="15"/>
  <c r="C478" i="15"/>
  <c r="C511" i="15"/>
  <c r="C502" i="15"/>
  <c r="C501" i="15"/>
  <c r="C447" i="15"/>
  <c r="C438" i="15"/>
  <c r="C437" i="15"/>
  <c r="C407" i="15"/>
  <c r="C406" i="15"/>
  <c r="C416" i="15"/>
  <c r="C386" i="15"/>
  <c r="C377" i="15"/>
  <c r="C376" i="15"/>
  <c r="C356" i="15"/>
  <c r="C347" i="15"/>
  <c r="C346" i="15"/>
  <c r="C325" i="15"/>
  <c r="C316" i="15"/>
  <c r="C315" i="15"/>
  <c r="C295" i="15"/>
  <c r="C286" i="15"/>
  <c r="C285" i="15"/>
  <c r="C253" i="15"/>
  <c r="C254" i="15"/>
  <c r="C263" i="15"/>
  <c r="C234" i="15"/>
  <c r="C225" i="15"/>
  <c r="C224" i="15"/>
  <c r="C203" i="15"/>
  <c r="C194" i="15"/>
  <c r="C193" i="15"/>
  <c r="C163" i="15"/>
  <c r="C162" i="15"/>
  <c r="C172" i="15"/>
  <c r="C133" i="15"/>
  <c r="C132" i="15"/>
  <c r="C142" i="15"/>
  <c r="C112" i="15"/>
  <c r="C103" i="15"/>
  <c r="C102" i="15"/>
  <c r="E65" i="3" l="1"/>
  <c r="D68" i="11"/>
  <c r="E64" i="3"/>
  <c r="H64" i="3"/>
  <c r="H66" i="16"/>
  <c r="D51" i="13"/>
  <c r="H51" i="13" s="1"/>
  <c r="N14" i="16"/>
  <c r="D1027" i="15"/>
  <c r="C72" i="15"/>
  <c r="C71" i="15"/>
  <c r="C81" i="15"/>
  <c r="C51" i="15"/>
  <c r="C42" i="15"/>
  <c r="C41" i="15"/>
  <c r="C910" i="15"/>
  <c r="C901" i="15"/>
  <c r="C900" i="15"/>
  <c r="C879" i="15"/>
  <c r="C873" i="15"/>
  <c r="C843" i="15"/>
  <c r="C870" i="15"/>
  <c r="C849" i="15"/>
  <c r="B852" i="15"/>
  <c r="C852" i="15" s="1"/>
  <c r="D852" i="15" s="1"/>
  <c r="B840" i="15"/>
  <c r="C840" i="15"/>
  <c r="C839" i="15"/>
  <c r="C869" i="15"/>
  <c r="C819" i="15"/>
  <c r="C810" i="15"/>
  <c r="C809" i="15"/>
  <c r="C813" i="15"/>
  <c r="C941" i="15"/>
  <c r="C942" i="15" s="1"/>
  <c r="C931" i="15"/>
  <c r="C932" i="15"/>
  <c r="D932" i="15" s="1"/>
  <c r="C935" i="15"/>
  <c r="C962" i="15"/>
  <c r="C961" i="15"/>
  <c r="C971" i="15"/>
  <c r="C965" i="15"/>
  <c r="C1102" i="15"/>
  <c r="C1072" i="15"/>
  <c r="C1073" i="15" s="1"/>
  <c r="C1002" i="15"/>
  <c r="C993" i="15"/>
  <c r="C992" i="15"/>
  <c r="C996" i="15"/>
  <c r="D996" i="15" s="1"/>
  <c r="C1063" i="15"/>
  <c r="D1063" i="15" s="1"/>
  <c r="C1062" i="15"/>
  <c r="C1093" i="15"/>
  <c r="D1093" i="15" s="1"/>
  <c r="C1092" i="15"/>
  <c r="C1103" i="15"/>
  <c r="B1103" i="15"/>
  <c r="D1102" i="15"/>
  <c r="D1101" i="15"/>
  <c r="B1097" i="15"/>
  <c r="B1073" i="15"/>
  <c r="D1071" i="15"/>
  <c r="B1067" i="15"/>
  <c r="C1003" i="15"/>
  <c r="B1003" i="15"/>
  <c r="D1002" i="15"/>
  <c r="D1001" i="15"/>
  <c r="D993" i="15"/>
  <c r="B979" i="15"/>
  <c r="B975" i="15"/>
  <c r="C972" i="15"/>
  <c r="B972" i="15"/>
  <c r="D971" i="15"/>
  <c r="D970" i="15"/>
  <c r="B968" i="15"/>
  <c r="B966" i="15"/>
  <c r="D965" i="15"/>
  <c r="D962" i="15"/>
  <c r="B949" i="15"/>
  <c r="B945" i="15"/>
  <c r="B942" i="15"/>
  <c r="D940" i="15"/>
  <c r="B938" i="15"/>
  <c r="B936" i="15"/>
  <c r="D935" i="15"/>
  <c r="D916" i="15"/>
  <c r="D914" i="15"/>
  <c r="C911" i="15"/>
  <c r="B911" i="15"/>
  <c r="D910" i="15"/>
  <c r="D909" i="15"/>
  <c r="C905" i="15"/>
  <c r="B905" i="15"/>
  <c r="D904" i="15"/>
  <c r="D903" i="15"/>
  <c r="D901" i="15"/>
  <c r="D898" i="15"/>
  <c r="B887" i="15"/>
  <c r="B883" i="15"/>
  <c r="C880" i="15"/>
  <c r="B880" i="15"/>
  <c r="D879" i="15"/>
  <c r="D878" i="15"/>
  <c r="B876" i="15"/>
  <c r="B874" i="15"/>
  <c r="D873" i="15"/>
  <c r="D870" i="15"/>
  <c r="B857" i="15"/>
  <c r="B853" i="15"/>
  <c r="C850" i="15"/>
  <c r="B850" i="15"/>
  <c r="D849" i="15"/>
  <c r="D848" i="15"/>
  <c r="B846" i="15"/>
  <c r="B844" i="15"/>
  <c r="D843" i="15"/>
  <c r="D840" i="15"/>
  <c r="B827" i="15"/>
  <c r="B823" i="15"/>
  <c r="C820" i="15"/>
  <c r="B820" i="15"/>
  <c r="D819" i="15"/>
  <c r="D818" i="15"/>
  <c r="B816" i="15"/>
  <c r="B814" i="15"/>
  <c r="D813" i="15"/>
  <c r="D810" i="15"/>
  <c r="B796" i="15"/>
  <c r="C789" i="15"/>
  <c r="D789" i="15" s="1"/>
  <c r="B789" i="15"/>
  <c r="D788" i="15"/>
  <c r="D787" i="15"/>
  <c r="B785" i="15"/>
  <c r="B783" i="15"/>
  <c r="D782" i="15"/>
  <c r="D779" i="15"/>
  <c r="B766" i="15"/>
  <c r="B762" i="15"/>
  <c r="C759" i="15"/>
  <c r="B759" i="15"/>
  <c r="D758" i="15"/>
  <c r="D757" i="15"/>
  <c r="B755" i="15"/>
  <c r="B753" i="15"/>
  <c r="D752" i="15"/>
  <c r="D749" i="15"/>
  <c r="B734" i="15"/>
  <c r="B730" i="15"/>
  <c r="C727" i="15"/>
  <c r="B727" i="15"/>
  <c r="D726" i="15"/>
  <c r="D725" i="15"/>
  <c r="B723" i="15"/>
  <c r="B721" i="15"/>
  <c r="D720" i="15"/>
  <c r="D717" i="15"/>
  <c r="B703" i="15"/>
  <c r="B699" i="15"/>
  <c r="C696" i="15"/>
  <c r="C698" i="15" s="1"/>
  <c r="B696" i="15"/>
  <c r="D695" i="15"/>
  <c r="D694" i="15"/>
  <c r="B692" i="15"/>
  <c r="B690" i="15"/>
  <c r="D689" i="15"/>
  <c r="D686" i="15"/>
  <c r="B672" i="15"/>
  <c r="B668" i="15"/>
  <c r="D668" i="15" s="1"/>
  <c r="C665" i="15"/>
  <c r="B665" i="15"/>
  <c r="D664" i="15"/>
  <c r="D663" i="15"/>
  <c r="B661" i="15"/>
  <c r="B659" i="15"/>
  <c r="D658" i="15"/>
  <c r="D655" i="15"/>
  <c r="B642" i="15"/>
  <c r="B638" i="15"/>
  <c r="D638" i="15" s="1"/>
  <c r="C635" i="15"/>
  <c r="C637" i="15" s="1"/>
  <c r="D637" i="15" s="1"/>
  <c r="B635" i="15"/>
  <c r="D634" i="15"/>
  <c r="D633" i="15"/>
  <c r="B631" i="15"/>
  <c r="B629" i="15"/>
  <c r="D628" i="15"/>
  <c r="D625" i="15"/>
  <c r="B608" i="15"/>
  <c r="C605" i="15"/>
  <c r="C607" i="15" s="1"/>
  <c r="B605" i="15"/>
  <c r="D604" i="15"/>
  <c r="D603" i="15"/>
  <c r="B601" i="15"/>
  <c r="B599" i="15"/>
  <c r="D598" i="15"/>
  <c r="D595" i="15"/>
  <c r="B581" i="15"/>
  <c r="C574" i="15"/>
  <c r="C576" i="15" s="1"/>
  <c r="D576" i="15" s="1"/>
  <c r="B574" i="15"/>
  <c r="B576" i="15" s="1"/>
  <c r="B577" i="15" s="1"/>
  <c r="D573" i="15"/>
  <c r="D572" i="15"/>
  <c r="B570" i="15"/>
  <c r="B568" i="15"/>
  <c r="D567" i="15"/>
  <c r="D564" i="15"/>
  <c r="B551" i="15"/>
  <c r="B547" i="15"/>
  <c r="C544" i="15"/>
  <c r="C546" i="15" s="1"/>
  <c r="B544" i="15"/>
  <c r="D543" i="15"/>
  <c r="D542" i="15"/>
  <c r="B540" i="15"/>
  <c r="B538" i="15"/>
  <c r="D537" i="15"/>
  <c r="D534" i="15"/>
  <c r="B519" i="15"/>
  <c r="B515" i="15"/>
  <c r="C512" i="15"/>
  <c r="C514" i="15" s="1"/>
  <c r="B512" i="15"/>
  <c r="D511" i="15"/>
  <c r="D510" i="15"/>
  <c r="B508" i="15"/>
  <c r="B506" i="15"/>
  <c r="D502" i="15"/>
  <c r="B486" i="15"/>
  <c r="B482" i="15"/>
  <c r="C479" i="15"/>
  <c r="C481" i="15" s="1"/>
  <c r="B479" i="15"/>
  <c r="D478" i="15"/>
  <c r="D477" i="15"/>
  <c r="B475" i="15"/>
  <c r="B473" i="15"/>
  <c r="D469" i="15"/>
  <c r="B455" i="15"/>
  <c r="B451" i="15"/>
  <c r="C448" i="15"/>
  <c r="C450" i="15" s="1"/>
  <c r="B448" i="15"/>
  <c r="D447" i="15"/>
  <c r="D446" i="15"/>
  <c r="B444" i="15"/>
  <c r="B442" i="15"/>
  <c r="D438" i="15"/>
  <c r="B424" i="15"/>
  <c r="B420" i="15"/>
  <c r="C417" i="15"/>
  <c r="C419" i="15" s="1"/>
  <c r="B417" i="15"/>
  <c r="D416" i="15"/>
  <c r="D415" i="15"/>
  <c r="B413" i="15"/>
  <c r="B411" i="15"/>
  <c r="D407" i="15"/>
  <c r="B394" i="15"/>
  <c r="B390" i="15"/>
  <c r="C387" i="15"/>
  <c r="C389" i="15" s="1"/>
  <c r="B387" i="15"/>
  <c r="D386" i="15"/>
  <c r="D385" i="15"/>
  <c r="B383" i="15"/>
  <c r="B381" i="15"/>
  <c r="D377" i="15"/>
  <c r="B364" i="15"/>
  <c r="B360" i="15"/>
  <c r="C357" i="15"/>
  <c r="C359" i="15" s="1"/>
  <c r="B357" i="15"/>
  <c r="D356" i="15"/>
  <c r="D355" i="15"/>
  <c r="B353" i="15"/>
  <c r="B351" i="15"/>
  <c r="D347" i="15"/>
  <c r="B333" i="15"/>
  <c r="B329" i="15"/>
  <c r="C326" i="15"/>
  <c r="C328" i="15" s="1"/>
  <c r="B326" i="15"/>
  <c r="D325" i="15"/>
  <c r="D324" i="15"/>
  <c r="B322" i="15"/>
  <c r="B320" i="15"/>
  <c r="D316" i="15"/>
  <c r="B303" i="15"/>
  <c r="B299" i="15"/>
  <c r="C296" i="15"/>
  <c r="C298" i="15" s="1"/>
  <c r="B296" i="15"/>
  <c r="D295" i="15"/>
  <c r="D294" i="15"/>
  <c r="B292" i="15"/>
  <c r="B290" i="15"/>
  <c r="D286" i="15"/>
  <c r="B271" i="15"/>
  <c r="B267" i="15"/>
  <c r="C264" i="15"/>
  <c r="C266" i="15" s="1"/>
  <c r="D266" i="15" s="1"/>
  <c r="B264" i="15"/>
  <c r="D263" i="15"/>
  <c r="D262" i="15"/>
  <c r="B260" i="15"/>
  <c r="B258" i="15"/>
  <c r="D254" i="15"/>
  <c r="B242" i="15"/>
  <c r="B238" i="15"/>
  <c r="C235" i="15"/>
  <c r="C237" i="15" s="1"/>
  <c r="B235" i="15"/>
  <c r="D234" i="15"/>
  <c r="D233" i="15"/>
  <c r="B231" i="15"/>
  <c r="B229" i="15"/>
  <c r="D225" i="15"/>
  <c r="B211" i="15"/>
  <c r="B207" i="15"/>
  <c r="C204" i="15"/>
  <c r="C206" i="15" s="1"/>
  <c r="D206" i="15" s="1"/>
  <c r="B204" i="15"/>
  <c r="D203" i="15"/>
  <c r="D202" i="15"/>
  <c r="B200" i="15"/>
  <c r="B198" i="15"/>
  <c r="D196" i="15"/>
  <c r="D194" i="15"/>
  <c r="B180" i="15"/>
  <c r="B176" i="15"/>
  <c r="C173" i="15"/>
  <c r="C175" i="15" s="1"/>
  <c r="B173" i="15"/>
  <c r="D172" i="15"/>
  <c r="D171" i="15"/>
  <c r="B169" i="15"/>
  <c r="B167" i="15"/>
  <c r="D163" i="15"/>
  <c r="B150" i="15"/>
  <c r="B146" i="15"/>
  <c r="C143" i="15"/>
  <c r="C145" i="15" s="1"/>
  <c r="B143" i="15"/>
  <c r="D142" i="15"/>
  <c r="D141" i="15"/>
  <c r="B139" i="15"/>
  <c r="B137" i="15"/>
  <c r="D133" i="15"/>
  <c r="B120" i="15"/>
  <c r="B116" i="15"/>
  <c r="D116" i="15" s="1"/>
  <c r="C113" i="15"/>
  <c r="C115" i="15" s="1"/>
  <c r="D115" i="15" s="1"/>
  <c r="B113" i="15"/>
  <c r="D112" i="15"/>
  <c r="D111" i="15"/>
  <c r="B109" i="15"/>
  <c r="B107" i="15"/>
  <c r="D103" i="15"/>
  <c r="D89" i="15"/>
  <c r="B85" i="15"/>
  <c r="C82" i="15"/>
  <c r="C84" i="15" s="1"/>
  <c r="B82" i="15"/>
  <c r="D81" i="15"/>
  <c r="D80" i="15"/>
  <c r="B78" i="15"/>
  <c r="B76" i="15"/>
  <c r="D72" i="15"/>
  <c r="D57" i="15"/>
  <c r="D55" i="15"/>
  <c r="C52" i="15"/>
  <c r="C54" i="15" s="1"/>
  <c r="D54" i="15" s="1"/>
  <c r="B52" i="15"/>
  <c r="D51" i="15"/>
  <c r="D50" i="15"/>
  <c r="B48" i="15"/>
  <c r="B46" i="15"/>
  <c r="D42" i="15"/>
  <c r="D26" i="15"/>
  <c r="D25" i="15"/>
  <c r="B23" i="15"/>
  <c r="D22" i="15"/>
  <c r="C20" i="15"/>
  <c r="B20" i="15"/>
  <c r="D19" i="15"/>
  <c r="D18" i="15"/>
  <c r="C14" i="15"/>
  <c r="B14" i="15"/>
  <c r="D13" i="15"/>
  <c r="D12" i="15"/>
  <c r="D10" i="15"/>
  <c r="G788" i="10"/>
  <c r="F788" i="10"/>
  <c r="I788" i="10" s="1"/>
  <c r="G787" i="10"/>
  <c r="F787" i="10"/>
  <c r="D799" i="10"/>
  <c r="I917" i="10"/>
  <c r="G917" i="10"/>
  <c r="H917" i="10" s="1"/>
  <c r="I916" i="10"/>
  <c r="G916" i="10"/>
  <c r="H916" i="10" s="1"/>
  <c r="I915" i="10"/>
  <c r="G915" i="10"/>
  <c r="H915" i="10" s="1"/>
  <c r="I914" i="10"/>
  <c r="G914" i="10"/>
  <c r="H914" i="10" s="1"/>
  <c r="I913" i="10"/>
  <c r="G913" i="10"/>
  <c r="H913" i="10" s="1"/>
  <c r="I912" i="10"/>
  <c r="G912" i="10"/>
  <c r="H912" i="10" s="1"/>
  <c r="C919" i="10"/>
  <c r="C918" i="10"/>
  <c r="C917" i="10"/>
  <c r="C916" i="10"/>
  <c r="C915" i="10"/>
  <c r="C914" i="10"/>
  <c r="C913" i="10"/>
  <c r="C912" i="10"/>
  <c r="C911" i="10"/>
  <c r="G908" i="10"/>
  <c r="G909" i="10"/>
  <c r="G910" i="10"/>
  <c r="C862" i="10"/>
  <c r="C842" i="10"/>
  <c r="C841" i="10"/>
  <c r="C840" i="10"/>
  <c r="C839" i="10"/>
  <c r="C838" i="10"/>
  <c r="C837" i="10"/>
  <c r="C836" i="10"/>
  <c r="I842" i="10"/>
  <c r="G842" i="10"/>
  <c r="H842" i="10" s="1"/>
  <c r="I841" i="10"/>
  <c r="G841" i="10"/>
  <c r="H841" i="10" s="1"/>
  <c r="I840" i="10"/>
  <c r="G840" i="10"/>
  <c r="H840" i="10" s="1"/>
  <c r="I839" i="10"/>
  <c r="G839" i="10"/>
  <c r="H839" i="10" s="1"/>
  <c r="I838" i="10"/>
  <c r="G838" i="10"/>
  <c r="H838" i="10" s="1"/>
  <c r="I837" i="10"/>
  <c r="G837" i="10"/>
  <c r="H837" i="10" s="1"/>
  <c r="I836" i="10"/>
  <c r="G836" i="10"/>
  <c r="H836" i="10" s="1"/>
  <c r="I861" i="10"/>
  <c r="G861" i="10"/>
  <c r="H861" i="10" s="1"/>
  <c r="I860" i="10"/>
  <c r="G860" i="10"/>
  <c r="H860" i="10" s="1"/>
  <c r="I859" i="10"/>
  <c r="G859" i="10"/>
  <c r="H859" i="10" s="1"/>
  <c r="C861" i="10"/>
  <c r="G950" i="10"/>
  <c r="C950" i="10"/>
  <c r="F950" i="10" s="1"/>
  <c r="C414" i="10"/>
  <c r="C413" i="10"/>
  <c r="C412" i="10"/>
  <c r="C411" i="10"/>
  <c r="C410" i="10"/>
  <c r="C409" i="10"/>
  <c r="C408" i="10"/>
  <c r="C407" i="10"/>
  <c r="C406" i="10"/>
  <c r="C405" i="10"/>
  <c r="C404" i="10"/>
  <c r="C403" i="10"/>
  <c r="C402" i="10"/>
  <c r="C401" i="10"/>
  <c r="C400" i="10"/>
  <c r="C399" i="10"/>
  <c r="C398" i="10"/>
  <c r="C397" i="10"/>
  <c r="C396" i="10"/>
  <c r="C395" i="10"/>
  <c r="C415" i="10"/>
  <c r="I413" i="10"/>
  <c r="G413" i="10"/>
  <c r="H413" i="10" s="1"/>
  <c r="I412" i="10"/>
  <c r="G412" i="10"/>
  <c r="H412" i="10" s="1"/>
  <c r="I411" i="10"/>
  <c r="G411" i="10"/>
  <c r="H411" i="10" s="1"/>
  <c r="I410" i="10"/>
  <c r="G410" i="10"/>
  <c r="H410" i="10" s="1"/>
  <c r="I409" i="10"/>
  <c r="G409" i="10"/>
  <c r="H409" i="10" s="1"/>
  <c r="I408" i="10"/>
  <c r="G408" i="10"/>
  <c r="H408" i="10" s="1"/>
  <c r="I407" i="10"/>
  <c r="G407" i="10"/>
  <c r="H407" i="10" s="1"/>
  <c r="I406" i="10"/>
  <c r="G406" i="10"/>
  <c r="H406" i="10" s="1"/>
  <c r="I403" i="10"/>
  <c r="G403" i="10"/>
  <c r="H403" i="10" s="1"/>
  <c r="I402" i="10"/>
  <c r="G402" i="10"/>
  <c r="H402" i="10" s="1"/>
  <c r="I401" i="10"/>
  <c r="G401" i="10"/>
  <c r="H401" i="10" s="1"/>
  <c r="I400" i="10"/>
  <c r="G400" i="10"/>
  <c r="H400" i="10" s="1"/>
  <c r="I399" i="10"/>
  <c r="G399" i="10"/>
  <c r="H399" i="10" s="1"/>
  <c r="I398" i="10"/>
  <c r="G398" i="10"/>
  <c r="H398" i="10" s="1"/>
  <c r="I397" i="10"/>
  <c r="G397" i="10"/>
  <c r="H397" i="10" s="1"/>
  <c r="I396" i="10"/>
  <c r="G396" i="10"/>
  <c r="H396" i="10" s="1"/>
  <c r="I395" i="10"/>
  <c r="G395" i="10"/>
  <c r="H395" i="10" s="1"/>
  <c r="I394" i="10"/>
  <c r="G394" i="10"/>
  <c r="H394" i="10" s="1"/>
  <c r="I288" i="10"/>
  <c r="G288" i="10"/>
  <c r="H288" i="10" s="1"/>
  <c r="E15" i="11" l="1"/>
  <c r="C45" i="15" s="1"/>
  <c r="D45" i="15" s="1"/>
  <c r="F47" i="2"/>
  <c r="D52" i="13"/>
  <c r="E65" i="2"/>
  <c r="M65" i="2" s="1"/>
  <c r="C1026" i="15"/>
  <c r="C1021" i="15"/>
  <c r="E64" i="2"/>
  <c r="M64" i="2" s="1"/>
  <c r="I64" i="3"/>
  <c r="H787" i="10"/>
  <c r="D84" i="15"/>
  <c r="D359" i="15"/>
  <c r="D1072" i="15"/>
  <c r="D145" i="15"/>
  <c r="D298" i="15"/>
  <c r="D389" i="15"/>
  <c r="D450" i="15"/>
  <c r="D481" i="15"/>
  <c r="D514" i="15"/>
  <c r="D175" i="15"/>
  <c r="D237" i="15"/>
  <c r="D328" i="15"/>
  <c r="D419" i="15"/>
  <c r="D546" i="15"/>
  <c r="D607" i="15"/>
  <c r="D665" i="15"/>
  <c r="C667" i="15"/>
  <c r="D667" i="15" s="1"/>
  <c r="D698" i="15"/>
  <c r="D727" i="15"/>
  <c r="C729" i="15"/>
  <c r="D635" i="15"/>
  <c r="D696" i="15"/>
  <c r="D759" i="15"/>
  <c r="D52" i="15"/>
  <c r="D82" i="15"/>
  <c r="D905" i="15"/>
  <c r="D113" i="15"/>
  <c r="D143" i="15"/>
  <c r="D173" i="15"/>
  <c r="D204" i="15"/>
  <c r="D235" i="15"/>
  <c r="D264" i="15"/>
  <c r="D296" i="15"/>
  <c r="D326" i="15"/>
  <c r="D357" i="15"/>
  <c r="D387" i="15"/>
  <c r="D417" i="15"/>
  <c r="D448" i="15"/>
  <c r="D479" i="15"/>
  <c r="D512" i="15"/>
  <c r="D544" i="15"/>
  <c r="D574" i="15"/>
  <c r="D605" i="15"/>
  <c r="D14" i="15"/>
  <c r="D20" i="15"/>
  <c r="D820" i="15"/>
  <c r="D850" i="15"/>
  <c r="D880" i="15"/>
  <c r="D911" i="15"/>
  <c r="D972" i="15"/>
  <c r="D1103" i="15"/>
  <c r="D942" i="15"/>
  <c r="D941" i="15"/>
  <c r="D1003" i="15"/>
  <c r="D1073" i="15"/>
  <c r="I787" i="10"/>
  <c r="H788" i="10"/>
  <c r="I950" i="10"/>
  <c r="H950" i="10"/>
  <c r="C1030" i="15" l="1"/>
  <c r="D1021" i="15"/>
  <c r="C1037" i="15"/>
  <c r="D1037" i="15" s="1"/>
  <c r="D1026" i="15"/>
  <c r="C1028" i="15"/>
  <c r="D1028" i="15" s="1"/>
  <c r="D729" i="15"/>
  <c r="C288" i="10"/>
  <c r="D290" i="10"/>
  <c r="I287" i="10"/>
  <c r="G287" i="10"/>
  <c r="H287" i="10" s="1"/>
  <c r="C287" i="10"/>
  <c r="C286" i="10"/>
  <c r="C285" i="10"/>
  <c r="C284" i="10"/>
  <c r="C283" i="10"/>
  <c r="C282" i="10"/>
  <c r="C281" i="10"/>
  <c r="C280" i="10"/>
  <c r="C279" i="10"/>
  <c r="C278" i="10"/>
  <c r="C277" i="10"/>
  <c r="C289" i="10"/>
  <c r="I277" i="10"/>
  <c r="G277" i="10"/>
  <c r="H277" i="10" s="1"/>
  <c r="I276" i="10"/>
  <c r="G276" i="10"/>
  <c r="H276" i="10" s="1"/>
  <c r="I275" i="10"/>
  <c r="G275" i="10"/>
  <c r="H275" i="10" s="1"/>
  <c r="I274" i="10"/>
  <c r="G274" i="10"/>
  <c r="H274" i="10" s="1"/>
  <c r="I273" i="10"/>
  <c r="G273" i="10"/>
  <c r="H273" i="10" s="1"/>
  <c r="I272" i="10"/>
  <c r="G272" i="10"/>
  <c r="H272" i="10" s="1"/>
  <c r="I271" i="10"/>
  <c r="G271" i="10"/>
  <c r="H271" i="10" s="1"/>
  <c r="I270" i="10"/>
  <c r="G270" i="10"/>
  <c r="H270" i="10" s="1"/>
  <c r="I269" i="10"/>
  <c r="G269" i="10"/>
  <c r="H269" i="10" s="1"/>
  <c r="I268" i="10"/>
  <c r="G268" i="10"/>
  <c r="H268" i="10" s="1"/>
  <c r="I188" i="10"/>
  <c r="G188" i="10"/>
  <c r="H188" i="10" s="1"/>
  <c r="I187" i="10"/>
  <c r="G187" i="10"/>
  <c r="H187" i="10" s="1"/>
  <c r="I186" i="10"/>
  <c r="G186" i="10"/>
  <c r="H186" i="10" s="1"/>
  <c r="I185" i="10"/>
  <c r="G185" i="10"/>
  <c r="H185" i="10" s="1"/>
  <c r="C188" i="10"/>
  <c r="C187" i="10"/>
  <c r="C186" i="10"/>
  <c r="C185" i="10"/>
  <c r="I184" i="10"/>
  <c r="G184" i="10"/>
  <c r="H184" i="10" s="1"/>
  <c r="I183" i="10"/>
  <c r="G183" i="10"/>
  <c r="H183" i="10" s="1"/>
  <c r="D227" i="10"/>
  <c r="D231" i="10"/>
  <c r="D1005" i="15"/>
  <c r="U46" i="3"/>
  <c r="U45" i="3"/>
  <c r="U44" i="3"/>
  <c r="U43" i="3"/>
  <c r="U42" i="3"/>
  <c r="U30" i="3"/>
  <c r="Q59" i="3"/>
  <c r="U59" i="3" s="1"/>
  <c r="Q58" i="3"/>
  <c r="U58" i="3" s="1"/>
  <c r="Q57" i="3"/>
  <c r="U57" i="3" s="1"/>
  <c r="Q56" i="3"/>
  <c r="U56" i="3" s="1"/>
  <c r="Q55" i="3"/>
  <c r="U55" i="3" s="1"/>
  <c r="Q54" i="3"/>
  <c r="U54" i="3" s="1"/>
  <c r="Q41" i="3"/>
  <c r="U41" i="3" s="1"/>
  <c r="Q40" i="3"/>
  <c r="U40" i="3" s="1"/>
  <c r="Q39" i="3"/>
  <c r="U39" i="3" s="1"/>
  <c r="Q38" i="3"/>
  <c r="U38" i="3" s="1"/>
  <c r="Q53" i="3"/>
  <c r="U53" i="3" s="1"/>
  <c r="Q52" i="3"/>
  <c r="U52" i="3" s="1"/>
  <c r="Q51" i="3"/>
  <c r="U51" i="3" s="1"/>
  <c r="Q50" i="3"/>
  <c r="U50" i="3" s="1"/>
  <c r="Q49" i="3"/>
  <c r="U49" i="3" s="1"/>
  <c r="Q47" i="3"/>
  <c r="U47" i="3" s="1"/>
  <c r="F50" i="13"/>
  <c r="H63" i="2" s="1"/>
  <c r="I64" i="2" s="1"/>
  <c r="N64" i="2" s="1"/>
  <c r="F52" i="13"/>
  <c r="H65" i="2" s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38" i="1"/>
  <c r="U39" i="1"/>
  <c r="U40" i="1"/>
  <c r="U41" i="1"/>
  <c r="D1075" i="15" l="1"/>
  <c r="I758" i="10"/>
  <c r="G758" i="10"/>
  <c r="H758" i="10" s="1"/>
  <c r="I757" i="10"/>
  <c r="G757" i="10"/>
  <c r="H757" i="10" s="1"/>
  <c r="I756" i="10"/>
  <c r="G756" i="10"/>
  <c r="H756" i="10" s="1"/>
  <c r="I755" i="10"/>
  <c r="G755" i="10"/>
  <c r="H755" i="10" s="1"/>
  <c r="I754" i="10"/>
  <c r="G754" i="10"/>
  <c r="H754" i="10" s="1"/>
  <c r="I753" i="10"/>
  <c r="G753" i="10"/>
  <c r="H753" i="10" s="1"/>
  <c r="I752" i="10"/>
  <c r="G752" i="10"/>
  <c r="H752" i="10" s="1"/>
  <c r="I751" i="10"/>
  <c r="G751" i="10"/>
  <c r="H751" i="10" s="1"/>
  <c r="I750" i="10"/>
  <c r="G750" i="10"/>
  <c r="H750" i="10" s="1"/>
  <c r="I749" i="10"/>
  <c r="G749" i="10"/>
  <c r="H749" i="10" s="1"/>
  <c r="I748" i="10"/>
  <c r="G748" i="10"/>
  <c r="H748" i="10" s="1"/>
  <c r="I747" i="10"/>
  <c r="G747" i="10"/>
  <c r="H747" i="10" s="1"/>
  <c r="I746" i="10"/>
  <c r="G746" i="10"/>
  <c r="H746" i="10" s="1"/>
  <c r="I745" i="10"/>
  <c r="G745" i="10"/>
  <c r="H745" i="10" s="1"/>
  <c r="I744" i="10"/>
  <c r="G744" i="10"/>
  <c r="H744" i="10" s="1"/>
  <c r="I743" i="10"/>
  <c r="G743" i="10"/>
  <c r="H743" i="10" s="1"/>
  <c r="I742" i="10"/>
  <c r="G742" i="10"/>
  <c r="H742" i="10" s="1"/>
  <c r="I741" i="10"/>
  <c r="G741" i="10"/>
  <c r="H741" i="10" s="1"/>
  <c r="I740" i="10"/>
  <c r="G740" i="10"/>
  <c r="H740" i="10" s="1"/>
  <c r="I739" i="10"/>
  <c r="G739" i="10"/>
  <c r="H739" i="10" s="1"/>
  <c r="I738" i="10"/>
  <c r="G738" i="10"/>
  <c r="H738" i="10" s="1"/>
  <c r="I737" i="10"/>
  <c r="G737" i="10"/>
  <c r="H737" i="10" s="1"/>
  <c r="I736" i="10"/>
  <c r="G736" i="10"/>
  <c r="H736" i="10" s="1"/>
  <c r="I735" i="10"/>
  <c r="G735" i="10"/>
  <c r="H735" i="10" s="1"/>
  <c r="I734" i="10"/>
  <c r="G734" i="10"/>
  <c r="H734" i="10" s="1"/>
  <c r="I733" i="10"/>
  <c r="G733" i="10"/>
  <c r="H733" i="10" s="1"/>
  <c r="I732" i="10"/>
  <c r="G732" i="10"/>
  <c r="H732" i="10" s="1"/>
  <c r="I731" i="10"/>
  <c r="G731" i="10"/>
  <c r="H731" i="10" s="1"/>
  <c r="I730" i="10"/>
  <c r="G730" i="10"/>
  <c r="H730" i="10" s="1"/>
  <c r="I729" i="10"/>
  <c r="G729" i="10"/>
  <c r="H729" i="10" s="1"/>
  <c r="I728" i="10"/>
  <c r="G728" i="10"/>
  <c r="H728" i="10" s="1"/>
  <c r="I727" i="10"/>
  <c r="G727" i="10"/>
  <c r="H727" i="10" s="1"/>
  <c r="I726" i="10"/>
  <c r="G726" i="10"/>
  <c r="H726" i="10" s="1"/>
  <c r="I725" i="10"/>
  <c r="G725" i="10"/>
  <c r="H725" i="10" s="1"/>
  <c r="C758" i="10"/>
  <c r="C757" i="10"/>
  <c r="C756" i="10"/>
  <c r="C755" i="10"/>
  <c r="C754" i="10"/>
  <c r="C753" i="10"/>
  <c r="C752" i="10"/>
  <c r="C751" i="10"/>
  <c r="C750" i="10"/>
  <c r="C749" i="10"/>
  <c r="C748" i="10"/>
  <c r="C747" i="10"/>
  <c r="C746" i="10"/>
  <c r="C745" i="10"/>
  <c r="C744" i="10"/>
  <c r="C743" i="10"/>
  <c r="C742" i="10"/>
  <c r="C741" i="10"/>
  <c r="C740" i="10"/>
  <c r="C739" i="10"/>
  <c r="C738" i="10"/>
  <c r="C737" i="10"/>
  <c r="C736" i="10"/>
  <c r="C735" i="10"/>
  <c r="C734" i="10"/>
  <c r="C733" i="10"/>
  <c r="C732" i="10"/>
  <c r="C731" i="10"/>
  <c r="C730" i="10"/>
  <c r="C729" i="10"/>
  <c r="C728" i="10"/>
  <c r="C727" i="10"/>
  <c r="C726" i="10"/>
  <c r="C725" i="10"/>
  <c r="D759" i="10"/>
  <c r="G68" i="11" l="1"/>
  <c r="G66" i="11"/>
  <c r="L68" i="11"/>
  <c r="L66" i="11"/>
  <c r="F66" i="11"/>
  <c r="I663" i="10"/>
  <c r="G663" i="10"/>
  <c r="H663" i="10" s="1"/>
  <c r="I499" i="10"/>
  <c r="G499" i="10"/>
  <c r="H499" i="10" s="1"/>
  <c r="I498" i="10"/>
  <c r="G498" i="10"/>
  <c r="H498" i="10" s="1"/>
  <c r="I497" i="10"/>
  <c r="G497" i="10"/>
  <c r="H497" i="10" s="1"/>
  <c r="I496" i="10"/>
  <c r="G496" i="10"/>
  <c r="H496" i="10" s="1"/>
  <c r="I495" i="10"/>
  <c r="G495" i="10"/>
  <c r="H495" i="10" s="1"/>
  <c r="G476" i="10"/>
  <c r="G477" i="10"/>
  <c r="G478" i="10"/>
  <c r="G479" i="10"/>
  <c r="G480" i="10"/>
  <c r="G481" i="10"/>
  <c r="G482" i="10"/>
  <c r="G483" i="10"/>
  <c r="G484" i="10"/>
  <c r="G485" i="10"/>
  <c r="G486" i="10"/>
  <c r="G487" i="10"/>
  <c r="G488" i="10"/>
  <c r="G489" i="10"/>
  <c r="G490" i="10"/>
  <c r="G491" i="10"/>
  <c r="G492" i="10"/>
  <c r="G493" i="10"/>
  <c r="G494" i="10"/>
  <c r="I415" i="10"/>
  <c r="G415" i="10"/>
  <c r="H415" i="10" s="1"/>
  <c r="D323" i="10"/>
  <c r="I229" i="10"/>
  <c r="G229" i="10"/>
  <c r="H229" i="10" s="1"/>
  <c r="D1026" i="10"/>
  <c r="G1029" i="10"/>
  <c r="H1029" i="10" s="1"/>
  <c r="G1028" i="10"/>
  <c r="H1028" i="10" s="1"/>
  <c r="I1029" i="10"/>
  <c r="I1028" i="10"/>
  <c r="I1027" i="10"/>
  <c r="I1030" i="10" s="1"/>
  <c r="J1030" i="10" s="1"/>
  <c r="M68" i="11" s="1"/>
  <c r="C1078" i="15" s="1"/>
  <c r="G1027" i="10"/>
  <c r="G1025" i="10"/>
  <c r="H1025" i="10" s="1"/>
  <c r="G1024" i="10"/>
  <c r="H1024" i="10" s="1"/>
  <c r="I1025" i="10"/>
  <c r="I1024" i="10"/>
  <c r="I1023" i="10"/>
  <c r="G1023" i="10"/>
  <c r="H1023" i="10" s="1"/>
  <c r="I901" i="10"/>
  <c r="G901" i="10"/>
  <c r="H901" i="10" s="1"/>
  <c r="I900" i="10"/>
  <c r="G900" i="10"/>
  <c r="H900" i="10" s="1"/>
  <c r="I899" i="10"/>
  <c r="G899" i="10"/>
  <c r="H899" i="10" s="1"/>
  <c r="I898" i="10"/>
  <c r="G898" i="10"/>
  <c r="H898" i="10" s="1"/>
  <c r="I897" i="10"/>
  <c r="G897" i="10"/>
  <c r="H897" i="10" s="1"/>
  <c r="I896" i="10"/>
  <c r="G896" i="10"/>
  <c r="H896" i="10" s="1"/>
  <c r="I764" i="10"/>
  <c r="G764" i="10"/>
  <c r="H764" i="10" s="1"/>
  <c r="I763" i="10"/>
  <c r="G763" i="10"/>
  <c r="H763" i="10" s="1"/>
  <c r="I762" i="10"/>
  <c r="G762" i="10"/>
  <c r="H762" i="10" s="1"/>
  <c r="C774" i="10"/>
  <c r="C773" i="10"/>
  <c r="F773" i="10" s="1"/>
  <c r="I773" i="10" s="1"/>
  <c r="C772" i="10"/>
  <c r="F772" i="10" s="1"/>
  <c r="I772" i="10" s="1"/>
  <c r="C771" i="10"/>
  <c r="F771" i="10" s="1"/>
  <c r="I771" i="10" s="1"/>
  <c r="C770" i="10"/>
  <c r="F770" i="10" s="1"/>
  <c r="I770" i="10" s="1"/>
  <c r="G774" i="10"/>
  <c r="F774" i="10"/>
  <c r="I774" i="10" s="1"/>
  <c r="G773" i="10"/>
  <c r="G772" i="10"/>
  <c r="G771" i="10"/>
  <c r="G770" i="10"/>
  <c r="G789" i="10"/>
  <c r="C789" i="10"/>
  <c r="F789" i="10" s="1"/>
  <c r="I789" i="10" s="1"/>
  <c r="C809" i="10"/>
  <c r="G809" i="10"/>
  <c r="F809" i="10"/>
  <c r="I809" i="10" s="1"/>
  <c r="H943" i="10"/>
  <c r="C943" i="10"/>
  <c r="G942" i="10"/>
  <c r="H942" i="10" s="1"/>
  <c r="I942" i="10"/>
  <c r="G941" i="10"/>
  <c r="H941" i="10" s="1"/>
  <c r="I941" i="10"/>
  <c r="G940" i="10"/>
  <c r="G939" i="10"/>
  <c r="G938" i="10"/>
  <c r="G937" i="10"/>
  <c r="G936" i="10"/>
  <c r="G935" i="10"/>
  <c r="G934" i="10"/>
  <c r="C940" i="10"/>
  <c r="F940" i="10" s="1"/>
  <c r="I940" i="10" s="1"/>
  <c r="C939" i="10"/>
  <c r="F939" i="10" s="1"/>
  <c r="I939" i="10" s="1"/>
  <c r="C938" i="10"/>
  <c r="F938" i="10" s="1"/>
  <c r="I938" i="10" s="1"/>
  <c r="C937" i="10"/>
  <c r="F937" i="10" s="1"/>
  <c r="I937" i="10" s="1"/>
  <c r="C936" i="10"/>
  <c r="F936" i="10" s="1"/>
  <c r="I936" i="10" s="1"/>
  <c r="C935" i="10"/>
  <c r="F935" i="10" s="1"/>
  <c r="I935" i="10" s="1"/>
  <c r="C934" i="10"/>
  <c r="F934" i="10" s="1"/>
  <c r="I934" i="10" s="1"/>
  <c r="C933" i="10"/>
  <c r="C1029" i="10"/>
  <c r="C1028" i="10"/>
  <c r="C1027" i="10"/>
  <c r="C1025" i="10"/>
  <c r="C1024" i="10"/>
  <c r="C1023" i="10"/>
  <c r="G17" i="10"/>
  <c r="G16" i="10"/>
  <c r="G15" i="10"/>
  <c r="G14" i="10"/>
  <c r="G13" i="10"/>
  <c r="G12" i="10"/>
  <c r="G11" i="10"/>
  <c r="G10" i="10"/>
  <c r="G9" i="10"/>
  <c r="C15" i="10"/>
  <c r="F15" i="10" s="1"/>
  <c r="I15" i="10" s="1"/>
  <c r="C14" i="10"/>
  <c r="F14" i="10" s="1"/>
  <c r="I14" i="10" s="1"/>
  <c r="C13" i="10"/>
  <c r="F13" i="10" s="1"/>
  <c r="I13" i="10" s="1"/>
  <c r="C12" i="10"/>
  <c r="F12" i="10" s="1"/>
  <c r="I12" i="10" s="1"/>
  <c r="C11" i="10"/>
  <c r="F11" i="10" s="1"/>
  <c r="I11" i="10" s="1"/>
  <c r="C10" i="10"/>
  <c r="F10" i="10" s="1"/>
  <c r="I10" i="10" s="1"/>
  <c r="C9" i="10"/>
  <c r="F9" i="10" s="1"/>
  <c r="I9" i="10" s="1"/>
  <c r="C8" i="10"/>
  <c r="C1017" i="10"/>
  <c r="C1016" i="10"/>
  <c r="C1015" i="10"/>
  <c r="F1015" i="10" s="1"/>
  <c r="C1014" i="10"/>
  <c r="F1014" i="10" s="1"/>
  <c r="C1013" i="10"/>
  <c r="F1013" i="10" s="1"/>
  <c r="C1012" i="10"/>
  <c r="F1012" i="10" s="1"/>
  <c r="C1011" i="10"/>
  <c r="F1011" i="10" s="1"/>
  <c r="C1010" i="10"/>
  <c r="F1010" i="10" s="1"/>
  <c r="C1009" i="10"/>
  <c r="F1009" i="10" s="1"/>
  <c r="C1008" i="10"/>
  <c r="F1008" i="10" s="1"/>
  <c r="C1007" i="10"/>
  <c r="F1007" i="10" s="1"/>
  <c r="C1006" i="10"/>
  <c r="F1006" i="10" s="1"/>
  <c r="C1005" i="10"/>
  <c r="F1005" i="10" s="1"/>
  <c r="C1004" i="10"/>
  <c r="F1004" i="10" s="1"/>
  <c r="C1003" i="10"/>
  <c r="F1003" i="10" s="1"/>
  <c r="C1002" i="10"/>
  <c r="F1002" i="10" s="1"/>
  <c r="C1001" i="10"/>
  <c r="F1001" i="10" s="1"/>
  <c r="C999" i="10"/>
  <c r="C998" i="10"/>
  <c r="C997" i="10"/>
  <c r="C996" i="10"/>
  <c r="C995" i="10"/>
  <c r="C994" i="10"/>
  <c r="F994" i="10" s="1"/>
  <c r="C993" i="10"/>
  <c r="F993" i="10" s="1"/>
  <c r="C992" i="10"/>
  <c r="F992" i="10" s="1"/>
  <c r="C991" i="10"/>
  <c r="F991" i="10" s="1"/>
  <c r="C990" i="10"/>
  <c r="F990" i="10" s="1"/>
  <c r="C989" i="10"/>
  <c r="F989" i="10" s="1"/>
  <c r="C988" i="10"/>
  <c r="F988" i="10" s="1"/>
  <c r="C952" i="10"/>
  <c r="C951" i="10"/>
  <c r="F951" i="10" s="1"/>
  <c r="C949" i="10"/>
  <c r="F949" i="10" s="1"/>
  <c r="C948" i="10"/>
  <c r="F948" i="10" s="1"/>
  <c r="C947" i="10"/>
  <c r="F947" i="10" s="1"/>
  <c r="C946" i="10"/>
  <c r="F946" i="10" s="1"/>
  <c r="C945" i="10"/>
  <c r="F945" i="10" s="1"/>
  <c r="C942" i="10"/>
  <c r="C941" i="10"/>
  <c r="F933" i="10"/>
  <c r="C932" i="10"/>
  <c r="F932" i="10" s="1"/>
  <c r="C931" i="10"/>
  <c r="F931" i="10" s="1"/>
  <c r="C930" i="10"/>
  <c r="F930" i="10" s="1"/>
  <c r="C929" i="10"/>
  <c r="F929" i="10" s="1"/>
  <c r="C928" i="10"/>
  <c r="F928" i="10" s="1"/>
  <c r="C927" i="10"/>
  <c r="F927" i="10" s="1"/>
  <c r="C926" i="10"/>
  <c r="F926" i="10" s="1"/>
  <c r="C925" i="10"/>
  <c r="F925" i="10" s="1"/>
  <c r="C924" i="10"/>
  <c r="F924" i="10" s="1"/>
  <c r="C923" i="10"/>
  <c r="F923" i="10" s="1"/>
  <c r="F922" i="10"/>
  <c r="C921" i="10"/>
  <c r="F921" i="10" s="1"/>
  <c r="C818" i="10"/>
  <c r="C817" i="10"/>
  <c r="C816" i="10"/>
  <c r="C815" i="10"/>
  <c r="C814" i="10"/>
  <c r="C813" i="10"/>
  <c r="C812" i="10"/>
  <c r="C811" i="10"/>
  <c r="F811" i="10" s="1"/>
  <c r="C810" i="10"/>
  <c r="F810" i="10" s="1"/>
  <c r="C808" i="10"/>
  <c r="F808" i="10" s="1"/>
  <c r="C807" i="10"/>
  <c r="F807" i="10" s="1"/>
  <c r="C806" i="10"/>
  <c r="F806" i="10" s="1"/>
  <c r="C805" i="10"/>
  <c r="F805" i="10" s="1"/>
  <c r="C804" i="10"/>
  <c r="F804" i="10" s="1"/>
  <c r="C803" i="10"/>
  <c r="F803" i="10" s="1"/>
  <c r="C802" i="10"/>
  <c r="F802" i="10" s="1"/>
  <c r="C801" i="10"/>
  <c r="F801" i="10" s="1"/>
  <c r="C800" i="10"/>
  <c r="F800" i="10" s="1"/>
  <c r="C798" i="10"/>
  <c r="C797" i="10"/>
  <c r="C796" i="10"/>
  <c r="C795" i="10"/>
  <c r="C794" i="10"/>
  <c r="F794" i="10" s="1"/>
  <c r="C793" i="10"/>
  <c r="F793" i="10" s="1"/>
  <c r="C792" i="10"/>
  <c r="F792" i="10" s="1"/>
  <c r="C791" i="10"/>
  <c r="F791" i="10" s="1"/>
  <c r="C790" i="10"/>
  <c r="F790" i="10" s="1"/>
  <c r="C786" i="10"/>
  <c r="F786" i="10" s="1"/>
  <c r="C784" i="10"/>
  <c r="C783" i="10"/>
  <c r="C782" i="10"/>
  <c r="C781" i="10"/>
  <c r="F781" i="10" s="1"/>
  <c r="C780" i="10"/>
  <c r="F780" i="10" s="1"/>
  <c r="C779" i="10"/>
  <c r="F779" i="10" s="1"/>
  <c r="C778" i="10"/>
  <c r="F778" i="10" s="1"/>
  <c r="C777" i="10"/>
  <c r="F777" i="10" s="1"/>
  <c r="C776" i="10"/>
  <c r="F776" i="10" s="1"/>
  <c r="C775" i="10"/>
  <c r="F775" i="10" s="1"/>
  <c r="C769" i="10"/>
  <c r="F769" i="10" s="1"/>
  <c r="C768" i="10"/>
  <c r="F768" i="10" s="1"/>
  <c r="C500" i="10"/>
  <c r="C66" i="10"/>
  <c r="F66" i="10" s="1"/>
  <c r="C65" i="10"/>
  <c r="F65" i="10" s="1"/>
  <c r="C64" i="10"/>
  <c r="F64" i="10" s="1"/>
  <c r="C63" i="10"/>
  <c r="F63" i="10" s="1"/>
  <c r="C62" i="10"/>
  <c r="F62" i="10" s="1"/>
  <c r="C61" i="10"/>
  <c r="F61" i="10" s="1"/>
  <c r="C60" i="10"/>
  <c r="F60" i="10" s="1"/>
  <c r="C59" i="10"/>
  <c r="F59" i="10" s="1"/>
  <c r="C58" i="10"/>
  <c r="F58" i="10" s="1"/>
  <c r="C57" i="10"/>
  <c r="F57" i="10" s="1"/>
  <c r="C56" i="10"/>
  <c r="F56" i="10" s="1"/>
  <c r="C55" i="10"/>
  <c r="F55" i="10" s="1"/>
  <c r="C54" i="10"/>
  <c r="F54" i="10" s="1"/>
  <c r="C53" i="10"/>
  <c r="F53" i="10" s="1"/>
  <c r="C52" i="10"/>
  <c r="F52" i="10" s="1"/>
  <c r="C51" i="10"/>
  <c r="F51" i="10" s="1"/>
  <c r="C50" i="10"/>
  <c r="F50" i="10" s="1"/>
  <c r="C49" i="10"/>
  <c r="F49" i="10" s="1"/>
  <c r="C48" i="10"/>
  <c r="F48" i="10" s="1"/>
  <c r="C47" i="10"/>
  <c r="F47" i="10" s="1"/>
  <c r="C46" i="10"/>
  <c r="F46" i="10" s="1"/>
  <c r="C45" i="10"/>
  <c r="F45" i="10" s="1"/>
  <c r="C44" i="10"/>
  <c r="F44" i="10" s="1"/>
  <c r="C43" i="10"/>
  <c r="F43" i="10" s="1"/>
  <c r="C42" i="10"/>
  <c r="F42" i="10" s="1"/>
  <c r="C41" i="10"/>
  <c r="F41" i="10" s="1"/>
  <c r="C40" i="10"/>
  <c r="F40" i="10" s="1"/>
  <c r="C39" i="10"/>
  <c r="F39" i="10" s="1"/>
  <c r="C38" i="10"/>
  <c r="F38" i="10" s="1"/>
  <c r="C37" i="10"/>
  <c r="F37" i="10" s="1"/>
  <c r="C36" i="10"/>
  <c r="F36" i="10" s="1"/>
  <c r="C35" i="10"/>
  <c r="F35" i="10" s="1"/>
  <c r="C34" i="10"/>
  <c r="F34" i="10" s="1"/>
  <c r="C33" i="10"/>
  <c r="F33" i="10" s="1"/>
  <c r="C32" i="10"/>
  <c r="F32" i="10" s="1"/>
  <c r="C31" i="10"/>
  <c r="F31" i="10" s="1"/>
  <c r="C30" i="10"/>
  <c r="F30" i="10" s="1"/>
  <c r="C28" i="10"/>
  <c r="C27" i="10"/>
  <c r="C26" i="10"/>
  <c r="C25" i="10"/>
  <c r="C24" i="10"/>
  <c r="C23" i="10"/>
  <c r="C22" i="10"/>
  <c r="C21" i="10"/>
  <c r="C20" i="10"/>
  <c r="C19" i="10"/>
  <c r="C18" i="10"/>
  <c r="C17" i="10"/>
  <c r="F17" i="10" s="1"/>
  <c r="I17" i="10" s="1"/>
  <c r="C16" i="10"/>
  <c r="F16" i="10" s="1"/>
  <c r="I16" i="10" s="1"/>
  <c r="C7" i="10"/>
  <c r="C6" i="10"/>
  <c r="C4" i="10"/>
  <c r="C3" i="10"/>
  <c r="C2" i="10"/>
  <c r="P20" i="1"/>
  <c r="D66" i="11" l="1"/>
  <c r="E63" i="3"/>
  <c r="C990" i="15"/>
  <c r="D50" i="13"/>
  <c r="A50" i="13"/>
  <c r="A65" i="16"/>
  <c r="A52" i="13"/>
  <c r="A67" i="16"/>
  <c r="C1060" i="15"/>
  <c r="D1060" i="15"/>
  <c r="C1076" i="15"/>
  <c r="D1076" i="15" s="1"/>
  <c r="C1006" i="15"/>
  <c r="D1006" i="15" s="1"/>
  <c r="D990" i="15"/>
  <c r="C999" i="15"/>
  <c r="A65" i="3"/>
  <c r="A63" i="3"/>
  <c r="H938" i="10"/>
  <c r="H940" i="10"/>
  <c r="I68" i="11"/>
  <c r="I66" i="11"/>
  <c r="H1026" i="10"/>
  <c r="H65" i="16" s="1"/>
  <c r="J1037" i="10"/>
  <c r="I1026" i="10"/>
  <c r="J1026" i="10" s="1"/>
  <c r="M66" i="11" s="1"/>
  <c r="C1008" i="15" s="1"/>
  <c r="D1008" i="15" s="1"/>
  <c r="F68" i="11"/>
  <c r="F71" i="11" s="1"/>
  <c r="H935" i="10"/>
  <c r="H937" i="10"/>
  <c r="H1027" i="10"/>
  <c r="H1030" i="10" s="1"/>
  <c r="H770" i="10"/>
  <c r="H771" i="10"/>
  <c r="H772" i="10"/>
  <c r="H773" i="10"/>
  <c r="H774" i="10"/>
  <c r="H789" i="10"/>
  <c r="H809" i="10"/>
  <c r="H936" i="10"/>
  <c r="H934" i="10"/>
  <c r="H939" i="10"/>
  <c r="H9" i="10"/>
  <c r="H10" i="10"/>
  <c r="H11" i="10"/>
  <c r="H12" i="10"/>
  <c r="H13" i="10"/>
  <c r="H14" i="10"/>
  <c r="H15" i="10"/>
  <c r="H16" i="10"/>
  <c r="H17" i="10"/>
  <c r="L20" i="2"/>
  <c r="C1105" i="15" s="1"/>
  <c r="D1105" i="15" s="1"/>
  <c r="H20" i="2"/>
  <c r="E60" i="11"/>
  <c r="H65" i="3" l="1"/>
  <c r="I65" i="3" s="1"/>
  <c r="H67" i="16"/>
  <c r="C1066" i="15" s="1"/>
  <c r="J65" i="16"/>
  <c r="H68" i="16"/>
  <c r="E63" i="2"/>
  <c r="M63" i="2" s="1"/>
  <c r="G63" i="3"/>
  <c r="V63" i="1" s="1"/>
  <c r="K66" i="11"/>
  <c r="A63" i="2"/>
  <c r="M63" i="3"/>
  <c r="A65" i="2"/>
  <c r="M65" i="3"/>
  <c r="D1078" i="15"/>
  <c r="H63" i="3"/>
  <c r="C995" i="15"/>
  <c r="S65" i="1"/>
  <c r="T65" i="1" s="1"/>
  <c r="I63" i="3"/>
  <c r="O66" i="11"/>
  <c r="Q66" i="11" s="1"/>
  <c r="C1009" i="15" s="1"/>
  <c r="S63" i="1"/>
  <c r="T63" i="1" s="1"/>
  <c r="H50" i="13"/>
  <c r="H52" i="13"/>
  <c r="I65" i="2"/>
  <c r="N65" i="2" s="1"/>
  <c r="G25" i="11"/>
  <c r="F21" i="13"/>
  <c r="A21" i="13"/>
  <c r="C21" i="13"/>
  <c r="K63" i="3" l="1"/>
  <c r="J63" i="3"/>
  <c r="C997" i="15"/>
  <c r="D997" i="15" s="1"/>
  <c r="D995" i="15"/>
  <c r="D1065" i="15"/>
  <c r="D1009" i="15"/>
  <c r="C1010" i="15"/>
  <c r="D1010" i="15" s="1"/>
  <c r="I63" i="2"/>
  <c r="N63" i="2" s="1"/>
  <c r="W63" i="1"/>
  <c r="X63" i="1" s="1"/>
  <c r="Z63" i="1" s="1"/>
  <c r="J50" i="13"/>
  <c r="L50" i="13" s="1"/>
  <c r="M20" i="3"/>
  <c r="C20" i="3"/>
  <c r="D25" i="11"/>
  <c r="I230" i="10"/>
  <c r="I231" i="10" s="1"/>
  <c r="G230" i="10"/>
  <c r="H230" i="10" s="1"/>
  <c r="H231" i="10" s="1"/>
  <c r="H24" i="16" s="1"/>
  <c r="I197" i="10"/>
  <c r="G197" i="10"/>
  <c r="H197" i="10" s="1"/>
  <c r="I196" i="10"/>
  <c r="G196" i="10"/>
  <c r="H196" i="10" s="1"/>
  <c r="I195" i="10"/>
  <c r="G195" i="10"/>
  <c r="H195" i="10" s="1"/>
  <c r="I194" i="10"/>
  <c r="G194" i="10"/>
  <c r="H194" i="10" s="1"/>
  <c r="I193" i="10"/>
  <c r="G193" i="10"/>
  <c r="H193" i="10" s="1"/>
  <c r="I192" i="10"/>
  <c r="G192" i="10"/>
  <c r="H192" i="10" s="1"/>
  <c r="I132" i="10"/>
  <c r="G132" i="10"/>
  <c r="H132" i="10" s="1"/>
  <c r="I131" i="10"/>
  <c r="G131" i="10"/>
  <c r="H131" i="10" s="1"/>
  <c r="I130" i="10"/>
  <c r="G130" i="10"/>
  <c r="H130" i="10" s="1"/>
  <c r="I129" i="10"/>
  <c r="G129" i="10"/>
  <c r="H129" i="10" s="1"/>
  <c r="I128" i="10"/>
  <c r="G128" i="10"/>
  <c r="H128" i="10" s="1"/>
  <c r="I127" i="10"/>
  <c r="G127" i="10"/>
  <c r="H127" i="10" s="1"/>
  <c r="I126" i="10"/>
  <c r="G126" i="10"/>
  <c r="H126" i="10" s="1"/>
  <c r="I125" i="10"/>
  <c r="G125" i="10"/>
  <c r="H125" i="10" s="1"/>
  <c r="I72" i="10"/>
  <c r="G72" i="10"/>
  <c r="H72" i="10" s="1"/>
  <c r="I71" i="10"/>
  <c r="G71" i="10"/>
  <c r="H71" i="10" s="1"/>
  <c r="I70" i="10"/>
  <c r="G70" i="10"/>
  <c r="H70" i="10" s="1"/>
  <c r="I69" i="10"/>
  <c r="G69" i="10"/>
  <c r="H69" i="10" s="1"/>
  <c r="F18" i="10"/>
  <c r="F8" i="10"/>
  <c r="I8" i="10" s="1"/>
  <c r="G8" i="10"/>
  <c r="I251" i="10"/>
  <c r="G251" i="10"/>
  <c r="H251" i="10" s="1"/>
  <c r="I250" i="10"/>
  <c r="G250" i="10"/>
  <c r="H250" i="10" s="1"/>
  <c r="I249" i="10"/>
  <c r="G249" i="10"/>
  <c r="H249" i="10" s="1"/>
  <c r="I248" i="10"/>
  <c r="G248" i="10"/>
  <c r="H248" i="10" s="1"/>
  <c r="I247" i="10"/>
  <c r="G247" i="10"/>
  <c r="H247" i="10" s="1"/>
  <c r="I246" i="10"/>
  <c r="G246" i="10"/>
  <c r="H246" i="10" s="1"/>
  <c r="I245" i="10"/>
  <c r="G245" i="10"/>
  <c r="H245" i="10" s="1"/>
  <c r="I244" i="10"/>
  <c r="G244" i="10"/>
  <c r="H244" i="10" s="1"/>
  <c r="I366" i="10"/>
  <c r="G366" i="10"/>
  <c r="H366" i="10" s="1"/>
  <c r="I365" i="10"/>
  <c r="G365" i="10"/>
  <c r="H365" i="10" s="1"/>
  <c r="I364" i="10"/>
  <c r="G364" i="10"/>
  <c r="H364" i="10" s="1"/>
  <c r="I363" i="10"/>
  <c r="G363" i="10"/>
  <c r="H363" i="10" s="1"/>
  <c r="I362" i="10"/>
  <c r="G362" i="10"/>
  <c r="H362" i="10" s="1"/>
  <c r="I361" i="10"/>
  <c r="G361" i="10"/>
  <c r="H361" i="10" s="1"/>
  <c r="I360" i="10"/>
  <c r="G360" i="10"/>
  <c r="H360" i="10" s="1"/>
  <c r="I359" i="10"/>
  <c r="G359" i="10"/>
  <c r="H359" i="10" s="1"/>
  <c r="I358" i="10"/>
  <c r="G358" i="10"/>
  <c r="H358" i="10" s="1"/>
  <c r="I357" i="10"/>
  <c r="G357" i="10"/>
  <c r="H357" i="10" s="1"/>
  <c r="I425" i="10"/>
  <c r="G425" i="10"/>
  <c r="H425" i="10" s="1"/>
  <c r="I424" i="10"/>
  <c r="G424" i="10"/>
  <c r="H424" i="10" s="1"/>
  <c r="I423" i="10"/>
  <c r="G423" i="10"/>
  <c r="H423" i="10" s="1"/>
  <c r="I422" i="10"/>
  <c r="G422" i="10"/>
  <c r="H422" i="10" s="1"/>
  <c r="I421" i="10"/>
  <c r="G421" i="10"/>
  <c r="H421" i="10" s="1"/>
  <c r="I420" i="10"/>
  <c r="G420" i="10"/>
  <c r="H420" i="10" s="1"/>
  <c r="I419" i="10"/>
  <c r="G419" i="10"/>
  <c r="H419" i="10" s="1"/>
  <c r="I488" i="10"/>
  <c r="H488" i="10"/>
  <c r="I487" i="10"/>
  <c r="H487" i="10"/>
  <c r="I486" i="10"/>
  <c r="H486" i="10"/>
  <c r="I485" i="10"/>
  <c r="H485" i="10"/>
  <c r="I484" i="10"/>
  <c r="H484" i="10"/>
  <c r="I483" i="10"/>
  <c r="H483" i="10"/>
  <c r="I482" i="10"/>
  <c r="H482" i="10"/>
  <c r="I481" i="10"/>
  <c r="H481" i="10"/>
  <c r="I480" i="10"/>
  <c r="H480" i="10"/>
  <c r="I479" i="10"/>
  <c r="H479" i="10"/>
  <c r="I561" i="10"/>
  <c r="G561" i="10"/>
  <c r="H561" i="10" s="1"/>
  <c r="I560" i="10"/>
  <c r="G560" i="10"/>
  <c r="H560" i="10" s="1"/>
  <c r="I559" i="10"/>
  <c r="G559" i="10"/>
  <c r="H559" i="10" s="1"/>
  <c r="I558" i="10"/>
  <c r="G558" i="10"/>
  <c r="H558" i="10" s="1"/>
  <c r="I556" i="10"/>
  <c r="G556" i="10"/>
  <c r="H556" i="10" s="1"/>
  <c r="I555" i="10"/>
  <c r="G555" i="10"/>
  <c r="H555" i="10" s="1"/>
  <c r="I554" i="10"/>
  <c r="G554" i="10"/>
  <c r="H554" i="10" s="1"/>
  <c r="I553" i="10"/>
  <c r="G553" i="10"/>
  <c r="H553" i="10" s="1"/>
  <c r="I552" i="10"/>
  <c r="G552" i="10"/>
  <c r="H552" i="10" s="1"/>
  <c r="I626" i="10"/>
  <c r="G626" i="10"/>
  <c r="H626" i="10" s="1"/>
  <c r="I624" i="10"/>
  <c r="G624" i="10"/>
  <c r="H624" i="10" s="1"/>
  <c r="I623" i="10"/>
  <c r="G623" i="10"/>
  <c r="H623" i="10" s="1"/>
  <c r="I622" i="10"/>
  <c r="G622" i="10"/>
  <c r="H622" i="10" s="1"/>
  <c r="I621" i="10"/>
  <c r="G621" i="10"/>
  <c r="H621" i="10" s="1"/>
  <c r="I620" i="10"/>
  <c r="G620" i="10"/>
  <c r="H620" i="10" s="1"/>
  <c r="I619" i="10"/>
  <c r="G619" i="10"/>
  <c r="H619" i="10" s="1"/>
  <c r="I618" i="10"/>
  <c r="G618" i="10"/>
  <c r="H618" i="10" s="1"/>
  <c r="I675" i="10"/>
  <c r="G675" i="10"/>
  <c r="H675" i="10" s="1"/>
  <c r="I674" i="10"/>
  <c r="G674" i="10"/>
  <c r="H674" i="10" s="1"/>
  <c r="I673" i="10"/>
  <c r="G673" i="10"/>
  <c r="H673" i="10" s="1"/>
  <c r="I672" i="10"/>
  <c r="G672" i="10"/>
  <c r="H672" i="10" s="1"/>
  <c r="I721" i="10"/>
  <c r="G721" i="10"/>
  <c r="H721" i="10" s="1"/>
  <c r="I720" i="10"/>
  <c r="G720" i="10"/>
  <c r="H720" i="10" s="1"/>
  <c r="I719" i="10"/>
  <c r="G719" i="10"/>
  <c r="H719" i="10" s="1"/>
  <c r="I718" i="10"/>
  <c r="G718" i="10"/>
  <c r="H718" i="10" s="1"/>
  <c r="I717" i="10"/>
  <c r="G717" i="10"/>
  <c r="H717" i="10" s="1"/>
  <c r="I766" i="10"/>
  <c r="G766" i="10"/>
  <c r="H766" i="10" s="1"/>
  <c r="I765" i="10"/>
  <c r="G765" i="10"/>
  <c r="H765" i="10" s="1"/>
  <c r="I761" i="10"/>
  <c r="G761" i="10"/>
  <c r="H761" i="10" s="1"/>
  <c r="G784" i="10"/>
  <c r="G783" i="10"/>
  <c r="G782" i="10"/>
  <c r="G781" i="10"/>
  <c r="G780" i="10"/>
  <c r="G779" i="10"/>
  <c r="G778" i="10"/>
  <c r="G777" i="10"/>
  <c r="G776" i="10"/>
  <c r="G775" i="10"/>
  <c r="G769" i="10"/>
  <c r="I784" i="10"/>
  <c r="I783" i="10"/>
  <c r="I782" i="10"/>
  <c r="I781" i="10"/>
  <c r="I780" i="10"/>
  <c r="I779" i="10"/>
  <c r="I778" i="10"/>
  <c r="I777" i="10"/>
  <c r="I776" i="10"/>
  <c r="I775" i="10"/>
  <c r="I769" i="10"/>
  <c r="G798" i="10"/>
  <c r="G797" i="10"/>
  <c r="G796" i="10"/>
  <c r="G795" i="10"/>
  <c r="G794" i="10"/>
  <c r="G793" i="10"/>
  <c r="G792" i="10"/>
  <c r="G791" i="10"/>
  <c r="G810" i="10"/>
  <c r="G808" i="10"/>
  <c r="G806" i="10"/>
  <c r="G805" i="10"/>
  <c r="G804" i="10"/>
  <c r="G803" i="10"/>
  <c r="G802" i="10"/>
  <c r="G801" i="10"/>
  <c r="I810" i="10"/>
  <c r="I808" i="10"/>
  <c r="I806" i="10"/>
  <c r="I805" i="10"/>
  <c r="H804" i="10"/>
  <c r="I803" i="10"/>
  <c r="I802" i="10"/>
  <c r="I801" i="10"/>
  <c r="I829" i="10"/>
  <c r="G829" i="10"/>
  <c r="H829" i="10" s="1"/>
  <c r="I828" i="10"/>
  <c r="G828" i="10"/>
  <c r="H828" i="10" s="1"/>
  <c r="I827" i="10"/>
  <c r="G827" i="10"/>
  <c r="H827" i="10" s="1"/>
  <c r="I826" i="10"/>
  <c r="G826" i="10"/>
  <c r="H826" i="10" s="1"/>
  <c r="I825" i="10"/>
  <c r="G825" i="10"/>
  <c r="H825" i="10" s="1"/>
  <c r="I824" i="10"/>
  <c r="G824" i="10"/>
  <c r="H824" i="10" s="1"/>
  <c r="I823" i="10"/>
  <c r="G823" i="10"/>
  <c r="H823" i="10" s="1"/>
  <c r="I862" i="10"/>
  <c r="G862" i="10"/>
  <c r="H862" i="10" s="1"/>
  <c r="I858" i="10"/>
  <c r="G858" i="10"/>
  <c r="H858" i="10" s="1"/>
  <c r="I857" i="10"/>
  <c r="G857" i="10"/>
  <c r="H857" i="10" s="1"/>
  <c r="I855" i="10"/>
  <c r="G855" i="10"/>
  <c r="H855" i="10" s="1"/>
  <c r="I854" i="10"/>
  <c r="G854" i="10"/>
  <c r="H854" i="10" s="1"/>
  <c r="I853" i="10"/>
  <c r="G853" i="10"/>
  <c r="H853" i="10" s="1"/>
  <c r="I852" i="10"/>
  <c r="G852" i="10"/>
  <c r="H852" i="10" s="1"/>
  <c r="I851" i="10"/>
  <c r="G851" i="10"/>
  <c r="H851" i="10" s="1"/>
  <c r="I850" i="10"/>
  <c r="G850" i="10"/>
  <c r="H850" i="10" s="1"/>
  <c r="I849" i="10"/>
  <c r="G849" i="10"/>
  <c r="H849" i="10" s="1"/>
  <c r="I848" i="10"/>
  <c r="G848" i="10"/>
  <c r="H848" i="10" s="1"/>
  <c r="D904" i="10"/>
  <c r="D52" i="11" s="1"/>
  <c r="I889" i="10"/>
  <c r="G889" i="10"/>
  <c r="H889" i="10" s="1"/>
  <c r="I888" i="10"/>
  <c r="G888" i="10"/>
  <c r="H888" i="10" s="1"/>
  <c r="I887" i="10"/>
  <c r="G887" i="10"/>
  <c r="H887" i="10" s="1"/>
  <c r="I886" i="10"/>
  <c r="G886" i="10"/>
  <c r="H886" i="10" s="1"/>
  <c r="I885" i="10"/>
  <c r="G885" i="10"/>
  <c r="H885" i="10" s="1"/>
  <c r="I884" i="10"/>
  <c r="G884" i="10"/>
  <c r="H884" i="10" s="1"/>
  <c r="I883" i="10"/>
  <c r="G883" i="10"/>
  <c r="H883" i="10" s="1"/>
  <c r="I882" i="10"/>
  <c r="G882" i="10"/>
  <c r="H882" i="10" s="1"/>
  <c r="I881" i="10"/>
  <c r="G881" i="10"/>
  <c r="H881" i="10" s="1"/>
  <c r="I880" i="10"/>
  <c r="G880" i="10"/>
  <c r="H880" i="10" s="1"/>
  <c r="I879" i="10"/>
  <c r="G879" i="10"/>
  <c r="H879" i="10" s="1"/>
  <c r="I878" i="10"/>
  <c r="G878" i="10"/>
  <c r="H878" i="10" s="1"/>
  <c r="I877" i="10"/>
  <c r="G877" i="10"/>
  <c r="H877" i="10" s="1"/>
  <c r="I876" i="10"/>
  <c r="G876" i="10"/>
  <c r="H876" i="10" s="1"/>
  <c r="I911" i="10"/>
  <c r="G911" i="10"/>
  <c r="H911" i="10" s="1"/>
  <c r="I910" i="10"/>
  <c r="H910" i="10"/>
  <c r="I909" i="10"/>
  <c r="H909" i="10"/>
  <c r="I908" i="10"/>
  <c r="H908" i="10"/>
  <c r="I907" i="10"/>
  <c r="G907" i="10"/>
  <c r="H907" i="10" s="1"/>
  <c r="I906" i="10"/>
  <c r="G906" i="10"/>
  <c r="H906" i="10" s="1"/>
  <c r="G933" i="10"/>
  <c r="G932" i="10"/>
  <c r="G931" i="10"/>
  <c r="G930" i="10"/>
  <c r="G929" i="10"/>
  <c r="G928" i="10"/>
  <c r="G927" i="10"/>
  <c r="G926" i="10"/>
  <c r="G925" i="10"/>
  <c r="G924" i="10"/>
  <c r="I933" i="10"/>
  <c r="I931" i="10"/>
  <c r="I929" i="10"/>
  <c r="I927" i="10"/>
  <c r="I925" i="10"/>
  <c r="D953" i="10"/>
  <c r="I952" i="10"/>
  <c r="G952" i="10"/>
  <c r="H952" i="10" s="1"/>
  <c r="I951" i="10"/>
  <c r="G951" i="10"/>
  <c r="H951" i="10" s="1"/>
  <c r="I949" i="10"/>
  <c r="G949" i="10"/>
  <c r="H949" i="10" s="1"/>
  <c r="I948" i="10"/>
  <c r="G948" i="10"/>
  <c r="H948" i="10" s="1"/>
  <c r="I947" i="10"/>
  <c r="G947" i="10"/>
  <c r="H947" i="10" s="1"/>
  <c r="I946" i="10"/>
  <c r="G946" i="10"/>
  <c r="H946" i="10" s="1"/>
  <c r="I985" i="10"/>
  <c r="G985" i="10"/>
  <c r="H985" i="10" s="1"/>
  <c r="I966" i="10"/>
  <c r="G966" i="10"/>
  <c r="H966" i="10" s="1"/>
  <c r="I965" i="10"/>
  <c r="G965" i="10"/>
  <c r="H965" i="10" s="1"/>
  <c r="I964" i="10"/>
  <c r="G964" i="10"/>
  <c r="H964" i="10" s="1"/>
  <c r="I963" i="10"/>
  <c r="G963" i="10"/>
  <c r="H963" i="10" s="1"/>
  <c r="I962" i="10"/>
  <c r="G962" i="10"/>
  <c r="H962" i="10" s="1"/>
  <c r="I961" i="10"/>
  <c r="G961" i="10"/>
  <c r="H961" i="10" s="1"/>
  <c r="I960" i="10"/>
  <c r="G960" i="10"/>
  <c r="H960" i="10" s="1"/>
  <c r="I959" i="10"/>
  <c r="G959" i="10"/>
  <c r="H959" i="10" s="1"/>
  <c r="I958" i="10"/>
  <c r="G958" i="10"/>
  <c r="H958" i="10" s="1"/>
  <c r="I957" i="10"/>
  <c r="G957" i="10"/>
  <c r="H957" i="10" s="1"/>
  <c r="I956" i="10"/>
  <c r="G956" i="10"/>
  <c r="H956" i="10" s="1"/>
  <c r="I955" i="10"/>
  <c r="G955" i="10"/>
  <c r="H955" i="10" s="1"/>
  <c r="G1007" i="10"/>
  <c r="G1006" i="10"/>
  <c r="G1005" i="10"/>
  <c r="G1004" i="10"/>
  <c r="G1003" i="10"/>
  <c r="G1002" i="10"/>
  <c r="I1007" i="10"/>
  <c r="I1005" i="10"/>
  <c r="F20" i="10"/>
  <c r="F19" i="10"/>
  <c r="F7" i="10"/>
  <c r="F6" i="10"/>
  <c r="Q44" i="2"/>
  <c r="Q43" i="2"/>
  <c r="Q42" i="2"/>
  <c r="I44" i="2"/>
  <c r="I43" i="2"/>
  <c r="I42" i="2"/>
  <c r="N50" i="13" l="1"/>
  <c r="H20" i="3"/>
  <c r="C1095" i="15"/>
  <c r="E20" i="3"/>
  <c r="E20" i="2" s="1"/>
  <c r="M20" i="2" s="1"/>
  <c r="C1090" i="15"/>
  <c r="E40" i="3"/>
  <c r="G40" i="3" s="1"/>
  <c r="C622" i="15"/>
  <c r="P63" i="2"/>
  <c r="Q63" i="2" s="1"/>
  <c r="J231" i="10"/>
  <c r="M25" i="11" s="1"/>
  <c r="I25" i="11"/>
  <c r="D21" i="13"/>
  <c r="H21" i="13" s="1"/>
  <c r="H1003" i="10"/>
  <c r="H8" i="10"/>
  <c r="H791" i="10"/>
  <c r="H793" i="10"/>
  <c r="H792" i="10"/>
  <c r="H794" i="10"/>
  <c r="H769" i="10"/>
  <c r="H775" i="10"/>
  <c r="H776" i="10"/>
  <c r="H777" i="10"/>
  <c r="H778" i="10"/>
  <c r="H779" i="10"/>
  <c r="H780" i="10"/>
  <c r="H781" i="10"/>
  <c r="H782" i="10"/>
  <c r="H783" i="10"/>
  <c r="H784" i="10"/>
  <c r="H795" i="10"/>
  <c r="H796" i="10"/>
  <c r="H797" i="10"/>
  <c r="H798" i="10"/>
  <c r="I798" i="10"/>
  <c r="I791" i="10"/>
  <c r="I793" i="10"/>
  <c r="I795" i="10"/>
  <c r="I797" i="10"/>
  <c r="I792" i="10"/>
  <c r="I794" i="10"/>
  <c r="I796" i="10"/>
  <c r="H803" i="10"/>
  <c r="H802" i="10"/>
  <c r="I804" i="10"/>
  <c r="H806" i="10"/>
  <c r="H808" i="10"/>
  <c r="H810" i="10"/>
  <c r="H801" i="10"/>
  <c r="H805" i="10"/>
  <c r="I924" i="10"/>
  <c r="H924" i="10"/>
  <c r="H926" i="10"/>
  <c r="I926" i="10"/>
  <c r="I928" i="10"/>
  <c r="H928" i="10"/>
  <c r="H930" i="10"/>
  <c r="I930" i="10"/>
  <c r="I932" i="10"/>
  <c r="H932" i="10"/>
  <c r="H925" i="10"/>
  <c r="H929" i="10"/>
  <c r="H933" i="10"/>
  <c r="H927" i="10"/>
  <c r="H931" i="10"/>
  <c r="H1002" i="10"/>
  <c r="I1002" i="10"/>
  <c r="I1004" i="10"/>
  <c r="H1004" i="10"/>
  <c r="I1006" i="10"/>
  <c r="H1006" i="10"/>
  <c r="I1003" i="10"/>
  <c r="H1005" i="10"/>
  <c r="H1007" i="10"/>
  <c r="P60" i="11"/>
  <c r="L60" i="11"/>
  <c r="B49" i="11"/>
  <c r="B48" i="16" s="1"/>
  <c r="B48" i="11"/>
  <c r="B47" i="16" s="1"/>
  <c r="B47" i="11"/>
  <c r="B46" i="16" s="1"/>
  <c r="B46" i="11"/>
  <c r="B45" i="16" s="1"/>
  <c r="B59" i="11"/>
  <c r="B58" i="16" s="1"/>
  <c r="B58" i="11"/>
  <c r="B57" i="16" s="1"/>
  <c r="B57" i="11"/>
  <c r="B56" i="16" s="1"/>
  <c r="B56" i="11"/>
  <c r="B55" i="16" s="1"/>
  <c r="B55" i="11"/>
  <c r="B54" i="16" s="1"/>
  <c r="B54" i="11"/>
  <c r="B53" i="16" s="1"/>
  <c r="B35" i="11"/>
  <c r="B34" i="16" s="1"/>
  <c r="B34" i="11"/>
  <c r="B33" i="16" s="1"/>
  <c r="B33" i="11"/>
  <c r="B32" i="16" s="1"/>
  <c r="B32" i="11"/>
  <c r="B31" i="16" s="1"/>
  <c r="B31" i="11"/>
  <c r="B30" i="16" s="1"/>
  <c r="B30" i="11"/>
  <c r="B29" i="16" s="1"/>
  <c r="B29" i="11"/>
  <c r="B28" i="16" s="1"/>
  <c r="B28" i="11"/>
  <c r="B27" i="16" s="1"/>
  <c r="B27" i="11"/>
  <c r="B26" i="16" s="1"/>
  <c r="B26" i="11"/>
  <c r="B25" i="16" s="1"/>
  <c r="B24" i="11"/>
  <c r="B23" i="16" s="1"/>
  <c r="B23" i="11"/>
  <c r="B22" i="16" s="1"/>
  <c r="B22" i="11"/>
  <c r="B21" i="16" s="1"/>
  <c r="B21" i="11"/>
  <c r="B20" i="16" s="1"/>
  <c r="R63" i="2" l="1"/>
  <c r="I20" i="3"/>
  <c r="I20" i="2"/>
  <c r="D1095" i="15"/>
  <c r="C240" i="15"/>
  <c r="D240" i="15" s="1"/>
  <c r="C1108" i="15"/>
  <c r="D1108" i="15" s="1"/>
  <c r="D622" i="15"/>
  <c r="C631" i="15"/>
  <c r="D1090" i="15"/>
  <c r="C1106" i="15"/>
  <c r="D1106" i="15" s="1"/>
  <c r="N20" i="2"/>
  <c r="S20" i="1"/>
  <c r="T20" i="1" s="1"/>
  <c r="F45" i="13"/>
  <c r="F46" i="13"/>
  <c r="F47" i="13"/>
  <c r="F44" i="13"/>
  <c r="F43" i="13"/>
  <c r="F42" i="13"/>
  <c r="F37" i="13"/>
  <c r="F36" i="13"/>
  <c r="F35" i="13"/>
  <c r="F34" i="13"/>
  <c r="F41" i="13"/>
  <c r="F40" i="13"/>
  <c r="F39" i="13"/>
  <c r="F38" i="13"/>
  <c r="F31" i="13"/>
  <c r="F30" i="13"/>
  <c r="F29" i="13"/>
  <c r="F28" i="13"/>
  <c r="F27" i="13"/>
  <c r="F26" i="13"/>
  <c r="F25" i="13"/>
  <c r="F24" i="13"/>
  <c r="F23" i="13"/>
  <c r="F22" i="13"/>
  <c r="F20" i="13"/>
  <c r="F19" i="13"/>
  <c r="F18" i="13"/>
  <c r="F17" i="13"/>
  <c r="F14" i="13"/>
  <c r="F13" i="13"/>
  <c r="A12" i="13"/>
  <c r="C13" i="13"/>
  <c r="C14" i="13"/>
  <c r="A16" i="13"/>
  <c r="C17" i="13"/>
  <c r="C18" i="13"/>
  <c r="C19" i="13"/>
  <c r="C20" i="13"/>
  <c r="C22" i="13"/>
  <c r="C23" i="13"/>
  <c r="C24" i="13"/>
  <c r="C25" i="13"/>
  <c r="C26" i="13"/>
  <c r="C27" i="13"/>
  <c r="C28" i="13"/>
  <c r="C29" i="13"/>
  <c r="C30" i="13"/>
  <c r="C31" i="13"/>
  <c r="A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A5" i="13"/>
  <c r="A1" i="13"/>
  <c r="A4" i="13"/>
  <c r="D9" i="13"/>
  <c r="D10" i="13"/>
  <c r="A11" i="13"/>
  <c r="C11" i="13"/>
  <c r="D11" i="13"/>
  <c r="F11" i="13"/>
  <c r="X45" i="1" l="1"/>
  <c r="Z45" i="1" s="1"/>
  <c r="U75" i="3"/>
  <c r="U74" i="3"/>
  <c r="J56" i="3"/>
  <c r="I30" i="3"/>
  <c r="J30" i="3"/>
  <c r="K30" i="3"/>
  <c r="G16" i="11"/>
  <c r="G15" i="11"/>
  <c r="A15" i="11"/>
  <c r="A16" i="11"/>
  <c r="D1018" i="10"/>
  <c r="D59" i="11" s="1"/>
  <c r="G33" i="11"/>
  <c r="G32" i="11"/>
  <c r="G31" i="11"/>
  <c r="G30" i="11"/>
  <c r="G29" i="11"/>
  <c r="G28" i="11"/>
  <c r="G27" i="11"/>
  <c r="G26" i="11"/>
  <c r="G24" i="11"/>
  <c r="G23" i="11"/>
  <c r="G22" i="11"/>
  <c r="G21" i="11"/>
  <c r="G34" i="11"/>
  <c r="G35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A57" i="11"/>
  <c r="A58" i="11"/>
  <c r="A59" i="11"/>
  <c r="A54" i="11"/>
  <c r="A55" i="11"/>
  <c r="A56" i="11"/>
  <c r="A50" i="11"/>
  <c r="A51" i="11"/>
  <c r="A52" i="11"/>
  <c r="A53" i="11"/>
  <c r="A46" i="11"/>
  <c r="A47" i="11"/>
  <c r="A48" i="11"/>
  <c r="A49" i="11"/>
  <c r="A21" i="11"/>
  <c r="A22" i="11"/>
  <c r="A23" i="11"/>
  <c r="A24" i="11"/>
  <c r="A26" i="11"/>
  <c r="A27" i="11"/>
  <c r="A28" i="11"/>
  <c r="A29" i="11"/>
  <c r="A30" i="11"/>
  <c r="A31" i="11"/>
  <c r="A32" i="11"/>
  <c r="A33" i="11"/>
  <c r="A34" i="11"/>
  <c r="A35" i="11"/>
  <c r="D1000" i="10"/>
  <c r="D987" i="10"/>
  <c r="D57" i="11" s="1"/>
  <c r="D944" i="10"/>
  <c r="D55" i="11" s="1"/>
  <c r="D922" i="10"/>
  <c r="D54" i="11" s="1"/>
  <c r="D920" i="10"/>
  <c r="D40" i="13"/>
  <c r="H40" i="13" s="1"/>
  <c r="D863" i="10"/>
  <c r="D843" i="10"/>
  <c r="D819" i="10"/>
  <c r="D48" i="11"/>
  <c r="D785" i="10"/>
  <c r="D47" i="11" s="1"/>
  <c r="D767" i="10"/>
  <c r="D35" i="11"/>
  <c r="D715" i="10"/>
  <c r="D34" i="11" s="1"/>
  <c r="D667" i="10"/>
  <c r="D33" i="11" s="1"/>
  <c r="D599" i="10"/>
  <c r="D32" i="11" s="1"/>
  <c r="D546" i="10"/>
  <c r="D31" i="11" s="1"/>
  <c r="D501" i="10"/>
  <c r="D30" i="11" s="1"/>
  <c r="D475" i="10"/>
  <c r="D29" i="11" s="1"/>
  <c r="D416" i="10"/>
  <c r="D26" i="11"/>
  <c r="D24" i="11"/>
  <c r="D189" i="10"/>
  <c r="D117" i="10"/>
  <c r="D22" i="11" s="1"/>
  <c r="D67" i="10"/>
  <c r="D21" i="11" s="1"/>
  <c r="D29" i="10"/>
  <c r="D16" i="11" s="1"/>
  <c r="D5" i="10"/>
  <c r="D15" i="11" s="1"/>
  <c r="G1017" i="10"/>
  <c r="H1017" i="10" s="1"/>
  <c r="G1016" i="10"/>
  <c r="H1016" i="10" s="1"/>
  <c r="G1015" i="10"/>
  <c r="H1015" i="10" s="1"/>
  <c r="G1014" i="10"/>
  <c r="H1014" i="10" s="1"/>
  <c r="G1013" i="10"/>
  <c r="H1013" i="10" s="1"/>
  <c r="G1012" i="10"/>
  <c r="H1012" i="10" s="1"/>
  <c r="G1011" i="10"/>
  <c r="H1011" i="10" s="1"/>
  <c r="G1010" i="10"/>
  <c r="H1010" i="10" s="1"/>
  <c r="G1009" i="10"/>
  <c r="H1009" i="10" s="1"/>
  <c r="G1008" i="10"/>
  <c r="H1008" i="10" s="1"/>
  <c r="G1001" i="10"/>
  <c r="H1001" i="10" s="1"/>
  <c r="G999" i="10"/>
  <c r="H999" i="10" s="1"/>
  <c r="G998" i="10"/>
  <c r="H998" i="10" s="1"/>
  <c r="G997" i="10"/>
  <c r="H997" i="10" s="1"/>
  <c r="G996" i="10"/>
  <c r="H996" i="10" s="1"/>
  <c r="G995" i="10"/>
  <c r="H995" i="10" s="1"/>
  <c r="G994" i="10"/>
  <c r="H994" i="10" s="1"/>
  <c r="G993" i="10"/>
  <c r="H993" i="10" s="1"/>
  <c r="G992" i="10"/>
  <c r="H992" i="10" s="1"/>
  <c r="G991" i="10"/>
  <c r="H991" i="10" s="1"/>
  <c r="G990" i="10"/>
  <c r="H990" i="10" s="1"/>
  <c r="G989" i="10"/>
  <c r="H989" i="10" s="1"/>
  <c r="G988" i="10"/>
  <c r="H988" i="10" s="1"/>
  <c r="G986" i="10"/>
  <c r="H986" i="10" s="1"/>
  <c r="G984" i="10"/>
  <c r="H984" i="10" s="1"/>
  <c r="G983" i="10"/>
  <c r="H983" i="10" s="1"/>
  <c r="G982" i="10"/>
  <c r="H982" i="10" s="1"/>
  <c r="G981" i="10"/>
  <c r="H981" i="10" s="1"/>
  <c r="G980" i="10"/>
  <c r="H980" i="10" s="1"/>
  <c r="G979" i="10"/>
  <c r="H979" i="10" s="1"/>
  <c r="G978" i="10"/>
  <c r="H978" i="10" s="1"/>
  <c r="G977" i="10"/>
  <c r="H977" i="10" s="1"/>
  <c r="G976" i="10"/>
  <c r="H976" i="10" s="1"/>
  <c r="G975" i="10"/>
  <c r="H975" i="10" s="1"/>
  <c r="G974" i="10"/>
  <c r="H974" i="10" s="1"/>
  <c r="G973" i="10"/>
  <c r="H973" i="10" s="1"/>
  <c r="G972" i="10"/>
  <c r="H972" i="10" s="1"/>
  <c r="G971" i="10"/>
  <c r="H971" i="10" s="1"/>
  <c r="G970" i="10"/>
  <c r="H970" i="10" s="1"/>
  <c r="G969" i="10"/>
  <c r="H969" i="10" s="1"/>
  <c r="G968" i="10"/>
  <c r="H968" i="10" s="1"/>
  <c r="G967" i="10"/>
  <c r="H967" i="10" s="1"/>
  <c r="G954" i="10"/>
  <c r="H954" i="10" s="1"/>
  <c r="G945" i="10"/>
  <c r="H945" i="10" s="1"/>
  <c r="G923" i="10"/>
  <c r="H923" i="10" s="1"/>
  <c r="G921" i="10"/>
  <c r="H921" i="10" s="1"/>
  <c r="G919" i="10"/>
  <c r="H919" i="10" s="1"/>
  <c r="G918" i="10"/>
  <c r="H918" i="10" s="1"/>
  <c r="G905" i="10"/>
  <c r="H905" i="10" s="1"/>
  <c r="G903" i="10"/>
  <c r="H903" i="10" s="1"/>
  <c r="G902" i="10"/>
  <c r="H902" i="10" s="1"/>
  <c r="G895" i="10"/>
  <c r="H895" i="10" s="1"/>
  <c r="G894" i="10"/>
  <c r="H894" i="10" s="1"/>
  <c r="G893" i="10"/>
  <c r="H893" i="10" s="1"/>
  <c r="G892" i="10"/>
  <c r="H892" i="10" s="1"/>
  <c r="G891" i="10"/>
  <c r="H891" i="10" s="1"/>
  <c r="G890" i="10"/>
  <c r="H890" i="10" s="1"/>
  <c r="G875" i="10"/>
  <c r="H875" i="10" s="1"/>
  <c r="G874" i="10"/>
  <c r="H874" i="10" s="1"/>
  <c r="G873" i="10"/>
  <c r="H873" i="10" s="1"/>
  <c r="G872" i="10"/>
  <c r="H872" i="10" s="1"/>
  <c r="G871" i="10"/>
  <c r="H871" i="10" s="1"/>
  <c r="G870" i="10"/>
  <c r="H870" i="10" s="1"/>
  <c r="G869" i="10"/>
  <c r="H869" i="10" s="1"/>
  <c r="G868" i="10"/>
  <c r="H868" i="10" s="1"/>
  <c r="G867" i="10"/>
  <c r="H867" i="10" s="1"/>
  <c r="G866" i="10"/>
  <c r="H866" i="10" s="1"/>
  <c r="G865" i="10"/>
  <c r="H865" i="10" s="1"/>
  <c r="G864" i="10"/>
  <c r="H864" i="10" s="1"/>
  <c r="G856" i="10"/>
  <c r="H856" i="10" s="1"/>
  <c r="G847" i="10"/>
  <c r="H847" i="10" s="1"/>
  <c r="G846" i="10"/>
  <c r="H846" i="10" s="1"/>
  <c r="G845" i="10"/>
  <c r="H845" i="10" s="1"/>
  <c r="G844" i="10"/>
  <c r="H844" i="10" s="1"/>
  <c r="G835" i="10"/>
  <c r="H835" i="10" s="1"/>
  <c r="G834" i="10"/>
  <c r="H834" i="10" s="1"/>
  <c r="G833" i="10"/>
  <c r="H833" i="10" s="1"/>
  <c r="G832" i="10"/>
  <c r="H832" i="10" s="1"/>
  <c r="G831" i="10"/>
  <c r="H831" i="10" s="1"/>
  <c r="G830" i="10"/>
  <c r="H830" i="10" s="1"/>
  <c r="G822" i="10"/>
  <c r="H822" i="10" s="1"/>
  <c r="G821" i="10"/>
  <c r="H821" i="10" s="1"/>
  <c r="G820" i="10"/>
  <c r="H820" i="10" s="1"/>
  <c r="G818" i="10"/>
  <c r="H818" i="10" s="1"/>
  <c r="G817" i="10"/>
  <c r="H817" i="10" s="1"/>
  <c r="G816" i="10"/>
  <c r="H816" i="10" s="1"/>
  <c r="G815" i="10"/>
  <c r="H815" i="10" s="1"/>
  <c r="G814" i="10"/>
  <c r="H814" i="10" s="1"/>
  <c r="G813" i="10"/>
  <c r="H813" i="10" s="1"/>
  <c r="G812" i="10"/>
  <c r="H812" i="10" s="1"/>
  <c r="G811" i="10"/>
  <c r="H811" i="10" s="1"/>
  <c r="G807" i="10"/>
  <c r="H807" i="10" s="1"/>
  <c r="G800" i="10"/>
  <c r="H800" i="10" s="1"/>
  <c r="G790" i="10"/>
  <c r="H790" i="10" s="1"/>
  <c r="G786" i="10"/>
  <c r="H786" i="10" s="1"/>
  <c r="G768" i="10"/>
  <c r="H768" i="10" s="1"/>
  <c r="G760" i="10"/>
  <c r="H760" i="10" s="1"/>
  <c r="G724" i="10"/>
  <c r="H724" i="10" s="1"/>
  <c r="G723" i="10"/>
  <c r="H723" i="10" s="1"/>
  <c r="G722" i="10"/>
  <c r="H722" i="10" s="1"/>
  <c r="G716" i="10"/>
  <c r="H716" i="10" s="1"/>
  <c r="G714" i="10"/>
  <c r="H714" i="10" s="1"/>
  <c r="G713" i="10"/>
  <c r="H713" i="10" s="1"/>
  <c r="G712" i="10"/>
  <c r="H712" i="10" s="1"/>
  <c r="G711" i="10"/>
  <c r="H711" i="10" s="1"/>
  <c r="G710" i="10"/>
  <c r="H710" i="10" s="1"/>
  <c r="G709" i="10"/>
  <c r="H709" i="10" s="1"/>
  <c r="G708" i="10"/>
  <c r="H708" i="10" s="1"/>
  <c r="G707" i="10"/>
  <c r="H707" i="10" s="1"/>
  <c r="G706" i="10"/>
  <c r="H706" i="10" s="1"/>
  <c r="G705" i="10"/>
  <c r="H705" i="10" s="1"/>
  <c r="G704" i="10"/>
  <c r="H704" i="10" s="1"/>
  <c r="G703" i="10"/>
  <c r="H703" i="10" s="1"/>
  <c r="G702" i="10"/>
  <c r="H702" i="10" s="1"/>
  <c r="G701" i="10"/>
  <c r="H701" i="10" s="1"/>
  <c r="G700" i="10"/>
  <c r="H700" i="10" s="1"/>
  <c r="G699" i="10"/>
  <c r="H699" i="10" s="1"/>
  <c r="G698" i="10"/>
  <c r="H698" i="10" s="1"/>
  <c r="G697" i="10"/>
  <c r="H697" i="10" s="1"/>
  <c r="G696" i="10"/>
  <c r="H696" i="10" s="1"/>
  <c r="G695" i="10"/>
  <c r="H695" i="10" s="1"/>
  <c r="G694" i="10"/>
  <c r="H694" i="10" s="1"/>
  <c r="G693" i="10"/>
  <c r="H693" i="10" s="1"/>
  <c r="G692" i="10"/>
  <c r="H692" i="10" s="1"/>
  <c r="G691" i="10"/>
  <c r="H691" i="10" s="1"/>
  <c r="G690" i="10"/>
  <c r="H690" i="10" s="1"/>
  <c r="G689" i="10"/>
  <c r="H689" i="10" s="1"/>
  <c r="G688" i="10"/>
  <c r="H688" i="10" s="1"/>
  <c r="G687" i="10"/>
  <c r="H687" i="10" s="1"/>
  <c r="G686" i="10"/>
  <c r="H686" i="10" s="1"/>
  <c r="G685" i="10"/>
  <c r="H685" i="10" s="1"/>
  <c r="G684" i="10"/>
  <c r="H684" i="10" s="1"/>
  <c r="G683" i="10"/>
  <c r="H683" i="10" s="1"/>
  <c r="G682" i="10"/>
  <c r="H682" i="10" s="1"/>
  <c r="G681" i="10"/>
  <c r="H681" i="10" s="1"/>
  <c r="G680" i="10"/>
  <c r="H680" i="10" s="1"/>
  <c r="G679" i="10"/>
  <c r="H679" i="10" s="1"/>
  <c r="G678" i="10"/>
  <c r="H678" i="10" s="1"/>
  <c r="G677" i="10"/>
  <c r="H677" i="10" s="1"/>
  <c r="G676" i="10"/>
  <c r="H676" i="10" s="1"/>
  <c r="G671" i="10"/>
  <c r="H671" i="10" s="1"/>
  <c r="G670" i="10"/>
  <c r="H670" i="10" s="1"/>
  <c r="G668" i="10"/>
  <c r="H668" i="10" s="1"/>
  <c r="G662" i="10"/>
  <c r="H662" i="10" s="1"/>
  <c r="G661" i="10"/>
  <c r="H661" i="10" s="1"/>
  <c r="G660" i="10"/>
  <c r="H660" i="10" s="1"/>
  <c r="G659" i="10"/>
  <c r="H659" i="10" s="1"/>
  <c r="G658" i="10"/>
  <c r="H658" i="10" s="1"/>
  <c r="G657" i="10"/>
  <c r="H657" i="10" s="1"/>
  <c r="G656" i="10"/>
  <c r="H656" i="10" s="1"/>
  <c r="G655" i="10"/>
  <c r="H655" i="10" s="1"/>
  <c r="G654" i="10"/>
  <c r="H654" i="10" s="1"/>
  <c r="G653" i="10"/>
  <c r="H653" i="10" s="1"/>
  <c r="G652" i="10"/>
  <c r="H652" i="10" s="1"/>
  <c r="G651" i="10"/>
  <c r="H651" i="10" s="1"/>
  <c r="G650" i="10"/>
  <c r="H650" i="10" s="1"/>
  <c r="G649" i="10"/>
  <c r="H649" i="10" s="1"/>
  <c r="G648" i="10"/>
  <c r="H648" i="10" s="1"/>
  <c r="G647" i="10"/>
  <c r="H647" i="10" s="1"/>
  <c r="G646" i="10"/>
  <c r="H646" i="10" s="1"/>
  <c r="G645" i="10"/>
  <c r="H645" i="10" s="1"/>
  <c r="G644" i="10"/>
  <c r="H644" i="10" s="1"/>
  <c r="G643" i="10"/>
  <c r="H643" i="10" s="1"/>
  <c r="G642" i="10"/>
  <c r="H642" i="10" s="1"/>
  <c r="G641" i="10"/>
  <c r="H641" i="10" s="1"/>
  <c r="G640" i="10"/>
  <c r="H640" i="10" s="1"/>
  <c r="G639" i="10"/>
  <c r="H639" i="10" s="1"/>
  <c r="G638" i="10"/>
  <c r="H638" i="10" s="1"/>
  <c r="G637" i="10"/>
  <c r="H637" i="10" s="1"/>
  <c r="G636" i="10"/>
  <c r="H636" i="10" s="1"/>
  <c r="G635" i="10"/>
  <c r="H635" i="10" s="1"/>
  <c r="G634" i="10"/>
  <c r="H634" i="10" s="1"/>
  <c r="G633" i="10"/>
  <c r="H633" i="10" s="1"/>
  <c r="G632" i="10"/>
  <c r="H632" i="10" s="1"/>
  <c r="G631" i="10"/>
  <c r="H631" i="10" s="1"/>
  <c r="G630" i="10"/>
  <c r="H630" i="10" s="1"/>
  <c r="G629" i="10"/>
  <c r="H629" i="10" s="1"/>
  <c r="G628" i="10"/>
  <c r="H628" i="10" s="1"/>
  <c r="G627" i="10"/>
  <c r="H627" i="10" s="1"/>
  <c r="G625" i="10"/>
  <c r="H625" i="10" s="1"/>
  <c r="G617" i="10"/>
  <c r="H617" i="10" s="1"/>
  <c r="G616" i="10"/>
  <c r="H616" i="10" s="1"/>
  <c r="G615" i="10"/>
  <c r="H615" i="10" s="1"/>
  <c r="G614" i="10"/>
  <c r="H614" i="10" s="1"/>
  <c r="G613" i="10"/>
  <c r="H613" i="10" s="1"/>
  <c r="G612" i="10"/>
  <c r="H612" i="10" s="1"/>
  <c r="G611" i="10"/>
  <c r="H611" i="10" s="1"/>
  <c r="G610" i="10"/>
  <c r="H610" i="10" s="1"/>
  <c r="G609" i="10"/>
  <c r="H609" i="10" s="1"/>
  <c r="G608" i="10"/>
  <c r="H608" i="10" s="1"/>
  <c r="G607" i="10"/>
  <c r="H607" i="10" s="1"/>
  <c r="G606" i="10"/>
  <c r="H606" i="10" s="1"/>
  <c r="G605" i="10"/>
  <c r="H605" i="10" s="1"/>
  <c r="G604" i="10"/>
  <c r="H604" i="10" s="1"/>
  <c r="G603" i="10"/>
  <c r="H603" i="10" s="1"/>
  <c r="G602" i="10"/>
  <c r="H602" i="10" s="1"/>
  <c r="G601" i="10"/>
  <c r="H601" i="10" s="1"/>
  <c r="G600" i="10"/>
  <c r="H600" i="10" s="1"/>
  <c r="G598" i="10"/>
  <c r="H598" i="10" s="1"/>
  <c r="G597" i="10"/>
  <c r="H597" i="10" s="1"/>
  <c r="G596" i="10"/>
  <c r="H596" i="10" s="1"/>
  <c r="G595" i="10"/>
  <c r="H595" i="10" s="1"/>
  <c r="G594" i="10"/>
  <c r="H594" i="10" s="1"/>
  <c r="G593" i="10"/>
  <c r="H593" i="10" s="1"/>
  <c r="G592" i="10"/>
  <c r="H592" i="10" s="1"/>
  <c r="G591" i="10"/>
  <c r="H591" i="10" s="1"/>
  <c r="G590" i="10"/>
  <c r="H590" i="10" s="1"/>
  <c r="G589" i="10"/>
  <c r="H589" i="10" s="1"/>
  <c r="G588" i="10"/>
  <c r="H588" i="10" s="1"/>
  <c r="G587" i="10"/>
  <c r="H587" i="10" s="1"/>
  <c r="G586" i="10"/>
  <c r="H586" i="10" s="1"/>
  <c r="G585" i="10"/>
  <c r="H585" i="10" s="1"/>
  <c r="G584" i="10"/>
  <c r="H584" i="10" s="1"/>
  <c r="G583" i="10"/>
  <c r="H583" i="10" s="1"/>
  <c r="G582" i="10"/>
  <c r="H582" i="10" s="1"/>
  <c r="G581" i="10"/>
  <c r="H581" i="10" s="1"/>
  <c r="G580" i="10"/>
  <c r="H580" i="10" s="1"/>
  <c r="G579" i="10"/>
  <c r="H579" i="10" s="1"/>
  <c r="G578" i="10"/>
  <c r="H578" i="10" s="1"/>
  <c r="G577" i="10"/>
  <c r="H577" i="10" s="1"/>
  <c r="G576" i="10"/>
  <c r="H576" i="10" s="1"/>
  <c r="G575" i="10"/>
  <c r="H575" i="10" s="1"/>
  <c r="G574" i="10"/>
  <c r="H574" i="10" s="1"/>
  <c r="G573" i="10"/>
  <c r="H573" i="10" s="1"/>
  <c r="G572" i="10"/>
  <c r="H572" i="10" s="1"/>
  <c r="G571" i="10"/>
  <c r="H571" i="10" s="1"/>
  <c r="G570" i="10"/>
  <c r="H570" i="10" s="1"/>
  <c r="G569" i="10"/>
  <c r="H569" i="10" s="1"/>
  <c r="G568" i="10"/>
  <c r="H568" i="10" s="1"/>
  <c r="G567" i="10"/>
  <c r="H567" i="10" s="1"/>
  <c r="G566" i="10"/>
  <c r="H566" i="10" s="1"/>
  <c r="G565" i="10"/>
  <c r="H565" i="10" s="1"/>
  <c r="G564" i="10"/>
  <c r="H564" i="10" s="1"/>
  <c r="G563" i="10"/>
  <c r="H563" i="10" s="1"/>
  <c r="G562" i="10"/>
  <c r="H562" i="10" s="1"/>
  <c r="G557" i="10"/>
  <c r="H557" i="10" s="1"/>
  <c r="G551" i="10"/>
  <c r="H551" i="10" s="1"/>
  <c r="G550" i="10"/>
  <c r="H550" i="10" s="1"/>
  <c r="G549" i="10"/>
  <c r="H549" i="10" s="1"/>
  <c r="G548" i="10"/>
  <c r="H548" i="10" s="1"/>
  <c r="G547" i="10"/>
  <c r="H547" i="10" s="1"/>
  <c r="G545" i="10"/>
  <c r="H545" i="10" s="1"/>
  <c r="G544" i="10"/>
  <c r="H544" i="10" s="1"/>
  <c r="G543" i="10"/>
  <c r="H543" i="10" s="1"/>
  <c r="G542" i="10"/>
  <c r="H542" i="10" s="1"/>
  <c r="G541" i="10"/>
  <c r="H541" i="10" s="1"/>
  <c r="G540" i="10"/>
  <c r="H540" i="10" s="1"/>
  <c r="G539" i="10"/>
  <c r="H539" i="10" s="1"/>
  <c r="G538" i="10"/>
  <c r="H538" i="10" s="1"/>
  <c r="G537" i="10"/>
  <c r="H537" i="10" s="1"/>
  <c r="G536" i="10"/>
  <c r="H536" i="10" s="1"/>
  <c r="G535" i="10"/>
  <c r="H535" i="10" s="1"/>
  <c r="G534" i="10"/>
  <c r="H534" i="10" s="1"/>
  <c r="G533" i="10"/>
  <c r="H533" i="10" s="1"/>
  <c r="G532" i="10"/>
  <c r="H532" i="10" s="1"/>
  <c r="G531" i="10"/>
  <c r="H531" i="10" s="1"/>
  <c r="G530" i="10"/>
  <c r="H530" i="10" s="1"/>
  <c r="G529" i="10"/>
  <c r="H529" i="10" s="1"/>
  <c r="G528" i="10"/>
  <c r="H528" i="10" s="1"/>
  <c r="G527" i="10"/>
  <c r="H527" i="10" s="1"/>
  <c r="G526" i="10"/>
  <c r="H526" i="10" s="1"/>
  <c r="G525" i="10"/>
  <c r="H525" i="10" s="1"/>
  <c r="G524" i="10"/>
  <c r="H524" i="10" s="1"/>
  <c r="G523" i="10"/>
  <c r="H523" i="10" s="1"/>
  <c r="G522" i="10"/>
  <c r="H522" i="10" s="1"/>
  <c r="G521" i="10"/>
  <c r="H521" i="10" s="1"/>
  <c r="G520" i="10"/>
  <c r="H520" i="10" s="1"/>
  <c r="G519" i="10"/>
  <c r="H519" i="10" s="1"/>
  <c r="G518" i="10"/>
  <c r="H518" i="10" s="1"/>
  <c r="G517" i="10"/>
  <c r="H517" i="10" s="1"/>
  <c r="G516" i="10"/>
  <c r="H516" i="10" s="1"/>
  <c r="G515" i="10"/>
  <c r="H515" i="10" s="1"/>
  <c r="G514" i="10"/>
  <c r="H514" i="10" s="1"/>
  <c r="G513" i="10"/>
  <c r="H513" i="10" s="1"/>
  <c r="G512" i="10"/>
  <c r="H512" i="10" s="1"/>
  <c r="G511" i="10"/>
  <c r="H511" i="10" s="1"/>
  <c r="G510" i="10"/>
  <c r="H510" i="10" s="1"/>
  <c r="G509" i="10"/>
  <c r="H509" i="10" s="1"/>
  <c r="G508" i="10"/>
  <c r="H508" i="10" s="1"/>
  <c r="G507" i="10"/>
  <c r="H507" i="10" s="1"/>
  <c r="G506" i="10"/>
  <c r="H506" i="10" s="1"/>
  <c r="G505" i="10"/>
  <c r="H505" i="10" s="1"/>
  <c r="G504" i="10"/>
  <c r="H504" i="10" s="1"/>
  <c r="G503" i="10"/>
  <c r="H503" i="10" s="1"/>
  <c r="G502" i="10"/>
  <c r="H502" i="10" s="1"/>
  <c r="G500" i="10"/>
  <c r="H500" i="10" s="1"/>
  <c r="H494" i="10"/>
  <c r="H493" i="10"/>
  <c r="H492" i="10"/>
  <c r="H491" i="10"/>
  <c r="H490" i="10"/>
  <c r="H489" i="10"/>
  <c r="H478" i="10"/>
  <c r="H477" i="10"/>
  <c r="H476" i="10"/>
  <c r="G457" i="10"/>
  <c r="H457" i="10" s="1"/>
  <c r="G456" i="10"/>
  <c r="H456" i="10" s="1"/>
  <c r="G455" i="10"/>
  <c r="H455" i="10" s="1"/>
  <c r="G454" i="10"/>
  <c r="H454" i="10" s="1"/>
  <c r="G453" i="10"/>
  <c r="H453" i="10" s="1"/>
  <c r="G452" i="10"/>
  <c r="H452" i="10" s="1"/>
  <c r="G451" i="10"/>
  <c r="H451" i="10" s="1"/>
  <c r="G450" i="10"/>
  <c r="H450" i="10" s="1"/>
  <c r="G449" i="10"/>
  <c r="H449" i="10" s="1"/>
  <c r="G448" i="10"/>
  <c r="H448" i="10" s="1"/>
  <c r="G447" i="10"/>
  <c r="H447" i="10" s="1"/>
  <c r="G446" i="10"/>
  <c r="H446" i="10" s="1"/>
  <c r="G445" i="10"/>
  <c r="H445" i="10" s="1"/>
  <c r="G444" i="10"/>
  <c r="H444" i="10" s="1"/>
  <c r="G443" i="10"/>
  <c r="H443" i="10" s="1"/>
  <c r="G442" i="10"/>
  <c r="H442" i="10" s="1"/>
  <c r="G441" i="10"/>
  <c r="H441" i="10" s="1"/>
  <c r="G440" i="10"/>
  <c r="H440" i="10" s="1"/>
  <c r="G439" i="10"/>
  <c r="H439" i="10" s="1"/>
  <c r="G438" i="10"/>
  <c r="H438" i="10" s="1"/>
  <c r="G437" i="10"/>
  <c r="H437" i="10" s="1"/>
  <c r="G436" i="10"/>
  <c r="H436" i="10" s="1"/>
  <c r="G435" i="10"/>
  <c r="H435" i="10" s="1"/>
  <c r="G434" i="10"/>
  <c r="H434" i="10" s="1"/>
  <c r="G433" i="10"/>
  <c r="H433" i="10" s="1"/>
  <c r="G432" i="10"/>
  <c r="H432" i="10" s="1"/>
  <c r="G431" i="10"/>
  <c r="H431" i="10" s="1"/>
  <c r="G430" i="10"/>
  <c r="H430" i="10" s="1"/>
  <c r="G429" i="10"/>
  <c r="H429" i="10" s="1"/>
  <c r="G428" i="10"/>
  <c r="H428" i="10" s="1"/>
  <c r="G427" i="10"/>
  <c r="H427" i="10" s="1"/>
  <c r="G426" i="10"/>
  <c r="H426" i="10" s="1"/>
  <c r="G418" i="10"/>
  <c r="H418" i="10" s="1"/>
  <c r="G417" i="10"/>
  <c r="H417" i="10" s="1"/>
  <c r="G414" i="10"/>
  <c r="H414" i="10" s="1"/>
  <c r="G405" i="10"/>
  <c r="H405" i="10" s="1"/>
  <c r="G404" i="10"/>
  <c r="H404" i="10" s="1"/>
  <c r="G393" i="10"/>
  <c r="H393" i="10" s="1"/>
  <c r="G392" i="10"/>
  <c r="H392" i="10" s="1"/>
  <c r="G391" i="10"/>
  <c r="H391" i="10" s="1"/>
  <c r="G390" i="10"/>
  <c r="H390" i="10" s="1"/>
  <c r="G389" i="10"/>
  <c r="H389" i="10" s="1"/>
  <c r="G388" i="10"/>
  <c r="H388" i="10" s="1"/>
  <c r="G387" i="10"/>
  <c r="H387" i="10" s="1"/>
  <c r="G386" i="10"/>
  <c r="H386" i="10" s="1"/>
  <c r="G385" i="10"/>
  <c r="H385" i="10" s="1"/>
  <c r="G384" i="10"/>
  <c r="H384" i="10" s="1"/>
  <c r="G383" i="10"/>
  <c r="H383" i="10" s="1"/>
  <c r="G382" i="10"/>
  <c r="H382" i="10" s="1"/>
  <c r="G381" i="10"/>
  <c r="H381" i="10" s="1"/>
  <c r="G380" i="10"/>
  <c r="H380" i="10" s="1"/>
  <c r="G379" i="10"/>
  <c r="H379" i="10" s="1"/>
  <c r="G378" i="10"/>
  <c r="H378" i="10" s="1"/>
  <c r="G377" i="10"/>
  <c r="H377" i="10" s="1"/>
  <c r="G376" i="10"/>
  <c r="H376" i="10" s="1"/>
  <c r="G375" i="10"/>
  <c r="H375" i="10" s="1"/>
  <c r="G374" i="10"/>
  <c r="H374" i="10" s="1"/>
  <c r="G373" i="10"/>
  <c r="H373" i="10" s="1"/>
  <c r="G372" i="10"/>
  <c r="H372" i="10" s="1"/>
  <c r="G371" i="10"/>
  <c r="H371" i="10" s="1"/>
  <c r="G370" i="10"/>
  <c r="H370" i="10" s="1"/>
  <c r="G369" i="10"/>
  <c r="H369" i="10" s="1"/>
  <c r="G368" i="10"/>
  <c r="H368" i="10" s="1"/>
  <c r="G367" i="10"/>
  <c r="H367" i="10" s="1"/>
  <c r="G356" i="10"/>
  <c r="H356" i="10" s="1"/>
  <c r="G355" i="10"/>
  <c r="H355" i="10" s="1"/>
  <c r="G354" i="10"/>
  <c r="H354" i="10" s="1"/>
  <c r="G353" i="10"/>
  <c r="H353" i="10" s="1"/>
  <c r="G352" i="10"/>
  <c r="H352" i="10" s="1"/>
  <c r="G351" i="10"/>
  <c r="H351" i="10" s="1"/>
  <c r="G350" i="10"/>
  <c r="H350" i="10" s="1"/>
  <c r="G349" i="10"/>
  <c r="H349" i="10" s="1"/>
  <c r="G348" i="10"/>
  <c r="H348" i="10" s="1"/>
  <c r="G347" i="10"/>
  <c r="H347" i="10" s="1"/>
  <c r="G346" i="10"/>
  <c r="H346" i="10" s="1"/>
  <c r="G345" i="10"/>
  <c r="H345" i="10" s="1"/>
  <c r="G344" i="10"/>
  <c r="H344" i="10" s="1"/>
  <c r="G343" i="10"/>
  <c r="H343" i="10" s="1"/>
  <c r="G342" i="10"/>
  <c r="H342" i="10" s="1"/>
  <c r="G341" i="10"/>
  <c r="H341" i="10" s="1"/>
  <c r="G340" i="10"/>
  <c r="H340" i="10" s="1"/>
  <c r="G339" i="10"/>
  <c r="H339" i="10" s="1"/>
  <c r="G338" i="10"/>
  <c r="H338" i="10" s="1"/>
  <c r="G337" i="10"/>
  <c r="H337" i="10" s="1"/>
  <c r="G336" i="10"/>
  <c r="H336" i="10" s="1"/>
  <c r="G335" i="10"/>
  <c r="H335" i="10" s="1"/>
  <c r="G334" i="10"/>
  <c r="H334" i="10" s="1"/>
  <c r="G333" i="10"/>
  <c r="H333" i="10" s="1"/>
  <c r="G332" i="10"/>
  <c r="H332" i="10" s="1"/>
  <c r="G331" i="10"/>
  <c r="H331" i="10" s="1"/>
  <c r="G330" i="10"/>
  <c r="H330" i="10" s="1"/>
  <c r="G329" i="10"/>
  <c r="H329" i="10" s="1"/>
  <c r="G328" i="10"/>
  <c r="H328" i="10" s="1"/>
  <c r="G327" i="10"/>
  <c r="H327" i="10" s="1"/>
  <c r="G326" i="10"/>
  <c r="H326" i="10" s="1"/>
  <c r="G325" i="10"/>
  <c r="H325" i="10" s="1"/>
  <c r="G324" i="10"/>
  <c r="H324" i="10" s="1"/>
  <c r="G322" i="10"/>
  <c r="H322" i="10" s="1"/>
  <c r="G321" i="10"/>
  <c r="H321" i="10" s="1"/>
  <c r="G320" i="10"/>
  <c r="H320" i="10" s="1"/>
  <c r="G319" i="10"/>
  <c r="H319" i="10" s="1"/>
  <c r="G318" i="10"/>
  <c r="H318" i="10" s="1"/>
  <c r="G317" i="10"/>
  <c r="H317" i="10" s="1"/>
  <c r="G316" i="10"/>
  <c r="H316" i="10" s="1"/>
  <c r="G315" i="10"/>
  <c r="H315" i="10" s="1"/>
  <c r="G314" i="10"/>
  <c r="H314" i="10" s="1"/>
  <c r="G313" i="10"/>
  <c r="H313" i="10" s="1"/>
  <c r="G312" i="10"/>
  <c r="H312" i="10" s="1"/>
  <c r="G311" i="10"/>
  <c r="H311" i="10" s="1"/>
  <c r="G310" i="10"/>
  <c r="H310" i="10" s="1"/>
  <c r="G309" i="10"/>
  <c r="H309" i="10" s="1"/>
  <c r="G308" i="10"/>
  <c r="H308" i="10" s="1"/>
  <c r="G307" i="10"/>
  <c r="H307" i="10" s="1"/>
  <c r="G306" i="10"/>
  <c r="H306" i="10" s="1"/>
  <c r="G305" i="10"/>
  <c r="H305" i="10" s="1"/>
  <c r="G304" i="10"/>
  <c r="H304" i="10" s="1"/>
  <c r="G303" i="10"/>
  <c r="H303" i="10" s="1"/>
  <c r="G302" i="10"/>
  <c r="H302" i="10" s="1"/>
  <c r="G301" i="10"/>
  <c r="H301" i="10" s="1"/>
  <c r="G300" i="10"/>
  <c r="H300" i="10" s="1"/>
  <c r="G299" i="10"/>
  <c r="H299" i="10" s="1"/>
  <c r="G298" i="10"/>
  <c r="H298" i="10" s="1"/>
  <c r="G297" i="10"/>
  <c r="H297" i="10" s="1"/>
  <c r="G296" i="10"/>
  <c r="H296" i="10" s="1"/>
  <c r="G295" i="10"/>
  <c r="H295" i="10" s="1"/>
  <c r="G294" i="10"/>
  <c r="H294" i="10" s="1"/>
  <c r="G293" i="10"/>
  <c r="H293" i="10" s="1"/>
  <c r="G292" i="10"/>
  <c r="H292" i="10" s="1"/>
  <c r="G291" i="10"/>
  <c r="H291" i="10" s="1"/>
  <c r="G289" i="10"/>
  <c r="H289" i="10" s="1"/>
  <c r="G286" i="10"/>
  <c r="H286" i="10" s="1"/>
  <c r="G285" i="10"/>
  <c r="H285" i="10" s="1"/>
  <c r="G284" i="10"/>
  <c r="H284" i="10" s="1"/>
  <c r="G283" i="10"/>
  <c r="H283" i="10" s="1"/>
  <c r="G282" i="10"/>
  <c r="H282" i="10" s="1"/>
  <c r="G281" i="10"/>
  <c r="H281" i="10" s="1"/>
  <c r="G280" i="10"/>
  <c r="H280" i="10" s="1"/>
  <c r="G279" i="10"/>
  <c r="H279" i="10" s="1"/>
  <c r="G278" i="10"/>
  <c r="H278" i="10" s="1"/>
  <c r="G267" i="10"/>
  <c r="H267" i="10" s="1"/>
  <c r="G266" i="10"/>
  <c r="H266" i="10" s="1"/>
  <c r="G265" i="10"/>
  <c r="H265" i="10" s="1"/>
  <c r="G264" i="10"/>
  <c r="H264" i="10" s="1"/>
  <c r="G263" i="10"/>
  <c r="H263" i="10" s="1"/>
  <c r="G262" i="10"/>
  <c r="H262" i="10" s="1"/>
  <c r="G261" i="10"/>
  <c r="H261" i="10" s="1"/>
  <c r="G260" i="10"/>
  <c r="H260" i="10" s="1"/>
  <c r="G259" i="10"/>
  <c r="H259" i="10" s="1"/>
  <c r="G258" i="10"/>
  <c r="H258" i="10" s="1"/>
  <c r="G257" i="10"/>
  <c r="H257" i="10" s="1"/>
  <c r="G256" i="10"/>
  <c r="H256" i="10" s="1"/>
  <c r="G255" i="10"/>
  <c r="H255" i="10" s="1"/>
  <c r="G254" i="10"/>
  <c r="H254" i="10" s="1"/>
  <c r="G253" i="10"/>
  <c r="H253" i="10" s="1"/>
  <c r="G252" i="10"/>
  <c r="H252" i="10" s="1"/>
  <c r="G243" i="10"/>
  <c r="H243" i="10" s="1"/>
  <c r="G242" i="10"/>
  <c r="H242" i="10" s="1"/>
  <c r="G241" i="10"/>
  <c r="H241" i="10" s="1"/>
  <c r="G240" i="10"/>
  <c r="H240" i="10" s="1"/>
  <c r="G239" i="10"/>
  <c r="H239" i="10" s="1"/>
  <c r="G238" i="10"/>
  <c r="H238" i="10" s="1"/>
  <c r="G237" i="10"/>
  <c r="H237" i="10" s="1"/>
  <c r="G236" i="10"/>
  <c r="H236" i="10" s="1"/>
  <c r="G235" i="10"/>
  <c r="H235" i="10" s="1"/>
  <c r="G234" i="10"/>
  <c r="H234" i="10" s="1"/>
  <c r="G233" i="10"/>
  <c r="H233" i="10" s="1"/>
  <c r="G226" i="10"/>
  <c r="H226" i="10" s="1"/>
  <c r="G225" i="10"/>
  <c r="H225" i="10" s="1"/>
  <c r="G224" i="10"/>
  <c r="H224" i="10" s="1"/>
  <c r="G223" i="10"/>
  <c r="H223" i="10" s="1"/>
  <c r="G222" i="10"/>
  <c r="H222" i="10" s="1"/>
  <c r="G221" i="10"/>
  <c r="H221" i="10" s="1"/>
  <c r="G220" i="10"/>
  <c r="H220" i="10" s="1"/>
  <c r="G219" i="10"/>
  <c r="H219" i="10" s="1"/>
  <c r="G218" i="10"/>
  <c r="H218" i="10" s="1"/>
  <c r="G217" i="10"/>
  <c r="H217" i="10" s="1"/>
  <c r="G216" i="10"/>
  <c r="H216" i="10" s="1"/>
  <c r="G215" i="10"/>
  <c r="H215" i="10" s="1"/>
  <c r="G214" i="10"/>
  <c r="H214" i="10" s="1"/>
  <c r="G213" i="10"/>
  <c r="H213" i="10" s="1"/>
  <c r="G212" i="10"/>
  <c r="H212" i="10" s="1"/>
  <c r="G211" i="10"/>
  <c r="H211" i="10" s="1"/>
  <c r="G210" i="10"/>
  <c r="H210" i="10" s="1"/>
  <c r="G209" i="10"/>
  <c r="H209" i="10" s="1"/>
  <c r="G208" i="10"/>
  <c r="H208" i="10" s="1"/>
  <c r="G207" i="10"/>
  <c r="H207" i="10" s="1"/>
  <c r="G206" i="10"/>
  <c r="H206" i="10" s="1"/>
  <c r="G205" i="10"/>
  <c r="H205" i="10" s="1"/>
  <c r="G204" i="10"/>
  <c r="H204" i="10" s="1"/>
  <c r="G203" i="10"/>
  <c r="H203" i="10" s="1"/>
  <c r="G202" i="10"/>
  <c r="H202" i="10" s="1"/>
  <c r="G201" i="10"/>
  <c r="H201" i="10" s="1"/>
  <c r="G200" i="10"/>
  <c r="H200" i="10" s="1"/>
  <c r="G199" i="10"/>
  <c r="H199" i="10" s="1"/>
  <c r="G198" i="10"/>
  <c r="H198" i="10" s="1"/>
  <c r="G191" i="10"/>
  <c r="H191" i="10" s="1"/>
  <c r="G190" i="10"/>
  <c r="H190" i="10" s="1"/>
  <c r="G182" i="10"/>
  <c r="H182" i="10" s="1"/>
  <c r="G181" i="10"/>
  <c r="H181" i="10" s="1"/>
  <c r="G180" i="10"/>
  <c r="H180" i="10" s="1"/>
  <c r="G179" i="10"/>
  <c r="H179" i="10" s="1"/>
  <c r="G178" i="10"/>
  <c r="H178" i="10" s="1"/>
  <c r="G177" i="10"/>
  <c r="H177" i="10" s="1"/>
  <c r="G176" i="10"/>
  <c r="H176" i="10" s="1"/>
  <c r="G175" i="10"/>
  <c r="H175" i="10" s="1"/>
  <c r="G174" i="10"/>
  <c r="H174" i="10" s="1"/>
  <c r="G173" i="10"/>
  <c r="H173" i="10" s="1"/>
  <c r="G172" i="10"/>
  <c r="H172" i="10" s="1"/>
  <c r="G171" i="10"/>
  <c r="H171" i="10" s="1"/>
  <c r="G170" i="10"/>
  <c r="H170" i="10" s="1"/>
  <c r="G169" i="10"/>
  <c r="H169" i="10" s="1"/>
  <c r="G168" i="10"/>
  <c r="H168" i="10" s="1"/>
  <c r="G167" i="10"/>
  <c r="H167" i="10" s="1"/>
  <c r="G166" i="10"/>
  <c r="H166" i="10" s="1"/>
  <c r="G165" i="10"/>
  <c r="H165" i="10" s="1"/>
  <c r="G164" i="10"/>
  <c r="H164" i="10" s="1"/>
  <c r="G163" i="10"/>
  <c r="H163" i="10" s="1"/>
  <c r="G162" i="10"/>
  <c r="H162" i="10" s="1"/>
  <c r="G161" i="10"/>
  <c r="H161" i="10" s="1"/>
  <c r="G160" i="10"/>
  <c r="H160" i="10" s="1"/>
  <c r="G159" i="10"/>
  <c r="H159" i="10" s="1"/>
  <c r="G158" i="10"/>
  <c r="H158" i="10" s="1"/>
  <c r="G157" i="10"/>
  <c r="H157" i="10" s="1"/>
  <c r="G156" i="10"/>
  <c r="H156" i="10" s="1"/>
  <c r="G155" i="10"/>
  <c r="H155" i="10" s="1"/>
  <c r="G154" i="10"/>
  <c r="H154" i="10" s="1"/>
  <c r="G153" i="10"/>
  <c r="H153" i="10" s="1"/>
  <c r="G152" i="10"/>
  <c r="H152" i="10" s="1"/>
  <c r="G151" i="10"/>
  <c r="H151" i="10" s="1"/>
  <c r="G150" i="10"/>
  <c r="H150" i="10" s="1"/>
  <c r="G149" i="10"/>
  <c r="H149" i="10" s="1"/>
  <c r="G148" i="10"/>
  <c r="H148" i="10" s="1"/>
  <c r="G147" i="10"/>
  <c r="H147" i="10" s="1"/>
  <c r="G146" i="10"/>
  <c r="H146" i="10" s="1"/>
  <c r="G145" i="10"/>
  <c r="H145" i="10" s="1"/>
  <c r="G144" i="10"/>
  <c r="H144" i="10" s="1"/>
  <c r="G143" i="10"/>
  <c r="H143" i="10" s="1"/>
  <c r="G142" i="10"/>
  <c r="H142" i="10" s="1"/>
  <c r="G141" i="10"/>
  <c r="H141" i="10" s="1"/>
  <c r="G140" i="10"/>
  <c r="H140" i="10" s="1"/>
  <c r="G139" i="10"/>
  <c r="H139" i="10" s="1"/>
  <c r="G138" i="10"/>
  <c r="H138" i="10" s="1"/>
  <c r="G137" i="10"/>
  <c r="H137" i="10" s="1"/>
  <c r="G136" i="10"/>
  <c r="H136" i="10" s="1"/>
  <c r="G135" i="10"/>
  <c r="H135" i="10" s="1"/>
  <c r="G134" i="10"/>
  <c r="H134" i="10" s="1"/>
  <c r="G133" i="10"/>
  <c r="H133" i="10" s="1"/>
  <c r="G124" i="10"/>
  <c r="H124" i="10" s="1"/>
  <c r="G123" i="10"/>
  <c r="H123" i="10" s="1"/>
  <c r="G122" i="10"/>
  <c r="H122" i="10" s="1"/>
  <c r="G121" i="10"/>
  <c r="H121" i="10" s="1"/>
  <c r="G120" i="10"/>
  <c r="H120" i="10" s="1"/>
  <c r="G119" i="10"/>
  <c r="H119" i="10" s="1"/>
  <c r="G118" i="10"/>
  <c r="H118" i="10" s="1"/>
  <c r="G116" i="10"/>
  <c r="H116" i="10" s="1"/>
  <c r="G115" i="10"/>
  <c r="H115" i="10" s="1"/>
  <c r="G114" i="10"/>
  <c r="H114" i="10" s="1"/>
  <c r="G113" i="10"/>
  <c r="H113" i="10" s="1"/>
  <c r="G112" i="10"/>
  <c r="H112" i="10" s="1"/>
  <c r="G111" i="10"/>
  <c r="H111" i="10" s="1"/>
  <c r="G110" i="10"/>
  <c r="H110" i="10" s="1"/>
  <c r="G109" i="10"/>
  <c r="H109" i="10" s="1"/>
  <c r="G108" i="10"/>
  <c r="H108" i="10" s="1"/>
  <c r="G107" i="10"/>
  <c r="H107" i="10" s="1"/>
  <c r="G106" i="10"/>
  <c r="H106" i="10" s="1"/>
  <c r="G105" i="10"/>
  <c r="H105" i="10" s="1"/>
  <c r="G104" i="10"/>
  <c r="H104" i="10" s="1"/>
  <c r="G103" i="10"/>
  <c r="H103" i="10" s="1"/>
  <c r="G102" i="10"/>
  <c r="H102" i="10" s="1"/>
  <c r="G101" i="10"/>
  <c r="H101" i="10" s="1"/>
  <c r="G100" i="10"/>
  <c r="H100" i="10" s="1"/>
  <c r="G99" i="10"/>
  <c r="H99" i="10" s="1"/>
  <c r="G98" i="10"/>
  <c r="H98" i="10" s="1"/>
  <c r="G97" i="10"/>
  <c r="H97" i="10" s="1"/>
  <c r="G96" i="10"/>
  <c r="H96" i="10" s="1"/>
  <c r="G95" i="10"/>
  <c r="H95" i="10" s="1"/>
  <c r="G94" i="10"/>
  <c r="H94" i="10" s="1"/>
  <c r="G93" i="10"/>
  <c r="H93" i="10" s="1"/>
  <c r="G92" i="10"/>
  <c r="H92" i="10" s="1"/>
  <c r="G91" i="10"/>
  <c r="H91" i="10" s="1"/>
  <c r="G90" i="10"/>
  <c r="H90" i="10" s="1"/>
  <c r="G89" i="10"/>
  <c r="H89" i="10" s="1"/>
  <c r="G88" i="10"/>
  <c r="H88" i="10" s="1"/>
  <c r="G87" i="10"/>
  <c r="H87" i="10" s="1"/>
  <c r="G86" i="10"/>
  <c r="H86" i="10" s="1"/>
  <c r="G85" i="10"/>
  <c r="H85" i="10" s="1"/>
  <c r="G84" i="10"/>
  <c r="H84" i="10" s="1"/>
  <c r="G83" i="10"/>
  <c r="H83" i="10" s="1"/>
  <c r="G82" i="10"/>
  <c r="H82" i="10" s="1"/>
  <c r="G81" i="10"/>
  <c r="H81" i="10" s="1"/>
  <c r="G80" i="10"/>
  <c r="H80" i="10" s="1"/>
  <c r="G79" i="10"/>
  <c r="H79" i="10" s="1"/>
  <c r="G78" i="10"/>
  <c r="H78" i="10" s="1"/>
  <c r="G77" i="10"/>
  <c r="H77" i="10" s="1"/>
  <c r="G76" i="10"/>
  <c r="H76" i="10" s="1"/>
  <c r="G75" i="10"/>
  <c r="H75" i="10" s="1"/>
  <c r="G74" i="10"/>
  <c r="H74" i="10" s="1"/>
  <c r="G73" i="10"/>
  <c r="H73" i="10" s="1"/>
  <c r="G68" i="10"/>
  <c r="H68" i="10" s="1"/>
  <c r="G66" i="10"/>
  <c r="H66" i="10" s="1"/>
  <c r="G65" i="10"/>
  <c r="H65" i="10" s="1"/>
  <c r="G64" i="10"/>
  <c r="H64" i="10" s="1"/>
  <c r="G63" i="10"/>
  <c r="H63" i="10" s="1"/>
  <c r="G62" i="10"/>
  <c r="H62" i="10" s="1"/>
  <c r="G61" i="10"/>
  <c r="H61" i="10" s="1"/>
  <c r="G60" i="10"/>
  <c r="H60" i="10" s="1"/>
  <c r="G59" i="10"/>
  <c r="H59" i="10" s="1"/>
  <c r="G58" i="10"/>
  <c r="H58" i="10" s="1"/>
  <c r="G57" i="10"/>
  <c r="H57" i="10" s="1"/>
  <c r="G56" i="10"/>
  <c r="H56" i="10" s="1"/>
  <c r="G55" i="10"/>
  <c r="H55" i="10" s="1"/>
  <c r="G54" i="10"/>
  <c r="H54" i="10" s="1"/>
  <c r="G53" i="10"/>
  <c r="H53" i="10" s="1"/>
  <c r="G52" i="10"/>
  <c r="H52" i="10" s="1"/>
  <c r="G51" i="10"/>
  <c r="H51" i="10" s="1"/>
  <c r="G50" i="10"/>
  <c r="H50" i="10" s="1"/>
  <c r="G49" i="10"/>
  <c r="H49" i="10" s="1"/>
  <c r="G48" i="10"/>
  <c r="H48" i="10" s="1"/>
  <c r="G47" i="10"/>
  <c r="H47" i="10" s="1"/>
  <c r="G46" i="10"/>
  <c r="H46" i="10" s="1"/>
  <c r="G45" i="10"/>
  <c r="H45" i="10" s="1"/>
  <c r="G44" i="10"/>
  <c r="H44" i="10" s="1"/>
  <c r="G43" i="10"/>
  <c r="H43" i="10" s="1"/>
  <c r="G42" i="10"/>
  <c r="H42" i="10" s="1"/>
  <c r="G41" i="10"/>
  <c r="H41" i="10" s="1"/>
  <c r="G40" i="10"/>
  <c r="H40" i="10" s="1"/>
  <c r="G39" i="10"/>
  <c r="H39" i="10" s="1"/>
  <c r="G38" i="10"/>
  <c r="H38" i="10" s="1"/>
  <c r="G37" i="10"/>
  <c r="H37" i="10" s="1"/>
  <c r="G36" i="10"/>
  <c r="H36" i="10" s="1"/>
  <c r="G35" i="10"/>
  <c r="H35" i="10" s="1"/>
  <c r="G34" i="10"/>
  <c r="H34" i="10" s="1"/>
  <c r="G33" i="10"/>
  <c r="H33" i="10" s="1"/>
  <c r="G32" i="10"/>
  <c r="H32" i="10" s="1"/>
  <c r="G31" i="10"/>
  <c r="H31" i="10" s="1"/>
  <c r="G30" i="10"/>
  <c r="H30" i="10" s="1"/>
  <c r="G28" i="10"/>
  <c r="H28" i="10" s="1"/>
  <c r="G27" i="10"/>
  <c r="H27" i="10" s="1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G19" i="10"/>
  <c r="H19" i="10" s="1"/>
  <c r="G18" i="10"/>
  <c r="H18" i="10" s="1"/>
  <c r="G7" i="10"/>
  <c r="H7" i="10" s="1"/>
  <c r="G6" i="10"/>
  <c r="H6" i="10" s="1"/>
  <c r="I1017" i="10"/>
  <c r="I1016" i="10"/>
  <c r="I1015" i="10"/>
  <c r="I1014" i="10"/>
  <c r="I1013" i="10"/>
  <c r="I1012" i="10"/>
  <c r="I1011" i="10"/>
  <c r="I1010" i="10"/>
  <c r="I1009" i="10"/>
  <c r="I1008" i="10"/>
  <c r="I1001" i="10"/>
  <c r="I999" i="10"/>
  <c r="I998" i="10"/>
  <c r="I997" i="10"/>
  <c r="I996" i="10"/>
  <c r="I995" i="10"/>
  <c r="I994" i="10"/>
  <c r="I993" i="10"/>
  <c r="I992" i="10"/>
  <c r="I991" i="10"/>
  <c r="I990" i="10"/>
  <c r="I989" i="10"/>
  <c r="I988" i="10"/>
  <c r="I986" i="10"/>
  <c r="I984" i="10"/>
  <c r="I983" i="10"/>
  <c r="I982" i="10"/>
  <c r="I981" i="10"/>
  <c r="I980" i="10"/>
  <c r="I979" i="10"/>
  <c r="I978" i="10"/>
  <c r="I977" i="10"/>
  <c r="I976" i="10"/>
  <c r="I975" i="10"/>
  <c r="I974" i="10"/>
  <c r="I973" i="10"/>
  <c r="I972" i="10"/>
  <c r="I971" i="10"/>
  <c r="I970" i="10"/>
  <c r="I969" i="10"/>
  <c r="I968" i="10"/>
  <c r="I967" i="10"/>
  <c r="I954" i="10"/>
  <c r="I945" i="10"/>
  <c r="I923" i="10"/>
  <c r="I921" i="10"/>
  <c r="I922" i="10" s="1"/>
  <c r="J922" i="10" s="1"/>
  <c r="M54" i="11" s="1"/>
  <c r="I919" i="10"/>
  <c r="I918" i="10"/>
  <c r="I905" i="10"/>
  <c r="I903" i="10"/>
  <c r="I902" i="10"/>
  <c r="I895" i="10"/>
  <c r="I894" i="10"/>
  <c r="I893" i="10"/>
  <c r="I892" i="10"/>
  <c r="I891" i="10"/>
  <c r="I890" i="10"/>
  <c r="I875" i="10"/>
  <c r="I874" i="10"/>
  <c r="I873" i="10"/>
  <c r="I872" i="10"/>
  <c r="I871" i="10"/>
  <c r="I870" i="10"/>
  <c r="I869" i="10"/>
  <c r="I868" i="10"/>
  <c r="I867" i="10"/>
  <c r="I866" i="10"/>
  <c r="I865" i="10"/>
  <c r="I864" i="10"/>
  <c r="I856" i="10"/>
  <c r="I847" i="10"/>
  <c r="I846" i="10"/>
  <c r="I845" i="10"/>
  <c r="I844" i="10"/>
  <c r="I835" i="10"/>
  <c r="I834" i="10"/>
  <c r="I833" i="10"/>
  <c r="I832" i="10"/>
  <c r="I831" i="10"/>
  <c r="I830" i="10"/>
  <c r="I822" i="10"/>
  <c r="I821" i="10"/>
  <c r="I820" i="10"/>
  <c r="I818" i="10"/>
  <c r="I817" i="10"/>
  <c r="I816" i="10"/>
  <c r="I815" i="10"/>
  <c r="I814" i="10"/>
  <c r="I813" i="10"/>
  <c r="I812" i="10"/>
  <c r="I811" i="10"/>
  <c r="I807" i="10"/>
  <c r="I800" i="10"/>
  <c r="I790" i="10"/>
  <c r="I786" i="10"/>
  <c r="I768" i="10"/>
  <c r="I760" i="10"/>
  <c r="I724" i="10"/>
  <c r="I723" i="10"/>
  <c r="I722" i="10"/>
  <c r="I716" i="10"/>
  <c r="I714" i="10"/>
  <c r="I713" i="10"/>
  <c r="I712" i="10"/>
  <c r="I711" i="10"/>
  <c r="I710" i="10"/>
  <c r="I709" i="10"/>
  <c r="I708" i="10"/>
  <c r="I707" i="10"/>
  <c r="I706" i="10"/>
  <c r="I705" i="10"/>
  <c r="I704" i="10"/>
  <c r="I703" i="10"/>
  <c r="I702" i="10"/>
  <c r="I701" i="10"/>
  <c r="I700" i="10"/>
  <c r="I699" i="10"/>
  <c r="I698" i="10"/>
  <c r="I697" i="10"/>
  <c r="I696" i="10"/>
  <c r="I695" i="10"/>
  <c r="I694" i="10"/>
  <c r="I693" i="10"/>
  <c r="I692" i="10"/>
  <c r="I691" i="10"/>
  <c r="I690" i="10"/>
  <c r="I689" i="10"/>
  <c r="I688" i="10"/>
  <c r="I687" i="10"/>
  <c r="I686" i="10"/>
  <c r="I685" i="10"/>
  <c r="I684" i="10"/>
  <c r="I683" i="10"/>
  <c r="I682" i="10"/>
  <c r="I681" i="10"/>
  <c r="I680" i="10"/>
  <c r="I679" i="10"/>
  <c r="I678" i="10"/>
  <c r="I677" i="10"/>
  <c r="I676" i="10"/>
  <c r="I671" i="10"/>
  <c r="I670" i="10"/>
  <c r="I668" i="10"/>
  <c r="I662" i="10"/>
  <c r="I661" i="10"/>
  <c r="I660" i="10"/>
  <c r="I659" i="10"/>
  <c r="I658" i="10"/>
  <c r="I657" i="10"/>
  <c r="I656" i="10"/>
  <c r="I655" i="10"/>
  <c r="I654" i="10"/>
  <c r="I653" i="10"/>
  <c r="I652" i="10"/>
  <c r="I651" i="10"/>
  <c r="I650" i="10"/>
  <c r="I649" i="10"/>
  <c r="I648" i="10"/>
  <c r="I647" i="10"/>
  <c r="I646" i="10"/>
  <c r="I64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29" i="10"/>
  <c r="I628" i="10"/>
  <c r="I627" i="10"/>
  <c r="I625" i="10"/>
  <c r="I617" i="10"/>
  <c r="I616" i="10"/>
  <c r="I615" i="10"/>
  <c r="I614" i="10"/>
  <c r="I613" i="10"/>
  <c r="I612" i="10"/>
  <c r="I611" i="10"/>
  <c r="I610" i="10"/>
  <c r="I609" i="10"/>
  <c r="I608" i="10"/>
  <c r="I607" i="10"/>
  <c r="I606" i="10"/>
  <c r="I605" i="10"/>
  <c r="I604" i="10"/>
  <c r="I603" i="10"/>
  <c r="I602" i="10"/>
  <c r="I601" i="10"/>
  <c r="I600" i="10"/>
  <c r="I598" i="10"/>
  <c r="I597" i="10"/>
  <c r="I596" i="10"/>
  <c r="I595" i="10"/>
  <c r="I594" i="10"/>
  <c r="I593" i="10"/>
  <c r="I592" i="10"/>
  <c r="I591" i="10"/>
  <c r="I590" i="10"/>
  <c r="I589" i="10"/>
  <c r="I588" i="10"/>
  <c r="I587" i="10"/>
  <c r="I586" i="10"/>
  <c r="I585" i="10"/>
  <c r="I584" i="10"/>
  <c r="I583" i="10"/>
  <c r="I582" i="10"/>
  <c r="I581" i="10"/>
  <c r="I580" i="10"/>
  <c r="I579" i="10"/>
  <c r="I578" i="10"/>
  <c r="I577" i="10"/>
  <c r="I576" i="10"/>
  <c r="I575" i="10"/>
  <c r="I574" i="10"/>
  <c r="I573" i="10"/>
  <c r="I572" i="10"/>
  <c r="I571" i="10"/>
  <c r="I570" i="10"/>
  <c r="I569" i="10"/>
  <c r="I568" i="10"/>
  <c r="I567" i="10"/>
  <c r="I566" i="10"/>
  <c r="I565" i="10"/>
  <c r="I564" i="10"/>
  <c r="I563" i="10"/>
  <c r="I562" i="10"/>
  <c r="I557" i="10"/>
  <c r="I551" i="10"/>
  <c r="I550" i="10"/>
  <c r="I549" i="10"/>
  <c r="I548" i="10"/>
  <c r="I547" i="10"/>
  <c r="I545" i="10"/>
  <c r="I544" i="10"/>
  <c r="I543" i="10"/>
  <c r="I542" i="10"/>
  <c r="I541" i="10"/>
  <c r="I540" i="10"/>
  <c r="I539" i="10"/>
  <c r="I538" i="10"/>
  <c r="I537" i="10"/>
  <c r="I536" i="10"/>
  <c r="I535" i="10"/>
  <c r="I534" i="10"/>
  <c r="I533" i="10"/>
  <c r="I532" i="10"/>
  <c r="I531" i="10"/>
  <c r="I530" i="10"/>
  <c r="I529" i="10"/>
  <c r="I528" i="10"/>
  <c r="I527" i="10"/>
  <c r="I526" i="10"/>
  <c r="I525" i="10"/>
  <c r="I524" i="10"/>
  <c r="I523" i="10"/>
  <c r="I522" i="10"/>
  <c r="I521" i="10"/>
  <c r="I520" i="10"/>
  <c r="I519" i="10"/>
  <c r="I518" i="10"/>
  <c r="I517" i="10"/>
  <c r="I516" i="10"/>
  <c r="I515" i="10"/>
  <c r="I514" i="10"/>
  <c r="I513" i="10"/>
  <c r="I512" i="10"/>
  <c r="I511" i="10"/>
  <c r="I510" i="10"/>
  <c r="I509" i="10"/>
  <c r="I508" i="10"/>
  <c r="I507" i="10"/>
  <c r="I506" i="10"/>
  <c r="I505" i="10"/>
  <c r="I504" i="10"/>
  <c r="I503" i="10"/>
  <c r="I502" i="10"/>
  <c r="I500" i="10"/>
  <c r="I494" i="10"/>
  <c r="I493" i="10"/>
  <c r="I492" i="10"/>
  <c r="I491" i="10"/>
  <c r="I490" i="10"/>
  <c r="I489" i="10"/>
  <c r="I478" i="10"/>
  <c r="I477" i="10"/>
  <c r="I476" i="10"/>
  <c r="I457" i="10"/>
  <c r="I456" i="10"/>
  <c r="I455" i="10"/>
  <c r="I454" i="10"/>
  <c r="I453" i="10"/>
  <c r="I452" i="10"/>
  <c r="I451" i="10"/>
  <c r="I450" i="10"/>
  <c r="I449" i="10"/>
  <c r="I448" i="10"/>
  <c r="I447" i="10"/>
  <c r="I446" i="10"/>
  <c r="I445" i="10"/>
  <c r="I444" i="10"/>
  <c r="I443" i="10"/>
  <c r="I442" i="10"/>
  <c r="I441" i="10"/>
  <c r="I440" i="10"/>
  <c r="I439" i="10"/>
  <c r="I438" i="10"/>
  <c r="I437" i="10"/>
  <c r="I436" i="10"/>
  <c r="I435" i="10"/>
  <c r="I434" i="10"/>
  <c r="I433" i="10"/>
  <c r="I432" i="10"/>
  <c r="I431" i="10"/>
  <c r="I430" i="10"/>
  <c r="I429" i="10"/>
  <c r="I428" i="10"/>
  <c r="I427" i="10"/>
  <c r="I426" i="10"/>
  <c r="I418" i="10"/>
  <c r="I417" i="10"/>
  <c r="I414" i="10"/>
  <c r="I405" i="10"/>
  <c r="I404" i="10"/>
  <c r="I393" i="10"/>
  <c r="I392" i="10"/>
  <c r="I391" i="10"/>
  <c r="I390" i="10"/>
  <c r="I389" i="10"/>
  <c r="I388" i="10"/>
  <c r="I387" i="10"/>
  <c r="I386" i="10"/>
  <c r="I385" i="10"/>
  <c r="I384" i="10"/>
  <c r="I383" i="10"/>
  <c r="I382" i="10"/>
  <c r="I381" i="10"/>
  <c r="I380" i="10"/>
  <c r="I379" i="10"/>
  <c r="I378" i="10"/>
  <c r="I377" i="10"/>
  <c r="I376" i="10"/>
  <c r="I375" i="10"/>
  <c r="I374" i="10"/>
  <c r="I373" i="10"/>
  <c r="I372" i="10"/>
  <c r="I371" i="10"/>
  <c r="I370" i="10"/>
  <c r="I369" i="10"/>
  <c r="I368" i="10"/>
  <c r="I367" i="10"/>
  <c r="I356" i="10"/>
  <c r="I355" i="10"/>
  <c r="I354" i="10"/>
  <c r="I353" i="10"/>
  <c r="I352" i="10"/>
  <c r="I351" i="10"/>
  <c r="I350" i="10"/>
  <c r="I349" i="10"/>
  <c r="I348" i="10"/>
  <c r="I347" i="10"/>
  <c r="I346" i="10"/>
  <c r="I345" i="10"/>
  <c r="I344" i="10"/>
  <c r="I343" i="10"/>
  <c r="I342" i="10"/>
  <c r="I341" i="10"/>
  <c r="I340" i="10"/>
  <c r="I339" i="10"/>
  <c r="I338" i="10"/>
  <c r="I337" i="10"/>
  <c r="I336" i="10"/>
  <c r="I335" i="10"/>
  <c r="I334" i="10"/>
  <c r="I333" i="10"/>
  <c r="I332" i="10"/>
  <c r="I331" i="10"/>
  <c r="I330" i="10"/>
  <c r="I329" i="10"/>
  <c r="I328" i="10"/>
  <c r="I327" i="10"/>
  <c r="I326" i="10"/>
  <c r="I325" i="10"/>
  <c r="I324" i="10"/>
  <c r="I322" i="10"/>
  <c r="I321" i="10"/>
  <c r="I320" i="10"/>
  <c r="I319" i="10"/>
  <c r="I318" i="10"/>
  <c r="I317" i="10"/>
  <c r="I316" i="10"/>
  <c r="I315" i="10"/>
  <c r="I314" i="10"/>
  <c r="I313" i="10"/>
  <c r="I312" i="10"/>
  <c r="I311" i="10"/>
  <c r="I310" i="10"/>
  <c r="I309" i="10"/>
  <c r="I308" i="10"/>
  <c r="I307" i="10"/>
  <c r="I306" i="10"/>
  <c r="I305" i="10"/>
  <c r="I304" i="10"/>
  <c r="I303" i="10"/>
  <c r="I302" i="10"/>
  <c r="I301" i="10"/>
  <c r="I300" i="10"/>
  <c r="I299" i="10"/>
  <c r="I298" i="10"/>
  <c r="I297" i="10"/>
  <c r="I296" i="10"/>
  <c r="I295" i="10"/>
  <c r="I294" i="10"/>
  <c r="I293" i="10"/>
  <c r="I292" i="10"/>
  <c r="I291" i="10"/>
  <c r="I289" i="10"/>
  <c r="I286" i="10"/>
  <c r="I285" i="10"/>
  <c r="I284" i="10"/>
  <c r="I283" i="10"/>
  <c r="I282" i="10"/>
  <c r="I281" i="10"/>
  <c r="I280" i="10"/>
  <c r="I279" i="10"/>
  <c r="I278" i="10"/>
  <c r="I267" i="10"/>
  <c r="I266" i="10"/>
  <c r="I265" i="10"/>
  <c r="I264" i="10"/>
  <c r="I263" i="10"/>
  <c r="I262" i="10"/>
  <c r="I261" i="10"/>
  <c r="I260" i="10"/>
  <c r="I259" i="10"/>
  <c r="I258" i="10"/>
  <c r="I257" i="10"/>
  <c r="I256" i="10"/>
  <c r="I255" i="10"/>
  <c r="I254" i="10"/>
  <c r="I253" i="10"/>
  <c r="I252" i="10"/>
  <c r="I243" i="10"/>
  <c r="I242" i="10"/>
  <c r="I241" i="10"/>
  <c r="I240" i="10"/>
  <c r="I239" i="10"/>
  <c r="I238" i="10"/>
  <c r="I237" i="10"/>
  <c r="I236" i="10"/>
  <c r="I235" i="10"/>
  <c r="I234" i="10"/>
  <c r="I233" i="10"/>
  <c r="I226" i="10"/>
  <c r="I225" i="10"/>
  <c r="I224" i="10"/>
  <c r="I223" i="10"/>
  <c r="I222" i="10"/>
  <c r="I221" i="10"/>
  <c r="I220" i="10"/>
  <c r="I219" i="10"/>
  <c r="I218" i="10"/>
  <c r="I217" i="10"/>
  <c r="I216" i="10"/>
  <c r="I215" i="10"/>
  <c r="I214" i="10"/>
  <c r="I213" i="10"/>
  <c r="I212" i="10"/>
  <c r="I211" i="10"/>
  <c r="I210" i="10"/>
  <c r="I209" i="10"/>
  <c r="I208" i="10"/>
  <c r="I207" i="10"/>
  <c r="I206" i="10"/>
  <c r="I205" i="10"/>
  <c r="I204" i="10"/>
  <c r="I203" i="10"/>
  <c r="I202" i="10"/>
  <c r="I201" i="10"/>
  <c r="I200" i="10"/>
  <c r="I199" i="10"/>
  <c r="I198" i="10"/>
  <c r="I191" i="10"/>
  <c r="I190" i="10"/>
  <c r="I182" i="10"/>
  <c r="I181" i="10"/>
  <c r="I180" i="10"/>
  <c r="I179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5" i="10"/>
  <c r="I154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36" i="10"/>
  <c r="I135" i="10"/>
  <c r="I134" i="10"/>
  <c r="I133" i="10"/>
  <c r="I124" i="10"/>
  <c r="I123" i="10"/>
  <c r="I122" i="10"/>
  <c r="I121" i="10"/>
  <c r="I120" i="10"/>
  <c r="I119" i="10"/>
  <c r="I118" i="10"/>
  <c r="I116" i="10"/>
  <c r="I115" i="10"/>
  <c r="I114" i="10"/>
  <c r="I113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68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8" i="10"/>
  <c r="I27" i="10"/>
  <c r="I26" i="10"/>
  <c r="I25" i="10"/>
  <c r="I24" i="10"/>
  <c r="I23" i="10"/>
  <c r="I22" i="10"/>
  <c r="I21" i="10"/>
  <c r="I20" i="10"/>
  <c r="I19" i="10"/>
  <c r="I18" i="10"/>
  <c r="I7" i="10"/>
  <c r="I6" i="10"/>
  <c r="I4" i="10"/>
  <c r="G4" i="10"/>
  <c r="H4" i="10" s="1"/>
  <c r="I3" i="10"/>
  <c r="G3" i="10"/>
  <c r="H3" i="10" s="1"/>
  <c r="I2" i="10"/>
  <c r="G2" i="10"/>
  <c r="H2" i="10" s="1"/>
  <c r="C69" i="15" l="1"/>
  <c r="C714" i="15"/>
  <c r="C746" i="15"/>
  <c r="C837" i="15"/>
  <c r="C959" i="15"/>
  <c r="A31" i="13"/>
  <c r="A34" i="16"/>
  <c r="A29" i="13"/>
  <c r="A32" i="16"/>
  <c r="A27" i="13"/>
  <c r="A30" i="16"/>
  <c r="A25" i="13"/>
  <c r="A28" i="16"/>
  <c r="A23" i="13"/>
  <c r="A26" i="16"/>
  <c r="A20" i="13"/>
  <c r="A23" i="16"/>
  <c r="A18" i="13"/>
  <c r="A21" i="16"/>
  <c r="A37" i="13"/>
  <c r="A48" i="16"/>
  <c r="A35" i="13"/>
  <c r="A46" i="16"/>
  <c r="A41" i="13"/>
  <c r="A52" i="16"/>
  <c r="A39" i="13"/>
  <c r="A50" i="16"/>
  <c r="A44" i="13"/>
  <c r="A55" i="16"/>
  <c r="A42" i="13"/>
  <c r="A53" i="16"/>
  <c r="A46" i="13"/>
  <c r="A57" i="16"/>
  <c r="A13" i="13"/>
  <c r="A14" i="16"/>
  <c r="A30" i="13"/>
  <c r="A33" i="16"/>
  <c r="A28" i="13"/>
  <c r="A31" i="16"/>
  <c r="A26" i="13"/>
  <c r="A29" i="16"/>
  <c r="A24" i="13"/>
  <c r="A27" i="16"/>
  <c r="A22" i="13"/>
  <c r="A25" i="16"/>
  <c r="A19" i="13"/>
  <c r="A22" i="16"/>
  <c r="A17" i="13"/>
  <c r="A20" i="16"/>
  <c r="A36" i="13"/>
  <c r="A47" i="16"/>
  <c r="A34" i="13"/>
  <c r="A45" i="16"/>
  <c r="A40" i="13"/>
  <c r="A51" i="16"/>
  <c r="A38" i="13"/>
  <c r="A49" i="16"/>
  <c r="A43" i="13"/>
  <c r="A54" i="16"/>
  <c r="A47" i="13"/>
  <c r="A58" i="16"/>
  <c r="A45" i="13"/>
  <c r="A56" i="16"/>
  <c r="A14" i="13"/>
  <c r="A15" i="16"/>
  <c r="H922" i="10"/>
  <c r="C812" i="15"/>
  <c r="S53" i="1"/>
  <c r="C825" i="15"/>
  <c r="D825" i="15" s="1"/>
  <c r="D13" i="13"/>
  <c r="C39" i="15"/>
  <c r="E16" i="3"/>
  <c r="C100" i="15"/>
  <c r="E21" i="3"/>
  <c r="C222" i="15"/>
  <c r="E24" i="3"/>
  <c r="C313" i="15"/>
  <c r="E26" i="3"/>
  <c r="C374" i="15"/>
  <c r="E28" i="3"/>
  <c r="C435" i="15"/>
  <c r="E31" i="3"/>
  <c r="C499" i="15"/>
  <c r="D714" i="15"/>
  <c r="C723" i="15"/>
  <c r="C730" i="15"/>
  <c r="D730" i="15" s="1"/>
  <c r="C853" i="15"/>
  <c r="D853" i="15" s="1"/>
  <c r="D837" i="15"/>
  <c r="C846" i="15"/>
  <c r="D69" i="15"/>
  <c r="C85" i="15"/>
  <c r="D85" i="15" s="1"/>
  <c r="E17" i="3"/>
  <c r="C130" i="15"/>
  <c r="E19" i="3"/>
  <c r="C191" i="15"/>
  <c r="C207" i="15" s="1"/>
  <c r="D207" i="15" s="1"/>
  <c r="E25" i="3"/>
  <c r="C344" i="15"/>
  <c r="E27" i="3"/>
  <c r="C404" i="15"/>
  <c r="E29" i="3"/>
  <c r="C466" i="15"/>
  <c r="D746" i="15"/>
  <c r="C755" i="15"/>
  <c r="D42" i="13"/>
  <c r="H42" i="13" s="1"/>
  <c r="C807" i="15"/>
  <c r="E57" i="3"/>
  <c r="C683" i="15"/>
  <c r="D959" i="15"/>
  <c r="C968" i="15"/>
  <c r="D14" i="13"/>
  <c r="H14" i="13" s="1"/>
  <c r="E48" i="3"/>
  <c r="D36" i="13"/>
  <c r="H36" i="13" s="1"/>
  <c r="E51" i="3"/>
  <c r="D47" i="13"/>
  <c r="H47" i="13" s="1"/>
  <c r="E59" i="3"/>
  <c r="E59" i="2"/>
  <c r="D35" i="13"/>
  <c r="H35" i="13" s="1"/>
  <c r="E50" i="3"/>
  <c r="D43" i="13"/>
  <c r="H43" i="13" s="1"/>
  <c r="E54" i="3"/>
  <c r="D45" i="13"/>
  <c r="H45" i="13" s="1"/>
  <c r="D26" i="13"/>
  <c r="H26" i="13" s="1"/>
  <c r="D28" i="13"/>
  <c r="H28" i="13" s="1"/>
  <c r="D30" i="13"/>
  <c r="H30" i="13" s="1"/>
  <c r="D22" i="13"/>
  <c r="H22" i="13" s="1"/>
  <c r="D25" i="13"/>
  <c r="H25" i="13" s="1"/>
  <c r="D27" i="13"/>
  <c r="H27" i="13" s="1"/>
  <c r="D31" i="13"/>
  <c r="H31" i="13" s="1"/>
  <c r="D20" i="13"/>
  <c r="D18" i="13"/>
  <c r="H18" i="13" s="1"/>
  <c r="D17" i="13"/>
  <c r="H17" i="13" s="1"/>
  <c r="D50" i="11"/>
  <c r="D51" i="11"/>
  <c r="D53" i="11"/>
  <c r="I953" i="10"/>
  <c r="J953" i="10" s="1"/>
  <c r="M56" i="11" s="1"/>
  <c r="H953" i="10"/>
  <c r="H55" i="16" s="1"/>
  <c r="J55" i="16" s="1"/>
  <c r="I33" i="11"/>
  <c r="D29" i="13"/>
  <c r="H29" i="13" s="1"/>
  <c r="I32" i="11"/>
  <c r="I35" i="11"/>
  <c r="I31" i="11"/>
  <c r="H767" i="10"/>
  <c r="H45" i="16" s="1"/>
  <c r="I34" i="11"/>
  <c r="I22" i="11"/>
  <c r="I15" i="11"/>
  <c r="K15" i="11" s="1"/>
  <c r="I16" i="11"/>
  <c r="H117" i="10"/>
  <c r="H944" i="10"/>
  <c r="H54" i="16" s="1"/>
  <c r="J54" i="16" s="1"/>
  <c r="H1000" i="10"/>
  <c r="H57" i="16" s="1"/>
  <c r="J57" i="16" s="1"/>
  <c r="H1018" i="10"/>
  <c r="H58" i="16" s="1"/>
  <c r="J58" i="16" s="1"/>
  <c r="I29" i="11"/>
  <c r="I30" i="11"/>
  <c r="H667" i="10"/>
  <c r="H32" i="16" s="1"/>
  <c r="H843" i="10"/>
  <c r="H49" i="16" s="1"/>
  <c r="J49" i="16" s="1"/>
  <c r="H904" i="10"/>
  <c r="H51" i="16" s="1"/>
  <c r="J51" i="16" s="1"/>
  <c r="H290" i="10"/>
  <c r="H25" i="16" s="1"/>
  <c r="H416" i="10"/>
  <c r="H27" i="16" s="1"/>
  <c r="H501" i="10"/>
  <c r="H29" i="16" s="1"/>
  <c r="H599" i="10"/>
  <c r="H31" i="16" s="1"/>
  <c r="H715" i="10"/>
  <c r="H33" i="16" s="1"/>
  <c r="H323" i="10"/>
  <c r="H26" i="16" s="1"/>
  <c r="H785" i="10"/>
  <c r="H46" i="16" s="1"/>
  <c r="J46" i="16" s="1"/>
  <c r="I54" i="11"/>
  <c r="H227" i="10"/>
  <c r="H819" i="10"/>
  <c r="H48" i="16" s="1"/>
  <c r="J48" i="16" s="1"/>
  <c r="H987" i="10"/>
  <c r="H56" i="16" s="1"/>
  <c r="J56" i="16" s="1"/>
  <c r="H475" i="10"/>
  <c r="H28" i="16" s="1"/>
  <c r="I57" i="11"/>
  <c r="K57" i="11" s="1"/>
  <c r="H189" i="10"/>
  <c r="H22" i="16" s="1"/>
  <c r="J22" i="16" s="1"/>
  <c r="H799" i="10"/>
  <c r="H47" i="16" s="1"/>
  <c r="J47" i="16" s="1"/>
  <c r="H863" i="10"/>
  <c r="H50" i="16" s="1"/>
  <c r="J50" i="16" s="1"/>
  <c r="H546" i="10"/>
  <c r="H30" i="16" s="1"/>
  <c r="H759" i="10"/>
  <c r="H34" i="16" s="1"/>
  <c r="I24" i="11"/>
  <c r="I47" i="11"/>
  <c r="K47" i="11" s="1"/>
  <c r="I59" i="11"/>
  <c r="K59" i="11" s="1"/>
  <c r="H920" i="10"/>
  <c r="H52" i="16" s="1"/>
  <c r="J52" i="16" s="1"/>
  <c r="D1019" i="10"/>
  <c r="I55" i="11"/>
  <c r="K55" i="11" s="1"/>
  <c r="D58" i="11"/>
  <c r="D56" i="11"/>
  <c r="D49" i="11"/>
  <c r="D46" i="11"/>
  <c r="D28" i="11"/>
  <c r="I227" i="10"/>
  <c r="J227" i="10" s="1"/>
  <c r="M24" i="11" s="1"/>
  <c r="D27" i="11"/>
  <c r="D23" i="11"/>
  <c r="I117" i="10"/>
  <c r="J117" i="10" s="1"/>
  <c r="M22" i="11" s="1"/>
  <c r="I48" i="11"/>
  <c r="K48" i="11" s="1"/>
  <c r="I290" i="10"/>
  <c r="J290" i="10" s="1"/>
  <c r="M26" i="11" s="1"/>
  <c r="I715" i="10"/>
  <c r="J715" i="10" s="1"/>
  <c r="M34" i="11" s="1"/>
  <c r="I767" i="10"/>
  <c r="J767" i="10" s="1"/>
  <c r="M46" i="11" s="1"/>
  <c r="I29" i="10"/>
  <c r="I323" i="10"/>
  <c r="J323" i="10" s="1"/>
  <c r="M27" i="11" s="1"/>
  <c r="S22" i="1" s="1"/>
  <c r="I819" i="10"/>
  <c r="J819" i="10" s="1"/>
  <c r="M49" i="11" s="1"/>
  <c r="I667" i="10"/>
  <c r="J667" i="10" s="1"/>
  <c r="M33" i="11" s="1"/>
  <c r="I987" i="10"/>
  <c r="J987" i="10" s="1"/>
  <c r="M57" i="11" s="1"/>
  <c r="I759" i="10"/>
  <c r="J759" i="10" s="1"/>
  <c r="M35" i="11" s="1"/>
  <c r="S31" i="1" s="1"/>
  <c r="I785" i="10"/>
  <c r="J785" i="10" s="1"/>
  <c r="M47" i="11" s="1"/>
  <c r="I1000" i="10"/>
  <c r="J1000" i="10" s="1"/>
  <c r="M58" i="11" s="1"/>
  <c r="I546" i="10"/>
  <c r="J546" i="10" s="1"/>
  <c r="M31" i="11" s="1"/>
  <c r="I843" i="10"/>
  <c r="J843" i="10" s="1"/>
  <c r="M50" i="11" s="1"/>
  <c r="I416" i="10"/>
  <c r="J416" i="10" s="1"/>
  <c r="M28" i="11" s="1"/>
  <c r="I501" i="10"/>
  <c r="J501" i="10" s="1"/>
  <c r="M30" i="11" s="1"/>
  <c r="I189" i="10"/>
  <c r="J189" i="10" s="1"/>
  <c r="M23" i="11" s="1"/>
  <c r="I944" i="10"/>
  <c r="J944" i="10" s="1"/>
  <c r="M55" i="11" s="1"/>
  <c r="I67" i="10"/>
  <c r="J67" i="10" s="1"/>
  <c r="M21" i="11" s="1"/>
  <c r="I599" i="10"/>
  <c r="J599" i="10" s="1"/>
  <c r="M32" i="11" s="1"/>
  <c r="I1018" i="10"/>
  <c r="J1018" i="10" s="1"/>
  <c r="I26" i="11"/>
  <c r="I475" i="10"/>
  <c r="J475" i="10" s="1"/>
  <c r="M29" i="11" s="1"/>
  <c r="I799" i="10"/>
  <c r="J799" i="10" s="1"/>
  <c r="M48" i="11" s="1"/>
  <c r="S51" i="1" s="1"/>
  <c r="I50" i="11"/>
  <c r="I52" i="11"/>
  <c r="K52" i="11" s="1"/>
  <c r="I53" i="11"/>
  <c r="I21" i="11"/>
  <c r="I904" i="10"/>
  <c r="I863" i="10"/>
  <c r="I920" i="10"/>
  <c r="I5" i="10"/>
  <c r="H67" i="10"/>
  <c r="H20" i="16" s="1"/>
  <c r="H29" i="10"/>
  <c r="H5" i="10"/>
  <c r="H14" i="16" s="1"/>
  <c r="J14" i="16" s="1"/>
  <c r="K54" i="11" l="1"/>
  <c r="O54" i="11" s="1"/>
  <c r="Q54" i="11" s="1"/>
  <c r="C561" i="15"/>
  <c r="K50" i="11"/>
  <c r="C652" i="15"/>
  <c r="K53" i="11"/>
  <c r="C929" i="15"/>
  <c r="H17" i="3"/>
  <c r="H21" i="16"/>
  <c r="C135" i="15" s="1"/>
  <c r="D135" i="15" s="1"/>
  <c r="C74" i="15"/>
  <c r="H15" i="16"/>
  <c r="H19" i="3"/>
  <c r="I19" i="3" s="1"/>
  <c r="H23" i="16"/>
  <c r="J45" i="16"/>
  <c r="H53" i="3"/>
  <c r="H53" i="16"/>
  <c r="J53" i="16" s="1"/>
  <c r="I17" i="3"/>
  <c r="O48" i="11"/>
  <c r="H47" i="3"/>
  <c r="J47" i="3" s="1"/>
  <c r="C44" i="15"/>
  <c r="H51" i="3"/>
  <c r="K51" i="3" s="1"/>
  <c r="C751" i="15"/>
  <c r="H57" i="3"/>
  <c r="K57" i="3" s="1"/>
  <c r="C688" i="15"/>
  <c r="H50" i="3"/>
  <c r="K50" i="3" s="1"/>
  <c r="C719" i="15"/>
  <c r="H29" i="3"/>
  <c r="C471" i="15"/>
  <c r="H38" i="3"/>
  <c r="J38" i="3" s="1"/>
  <c r="C566" i="15"/>
  <c r="H59" i="3"/>
  <c r="K59" i="3" s="1"/>
  <c r="C964" i="15"/>
  <c r="H54" i="3"/>
  <c r="K54" i="3" s="1"/>
  <c r="C842" i="15"/>
  <c r="H49" i="3"/>
  <c r="J49" i="3" s="1"/>
  <c r="C536" i="15"/>
  <c r="H55" i="3"/>
  <c r="C872" i="15"/>
  <c r="C814" i="15"/>
  <c r="D814" i="15" s="1"/>
  <c r="D812" i="15"/>
  <c r="D74" i="15"/>
  <c r="H41" i="3"/>
  <c r="J41" i="3" s="1"/>
  <c r="C657" i="15"/>
  <c r="H31" i="3"/>
  <c r="I31" i="3" s="1"/>
  <c r="C504" i="15"/>
  <c r="H39" i="3"/>
  <c r="C597" i="15"/>
  <c r="H52" i="3"/>
  <c r="C781" i="15"/>
  <c r="H40" i="3"/>
  <c r="I40" i="3" s="1"/>
  <c r="C627" i="15"/>
  <c r="H58" i="3"/>
  <c r="J58" i="3" s="1"/>
  <c r="C934" i="15"/>
  <c r="H26" i="3"/>
  <c r="C379" i="15"/>
  <c r="H25" i="3"/>
  <c r="I25" i="3" s="1"/>
  <c r="C349" i="15"/>
  <c r="H21" i="3"/>
  <c r="C227" i="15"/>
  <c r="H24" i="3"/>
  <c r="I24" i="3" s="1"/>
  <c r="C318" i="15"/>
  <c r="H22" i="3"/>
  <c r="C256" i="15"/>
  <c r="H27" i="3"/>
  <c r="C409" i="15"/>
  <c r="H23" i="3"/>
  <c r="C288" i="15"/>
  <c r="H28" i="3"/>
  <c r="C440" i="15"/>
  <c r="H16" i="3"/>
  <c r="I16" i="3" s="1"/>
  <c r="C105" i="15"/>
  <c r="H18" i="3"/>
  <c r="C165" i="15"/>
  <c r="S57" i="1"/>
  <c r="C701" i="15"/>
  <c r="D701" i="15" s="1"/>
  <c r="E49" i="3"/>
  <c r="C531" i="15"/>
  <c r="S55" i="1"/>
  <c r="C885" i="15"/>
  <c r="D885" i="15" s="1"/>
  <c r="I51" i="11"/>
  <c r="K51" i="11" s="1"/>
  <c r="C592" i="15"/>
  <c r="D683" i="15"/>
  <c r="C692" i="15"/>
  <c r="C699" i="15"/>
  <c r="D699" i="15" s="1"/>
  <c r="D807" i="15"/>
  <c r="C816" i="15"/>
  <c r="D466" i="15"/>
  <c r="C482" i="15"/>
  <c r="D482" i="15" s="1"/>
  <c r="D404" i="15"/>
  <c r="C420" i="15"/>
  <c r="D420" i="15" s="1"/>
  <c r="D344" i="15"/>
  <c r="C360" i="15"/>
  <c r="D360" i="15" s="1"/>
  <c r="D191" i="15"/>
  <c r="D130" i="15"/>
  <c r="D146" i="15"/>
  <c r="D499" i="15"/>
  <c r="C515" i="15"/>
  <c r="D515" i="15" s="1"/>
  <c r="D435" i="15"/>
  <c r="C451" i="15"/>
  <c r="D451" i="15" s="1"/>
  <c r="D374" i="15"/>
  <c r="C390" i="15"/>
  <c r="D390" i="15" s="1"/>
  <c r="D313" i="15"/>
  <c r="C329" i="15"/>
  <c r="D329" i="15" s="1"/>
  <c r="D222" i="15"/>
  <c r="C238" i="15"/>
  <c r="D238" i="15" s="1"/>
  <c r="D100" i="15"/>
  <c r="D39" i="15"/>
  <c r="C48" i="15"/>
  <c r="S24" i="1"/>
  <c r="C331" i="15"/>
  <c r="D331" i="15" s="1"/>
  <c r="S16" i="1"/>
  <c r="C118" i="15"/>
  <c r="D118" i="15" s="1"/>
  <c r="S18" i="1"/>
  <c r="C178" i="15"/>
  <c r="D178" i="15" s="1"/>
  <c r="S23" i="1"/>
  <c r="C301" i="15"/>
  <c r="D301" i="15" s="1"/>
  <c r="S26" i="1"/>
  <c r="C392" i="15"/>
  <c r="D392" i="15" s="1"/>
  <c r="S50" i="1"/>
  <c r="C732" i="15"/>
  <c r="D732" i="15" s="1"/>
  <c r="C764" i="15"/>
  <c r="D764" i="15" s="1"/>
  <c r="S52" i="1"/>
  <c r="C794" i="15"/>
  <c r="D794" i="15" s="1"/>
  <c r="S29" i="1"/>
  <c r="C484" i="15"/>
  <c r="D484" i="15" s="1"/>
  <c r="C517" i="15"/>
  <c r="D517" i="15" s="1"/>
  <c r="E18" i="3"/>
  <c r="C160" i="15"/>
  <c r="S19" i="1"/>
  <c r="C209" i="15"/>
  <c r="D209" i="15" s="1"/>
  <c r="E55" i="3"/>
  <c r="C867" i="15"/>
  <c r="D867" i="15" s="1"/>
  <c r="J42" i="13"/>
  <c r="L42" i="13" s="1"/>
  <c r="N42" i="13" s="1"/>
  <c r="C826" i="15"/>
  <c r="D826" i="15" s="1"/>
  <c r="S27" i="1"/>
  <c r="C422" i="15"/>
  <c r="D422" i="15" s="1"/>
  <c r="S54" i="1"/>
  <c r="C855" i="15"/>
  <c r="D855" i="15" s="1"/>
  <c r="S25" i="1"/>
  <c r="C362" i="15"/>
  <c r="D362" i="15" s="1"/>
  <c r="S38" i="1"/>
  <c r="C579" i="15"/>
  <c r="D579" i="15" s="1"/>
  <c r="S58" i="1"/>
  <c r="C947" i="15"/>
  <c r="D947" i="15" s="1"/>
  <c r="S28" i="1"/>
  <c r="C453" i="15"/>
  <c r="D453" i="15" s="1"/>
  <c r="S49" i="1"/>
  <c r="C549" i="15"/>
  <c r="D549" i="15" s="1"/>
  <c r="S21" i="1"/>
  <c r="C269" i="15"/>
  <c r="D269" i="15" s="1"/>
  <c r="S17" i="1"/>
  <c r="C148" i="15"/>
  <c r="D148" i="15" s="1"/>
  <c r="E22" i="3"/>
  <c r="C251" i="15"/>
  <c r="C267" i="15" s="1"/>
  <c r="D267" i="15" s="1"/>
  <c r="E23" i="3"/>
  <c r="C283" i="15"/>
  <c r="E52" i="3"/>
  <c r="C776" i="15"/>
  <c r="C938" i="15"/>
  <c r="D929" i="15"/>
  <c r="D652" i="15"/>
  <c r="C661" i="15"/>
  <c r="C570" i="15"/>
  <c r="D561" i="15"/>
  <c r="D39" i="13"/>
  <c r="H39" i="13" s="1"/>
  <c r="E39" i="3"/>
  <c r="G39" i="3" s="1"/>
  <c r="E58" i="2"/>
  <c r="E58" i="3"/>
  <c r="I58" i="3" s="1"/>
  <c r="D41" i="13"/>
  <c r="H41" i="13" s="1"/>
  <c r="E41" i="3"/>
  <c r="G41" i="3" s="1"/>
  <c r="D38" i="13"/>
  <c r="H38" i="13" s="1"/>
  <c r="E38" i="3"/>
  <c r="G38" i="3" s="1"/>
  <c r="H20" i="13"/>
  <c r="D24" i="13"/>
  <c r="H24" i="13" s="1"/>
  <c r="O47" i="11"/>
  <c r="Q47" i="11" s="1"/>
  <c r="J35" i="13" s="1"/>
  <c r="J51" i="3"/>
  <c r="I27" i="11"/>
  <c r="D23" i="13"/>
  <c r="H23" i="13" s="1"/>
  <c r="I49" i="11"/>
  <c r="D37" i="13"/>
  <c r="H37" i="13" s="1"/>
  <c r="I58" i="11"/>
  <c r="D46" i="13"/>
  <c r="I23" i="11"/>
  <c r="D19" i="13"/>
  <c r="I46" i="11"/>
  <c r="K46" i="11" s="1"/>
  <c r="D60" i="11"/>
  <c r="D34" i="13"/>
  <c r="H34" i="13" s="1"/>
  <c r="I56" i="11"/>
  <c r="D44" i="13"/>
  <c r="H44" i="13" s="1"/>
  <c r="I50" i="3"/>
  <c r="M59" i="11"/>
  <c r="J54" i="3"/>
  <c r="I1019" i="10"/>
  <c r="I29" i="3"/>
  <c r="J52" i="3"/>
  <c r="J57" i="3"/>
  <c r="I51" i="3"/>
  <c r="I52" i="3"/>
  <c r="J39" i="3"/>
  <c r="H48" i="3"/>
  <c r="I47" i="3"/>
  <c r="K47" i="3"/>
  <c r="H1019" i="10"/>
  <c r="D36" i="11"/>
  <c r="O55" i="11"/>
  <c r="Q55" i="11" s="1"/>
  <c r="O50" i="11"/>
  <c r="Q50" i="11" s="1"/>
  <c r="I28" i="11"/>
  <c r="Q48" i="11"/>
  <c r="O57" i="11"/>
  <c r="Q57" i="11" s="1"/>
  <c r="J5" i="10"/>
  <c r="M15" i="11" s="1"/>
  <c r="S47" i="1" s="1"/>
  <c r="J29" i="10"/>
  <c r="M16" i="11" s="1"/>
  <c r="J904" i="10"/>
  <c r="M52" i="11" s="1"/>
  <c r="C640" i="15" s="1"/>
  <c r="D640" i="15" s="1"/>
  <c r="J863" i="10"/>
  <c r="M51" i="11" s="1"/>
  <c r="C610" i="15" s="1"/>
  <c r="D610" i="15" s="1"/>
  <c r="J920" i="10"/>
  <c r="M53" i="11" s="1"/>
  <c r="C670" i="15" s="1"/>
  <c r="D670" i="15" s="1"/>
  <c r="D71" i="11" l="1"/>
  <c r="D81" i="11" s="1"/>
  <c r="K49" i="11"/>
  <c r="O49" i="11" s="1"/>
  <c r="Q49" i="11" s="1"/>
  <c r="J37" i="13" s="1"/>
  <c r="C577" i="15"/>
  <c r="D577" i="15" s="1"/>
  <c r="K56" i="11"/>
  <c r="O56" i="11" s="1"/>
  <c r="Q56" i="11" s="1"/>
  <c r="Q58" i="11"/>
  <c r="K58" i="11"/>
  <c r="J36" i="13"/>
  <c r="L36" i="13" s="1"/>
  <c r="N36" i="13" s="1"/>
  <c r="P51" i="2"/>
  <c r="I18" i="3"/>
  <c r="K49" i="3"/>
  <c r="H35" i="16"/>
  <c r="H59" i="16"/>
  <c r="J53" i="3"/>
  <c r="I53" i="3"/>
  <c r="K53" i="3"/>
  <c r="J59" i="16"/>
  <c r="I55" i="3"/>
  <c r="I21" i="3"/>
  <c r="I22" i="3"/>
  <c r="J50" i="3"/>
  <c r="I57" i="3"/>
  <c r="J40" i="3"/>
  <c r="I49" i="3"/>
  <c r="J55" i="3"/>
  <c r="K39" i="3"/>
  <c r="I26" i="3"/>
  <c r="I28" i="3"/>
  <c r="I27" i="3"/>
  <c r="I54" i="3"/>
  <c r="I59" i="3"/>
  <c r="J59" i="3"/>
  <c r="K55" i="3"/>
  <c r="K40" i="3"/>
  <c r="I23" i="3"/>
  <c r="K52" i="3"/>
  <c r="I39" i="3"/>
  <c r="K58" i="3"/>
  <c r="C936" i="15"/>
  <c r="D936" i="15" s="1"/>
  <c r="D934" i="15"/>
  <c r="D627" i="15"/>
  <c r="C629" i="15"/>
  <c r="D629" i="15" s="1"/>
  <c r="D781" i="15"/>
  <c r="C783" i="15"/>
  <c r="D783" i="15" s="1"/>
  <c r="D597" i="15"/>
  <c r="C599" i="15"/>
  <c r="D599" i="15" s="1"/>
  <c r="D504" i="15"/>
  <c r="D657" i="15"/>
  <c r="C659" i="15"/>
  <c r="D659" i="15" s="1"/>
  <c r="C874" i="15"/>
  <c r="D874" i="15" s="1"/>
  <c r="D872" i="15"/>
  <c r="C538" i="15"/>
  <c r="D538" i="15" s="1"/>
  <c r="D536" i="15"/>
  <c r="C844" i="15"/>
  <c r="D844" i="15" s="1"/>
  <c r="D842" i="15"/>
  <c r="C966" i="15"/>
  <c r="D966" i="15" s="1"/>
  <c r="D964" i="15"/>
  <c r="C568" i="15"/>
  <c r="D568" i="15" s="1"/>
  <c r="D566" i="15"/>
  <c r="D471" i="15"/>
  <c r="D719" i="15"/>
  <c r="C721" i="15"/>
  <c r="D721" i="15" s="1"/>
  <c r="D688" i="15"/>
  <c r="C690" i="15"/>
  <c r="D690" i="15" s="1"/>
  <c r="D751" i="15"/>
  <c r="C753" i="15"/>
  <c r="D753" i="15" s="1"/>
  <c r="D44" i="15"/>
  <c r="C46" i="15"/>
  <c r="D46" i="15" s="1"/>
  <c r="D440" i="15"/>
  <c r="D288" i="15"/>
  <c r="D409" i="15"/>
  <c r="D256" i="15"/>
  <c r="D318" i="15"/>
  <c r="D227" i="15"/>
  <c r="D349" i="15"/>
  <c r="D379" i="15"/>
  <c r="D165" i="15"/>
  <c r="D105" i="15"/>
  <c r="J45" i="13"/>
  <c r="L45" i="13" s="1"/>
  <c r="N45" i="13" s="1"/>
  <c r="C702" i="15"/>
  <c r="J38" i="13"/>
  <c r="L38" i="13" s="1"/>
  <c r="N38" i="13" s="1"/>
  <c r="C580" i="15"/>
  <c r="S59" i="1"/>
  <c r="C977" i="15"/>
  <c r="D977" i="15" s="1"/>
  <c r="L35" i="13"/>
  <c r="N35" i="13" s="1"/>
  <c r="C765" i="15"/>
  <c r="C733" i="15"/>
  <c r="E33" i="3"/>
  <c r="D592" i="15"/>
  <c r="C601" i="15"/>
  <c r="C608" i="15"/>
  <c r="D608" i="15" s="1"/>
  <c r="C540" i="15"/>
  <c r="D531" i="15"/>
  <c r="C547" i="15"/>
  <c r="D547" i="15" s="1"/>
  <c r="S48" i="1"/>
  <c r="C87" i="15"/>
  <c r="D87" i="15" s="1"/>
  <c r="J43" i="13"/>
  <c r="L43" i="13" s="1"/>
  <c r="N43" i="13" s="1"/>
  <c r="C856" i="15"/>
  <c r="J44" i="13"/>
  <c r="L44" i="13" s="1"/>
  <c r="N44" i="13" s="1"/>
  <c r="C886" i="15"/>
  <c r="D886" i="15" s="1"/>
  <c r="N46" i="13"/>
  <c r="C948" i="15"/>
  <c r="L37" i="13"/>
  <c r="C795" i="15"/>
  <c r="D795" i="15" s="1"/>
  <c r="D776" i="15"/>
  <c r="C785" i="15"/>
  <c r="D283" i="15"/>
  <c r="C299" i="15"/>
  <c r="D299" i="15" s="1"/>
  <c r="D251" i="15"/>
  <c r="C876" i="15"/>
  <c r="D160" i="15"/>
  <c r="C176" i="15"/>
  <c r="D176" i="15" s="1"/>
  <c r="C827" i="15"/>
  <c r="D827" i="15" s="1"/>
  <c r="K38" i="3"/>
  <c r="K41" i="3"/>
  <c r="D53" i="13"/>
  <c r="I38" i="3"/>
  <c r="I41" i="3"/>
  <c r="J1019" i="10"/>
  <c r="I60" i="11"/>
  <c r="H19" i="13"/>
  <c r="H53" i="13" s="1"/>
  <c r="O59" i="11"/>
  <c r="Q59" i="11" s="1"/>
  <c r="O46" i="11"/>
  <c r="K60" i="11"/>
  <c r="Q15" i="11"/>
  <c r="I48" i="3"/>
  <c r="I36" i="11"/>
  <c r="O53" i="11"/>
  <c r="Q53" i="11" s="1"/>
  <c r="S41" i="1"/>
  <c r="O51" i="11"/>
  <c r="Q51" i="11" s="1"/>
  <c r="S39" i="1"/>
  <c r="O52" i="11"/>
  <c r="Q52" i="11" s="1"/>
  <c r="S40" i="1"/>
  <c r="T16" i="1"/>
  <c r="D580" i="15" l="1"/>
  <c r="C581" i="15"/>
  <c r="D581" i="15" s="1"/>
  <c r="N37" i="13"/>
  <c r="H70" i="16"/>
  <c r="C887" i="15"/>
  <c r="D887" i="15" s="1"/>
  <c r="C796" i="15"/>
  <c r="D796" i="15" s="1"/>
  <c r="J40" i="13"/>
  <c r="L40" i="13" s="1"/>
  <c r="N40" i="13" s="1"/>
  <c r="C641" i="15"/>
  <c r="J39" i="13"/>
  <c r="L39" i="13" s="1"/>
  <c r="N39" i="13" s="1"/>
  <c r="C611" i="15"/>
  <c r="J41" i="13"/>
  <c r="L41" i="13" s="1"/>
  <c r="N41" i="13" s="1"/>
  <c r="C671" i="15"/>
  <c r="N13" i="13"/>
  <c r="C58" i="15"/>
  <c r="J47" i="13"/>
  <c r="L47" i="13" s="1"/>
  <c r="C978" i="15"/>
  <c r="D765" i="15"/>
  <c r="C766" i="15"/>
  <c r="D766" i="15" s="1"/>
  <c r="D702" i="15"/>
  <c r="C703" i="15"/>
  <c r="D703" i="15" s="1"/>
  <c r="D948" i="15"/>
  <c r="C949" i="15"/>
  <c r="D949" i="15" s="1"/>
  <c r="D856" i="15"/>
  <c r="C857" i="15"/>
  <c r="D857" i="15" s="1"/>
  <c r="C734" i="15"/>
  <c r="D734" i="15" s="1"/>
  <c r="D733" i="15"/>
  <c r="D85" i="11"/>
  <c r="Q46" i="11"/>
  <c r="J34" i="13" s="1"/>
  <c r="O60" i="11"/>
  <c r="U11" i="3"/>
  <c r="D611" i="15" l="1"/>
  <c r="C612" i="15"/>
  <c r="D612" i="15" s="1"/>
  <c r="N47" i="13"/>
  <c r="L34" i="13"/>
  <c r="C550" i="15"/>
  <c r="D978" i="15"/>
  <c r="C979" i="15"/>
  <c r="D979" i="15" s="1"/>
  <c r="C59" i="15"/>
  <c r="D59" i="15" s="1"/>
  <c r="D58" i="15"/>
  <c r="D671" i="15"/>
  <c r="C672" i="15"/>
  <c r="D672" i="15" s="1"/>
  <c r="D641" i="15"/>
  <c r="C642" i="15"/>
  <c r="D642" i="15" s="1"/>
  <c r="E46" i="3"/>
  <c r="C7" i="15" s="1"/>
  <c r="N34" i="13" l="1"/>
  <c r="C23" i="15"/>
  <c r="D23" i="15" s="1"/>
  <c r="D7" i="15"/>
  <c r="C27" i="15"/>
  <c r="D27" i="15" s="1"/>
  <c r="D550" i="15"/>
  <c r="C551" i="15"/>
  <c r="D551" i="15" s="1"/>
  <c r="I56" i="3"/>
  <c r="K56" i="3"/>
  <c r="K46" i="3"/>
  <c r="K45" i="3"/>
  <c r="I46" i="3"/>
  <c r="I45" i="3"/>
  <c r="G56" i="3"/>
  <c r="V56" i="1" s="1"/>
  <c r="W56" i="1" s="1"/>
  <c r="G55" i="3"/>
  <c r="V55" i="1" s="1"/>
  <c r="W55" i="1" s="1"/>
  <c r="G46" i="3"/>
  <c r="V46" i="1" s="1"/>
  <c r="W46" i="1" s="1"/>
  <c r="G30" i="3"/>
  <c r="V30" i="1" s="1"/>
  <c r="H22" i="2"/>
  <c r="H21" i="2"/>
  <c r="H19" i="2"/>
  <c r="H18" i="2"/>
  <c r="H17" i="2"/>
  <c r="H16" i="2"/>
  <c r="W30" i="1" l="1"/>
  <c r="X30" i="1" s="1"/>
  <c r="Z30" i="1" s="1"/>
  <c r="C292" i="5"/>
  <c r="A292" i="5"/>
  <c r="R298" i="5"/>
  <c r="O298" i="5"/>
  <c r="R297" i="5"/>
  <c r="O297" i="5"/>
  <c r="R296" i="5"/>
  <c r="O296" i="5"/>
  <c r="R295" i="5"/>
  <c r="O295" i="5"/>
  <c r="R294" i="5"/>
  <c r="O294" i="5"/>
  <c r="R293" i="5"/>
  <c r="O293" i="5"/>
  <c r="R290" i="5"/>
  <c r="O290" i="5"/>
  <c r="O289" i="5"/>
  <c r="R288" i="5"/>
  <c r="O288" i="5"/>
  <c r="R287" i="5"/>
  <c r="O287" i="5"/>
  <c r="R286" i="5"/>
  <c r="O286" i="5"/>
  <c r="O285" i="5"/>
  <c r="R282" i="5"/>
  <c r="O282" i="5"/>
  <c r="O281" i="5"/>
  <c r="R280" i="5"/>
  <c r="O280" i="5"/>
  <c r="R279" i="5"/>
  <c r="O279" i="5"/>
  <c r="R278" i="5"/>
  <c r="O278" i="5"/>
  <c r="O277" i="5"/>
  <c r="R274" i="5"/>
  <c r="O274" i="5"/>
  <c r="O273" i="5"/>
  <c r="R272" i="5"/>
  <c r="O272" i="5"/>
  <c r="R271" i="5"/>
  <c r="O271" i="5"/>
  <c r="R270" i="5"/>
  <c r="O270" i="5"/>
  <c r="O269" i="5"/>
  <c r="R266" i="5"/>
  <c r="O266" i="5"/>
  <c r="O265" i="5"/>
  <c r="R264" i="5"/>
  <c r="O264" i="5"/>
  <c r="R263" i="5"/>
  <c r="O263" i="5"/>
  <c r="R262" i="5"/>
  <c r="O262" i="5"/>
  <c r="O261" i="5"/>
  <c r="R258" i="5"/>
  <c r="O258" i="5"/>
  <c r="O257" i="5"/>
  <c r="R256" i="5"/>
  <c r="O256" i="5"/>
  <c r="R255" i="5"/>
  <c r="O255" i="5"/>
  <c r="R254" i="5"/>
  <c r="O254" i="5"/>
  <c r="O253" i="5"/>
  <c r="R250" i="5"/>
  <c r="O250" i="5"/>
  <c r="O249" i="5"/>
  <c r="R248" i="5"/>
  <c r="O248" i="5"/>
  <c r="R247" i="5"/>
  <c r="O247" i="5"/>
  <c r="R246" i="5"/>
  <c r="O246" i="5"/>
  <c r="O245" i="5"/>
  <c r="R242" i="5"/>
  <c r="O242" i="5"/>
  <c r="O241" i="5"/>
  <c r="R240" i="5"/>
  <c r="O240" i="5"/>
  <c r="R239" i="5"/>
  <c r="O239" i="5"/>
  <c r="R238" i="5"/>
  <c r="O238" i="5"/>
  <c r="O237" i="5"/>
  <c r="R234" i="5"/>
  <c r="O234" i="5"/>
  <c r="O233" i="5"/>
  <c r="R232" i="5"/>
  <c r="O232" i="5"/>
  <c r="R231" i="5"/>
  <c r="O231" i="5"/>
  <c r="R230" i="5"/>
  <c r="O230" i="5"/>
  <c r="O229" i="5"/>
  <c r="R226" i="5"/>
  <c r="O226" i="5"/>
  <c r="O225" i="5"/>
  <c r="R224" i="5"/>
  <c r="O224" i="5"/>
  <c r="R223" i="5"/>
  <c r="O223" i="5"/>
  <c r="R222" i="5"/>
  <c r="O222" i="5"/>
  <c r="O221" i="5"/>
  <c r="R218" i="5"/>
  <c r="O218" i="5"/>
  <c r="O217" i="5"/>
  <c r="R215" i="5"/>
  <c r="O215" i="5"/>
  <c r="O214" i="5"/>
  <c r="O213" i="5"/>
  <c r="R210" i="5"/>
  <c r="O210" i="5"/>
  <c r="O209" i="5"/>
  <c r="R207" i="5"/>
  <c r="O207" i="5"/>
  <c r="O206" i="5"/>
  <c r="O205" i="5"/>
  <c r="R202" i="5"/>
  <c r="O202" i="5"/>
  <c r="O201" i="5"/>
  <c r="R199" i="5"/>
  <c r="O199" i="5"/>
  <c r="O198" i="5"/>
  <c r="O197" i="5"/>
  <c r="R194" i="5"/>
  <c r="O194" i="5"/>
  <c r="O193" i="5"/>
  <c r="R191" i="5"/>
  <c r="O191" i="5"/>
  <c r="O190" i="5"/>
  <c r="O189" i="5"/>
  <c r="C186" i="5"/>
  <c r="C177" i="5"/>
  <c r="A177" i="5"/>
  <c r="R183" i="5"/>
  <c r="O183" i="5"/>
  <c r="R182" i="5"/>
  <c r="O182" i="5"/>
  <c r="R181" i="5"/>
  <c r="O181" i="5"/>
  <c r="R180" i="5"/>
  <c r="O180" i="5"/>
  <c r="R179" i="5"/>
  <c r="O179" i="5"/>
  <c r="R178" i="5"/>
  <c r="O178" i="5"/>
  <c r="R175" i="5"/>
  <c r="O175" i="5"/>
  <c r="O174" i="5"/>
  <c r="R173" i="5"/>
  <c r="O173" i="5"/>
  <c r="R172" i="5"/>
  <c r="O172" i="5"/>
  <c r="R171" i="5"/>
  <c r="O171" i="5"/>
  <c r="O170" i="5"/>
  <c r="R167" i="5"/>
  <c r="O167" i="5"/>
  <c r="O166" i="5"/>
  <c r="R165" i="5"/>
  <c r="O165" i="5"/>
  <c r="R164" i="5"/>
  <c r="O164" i="5"/>
  <c r="R163" i="5"/>
  <c r="O163" i="5"/>
  <c r="O162" i="5"/>
  <c r="R159" i="5"/>
  <c r="O159" i="5"/>
  <c r="O158" i="5"/>
  <c r="R157" i="5"/>
  <c r="O157" i="5"/>
  <c r="R156" i="5"/>
  <c r="O156" i="5"/>
  <c r="R155" i="5"/>
  <c r="O155" i="5"/>
  <c r="O154" i="5"/>
  <c r="R151" i="5"/>
  <c r="O151" i="5"/>
  <c r="O150" i="5"/>
  <c r="R149" i="5"/>
  <c r="O149" i="5"/>
  <c r="R148" i="5"/>
  <c r="O148" i="5"/>
  <c r="R147" i="5"/>
  <c r="O147" i="5"/>
  <c r="O146" i="5"/>
  <c r="R143" i="5"/>
  <c r="R141" i="5"/>
  <c r="R140" i="5"/>
  <c r="R139" i="5"/>
  <c r="C135" i="5"/>
  <c r="R133" i="5"/>
  <c r="O133" i="5"/>
  <c r="O132" i="5"/>
  <c r="R131" i="5"/>
  <c r="O131" i="5"/>
  <c r="R130" i="5"/>
  <c r="O130" i="5"/>
  <c r="R129" i="5"/>
  <c r="O129" i="5"/>
  <c r="O128" i="5"/>
  <c r="R125" i="5"/>
  <c r="O125" i="5"/>
  <c r="O124" i="5"/>
  <c r="R123" i="5"/>
  <c r="O123" i="5"/>
  <c r="R122" i="5"/>
  <c r="O122" i="5"/>
  <c r="R121" i="5"/>
  <c r="O121" i="5"/>
  <c r="O120" i="5"/>
  <c r="R117" i="5"/>
  <c r="O117" i="5"/>
  <c r="O116" i="5"/>
  <c r="R115" i="5"/>
  <c r="O115" i="5"/>
  <c r="R114" i="5"/>
  <c r="O114" i="5"/>
  <c r="R113" i="5"/>
  <c r="O113" i="5"/>
  <c r="O112" i="5"/>
  <c r="R109" i="5"/>
  <c r="O109" i="5"/>
  <c r="O108" i="5"/>
  <c r="R107" i="5"/>
  <c r="O107" i="5"/>
  <c r="R106" i="5"/>
  <c r="O106" i="5"/>
  <c r="R105" i="5"/>
  <c r="O105" i="5"/>
  <c r="O104" i="5"/>
  <c r="R101" i="5"/>
  <c r="O101" i="5"/>
  <c r="O100" i="5"/>
  <c r="R99" i="5"/>
  <c r="O99" i="5"/>
  <c r="R98" i="5"/>
  <c r="O98" i="5"/>
  <c r="R97" i="5"/>
  <c r="O97" i="5"/>
  <c r="O96" i="5"/>
  <c r="R93" i="5"/>
  <c r="O93" i="5"/>
  <c r="O92" i="5"/>
  <c r="R91" i="5"/>
  <c r="O91" i="5"/>
  <c r="R90" i="5"/>
  <c r="O90" i="5"/>
  <c r="R89" i="5"/>
  <c r="O89" i="5"/>
  <c r="O88" i="5"/>
  <c r="R85" i="5"/>
  <c r="O85" i="5"/>
  <c r="O84" i="5"/>
  <c r="R83" i="5"/>
  <c r="O83" i="5"/>
  <c r="R82" i="5"/>
  <c r="O82" i="5"/>
  <c r="R81" i="5"/>
  <c r="O81" i="5"/>
  <c r="O80" i="5"/>
  <c r="R77" i="5"/>
  <c r="O77" i="5"/>
  <c r="O76" i="5"/>
  <c r="R75" i="5"/>
  <c r="O75" i="5"/>
  <c r="R74" i="5"/>
  <c r="O74" i="5"/>
  <c r="R73" i="5"/>
  <c r="O73" i="5"/>
  <c r="O72" i="5"/>
  <c r="R69" i="5"/>
  <c r="O69" i="5"/>
  <c r="O68" i="5"/>
  <c r="R67" i="5"/>
  <c r="O67" i="5"/>
  <c r="R66" i="5"/>
  <c r="O66" i="5"/>
  <c r="R65" i="5"/>
  <c r="O65" i="5"/>
  <c r="O64" i="5"/>
  <c r="R61" i="5"/>
  <c r="O61" i="5"/>
  <c r="O60" i="5"/>
  <c r="R59" i="5"/>
  <c r="O59" i="5"/>
  <c r="R58" i="5"/>
  <c r="O58" i="5"/>
  <c r="R57" i="5"/>
  <c r="O57" i="5"/>
  <c r="O56" i="5"/>
  <c r="R53" i="5"/>
  <c r="O53" i="5"/>
  <c r="O52" i="5"/>
  <c r="R51" i="5"/>
  <c r="O51" i="5"/>
  <c r="R50" i="5"/>
  <c r="O50" i="5"/>
  <c r="R49" i="5"/>
  <c r="O49" i="5"/>
  <c r="O48" i="5"/>
  <c r="R45" i="5"/>
  <c r="O45" i="5"/>
  <c r="O44" i="5"/>
  <c r="R43" i="5"/>
  <c r="O43" i="5"/>
  <c r="R42" i="5"/>
  <c r="O42" i="5"/>
  <c r="R41" i="5"/>
  <c r="O41" i="5"/>
  <c r="O40" i="5"/>
  <c r="R37" i="5"/>
  <c r="O37" i="5"/>
  <c r="O36" i="5"/>
  <c r="R35" i="5"/>
  <c r="O35" i="5"/>
  <c r="R34" i="5"/>
  <c r="O34" i="5"/>
  <c r="R33" i="5"/>
  <c r="O33" i="5"/>
  <c r="O32" i="5"/>
  <c r="R29" i="5"/>
  <c r="O29" i="5"/>
  <c r="O28" i="5"/>
  <c r="R27" i="5"/>
  <c r="O27" i="5"/>
  <c r="R26" i="5"/>
  <c r="O26" i="5"/>
  <c r="R25" i="5"/>
  <c r="O25" i="5"/>
  <c r="O24" i="5"/>
  <c r="R21" i="5"/>
  <c r="O21" i="5"/>
  <c r="O20" i="5"/>
  <c r="R19" i="5"/>
  <c r="O19" i="5"/>
  <c r="R18" i="5"/>
  <c r="O18" i="5"/>
  <c r="R17" i="5"/>
  <c r="O17" i="5"/>
  <c r="O16" i="5"/>
  <c r="C13" i="5"/>
  <c r="A3" i="5"/>
  <c r="E45" i="2" l="1"/>
  <c r="P45" i="2"/>
  <c r="H45" i="2"/>
  <c r="T46" i="1"/>
  <c r="H46" i="2"/>
  <c r="E47" i="2"/>
  <c r="M47" i="3"/>
  <c r="T47" i="1"/>
  <c r="H47" i="2"/>
  <c r="E48" i="2"/>
  <c r="M48" i="3"/>
  <c r="T48" i="1"/>
  <c r="H48" i="2"/>
  <c r="E49" i="2"/>
  <c r="M49" i="3"/>
  <c r="T49" i="1"/>
  <c r="H49" i="2"/>
  <c r="E50" i="2"/>
  <c r="M50" i="3"/>
  <c r="T50" i="1"/>
  <c r="H50" i="2"/>
  <c r="E51" i="2"/>
  <c r="I51" i="2" s="1"/>
  <c r="M51" i="3"/>
  <c r="T51" i="1"/>
  <c r="H51" i="2"/>
  <c r="E52" i="2"/>
  <c r="M52" i="3"/>
  <c r="T52" i="1"/>
  <c r="H52" i="2"/>
  <c r="E53" i="2"/>
  <c r="M53" i="3"/>
  <c r="T53" i="1"/>
  <c r="H53" i="2"/>
  <c r="E54" i="2"/>
  <c r="M54" i="3"/>
  <c r="M55" i="3"/>
  <c r="T54" i="1"/>
  <c r="H54" i="2"/>
  <c r="E55" i="2"/>
  <c r="T55" i="1"/>
  <c r="H55" i="2"/>
  <c r="E56" i="2"/>
  <c r="T56" i="1"/>
  <c r="H56" i="2"/>
  <c r="E57" i="2"/>
  <c r="M57" i="3"/>
  <c r="T57" i="1"/>
  <c r="H57" i="2"/>
  <c r="M58" i="3"/>
  <c r="T58" i="1"/>
  <c r="H58" i="2"/>
  <c r="M59" i="3"/>
  <c r="T59" i="1"/>
  <c r="H59" i="2"/>
  <c r="M16" i="3"/>
  <c r="E16" i="2"/>
  <c r="M17" i="3"/>
  <c r="E17" i="2"/>
  <c r="T17" i="1"/>
  <c r="M18" i="3"/>
  <c r="T18" i="1"/>
  <c r="M19" i="3"/>
  <c r="T19" i="1"/>
  <c r="M21" i="3"/>
  <c r="T21" i="1"/>
  <c r="M22" i="3"/>
  <c r="T22" i="1"/>
  <c r="M23" i="3"/>
  <c r="T23" i="1"/>
  <c r="H23" i="2"/>
  <c r="M24" i="3"/>
  <c r="T24" i="1"/>
  <c r="H24" i="2"/>
  <c r="M25" i="3"/>
  <c r="E25" i="2"/>
  <c r="T25" i="1"/>
  <c r="H25" i="2"/>
  <c r="M26" i="3"/>
  <c r="E26" i="2"/>
  <c r="T26" i="1"/>
  <c r="H26" i="2"/>
  <c r="M27" i="3"/>
  <c r="T27" i="1"/>
  <c r="H27" i="2"/>
  <c r="M28" i="3"/>
  <c r="T28" i="1"/>
  <c r="H28" i="2"/>
  <c r="M29" i="3"/>
  <c r="E29" i="2"/>
  <c r="T29" i="1"/>
  <c r="H29" i="2"/>
  <c r="T30" i="1"/>
  <c r="E30" i="2"/>
  <c r="H30" i="2"/>
  <c r="M31" i="3"/>
  <c r="T31" i="1"/>
  <c r="H31" i="2"/>
  <c r="M38" i="3"/>
  <c r="T38" i="1"/>
  <c r="H38" i="2"/>
  <c r="M39" i="3"/>
  <c r="E39" i="2"/>
  <c r="T39" i="1"/>
  <c r="H39" i="2"/>
  <c r="M40" i="3"/>
  <c r="E40" i="2"/>
  <c r="T40" i="1"/>
  <c r="H40" i="2"/>
  <c r="M41" i="3"/>
  <c r="E41" i="2"/>
  <c r="T41" i="1"/>
  <c r="H41" i="2"/>
  <c r="M45" i="3"/>
  <c r="M46" i="3"/>
  <c r="M56" i="3"/>
  <c r="C14" i="2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1" i="3"/>
  <c r="O40" i="3"/>
  <c r="O39" i="3"/>
  <c r="O38" i="3"/>
  <c r="O31" i="3"/>
  <c r="O30" i="3"/>
  <c r="O29" i="3"/>
  <c r="O28" i="3"/>
  <c r="O27" i="3"/>
  <c r="O26" i="3"/>
  <c r="O25" i="3"/>
  <c r="O24" i="3"/>
  <c r="O23" i="3"/>
  <c r="O22" i="3"/>
  <c r="O21" i="3"/>
  <c r="O19" i="3"/>
  <c r="O18" i="3"/>
  <c r="O17" i="3"/>
  <c r="O16" i="3"/>
  <c r="M30" i="3"/>
  <c r="S76" i="3"/>
  <c r="P49" i="1"/>
  <c r="L49" i="2" s="1"/>
  <c r="P48" i="1"/>
  <c r="L48" i="2" s="1"/>
  <c r="P47" i="1"/>
  <c r="L47" i="2" s="1"/>
  <c r="P46" i="1"/>
  <c r="L46" i="2" s="1"/>
  <c r="P31" i="1"/>
  <c r="L31" i="2" s="1"/>
  <c r="P30" i="1"/>
  <c r="P29" i="1"/>
  <c r="L29" i="2" s="1"/>
  <c r="P28" i="1"/>
  <c r="P27" i="1"/>
  <c r="L27" i="2" s="1"/>
  <c r="P26" i="1"/>
  <c r="L26" i="2" s="1"/>
  <c r="P25" i="1"/>
  <c r="L25" i="2" s="1"/>
  <c r="P24" i="1"/>
  <c r="L24" i="2" s="1"/>
  <c r="P23" i="1"/>
  <c r="L23" i="2" s="1"/>
  <c r="P22" i="1"/>
  <c r="L22" i="2" s="1"/>
  <c r="P21" i="1"/>
  <c r="L21" i="2" s="1"/>
  <c r="P19" i="1"/>
  <c r="L19" i="2" s="1"/>
  <c r="P18" i="1"/>
  <c r="L18" i="2" s="1"/>
  <c r="P17" i="1"/>
  <c r="L17" i="2" s="1"/>
  <c r="P16" i="1"/>
  <c r="L16" i="2" s="1"/>
  <c r="P41" i="1"/>
  <c r="L41" i="2" s="1"/>
  <c r="P40" i="1"/>
  <c r="L40" i="2" s="1"/>
  <c r="P39" i="1"/>
  <c r="L39" i="2" s="1"/>
  <c r="P38" i="1"/>
  <c r="L38" i="2" s="1"/>
  <c r="P58" i="1"/>
  <c r="L57" i="2"/>
  <c r="P56" i="1"/>
  <c r="L56" i="2" s="1"/>
  <c r="C913" i="15" s="1"/>
  <c r="D913" i="15" s="1"/>
  <c r="P55" i="1"/>
  <c r="L55" i="2" s="1"/>
  <c r="C882" i="15" s="1"/>
  <c r="P54" i="1"/>
  <c r="L54" i="2" s="1"/>
  <c r="P53" i="1"/>
  <c r="L53" i="2" s="1"/>
  <c r="C822" i="15" s="1"/>
  <c r="P52" i="1"/>
  <c r="L52" i="2" s="1"/>
  <c r="C791" i="15" s="1"/>
  <c r="P51" i="1"/>
  <c r="L51" i="2" s="1"/>
  <c r="C761" i="15" s="1"/>
  <c r="P50" i="1"/>
  <c r="L50" i="2" s="1"/>
  <c r="A55" i="2"/>
  <c r="A55" i="1"/>
  <c r="C55" i="1"/>
  <c r="C260" i="5" s="1"/>
  <c r="C14" i="3"/>
  <c r="C43" i="3"/>
  <c r="C36" i="3"/>
  <c r="C16" i="1"/>
  <c r="C15" i="5" s="1"/>
  <c r="A16" i="1"/>
  <c r="C16" i="2"/>
  <c r="A16" i="2"/>
  <c r="L30" i="2"/>
  <c r="P59" i="1"/>
  <c r="L59" i="2" s="1"/>
  <c r="C974" i="15" s="1"/>
  <c r="C31" i="1"/>
  <c r="C127" i="5" s="1"/>
  <c r="C31" i="2"/>
  <c r="A31" i="2"/>
  <c r="C30" i="2"/>
  <c r="A30" i="2"/>
  <c r="C29" i="2"/>
  <c r="A29" i="2"/>
  <c r="C28" i="2"/>
  <c r="A28" i="2"/>
  <c r="C27" i="2"/>
  <c r="A27" i="2"/>
  <c r="C26" i="2"/>
  <c r="A26" i="2"/>
  <c r="C25" i="2"/>
  <c r="A25" i="2"/>
  <c r="C24" i="2"/>
  <c r="A24" i="2"/>
  <c r="C23" i="2"/>
  <c r="A23" i="2"/>
  <c r="C22" i="2"/>
  <c r="A22" i="2"/>
  <c r="C21" i="2"/>
  <c r="A21" i="2"/>
  <c r="C19" i="2"/>
  <c r="A19" i="2"/>
  <c r="C18" i="2"/>
  <c r="A18" i="2"/>
  <c r="A31" i="1"/>
  <c r="A127" i="5" s="1"/>
  <c r="C59" i="2"/>
  <c r="A59" i="2"/>
  <c r="C58" i="2"/>
  <c r="A58" i="2"/>
  <c r="C57" i="2"/>
  <c r="A57" i="2"/>
  <c r="C56" i="2"/>
  <c r="A56" i="2"/>
  <c r="C54" i="2"/>
  <c r="A54" i="2"/>
  <c r="C53" i="2"/>
  <c r="A53" i="2"/>
  <c r="C52" i="2"/>
  <c r="A52" i="2"/>
  <c r="C51" i="2"/>
  <c r="A51" i="2"/>
  <c r="C50" i="2"/>
  <c r="A50" i="2"/>
  <c r="C48" i="2"/>
  <c r="A48" i="2"/>
  <c r="C47" i="2"/>
  <c r="A47" i="2"/>
  <c r="C46" i="2"/>
  <c r="A46" i="2"/>
  <c r="C45" i="2"/>
  <c r="A45" i="2"/>
  <c r="C41" i="2"/>
  <c r="A41" i="2"/>
  <c r="B53" i="11" s="1"/>
  <c r="B52" i="16" s="1"/>
  <c r="C40" i="2"/>
  <c r="A40" i="2"/>
  <c r="B52" i="11" s="1"/>
  <c r="B51" i="16" s="1"/>
  <c r="C39" i="2"/>
  <c r="A39" i="2"/>
  <c r="B51" i="11" s="1"/>
  <c r="B50" i="16" s="1"/>
  <c r="C38" i="2"/>
  <c r="A38" i="2"/>
  <c r="B50" i="11" s="1"/>
  <c r="B49" i="16" s="1"/>
  <c r="C49" i="2"/>
  <c r="A49" i="2"/>
  <c r="C59" i="1"/>
  <c r="C284" i="5" s="1"/>
  <c r="A59" i="1"/>
  <c r="A284" i="5" s="1"/>
  <c r="C58" i="1"/>
  <c r="C276" i="5" s="1"/>
  <c r="A58" i="1"/>
  <c r="A276" i="5" s="1"/>
  <c r="C57" i="1"/>
  <c r="C268" i="5" s="1"/>
  <c r="A57" i="1"/>
  <c r="C56" i="1"/>
  <c r="A56" i="1"/>
  <c r="C54" i="1"/>
  <c r="C252" i="5" s="1"/>
  <c r="A54" i="1"/>
  <c r="C53" i="1"/>
  <c r="C244" i="5" s="1"/>
  <c r="A53" i="1"/>
  <c r="A244" i="5" s="1"/>
  <c r="C52" i="1"/>
  <c r="C236" i="5" s="1"/>
  <c r="A52" i="1"/>
  <c r="C51" i="1"/>
  <c r="C228" i="5" s="1"/>
  <c r="A51" i="1"/>
  <c r="A228" i="5" s="1"/>
  <c r="C50" i="1"/>
  <c r="C220" i="5" s="1"/>
  <c r="A50" i="1"/>
  <c r="C48" i="1"/>
  <c r="C204" i="5" s="1"/>
  <c r="A48" i="1"/>
  <c r="A204" i="5" s="1"/>
  <c r="C47" i="1"/>
  <c r="C196" i="5" s="1"/>
  <c r="A47" i="1"/>
  <c r="A196" i="5" s="1"/>
  <c r="C46" i="1"/>
  <c r="C188" i="5" s="1"/>
  <c r="A46" i="1"/>
  <c r="A188" i="5" s="1"/>
  <c r="C45" i="1"/>
  <c r="A45" i="1"/>
  <c r="C41" i="1"/>
  <c r="C169" i="5" s="1"/>
  <c r="A41" i="1"/>
  <c r="A169" i="5" s="1"/>
  <c r="C40" i="1"/>
  <c r="C161" i="5" s="1"/>
  <c r="A40" i="1"/>
  <c r="A161" i="5" s="1"/>
  <c r="C39" i="1"/>
  <c r="C153" i="5" s="1"/>
  <c r="A39" i="1"/>
  <c r="A153" i="5" s="1"/>
  <c r="C38" i="1"/>
  <c r="C145" i="5" s="1"/>
  <c r="A38" i="1"/>
  <c r="A145" i="5" s="1"/>
  <c r="C49" i="1"/>
  <c r="C212" i="5" s="1"/>
  <c r="A49" i="1"/>
  <c r="A212" i="5" s="1"/>
  <c r="C30" i="1"/>
  <c r="C119" i="5" s="1"/>
  <c r="A30" i="1"/>
  <c r="C29" i="1"/>
  <c r="C111" i="5" s="1"/>
  <c r="A29" i="1"/>
  <c r="A111" i="5" s="1"/>
  <c r="C28" i="1"/>
  <c r="C103" i="5" s="1"/>
  <c r="A28" i="1"/>
  <c r="A103" i="5" s="1"/>
  <c r="C27" i="1"/>
  <c r="C95" i="5" s="1"/>
  <c r="A27" i="1"/>
  <c r="A95" i="5" s="1"/>
  <c r="C26" i="1"/>
  <c r="C87" i="5" s="1"/>
  <c r="A26" i="1"/>
  <c r="A87" i="5" s="1"/>
  <c r="C25" i="1"/>
  <c r="C79" i="5" s="1"/>
  <c r="A25" i="1"/>
  <c r="A79" i="5" s="1"/>
  <c r="C24" i="1"/>
  <c r="C71" i="5" s="1"/>
  <c r="A24" i="1"/>
  <c r="C23" i="1"/>
  <c r="C63" i="5" s="1"/>
  <c r="A23" i="1"/>
  <c r="A63" i="5" s="1"/>
  <c r="C22" i="1"/>
  <c r="C55" i="5" s="1"/>
  <c r="A22" i="1"/>
  <c r="A55" i="5" s="1"/>
  <c r="C21" i="1"/>
  <c r="C47" i="5" s="1"/>
  <c r="A21" i="1"/>
  <c r="A47" i="5" s="1"/>
  <c r="C19" i="1"/>
  <c r="C39" i="5" s="1"/>
  <c r="A19" i="1"/>
  <c r="C18" i="1"/>
  <c r="C31" i="5" s="1"/>
  <c r="A18" i="1"/>
  <c r="A31" i="5" s="1"/>
  <c r="C17" i="2"/>
  <c r="A17" i="1"/>
  <c r="A23" i="5" s="1"/>
  <c r="C17" i="1"/>
  <c r="C23" i="5" s="1"/>
  <c r="O14" i="3"/>
  <c r="A17" i="2"/>
  <c r="C36" i="2"/>
  <c r="C43" i="2"/>
  <c r="E5" i="2"/>
  <c r="M44" i="2"/>
  <c r="N44" i="2" s="1"/>
  <c r="L28" i="2"/>
  <c r="F11" i="2"/>
  <c r="E11" i="2"/>
  <c r="Q11" i="3"/>
  <c r="L5" i="2"/>
  <c r="A2" i="2"/>
  <c r="F11" i="3"/>
  <c r="M2" i="3"/>
  <c r="A2" i="3"/>
  <c r="O43" i="3"/>
  <c r="O36" i="3"/>
  <c r="O33" i="3"/>
  <c r="U72" i="3"/>
  <c r="L45" i="2"/>
  <c r="H33" i="3"/>
  <c r="H61" i="3"/>
  <c r="H69" i="3" l="1"/>
  <c r="D791" i="15"/>
  <c r="C792" i="15"/>
  <c r="D792" i="15" s="1"/>
  <c r="L58" i="2"/>
  <c r="C944" i="15"/>
  <c r="D974" i="15"/>
  <c r="C975" i="15"/>
  <c r="D975" i="15" s="1"/>
  <c r="D761" i="15"/>
  <c r="C762" i="15"/>
  <c r="D762" i="15" s="1"/>
  <c r="D822" i="15"/>
  <c r="C823" i="15"/>
  <c r="D823" i="15" s="1"/>
  <c r="D882" i="15"/>
  <c r="C883" i="15"/>
  <c r="D883" i="15" s="1"/>
  <c r="I41" i="2"/>
  <c r="I40" i="2"/>
  <c r="I39" i="2"/>
  <c r="I17" i="2"/>
  <c r="I16" i="2"/>
  <c r="I56" i="2"/>
  <c r="I54" i="2"/>
  <c r="I53" i="2"/>
  <c r="I52" i="2"/>
  <c r="I50" i="2"/>
  <c r="I49" i="2"/>
  <c r="I48" i="2"/>
  <c r="I30" i="2"/>
  <c r="I29" i="2"/>
  <c r="I26" i="2"/>
  <c r="I25" i="2"/>
  <c r="I59" i="2"/>
  <c r="I57" i="2"/>
  <c r="I55" i="2"/>
  <c r="Q45" i="2"/>
  <c r="I45" i="2"/>
  <c r="M30" i="2"/>
  <c r="F75" i="3"/>
  <c r="E24" i="2"/>
  <c r="E19" i="2"/>
  <c r="E18" i="2"/>
  <c r="E76" i="3"/>
  <c r="A15" i="5"/>
  <c r="M51" i="2"/>
  <c r="X46" i="1"/>
  <c r="Z46" i="1" s="1"/>
  <c r="R193" i="5"/>
  <c r="A260" i="5"/>
  <c r="M54" i="2"/>
  <c r="M50" i="2"/>
  <c r="M17" i="2"/>
  <c r="M56" i="2"/>
  <c r="M53" i="2"/>
  <c r="M49" i="2"/>
  <c r="A39" i="5"/>
  <c r="A71" i="5"/>
  <c r="A119" i="5"/>
  <c r="A220" i="5"/>
  <c r="A236" i="5"/>
  <c r="A252" i="5"/>
  <c r="A268" i="5"/>
  <c r="M39" i="2"/>
  <c r="R142" i="5"/>
  <c r="R124" i="5"/>
  <c r="M16" i="2"/>
  <c r="M52" i="2"/>
  <c r="E23" i="2"/>
  <c r="M58" i="2"/>
  <c r="E31" i="2"/>
  <c r="M59" i="2"/>
  <c r="M29" i="2"/>
  <c r="M25" i="2"/>
  <c r="E61" i="3"/>
  <c r="E69" i="3" s="1"/>
  <c r="M57" i="2"/>
  <c r="M45" i="2"/>
  <c r="M55" i="2"/>
  <c r="M40" i="2"/>
  <c r="M26" i="2"/>
  <c r="M41" i="2"/>
  <c r="E46" i="2"/>
  <c r="E75" i="2"/>
  <c r="E22" i="2"/>
  <c r="E27" i="2"/>
  <c r="E38" i="2"/>
  <c r="E28" i="2"/>
  <c r="E21" i="2"/>
  <c r="X56" i="1"/>
  <c r="Z56" i="1" s="1"/>
  <c r="D944" i="15" l="1"/>
  <c r="C945" i="15"/>
  <c r="D945" i="15" s="1"/>
  <c r="I28" i="2"/>
  <c r="I23" i="2"/>
  <c r="I21" i="2"/>
  <c r="I38" i="2"/>
  <c r="I22" i="2"/>
  <c r="M46" i="2"/>
  <c r="I46" i="2"/>
  <c r="M19" i="2"/>
  <c r="I19" i="2"/>
  <c r="I27" i="2"/>
  <c r="I31" i="2"/>
  <c r="I18" i="2"/>
  <c r="I24" i="2"/>
  <c r="R189" i="5"/>
  <c r="F76" i="3"/>
  <c r="N53" i="2"/>
  <c r="N30" i="2"/>
  <c r="M31" i="2"/>
  <c r="N56" i="2"/>
  <c r="U76" i="3"/>
  <c r="M18" i="2"/>
  <c r="N17" i="2"/>
  <c r="N25" i="2"/>
  <c r="N54" i="2"/>
  <c r="N47" i="2"/>
  <c r="N52" i="2"/>
  <c r="M24" i="2"/>
  <c r="N24" i="2" s="1"/>
  <c r="N50" i="2"/>
  <c r="N58" i="2"/>
  <c r="N39" i="2"/>
  <c r="N51" i="2"/>
  <c r="N49" i="2"/>
  <c r="X55" i="1"/>
  <c r="Z55" i="1" s="1"/>
  <c r="R265" i="5"/>
  <c r="P30" i="2"/>
  <c r="Q30" i="2" s="1"/>
  <c r="R30" i="2" s="1"/>
  <c r="R138" i="5"/>
  <c r="R120" i="5"/>
  <c r="M23" i="2"/>
  <c r="F75" i="2"/>
  <c r="N59" i="2"/>
  <c r="N40" i="2"/>
  <c r="N55" i="2"/>
  <c r="N29" i="2"/>
  <c r="N41" i="2"/>
  <c r="N57" i="2"/>
  <c r="N45" i="2"/>
  <c r="N26" i="2"/>
  <c r="M21" i="2"/>
  <c r="E33" i="2"/>
  <c r="P46" i="2"/>
  <c r="Q46" i="2" s="1"/>
  <c r="N16" i="2"/>
  <c r="E61" i="2"/>
  <c r="M38" i="2"/>
  <c r="R45" i="2"/>
  <c r="M28" i="2"/>
  <c r="M22" i="2"/>
  <c r="M27" i="2"/>
  <c r="E68" i="2" l="1"/>
  <c r="N46" i="2"/>
  <c r="N19" i="2"/>
  <c r="N23" i="2"/>
  <c r="N31" i="2"/>
  <c r="N18" i="2"/>
  <c r="R261" i="5"/>
  <c r="P55" i="2"/>
  <c r="E77" i="3"/>
  <c r="I33" i="2"/>
  <c r="H33" i="2" s="1"/>
  <c r="I61" i="2"/>
  <c r="N27" i="2"/>
  <c r="N22" i="2"/>
  <c r="N28" i="2"/>
  <c r="N21" i="2"/>
  <c r="M33" i="2"/>
  <c r="L33" i="2" s="1"/>
  <c r="P56" i="2"/>
  <c r="N38" i="2"/>
  <c r="N61" i="2" s="1"/>
  <c r="M61" i="2"/>
  <c r="R46" i="2"/>
  <c r="M68" i="2" l="1"/>
  <c r="I68" i="2"/>
  <c r="H68" i="2" s="1"/>
  <c r="Q56" i="2"/>
  <c r="R56" i="2" s="1"/>
  <c r="C917" i="15"/>
  <c r="H61" i="2"/>
  <c r="Q55" i="2"/>
  <c r="R55" i="2" s="1"/>
  <c r="L68" i="2"/>
  <c r="L61" i="2"/>
  <c r="N33" i="2"/>
  <c r="N68" i="2" s="1"/>
  <c r="E76" i="2"/>
  <c r="C918" i="15" l="1"/>
  <c r="D918" i="15" s="1"/>
  <c r="D917" i="15"/>
  <c r="F30" i="2"/>
  <c r="S33" i="3" l="1"/>
  <c r="V38" i="1" l="1"/>
  <c r="W38" i="1" s="1"/>
  <c r="V40" i="1"/>
  <c r="W40" i="1" s="1"/>
  <c r="F39" i="2"/>
  <c r="F41" i="2"/>
  <c r="F40" i="2"/>
  <c r="F38" i="2"/>
  <c r="R166" i="5" l="1"/>
  <c r="X40" i="1"/>
  <c r="Z40" i="1" s="1"/>
  <c r="X38" i="1"/>
  <c r="R150" i="5"/>
  <c r="V39" i="1"/>
  <c r="W39" i="1" s="1"/>
  <c r="V41" i="1"/>
  <c r="W41" i="1" s="1"/>
  <c r="Z38" i="1" l="1"/>
  <c r="P38" i="2"/>
  <c r="Q38" i="2" s="1"/>
  <c r="R146" i="5"/>
  <c r="X41" i="1"/>
  <c r="Z41" i="1" s="1"/>
  <c r="R174" i="5"/>
  <c r="R162" i="5"/>
  <c r="P40" i="2"/>
  <c r="R158" i="5"/>
  <c r="X39" i="1"/>
  <c r="Z39" i="1" s="1"/>
  <c r="G52" i="3"/>
  <c r="V52" i="1" s="1"/>
  <c r="W52" i="1" s="1"/>
  <c r="F58" i="2"/>
  <c r="G57" i="3"/>
  <c r="V57" i="1" s="1"/>
  <c r="W57" i="1" s="1"/>
  <c r="F57" i="2"/>
  <c r="G45" i="3"/>
  <c r="G54" i="3"/>
  <c r="V54" i="1" s="1"/>
  <c r="W54" i="1" s="1"/>
  <c r="F56" i="2"/>
  <c r="G50" i="3"/>
  <c r="V50" i="1" s="1"/>
  <c r="W50" i="1" s="1"/>
  <c r="F55" i="2"/>
  <c r="J46" i="3"/>
  <c r="G58" i="3"/>
  <c r="V58" i="1" s="1"/>
  <c r="J45" i="3"/>
  <c r="G59" i="3"/>
  <c r="V59" i="1" s="1"/>
  <c r="W59" i="1" s="1"/>
  <c r="G53" i="3"/>
  <c r="V53" i="1" s="1"/>
  <c r="W53" i="1" s="1"/>
  <c r="F45" i="2"/>
  <c r="Q40" i="2" l="1"/>
  <c r="R40" i="2" s="1"/>
  <c r="X50" i="1"/>
  <c r="Z50" i="1" s="1"/>
  <c r="R225" i="5"/>
  <c r="R241" i="5"/>
  <c r="X52" i="1"/>
  <c r="Z52" i="1" s="1"/>
  <c r="P41" i="2"/>
  <c r="R170" i="5"/>
  <c r="R154" i="5"/>
  <c r="P39" i="2"/>
  <c r="Q39" i="2" s="1"/>
  <c r="R38" i="2"/>
  <c r="R249" i="5"/>
  <c r="X53" i="1"/>
  <c r="Z53" i="1" s="1"/>
  <c r="R257" i="5"/>
  <c r="X54" i="1"/>
  <c r="Z54" i="1" s="1"/>
  <c r="X57" i="1"/>
  <c r="Z57" i="1" s="1"/>
  <c r="R273" i="5"/>
  <c r="R281" i="5"/>
  <c r="X58" i="1"/>
  <c r="Z58" i="1" s="1"/>
  <c r="X59" i="1"/>
  <c r="R289" i="5"/>
  <c r="F59" i="2"/>
  <c r="G49" i="3"/>
  <c r="V49" i="1" s="1"/>
  <c r="W49" i="1" s="1"/>
  <c r="S61" i="3"/>
  <c r="S77" i="3" s="1"/>
  <c r="F54" i="2"/>
  <c r="G51" i="3"/>
  <c r="V51" i="1" s="1"/>
  <c r="G47" i="3"/>
  <c r="V47" i="1" s="1"/>
  <c r="W47" i="1" s="1"/>
  <c r="F53" i="2"/>
  <c r="F46" i="2"/>
  <c r="Z59" i="1" l="1"/>
  <c r="P59" i="2"/>
  <c r="Q59" i="2" s="1"/>
  <c r="Q41" i="2"/>
  <c r="R41" i="2" s="1"/>
  <c r="R217" i="5"/>
  <c r="X49" i="1"/>
  <c r="Z49" i="1" s="1"/>
  <c r="R233" i="5"/>
  <c r="X51" i="1"/>
  <c r="Z51" i="1" s="1"/>
  <c r="R237" i="5"/>
  <c r="P52" i="2"/>
  <c r="Q52" i="2" s="1"/>
  <c r="R221" i="5"/>
  <c r="P50" i="2"/>
  <c r="Q50" i="2" s="1"/>
  <c r="R201" i="5"/>
  <c r="X47" i="1"/>
  <c r="Z47" i="1" s="1"/>
  <c r="R39" i="2"/>
  <c r="R253" i="5"/>
  <c r="P54" i="2"/>
  <c r="Q54" i="2" s="1"/>
  <c r="R245" i="5"/>
  <c r="P53" i="2"/>
  <c r="Q53" i="2" s="1"/>
  <c r="R285" i="5"/>
  <c r="R277" i="5"/>
  <c r="R269" i="5"/>
  <c r="P57" i="2"/>
  <c r="Q57" i="2" s="1"/>
  <c r="P49" i="2" l="1"/>
  <c r="Q49" i="2" s="1"/>
  <c r="R213" i="5"/>
  <c r="R52" i="2"/>
  <c r="R50" i="2"/>
  <c r="Q51" i="2"/>
  <c r="R51" i="2" s="1"/>
  <c r="R229" i="5"/>
  <c r="R197" i="5"/>
  <c r="R54" i="2"/>
  <c r="R53" i="2"/>
  <c r="R58" i="2"/>
  <c r="R57" i="2"/>
  <c r="R59" i="2"/>
  <c r="R49" i="2" l="1"/>
  <c r="R47" i="2"/>
  <c r="J20" i="16" l="1"/>
  <c r="J26" i="16"/>
  <c r="J23" i="16"/>
  <c r="J25" i="16"/>
  <c r="J27" i="16"/>
  <c r="J24" i="16"/>
  <c r="J21" i="16"/>
  <c r="J30" i="16"/>
  <c r="J29" i="16"/>
  <c r="J31" i="16"/>
  <c r="J33" i="16"/>
  <c r="J32" i="16"/>
  <c r="J28" i="16"/>
  <c r="J15" i="16" l="1"/>
  <c r="N15" i="16"/>
  <c r="F16" i="16"/>
  <c r="N16" i="16" l="1"/>
  <c r="F48" i="2"/>
  <c r="E16" i="11"/>
  <c r="K16" i="11" s="1"/>
  <c r="F48" i="3"/>
  <c r="F61" i="2" l="1"/>
  <c r="Q48" i="3"/>
  <c r="J48" i="3"/>
  <c r="J61" i="3" s="1"/>
  <c r="G48" i="3"/>
  <c r="V48" i="1" s="1"/>
  <c r="F61" i="3"/>
  <c r="K48" i="3"/>
  <c r="O16" i="11"/>
  <c r="Q16" i="11" s="1"/>
  <c r="C75" i="15"/>
  <c r="C78" i="15" l="1"/>
  <c r="D75" i="15"/>
  <c r="C76" i="15"/>
  <c r="D76" i="15" s="1"/>
  <c r="W48" i="1"/>
  <c r="X48" i="1" s="1"/>
  <c r="R209" i="5"/>
  <c r="U48" i="3"/>
  <c r="U61" i="3" s="1"/>
  <c r="Q61" i="3"/>
  <c r="J14" i="13"/>
  <c r="L14" i="13" s="1"/>
  <c r="C88" i="15"/>
  <c r="D88" i="15" s="1"/>
  <c r="K61" i="3"/>
  <c r="Z48" i="1" l="1"/>
  <c r="P48" i="2"/>
  <c r="Q48" i="2" s="1"/>
  <c r="R205" i="5"/>
  <c r="N14" i="13"/>
  <c r="R48" i="2" l="1"/>
  <c r="R61" i="2" s="1"/>
  <c r="Q61" i="2"/>
  <c r="P61" i="2" l="1"/>
  <c r="F35" i="16"/>
  <c r="J34" i="16"/>
  <c r="J35" i="16" l="1"/>
  <c r="L25" i="16" l="1"/>
  <c r="N25" i="16" s="1"/>
  <c r="E26" i="11" s="1"/>
  <c r="K26" i="11" s="1"/>
  <c r="L22" i="16"/>
  <c r="N22" i="16" s="1"/>
  <c r="E23" i="11" s="1"/>
  <c r="K23" i="11" s="1"/>
  <c r="L27" i="16"/>
  <c r="N27" i="16" s="1"/>
  <c r="E28" i="11" s="1"/>
  <c r="K28" i="11" s="1"/>
  <c r="L21" i="16"/>
  <c r="N21" i="16" s="1"/>
  <c r="E22" i="11" s="1"/>
  <c r="K22" i="11" s="1"/>
  <c r="L26" i="16"/>
  <c r="N26" i="16" s="1"/>
  <c r="E27" i="11" s="1"/>
  <c r="K27" i="11" s="1"/>
  <c r="L32" i="16"/>
  <c r="N32" i="16" s="1"/>
  <c r="E33" i="11" s="1"/>
  <c r="K33" i="11" s="1"/>
  <c r="L33" i="16"/>
  <c r="N33" i="16" s="1"/>
  <c r="E34" i="11" s="1"/>
  <c r="K34" i="11" s="1"/>
  <c r="L24" i="16"/>
  <c r="N24" i="16" s="1"/>
  <c r="E25" i="11" s="1"/>
  <c r="K25" i="11" s="1"/>
  <c r="L23" i="16"/>
  <c r="N23" i="16" s="1"/>
  <c r="E24" i="11" s="1"/>
  <c r="K24" i="11" s="1"/>
  <c r="L29" i="16"/>
  <c r="N29" i="16" s="1"/>
  <c r="E30" i="11" s="1"/>
  <c r="K30" i="11" s="1"/>
  <c r="L30" i="16"/>
  <c r="N30" i="16" s="1"/>
  <c r="E31" i="11" s="1"/>
  <c r="K31" i="11" s="1"/>
  <c r="L31" i="16"/>
  <c r="N31" i="16" s="1"/>
  <c r="E32" i="11" s="1"/>
  <c r="K32" i="11" s="1"/>
  <c r="L28" i="16"/>
  <c r="N28" i="16" s="1"/>
  <c r="E29" i="11" s="1"/>
  <c r="K29" i="11" s="1"/>
  <c r="L20" i="16"/>
  <c r="L34" i="16"/>
  <c r="N34" i="16" s="1"/>
  <c r="E35" i="11" s="1"/>
  <c r="K35" i="11" s="1"/>
  <c r="F24" i="3" l="1"/>
  <c r="F19" i="3"/>
  <c r="F28" i="3"/>
  <c r="F18" i="3"/>
  <c r="F31" i="3"/>
  <c r="F26" i="3"/>
  <c r="F17" i="3"/>
  <c r="N20" i="16"/>
  <c r="E21" i="11" s="1"/>
  <c r="K21" i="11" s="1"/>
  <c r="L35" i="16"/>
  <c r="L70" i="16" s="1"/>
  <c r="F27" i="3"/>
  <c r="F25" i="3"/>
  <c r="F20" i="3"/>
  <c r="F29" i="3"/>
  <c r="F22" i="3"/>
  <c r="F23" i="3"/>
  <c r="F21" i="3"/>
  <c r="G17" i="3" l="1"/>
  <c r="V17" i="1" s="1"/>
  <c r="F17" i="2"/>
  <c r="Q17" i="3"/>
  <c r="U17" i="3" s="1"/>
  <c r="J17" i="3"/>
  <c r="K17" i="3"/>
  <c r="G26" i="3"/>
  <c r="V26" i="1" s="1"/>
  <c r="Q26" i="3"/>
  <c r="U26" i="3" s="1"/>
  <c r="J26" i="3"/>
  <c r="F26" i="2"/>
  <c r="K26" i="3"/>
  <c r="C505" i="15"/>
  <c r="O35" i="11"/>
  <c r="Q35" i="11" s="1"/>
  <c r="G18" i="3"/>
  <c r="V18" i="1" s="1"/>
  <c r="F18" i="2"/>
  <c r="K18" i="3"/>
  <c r="Q18" i="3"/>
  <c r="U18" i="3" s="1"/>
  <c r="J18" i="3"/>
  <c r="J28" i="3"/>
  <c r="G28" i="3"/>
  <c r="V28" i="1" s="1"/>
  <c r="Q28" i="3"/>
  <c r="U28" i="3" s="1"/>
  <c r="K28" i="3"/>
  <c r="F28" i="2"/>
  <c r="Q19" i="3"/>
  <c r="U19" i="3" s="1"/>
  <c r="J19" i="3"/>
  <c r="F19" i="2"/>
  <c r="G19" i="3"/>
  <c r="V19" i="1" s="1"/>
  <c r="K19" i="3"/>
  <c r="Q24" i="3"/>
  <c r="U24" i="3" s="1"/>
  <c r="F24" i="2"/>
  <c r="K24" i="3"/>
  <c r="G24" i="3"/>
  <c r="V24" i="1" s="1"/>
  <c r="J24" i="3"/>
  <c r="J21" i="3"/>
  <c r="Q21" i="3"/>
  <c r="U21" i="3" s="1"/>
  <c r="G21" i="3"/>
  <c r="V21" i="1" s="1"/>
  <c r="F21" i="2"/>
  <c r="K21" i="3"/>
  <c r="G23" i="3"/>
  <c r="V23" i="1" s="1"/>
  <c r="K23" i="3"/>
  <c r="F23" i="2"/>
  <c r="Q23" i="3"/>
  <c r="U23" i="3" s="1"/>
  <c r="J23" i="3"/>
  <c r="C257" i="15"/>
  <c r="O27" i="11"/>
  <c r="Q27" i="11" s="1"/>
  <c r="J23" i="13" s="1"/>
  <c r="L23" i="13" s="1"/>
  <c r="N23" i="13" s="1"/>
  <c r="O34" i="11"/>
  <c r="Q34" i="11" s="1"/>
  <c r="C472" i="15"/>
  <c r="G20" i="3"/>
  <c r="V20" i="1" s="1"/>
  <c r="W20" i="1" s="1"/>
  <c r="X20" i="1" s="1"/>
  <c r="Z20" i="1" s="1"/>
  <c r="J20" i="3"/>
  <c r="K20" i="3"/>
  <c r="F20" i="2"/>
  <c r="Q20" i="3"/>
  <c r="U20" i="3" s="1"/>
  <c r="F25" i="2"/>
  <c r="Q25" i="3"/>
  <c r="U25" i="3" s="1"/>
  <c r="K25" i="3"/>
  <c r="G25" i="3"/>
  <c r="V25" i="1" s="1"/>
  <c r="J25" i="3"/>
  <c r="G27" i="3"/>
  <c r="V27" i="1" s="1"/>
  <c r="Q27" i="3"/>
  <c r="U27" i="3" s="1"/>
  <c r="F27" i="2"/>
  <c r="K27" i="3"/>
  <c r="J27" i="3"/>
  <c r="C228" i="15"/>
  <c r="O26" i="11"/>
  <c r="Q26" i="11" s="1"/>
  <c r="O28" i="11"/>
  <c r="Q28" i="11" s="1"/>
  <c r="C289" i="15"/>
  <c r="G22" i="3"/>
  <c r="V22" i="1" s="1"/>
  <c r="F22" i="2"/>
  <c r="Q22" i="3"/>
  <c r="U22" i="3" s="1"/>
  <c r="K22" i="3"/>
  <c r="J22" i="3"/>
  <c r="J29" i="3"/>
  <c r="Q29" i="3"/>
  <c r="U29" i="3" s="1"/>
  <c r="G29" i="3"/>
  <c r="V29" i="1" s="1"/>
  <c r="K29" i="3"/>
  <c r="F29" i="2"/>
  <c r="O25" i="11"/>
  <c r="Q25" i="11" s="1"/>
  <c r="C1096" i="15"/>
  <c r="O30" i="11"/>
  <c r="Q30" i="11" s="1"/>
  <c r="C350" i="15"/>
  <c r="O32" i="11"/>
  <c r="Q32" i="11" s="1"/>
  <c r="C410" i="15"/>
  <c r="N35" i="16"/>
  <c r="F16" i="3"/>
  <c r="C136" i="15"/>
  <c r="O22" i="11"/>
  <c r="Q22" i="11" s="1"/>
  <c r="C380" i="15"/>
  <c r="O31" i="11"/>
  <c r="Q31" i="11" s="1"/>
  <c r="G31" i="3"/>
  <c r="V31" i="1" s="1"/>
  <c r="F31" i="2"/>
  <c r="K31" i="3"/>
  <c r="J31" i="3"/>
  <c r="Q31" i="3"/>
  <c r="U31" i="3" s="1"/>
  <c r="O23" i="11"/>
  <c r="Q23" i="11" s="1"/>
  <c r="C166" i="15"/>
  <c r="O33" i="11"/>
  <c r="Q33" i="11" s="1"/>
  <c r="C441" i="15"/>
  <c r="O24" i="11"/>
  <c r="Q24" i="11" s="1"/>
  <c r="C197" i="15"/>
  <c r="C319" i="15"/>
  <c r="O29" i="11"/>
  <c r="Q29" i="11" s="1"/>
  <c r="C454" i="15" l="1"/>
  <c r="J29" i="13"/>
  <c r="L29" i="13" s="1"/>
  <c r="N29" i="13" s="1"/>
  <c r="C149" i="15"/>
  <c r="J18" i="13"/>
  <c r="L18" i="13" s="1"/>
  <c r="N18" i="13" s="1"/>
  <c r="Q16" i="3"/>
  <c r="J16" i="3"/>
  <c r="J33" i="3" s="1"/>
  <c r="K16" i="3"/>
  <c r="F16" i="2"/>
  <c r="F33" i="2" s="1"/>
  <c r="G16" i="3"/>
  <c r="V16" i="1" s="1"/>
  <c r="F33" i="3"/>
  <c r="C423" i="15"/>
  <c r="J28" i="13"/>
  <c r="L28" i="13" s="1"/>
  <c r="N28" i="13" s="1"/>
  <c r="C363" i="15"/>
  <c r="J26" i="13"/>
  <c r="L26" i="13" s="1"/>
  <c r="N26" i="13" s="1"/>
  <c r="C241" i="15"/>
  <c r="C1109" i="15"/>
  <c r="J21" i="13"/>
  <c r="W22" i="1"/>
  <c r="X22" i="1" s="1"/>
  <c r="R60" i="5"/>
  <c r="C302" i="15"/>
  <c r="J24" i="13"/>
  <c r="L24" i="13" s="1"/>
  <c r="N24" i="13" s="1"/>
  <c r="C229" i="15"/>
  <c r="D229" i="15" s="1"/>
  <c r="C231" i="15"/>
  <c r="D228" i="15"/>
  <c r="D472" i="15"/>
  <c r="C473" i="15"/>
  <c r="D473" i="15" s="1"/>
  <c r="C475" i="15"/>
  <c r="R68" i="5"/>
  <c r="W23" i="1"/>
  <c r="X23" i="1" s="1"/>
  <c r="W19" i="1"/>
  <c r="X19" i="1" s="1"/>
  <c r="R44" i="5"/>
  <c r="J31" i="13"/>
  <c r="L31" i="13" s="1"/>
  <c r="N31" i="13" s="1"/>
  <c r="C518" i="15"/>
  <c r="W26" i="1"/>
  <c r="X26" i="1" s="1"/>
  <c r="R92" i="5"/>
  <c r="C322" i="15"/>
  <c r="D319" i="15"/>
  <c r="C320" i="15"/>
  <c r="D320" i="15" s="1"/>
  <c r="C210" i="15"/>
  <c r="J20" i="13"/>
  <c r="L20" i="13" s="1"/>
  <c r="N20" i="13" s="1"/>
  <c r="C179" i="15"/>
  <c r="J19" i="13"/>
  <c r="L19" i="13" s="1"/>
  <c r="N19" i="13" s="1"/>
  <c r="C393" i="15"/>
  <c r="J27" i="13"/>
  <c r="L27" i="13" s="1"/>
  <c r="N27" i="13" s="1"/>
  <c r="C332" i="15"/>
  <c r="J25" i="13"/>
  <c r="L25" i="13" s="1"/>
  <c r="N25" i="13" s="1"/>
  <c r="D197" i="15"/>
  <c r="C198" i="15"/>
  <c r="D198" i="15" s="1"/>
  <c r="C200" i="15"/>
  <c r="D441" i="15"/>
  <c r="C442" i="15"/>
  <c r="D442" i="15" s="1"/>
  <c r="C444" i="15"/>
  <c r="D166" i="15"/>
  <c r="C169" i="15"/>
  <c r="C167" i="15"/>
  <c r="D167" i="15" s="1"/>
  <c r="W31" i="1"/>
  <c r="X31" i="1" s="1"/>
  <c r="R132" i="5"/>
  <c r="C381" i="15"/>
  <c r="D381" i="15" s="1"/>
  <c r="D380" i="15"/>
  <c r="C383" i="15"/>
  <c r="D136" i="15"/>
  <c r="C137" i="15"/>
  <c r="D137" i="15" s="1"/>
  <c r="C139" i="15"/>
  <c r="E36" i="11"/>
  <c r="C106" i="15"/>
  <c r="D410" i="15"/>
  <c r="C411" i="15"/>
  <c r="D411" i="15" s="1"/>
  <c r="C413" i="15"/>
  <c r="C353" i="15"/>
  <c r="D350" i="15"/>
  <c r="C351" i="15"/>
  <c r="D351" i="15" s="1"/>
  <c r="D1096" i="15"/>
  <c r="C1099" i="15"/>
  <c r="C1097" i="15"/>
  <c r="D1097" i="15" s="1"/>
  <c r="W29" i="1"/>
  <c r="X29" i="1" s="1"/>
  <c r="R116" i="5"/>
  <c r="C292" i="15"/>
  <c r="D289" i="15"/>
  <c r="C290" i="15"/>
  <c r="D290" i="15" s="1"/>
  <c r="C270" i="15"/>
  <c r="J22" i="13"/>
  <c r="L22" i="13" s="1"/>
  <c r="N22" i="13" s="1"/>
  <c r="W27" i="1"/>
  <c r="X27" i="1" s="1"/>
  <c r="R100" i="5"/>
  <c r="W25" i="1"/>
  <c r="X25" i="1" s="1"/>
  <c r="R84" i="5"/>
  <c r="C485" i="15"/>
  <c r="J30" i="13"/>
  <c r="L30" i="13" s="1"/>
  <c r="N30" i="13" s="1"/>
  <c r="C260" i="15"/>
  <c r="C258" i="15"/>
  <c r="D258" i="15" s="1"/>
  <c r="D257" i="15"/>
  <c r="W21" i="1"/>
  <c r="X21" i="1" s="1"/>
  <c r="R52" i="5"/>
  <c r="W24" i="1"/>
  <c r="X24" i="1" s="1"/>
  <c r="R76" i="5"/>
  <c r="W28" i="1"/>
  <c r="X28" i="1" s="1"/>
  <c r="R108" i="5"/>
  <c r="W18" i="1"/>
  <c r="X18" i="1" s="1"/>
  <c r="R36" i="5"/>
  <c r="C506" i="15"/>
  <c r="D506" i="15" s="1"/>
  <c r="C508" i="15"/>
  <c r="D505" i="15"/>
  <c r="W17" i="1"/>
  <c r="X17" i="1" s="1"/>
  <c r="R28" i="5"/>
  <c r="P18" i="2" l="1"/>
  <c r="Q18" i="2" s="1"/>
  <c r="R18" i="2" s="1"/>
  <c r="R32" i="5"/>
  <c r="Z18" i="1"/>
  <c r="R48" i="5"/>
  <c r="Z21" i="1"/>
  <c r="P21" i="2"/>
  <c r="Q21" i="2" s="1"/>
  <c r="R21" i="2" s="1"/>
  <c r="R88" i="5"/>
  <c r="P26" i="2"/>
  <c r="Q26" i="2" s="1"/>
  <c r="R26" i="2" s="1"/>
  <c r="Z26" i="1"/>
  <c r="Z19" i="1"/>
  <c r="R40" i="5"/>
  <c r="P19" i="2"/>
  <c r="Q19" i="2" s="1"/>
  <c r="R19" i="2" s="1"/>
  <c r="D302" i="15"/>
  <c r="C303" i="15"/>
  <c r="D303" i="15" s="1"/>
  <c r="R56" i="5"/>
  <c r="Z22" i="1"/>
  <c r="P22" i="2"/>
  <c r="Q22" i="2" s="1"/>
  <c r="R22" i="2" s="1"/>
  <c r="C1110" i="15"/>
  <c r="D1110" i="15" s="1"/>
  <c r="D1109" i="15"/>
  <c r="K33" i="3"/>
  <c r="R104" i="5"/>
  <c r="Z28" i="1"/>
  <c r="P28" i="2"/>
  <c r="Q28" i="2" s="1"/>
  <c r="R28" i="2" s="1"/>
  <c r="Z24" i="1"/>
  <c r="P24" i="2"/>
  <c r="Q24" i="2" s="1"/>
  <c r="R24" i="2" s="1"/>
  <c r="R72" i="5"/>
  <c r="P29" i="2"/>
  <c r="Q29" i="2" s="1"/>
  <c r="R29" i="2" s="1"/>
  <c r="R112" i="5"/>
  <c r="Z29" i="1"/>
  <c r="C107" i="15"/>
  <c r="D107" i="15" s="1"/>
  <c r="D106" i="15"/>
  <c r="C109" i="15"/>
  <c r="Z31" i="1"/>
  <c r="R128" i="5"/>
  <c r="P31" i="2"/>
  <c r="Q31" i="2" s="1"/>
  <c r="R31" i="2" s="1"/>
  <c r="Z17" i="1"/>
  <c r="R24" i="5"/>
  <c r="P17" i="2"/>
  <c r="Q17" i="2" s="1"/>
  <c r="R17" i="2" s="1"/>
  <c r="C486" i="15"/>
  <c r="D486" i="15" s="1"/>
  <c r="D485" i="15"/>
  <c r="P25" i="2"/>
  <c r="Q25" i="2" s="1"/>
  <c r="R25" i="2" s="1"/>
  <c r="Z25" i="1"/>
  <c r="R80" i="5"/>
  <c r="P27" i="2"/>
  <c r="Q27" i="2" s="1"/>
  <c r="R27" i="2" s="1"/>
  <c r="R96" i="5"/>
  <c r="Z27" i="1"/>
  <c r="C271" i="15"/>
  <c r="D271" i="15" s="1"/>
  <c r="D270" i="15"/>
  <c r="K36" i="11"/>
  <c r="O21" i="11"/>
  <c r="D332" i="15"/>
  <c r="C333" i="15"/>
  <c r="D333" i="15" s="1"/>
  <c r="C394" i="15"/>
  <c r="D394" i="15" s="1"/>
  <c r="D393" i="15"/>
  <c r="C180" i="15"/>
  <c r="D180" i="15" s="1"/>
  <c r="D179" i="15"/>
  <c r="D210" i="15"/>
  <c r="C211" i="15"/>
  <c r="D211" i="15" s="1"/>
  <c r="C519" i="15"/>
  <c r="D519" i="15" s="1"/>
  <c r="D518" i="15"/>
  <c r="P23" i="2"/>
  <c r="Q23" i="2" s="1"/>
  <c r="R23" i="2" s="1"/>
  <c r="Z23" i="1"/>
  <c r="R64" i="5"/>
  <c r="L21" i="13"/>
  <c r="N21" i="13" s="1"/>
  <c r="P20" i="2"/>
  <c r="Q20" i="2" s="1"/>
  <c r="R20" i="2" s="1"/>
  <c r="D241" i="15"/>
  <c r="C242" i="15"/>
  <c r="D242" i="15" s="1"/>
  <c r="C364" i="15"/>
  <c r="D364" i="15" s="1"/>
  <c r="D363" i="15"/>
  <c r="C424" i="15"/>
  <c r="D424" i="15" s="1"/>
  <c r="D423" i="15"/>
  <c r="W16" i="1"/>
  <c r="X16" i="1" s="1"/>
  <c r="R20" i="5"/>
  <c r="Q33" i="3"/>
  <c r="U16" i="3"/>
  <c r="U33" i="3" s="1"/>
  <c r="C150" i="15"/>
  <c r="D150" i="15" s="1"/>
  <c r="D149" i="15"/>
  <c r="C455" i="15"/>
  <c r="D455" i="15" s="1"/>
  <c r="D454" i="15"/>
  <c r="Z16" i="1" l="1"/>
  <c r="P16" i="2"/>
  <c r="Q16" i="2" s="1"/>
  <c r="R16" i="5"/>
  <c r="O36" i="11"/>
  <c r="Q21" i="11"/>
  <c r="R16" i="2" l="1"/>
  <c r="R33" i="2" s="1"/>
  <c r="Q33" i="2"/>
  <c r="J17" i="13"/>
  <c r="L17" i="13" s="1"/>
  <c r="C119" i="15"/>
  <c r="P33" i="2" l="1"/>
  <c r="C120" i="15"/>
  <c r="D120" i="15" s="1"/>
  <c r="D119" i="15"/>
  <c r="N17" i="13"/>
  <c r="J66" i="16"/>
  <c r="F68" i="16"/>
  <c r="F70" i="16" s="1"/>
  <c r="F79" i="16" s="1"/>
  <c r="F81" i="16" s="1"/>
  <c r="N81" i="16" s="1"/>
  <c r="N66" i="16"/>
  <c r="N67" i="16"/>
  <c r="F65" i="3" s="1"/>
  <c r="E68" i="11"/>
  <c r="E71" i="11" s="1"/>
  <c r="J67" i="16"/>
  <c r="J68" i="16" s="1"/>
  <c r="J70" i="16" s="1"/>
  <c r="K68" i="11" l="1"/>
  <c r="Q65" i="3"/>
  <c r="F65" i="2"/>
  <c r="L51" i="13"/>
  <c r="U65" i="3"/>
  <c r="N68" i="16"/>
  <c r="N70" i="16" s="1"/>
  <c r="N79" i="16" s="1"/>
  <c r="K65" i="3"/>
  <c r="F64" i="3"/>
  <c r="F64" i="2" s="1"/>
  <c r="G65" i="3"/>
  <c r="V65" i="1" s="1"/>
  <c r="F69" i="3"/>
  <c r="F77" i="3" s="1"/>
  <c r="O68" i="11"/>
  <c r="Q68" i="11" s="1"/>
  <c r="J65" i="3"/>
  <c r="F68" i="2" l="1"/>
  <c r="F76" i="2" s="1"/>
  <c r="N51" i="13"/>
  <c r="D1040" i="15"/>
  <c r="C1041" i="15"/>
  <c r="D1041" i="15" s="1"/>
  <c r="X64" i="1"/>
  <c r="Z64" i="1" s="1"/>
  <c r="Q64" i="2"/>
  <c r="R64" i="2" s="1"/>
  <c r="J52" i="13"/>
  <c r="L52" i="13" s="1"/>
  <c r="C1079" i="15"/>
  <c r="W65" i="1"/>
  <c r="C1067" i="15"/>
  <c r="D1067" i="15" s="1"/>
  <c r="C1069" i="15"/>
  <c r="D1066" i="15"/>
  <c r="G64" i="3"/>
  <c r="V64" i="1" s="1"/>
  <c r="Q64" i="3"/>
  <c r="J64" i="3"/>
  <c r="J69" i="3" s="1"/>
  <c r="K64" i="3"/>
  <c r="K69" i="3" s="1"/>
  <c r="E79" i="11" l="1"/>
  <c r="E81" i="11" s="1"/>
  <c r="E85" i="11" s="1"/>
  <c r="P65" i="2"/>
  <c r="Q65" i="2" s="1"/>
  <c r="Q68" i="2" s="1"/>
  <c r="P68" i="2" s="1"/>
  <c r="X65" i="1"/>
  <c r="Z65" i="1" s="1"/>
  <c r="U64" i="3"/>
  <c r="U69" i="3" s="1"/>
  <c r="U77" i="3" s="1"/>
  <c r="Q69" i="3"/>
  <c r="Q77" i="3" s="1"/>
  <c r="L53" i="13"/>
  <c r="N52" i="13"/>
  <c r="D1079" i="15"/>
  <c r="C1080" i="15"/>
  <c r="D1080" i="15" s="1"/>
  <c r="N53" i="13" l="1"/>
  <c r="R65" i="2"/>
  <c r="R6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Hensley, Marianella</author>
    <author>cenadmin</author>
    <author>JKLAS</author>
  </authors>
  <commentList>
    <comment ref="E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Copy from final approved rate</t>
        </r>
      </text>
    </comment>
    <comment ref="N7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cenadmin:</t>
        </r>
        <r>
          <rPr>
            <sz val="8"/>
            <color indexed="81"/>
            <rFont val="Tahoma"/>
            <family val="2"/>
          </rPr>
          <t xml:space="preserve">
3</t>
        </r>
      </text>
    </comment>
    <comment ref="R11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cenadmin:</t>
        </r>
        <r>
          <rPr>
            <sz val="8"/>
            <color indexed="81"/>
            <rFont val="Tahoma"/>
            <family val="2"/>
          </rPr>
          <t xml:space="preserve">
Det Original Cost Values..end</t>
        </r>
      </text>
    </comment>
    <comment ref="T11" authorId="2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Anthony Trask:
</t>
        </r>
        <r>
          <rPr>
            <sz val="9"/>
            <color indexed="81"/>
            <rFont val="Tahoma"/>
            <family val="2"/>
          </rPr>
          <t>Round greater than 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cenadmin</author>
    <author>Hensley, Marianella</author>
  </authors>
  <commentList>
    <comment ref="H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cenadmin:</t>
        </r>
        <r>
          <rPr>
            <sz val="8"/>
            <color indexed="81"/>
            <rFont val="Tahoma"/>
            <family val="2"/>
          </rPr>
          <t xml:space="preserve">
column V - Det Original Cost Values</t>
        </r>
      </text>
    </comment>
    <comment ref="S77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delete mains and add balance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Hensley, Marianella</author>
  </authors>
  <commentList>
    <comment ref="W3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ask Anthony 04/15. Not use at this moment New for 2015</t>
        </r>
      </text>
    </comment>
    <comment ref="W297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ask Anthony 04/15</t>
        </r>
      </text>
    </comment>
  </commentList>
</comments>
</file>

<file path=xl/sharedStrings.xml><?xml version="1.0" encoding="utf-8"?>
<sst xmlns="http://schemas.openxmlformats.org/spreadsheetml/2006/main" count="7232" uniqueCount="1369">
  <si>
    <t>Comparison of Rates and Components</t>
  </si>
  <si>
    <t>Whole Life</t>
  </si>
  <si>
    <t>Remaining Life</t>
  </si>
  <si>
    <t>Average</t>
  </si>
  <si>
    <t>Future</t>
  </si>
  <si>
    <t>Approved</t>
  </si>
  <si>
    <t>Reserve</t>
  </si>
  <si>
    <t>Depre-</t>
  </si>
  <si>
    <t>Whole</t>
  </si>
  <si>
    <t>Account</t>
  </si>
  <si>
    <t>Service</t>
  </si>
  <si>
    <t>Remaining</t>
  </si>
  <si>
    <t>Net</t>
  </si>
  <si>
    <t>Curve</t>
  </si>
  <si>
    <t>Ratio</t>
  </si>
  <si>
    <t>ciation</t>
  </si>
  <si>
    <t>Life</t>
  </si>
  <si>
    <t>Number</t>
  </si>
  <si>
    <t>Account Title</t>
  </si>
  <si>
    <t>Salvage</t>
  </si>
  <si>
    <t>Type</t>
  </si>
  <si>
    <t>Rate</t>
  </si>
  <si>
    <t>Age</t>
  </si>
  <si>
    <t>(yrs)</t>
  </si>
  <si>
    <t>(%)</t>
  </si>
  <si>
    <t>R3</t>
  </si>
  <si>
    <t>R2</t>
  </si>
  <si>
    <t>Distribution Plant</t>
  </si>
  <si>
    <t>R4</t>
  </si>
  <si>
    <t>Laboratory Equipment</t>
  </si>
  <si>
    <t>Power Operated Equipment</t>
  </si>
  <si>
    <t>Transportation Equipment</t>
  </si>
  <si>
    <t>Communication Equipment</t>
  </si>
  <si>
    <t>Miscellaneous Equipment</t>
  </si>
  <si>
    <t>Total</t>
  </si>
  <si>
    <t>Change in</t>
  </si>
  <si>
    <t>Depreciation</t>
  </si>
  <si>
    <t>Expense</t>
  </si>
  <si>
    <t>($)</t>
  </si>
  <si>
    <t>Total Distribution Plant</t>
  </si>
  <si>
    <t>Comparison of Reserve - Actual vs Theoretical</t>
  </si>
  <si>
    <t>Theoretical</t>
  </si>
  <si>
    <t>Actual</t>
  </si>
  <si>
    <t>Minus</t>
  </si>
  <si>
    <t>Comparative Analysis</t>
  </si>
  <si>
    <t>Company</t>
  </si>
  <si>
    <t>Current</t>
  </si>
  <si>
    <t>Depreciation Rate</t>
  </si>
  <si>
    <t>Average Remaining Life</t>
  </si>
  <si>
    <t>Future Net Salvage %</t>
  </si>
  <si>
    <t>Reserve Ratio</t>
  </si>
  <si>
    <t>Curve Type</t>
  </si>
  <si>
    <t>R1</t>
  </si>
  <si>
    <t>S1</t>
  </si>
  <si>
    <t xml:space="preserve">Change in </t>
  </si>
  <si>
    <t>Deprec</t>
  </si>
  <si>
    <t xml:space="preserve">Method </t>
  </si>
  <si>
    <t>Used</t>
  </si>
  <si>
    <t>SURV</t>
  </si>
  <si>
    <t>Balance</t>
  </si>
  <si>
    <t>Total General Plant</t>
  </si>
  <si>
    <t>L1</t>
  </si>
  <si>
    <t>General Plant</t>
  </si>
  <si>
    <t>Change in Annual Accruals</t>
  </si>
  <si>
    <t>Proposed</t>
  </si>
  <si>
    <t>Transfers</t>
  </si>
  <si>
    <t>over</t>
  </si>
  <si>
    <t>Check Figure</t>
  </si>
  <si>
    <t>Variance</t>
  </si>
  <si>
    <t>Summary of Reserve Transfers</t>
  </si>
  <si>
    <t>After</t>
  </si>
  <si>
    <t>Accumulated</t>
  </si>
  <si>
    <t>Plant Cost</t>
  </si>
  <si>
    <t>Net Check</t>
  </si>
  <si>
    <t>Retirements</t>
  </si>
  <si>
    <t>COR</t>
  </si>
  <si>
    <t>Dep Val</t>
  </si>
  <si>
    <t>ASR</t>
  </si>
  <si>
    <t>Confirm</t>
  </si>
  <si>
    <t>Average Service Life</t>
  </si>
  <si>
    <t>Amount</t>
  </si>
  <si>
    <t>Annual</t>
  </si>
  <si>
    <t>Additions</t>
  </si>
  <si>
    <t>Balances</t>
  </si>
  <si>
    <t>-</t>
  </si>
  <si>
    <t>Round</t>
  </si>
  <si>
    <t>Depr</t>
  </si>
  <si>
    <t>File</t>
  </si>
  <si>
    <t>PEOPLES GAS SYSTEM</t>
  </si>
  <si>
    <t>Peoples Gas System</t>
  </si>
  <si>
    <t>Franchise &amp; Consents</t>
  </si>
  <si>
    <t>Misc Intangible Plant</t>
  </si>
  <si>
    <t>Custom Intangible Plant</t>
  </si>
  <si>
    <t>Structures &amp; Improvements</t>
  </si>
  <si>
    <t>Mains Steel</t>
  </si>
  <si>
    <t>Mains Plastic</t>
  </si>
  <si>
    <t>Meas &amp; Reg Station Eqp Gen</t>
  </si>
  <si>
    <t>Meas &amp; Reg Station Eqp City</t>
  </si>
  <si>
    <t>Services Steel</t>
  </si>
  <si>
    <t>Services Plastic</t>
  </si>
  <si>
    <t>Meters</t>
  </si>
  <si>
    <t>Meter Installations</t>
  </si>
  <si>
    <t>House Regulators</t>
  </si>
  <si>
    <t>House Regulator Installs</t>
  </si>
  <si>
    <t>Meas &amp; Reg Station Eqp Ind</t>
  </si>
  <si>
    <t>Other Property Cust Premise</t>
  </si>
  <si>
    <t>Other Equipment</t>
  </si>
  <si>
    <t>Office Furniture</t>
  </si>
  <si>
    <t>Computer Equipment</t>
  </si>
  <si>
    <t>Office Equipment</t>
  </si>
  <si>
    <t>Vehicles up to 1/2 Tons</t>
  </si>
  <si>
    <t>Vehicles from 1/2 - 1 Tons</t>
  </si>
  <si>
    <t>Trailers &amp; Other</t>
  </si>
  <si>
    <t>Vehicles over 1 Ton</t>
  </si>
  <si>
    <t>Stores Equipment</t>
  </si>
  <si>
    <t>Tools, Shop &amp; Garage Equip</t>
  </si>
  <si>
    <t>Comparative Analysis of Latest Rates</t>
  </si>
  <si>
    <t>ANNUAL STATUS REPORT</t>
  </si>
  <si>
    <t>PLANT</t>
  </si>
  <si>
    <t>RESERVE</t>
  </si>
  <si>
    <t>Gross</t>
  </si>
  <si>
    <t>Division</t>
  </si>
  <si>
    <t>PowerPlant Depr Group</t>
  </si>
  <si>
    <t>Depr Description</t>
  </si>
  <si>
    <t>BOP</t>
  </si>
  <si>
    <t>Adj / Xfers</t>
  </si>
  <si>
    <t>EOP</t>
  </si>
  <si>
    <t>13-mth Avg</t>
  </si>
  <si>
    <t>Subtotal</t>
  </si>
  <si>
    <t>PGS - ANNUAL STATUS REPORT</t>
  </si>
  <si>
    <t>ASSETS</t>
  </si>
  <si>
    <t>Data</t>
  </si>
  <si>
    <t>Sum of BOP</t>
  </si>
  <si>
    <t>Sum of Additions</t>
  </si>
  <si>
    <t>Sum of Retirements</t>
  </si>
  <si>
    <t>Sum of Adj / Xfers</t>
  </si>
  <si>
    <t>Sum of EOP</t>
  </si>
  <si>
    <t>Sum of 13-mth Avg</t>
  </si>
  <si>
    <t>30100 - Organization</t>
  </si>
  <si>
    <t>30200 - Franchise &amp; Consents</t>
  </si>
  <si>
    <t>30300 - Misc Intangible Plant</t>
  </si>
  <si>
    <t>30301 - Custom Intangible Plant</t>
  </si>
  <si>
    <t>37400 - Land Distribution</t>
  </si>
  <si>
    <t>37402 - Land Rights</t>
  </si>
  <si>
    <t>37500 - Structures &amp; Improvements</t>
  </si>
  <si>
    <t>37600 - Mains Steel</t>
  </si>
  <si>
    <t>37602 - Mains Plastic</t>
  </si>
  <si>
    <t>37800 - Meas &amp; Reg Station Eqp Gen</t>
  </si>
  <si>
    <t>37900 - Meas &amp; Reg Station Eqp City</t>
  </si>
  <si>
    <t>38000 - Services Steel</t>
  </si>
  <si>
    <t>38002 - Services Plastic</t>
  </si>
  <si>
    <t>38100 - Meters</t>
  </si>
  <si>
    <t>38200 - Meter Installations</t>
  </si>
  <si>
    <t>38300 - House Regulators</t>
  </si>
  <si>
    <t>38400 - House Regulator Installs</t>
  </si>
  <si>
    <t>38500 - Meas &amp; Reg Station Eqp Ind</t>
  </si>
  <si>
    <t>38700 - Other Equipment</t>
  </si>
  <si>
    <t>39000 - Structures &amp; Improvements</t>
  </si>
  <si>
    <t>39002 - Structur &amp; Improv Leasehold</t>
  </si>
  <si>
    <t>39100 - Office Furniture</t>
  </si>
  <si>
    <t>39101 - Computer Equipment</t>
  </si>
  <si>
    <t>39102 - Office Equipment</t>
  </si>
  <si>
    <t>39103 - Office Furniture</t>
  </si>
  <si>
    <t>39201 - Vehicles up to 1/2 Tons</t>
  </si>
  <si>
    <t>39202 - Vehicles from 1/2 - 1 Tons</t>
  </si>
  <si>
    <t>39203 - Airplane</t>
  </si>
  <si>
    <t>39204 - Trailers &amp; Other</t>
  </si>
  <si>
    <t>39205 - Vehicles over 1 Ton</t>
  </si>
  <si>
    <t xml:space="preserve">39300 - Stores Equipment </t>
  </si>
  <si>
    <t>39400 - Tools, Shop &amp; Garage Equip</t>
  </si>
  <si>
    <t>39500 - Laboratory Equipment</t>
  </si>
  <si>
    <t>39600 - Power Operated Equipment</t>
  </si>
  <si>
    <t>39700 - Communication Equipment</t>
  </si>
  <si>
    <t>39800 - Miscellaneous Equipment</t>
  </si>
  <si>
    <t>Grand Total</t>
  </si>
  <si>
    <t>105 Property Held for Future Use</t>
  </si>
  <si>
    <t>114 Acquisition Adjustments</t>
  </si>
  <si>
    <t>Total Plant</t>
  </si>
  <si>
    <t>Check Figure Variance</t>
  </si>
  <si>
    <t>RESERVES</t>
  </si>
  <si>
    <t>Sum of Depreciation</t>
  </si>
  <si>
    <t>Sum of Salvage</t>
  </si>
  <si>
    <t>Sum of COR</t>
  </si>
  <si>
    <t>115 Acquisition Adjustments</t>
  </si>
  <si>
    <t>Total Reserve</t>
  </si>
  <si>
    <t>001 / 01 - DADE - BROWARD / 30100</t>
  </si>
  <si>
    <t>001 / 01 - DADE - BROWARD / 30200</t>
  </si>
  <si>
    <t>001 / 01 - DADE - BROWARD / 30301</t>
  </si>
  <si>
    <t>001 / 01 - DADE - BROWARD / 37400</t>
  </si>
  <si>
    <t>001 / 01 - DADE - BROWARD / 37402</t>
  </si>
  <si>
    <t>001 / 01 - DADE - BROWARD / 37500</t>
  </si>
  <si>
    <t>001 / 01 - DADE - BROWARD / 37600</t>
  </si>
  <si>
    <t>001 / 01 - DADE - BROWARD / 37602</t>
  </si>
  <si>
    <t>001 / 01 - DADE - BROWARD / 37602S</t>
  </si>
  <si>
    <t>001 / 01 - DADE - BROWARD / 37800</t>
  </si>
  <si>
    <t>001 / 01 - DADE - BROWARD / 37900</t>
  </si>
  <si>
    <t>001 / 01 - DADE - BROWARD / 38000</t>
  </si>
  <si>
    <t>001 / 01 - DADE - BROWARD / 38002</t>
  </si>
  <si>
    <t>001 / 01 - DADE - BROWARD / 38200</t>
  </si>
  <si>
    <t>001 / 01 - DADE - BROWARD / 38300</t>
  </si>
  <si>
    <t>001 / 01 - DADE - BROWARD / 38400</t>
  </si>
  <si>
    <t>001 / 01 - DADE - BROWARD / 38500</t>
  </si>
  <si>
    <t>001 / 01 - DADE - BROWARD / 38700</t>
  </si>
  <si>
    <t>001 / 01 - DADE - BROWARD / 39000</t>
  </si>
  <si>
    <t>001 / 01 - DADE - BROWARD / 39002</t>
  </si>
  <si>
    <t>001 / 01 - DADE - BROWARD / 39100</t>
  </si>
  <si>
    <t>001 / 01 - DADE - BROWARD / 39101</t>
  </si>
  <si>
    <t>001 / 01 - DADE - BROWARD / 39102</t>
  </si>
  <si>
    <t>001 / 01 - DADE - BROWARD / 39201</t>
  </si>
  <si>
    <t>001 / 01 - DADE - BROWARD / 39202</t>
  </si>
  <si>
    <t>001 / 01 - DADE - BROWARD / 39204</t>
  </si>
  <si>
    <t>001 / 01 - DADE - BROWARD / 39205</t>
  </si>
  <si>
    <t>001 / 01 - DADE - BROWARD / 39300</t>
  </si>
  <si>
    <t>001 / 01 - DADE - BROWARD / 39400</t>
  </si>
  <si>
    <t>001 / 01 - DADE - BROWARD / 39500</t>
  </si>
  <si>
    <t>001 / 01 - DADE - BROWARD / 39600</t>
  </si>
  <si>
    <t>001 / 01 - DADE - BROWARD / 39700</t>
  </si>
  <si>
    <t>001 / 01 - DADE - BROWARD / 39800</t>
  </si>
  <si>
    <t>001 / 02 - TAMPA / 30301</t>
  </si>
  <si>
    <t>001 / 02 - TAMPA / 37400</t>
  </si>
  <si>
    <t>001 / 02 - TAMPA / 37500</t>
  </si>
  <si>
    <t>001 / 02 - TAMPA / 37600</t>
  </si>
  <si>
    <t>001 / 02 - TAMPA / 37602</t>
  </si>
  <si>
    <t>001 / 02 - TAMPA / 37602D</t>
  </si>
  <si>
    <t>001 / 02 - TAMPA / 37602S</t>
  </si>
  <si>
    <t>001 / 02 - TAMPA / 37800</t>
  </si>
  <si>
    <t>001 / 02 - TAMPA / 37900</t>
  </si>
  <si>
    <t>001 / 02 - TAMPA / 38000</t>
  </si>
  <si>
    <t>001 / 02 - TAMPA / 38002</t>
  </si>
  <si>
    <t>001 / 02 - TAMPA / 38200</t>
  </si>
  <si>
    <t>001 / 02 - TAMPA / 38300</t>
  </si>
  <si>
    <t>001 / 02 - TAMPA / 38400</t>
  </si>
  <si>
    <t>001 / 02 - TAMPA / 38500</t>
  </si>
  <si>
    <t>001 / 02 - TAMPA / 38700</t>
  </si>
  <si>
    <t>001 / 02 - TAMPA / 39100</t>
  </si>
  <si>
    <t>001 / 02 - TAMPA / 39101</t>
  </si>
  <si>
    <t>001 / 02 - TAMPA / 39102</t>
  </si>
  <si>
    <t>001 / 02 - TAMPA / 39201</t>
  </si>
  <si>
    <t>001 / 02 - TAMPA / 39202</t>
  </si>
  <si>
    <t>001 / 02 - TAMPA / 39204</t>
  </si>
  <si>
    <t>001 / 02 - TAMPA / 39205</t>
  </si>
  <si>
    <t>001 / 02 - TAMPA / 39300</t>
  </si>
  <si>
    <t>001 / 02 - TAMPA / 39400</t>
  </si>
  <si>
    <t>001 / 02 - TAMPA / 39500</t>
  </si>
  <si>
    <t>001 / 02 - TAMPA / 39600</t>
  </si>
  <si>
    <t>001 / 02 - TAMPA / 39700</t>
  </si>
  <si>
    <t>001 / 02 - TAMPA / 39800</t>
  </si>
  <si>
    <t>001 / 03 - ST PETERSBURG / 30100</t>
  </si>
  <si>
    <t>001 / 03 - ST PETERSBURG / 30200</t>
  </si>
  <si>
    <t>001 / 03 - ST PETERSBURG / 30301</t>
  </si>
  <si>
    <t>001 / 03 - ST PETERSBURG / 37400</t>
  </si>
  <si>
    <t>001 / 03 - ST PETERSBURG / 37402</t>
  </si>
  <si>
    <t>001 / 03 - ST PETERSBURG / 37500</t>
  </si>
  <si>
    <t>001 / 03 - ST PETERSBURG / 37600</t>
  </si>
  <si>
    <t>001 / 03 - ST PETERSBURG / 37602</t>
  </si>
  <si>
    <t>001 / 03 - ST PETERSBURG / 37602D</t>
  </si>
  <si>
    <t>001 / 03 - ST PETERSBURG / 37602S</t>
  </si>
  <si>
    <t>001 / 03 - ST PETERSBURG / 37800</t>
  </si>
  <si>
    <t>001 / 03 - ST PETERSBURG / 37900</t>
  </si>
  <si>
    <t>001 / 03 - ST PETERSBURG / 38000</t>
  </si>
  <si>
    <t>001 / 03 - ST PETERSBURG / 38002</t>
  </si>
  <si>
    <t>001 / 03 - ST PETERSBURG / 38200</t>
  </si>
  <si>
    <t>001 / 03 - ST PETERSBURG / 38300</t>
  </si>
  <si>
    <t>001 / 03 - ST PETERSBURG / 38400</t>
  </si>
  <si>
    <t>001 / 03 - ST PETERSBURG / 38500</t>
  </si>
  <si>
    <t>001 / 03 - ST PETERSBURG / 38700</t>
  </si>
  <si>
    <t>001 / 03 - ST PETERSBURG / 39100</t>
  </si>
  <si>
    <t>001 / 03 - ST PETERSBURG / 39101</t>
  </si>
  <si>
    <t>001 / 03 - ST PETERSBURG / 39102</t>
  </si>
  <si>
    <t>001 / 03 - ST PETERSBURG / 39201</t>
  </si>
  <si>
    <t>001 / 03 - ST PETERSBURG / 39202</t>
  </si>
  <si>
    <t>001 / 03 - ST PETERSBURG / 39204</t>
  </si>
  <si>
    <t>001 / 03 - ST PETERSBURG / 39205</t>
  </si>
  <si>
    <t>001 / 03 - ST PETERSBURG / 39300</t>
  </si>
  <si>
    <t>001 / 03 - ST PETERSBURG / 39400</t>
  </si>
  <si>
    <t>001 / 03 - ST PETERSBURG / 39600</t>
  </si>
  <si>
    <t>001 / 03 - ST PETERSBURG / 39700</t>
  </si>
  <si>
    <t>001 / 03 - ST PETERSBURG / 39800</t>
  </si>
  <si>
    <t>001 / 04 - ORLANDO / 30301</t>
  </si>
  <si>
    <t>001 / 04 - ORLANDO / 37400</t>
  </si>
  <si>
    <t>001 / 04 - ORLANDO / 37402</t>
  </si>
  <si>
    <t>001 / 04 - ORLANDO / 37500</t>
  </si>
  <si>
    <t>001 / 04 - ORLANDO / 37600</t>
  </si>
  <si>
    <t>001 / 04 - ORLANDO / 37602</t>
  </si>
  <si>
    <t>001 / 04 - ORLANDO / 37602D</t>
  </si>
  <si>
    <t>001 / 04 - ORLANDO / 37602S</t>
  </si>
  <si>
    <t>001 / 04 - ORLANDO / 37800</t>
  </si>
  <si>
    <t>001 / 04 - ORLANDO / 37900</t>
  </si>
  <si>
    <t>001 / 04 - ORLANDO / 38000</t>
  </si>
  <si>
    <t>001 / 04 - ORLANDO / 38002</t>
  </si>
  <si>
    <t>001 / 04 - ORLANDO / 38200</t>
  </si>
  <si>
    <t>001 / 04 - ORLANDO / 38300</t>
  </si>
  <si>
    <t>001 / 04 - ORLANDO / 38400</t>
  </si>
  <si>
    <t>001 / 04 - ORLANDO / 38500</t>
  </si>
  <si>
    <t>001 / 04 - ORLANDO / 38700</t>
  </si>
  <si>
    <t>001 / 04 - ORLANDO / 39002</t>
  </si>
  <si>
    <t>001 / 04 - ORLANDO / 39100</t>
  </si>
  <si>
    <t>001 / 04 - ORLANDO / 39101</t>
  </si>
  <si>
    <t>001 / 04 - ORLANDO / 39102</t>
  </si>
  <si>
    <t>001 / 04 - ORLANDO / 39201</t>
  </si>
  <si>
    <t>001 / 04 - ORLANDO / 39202</t>
  </si>
  <si>
    <t>001 / 04 - ORLANDO / 39204</t>
  </si>
  <si>
    <t>001 / 04 - ORLANDO / 39205</t>
  </si>
  <si>
    <t>001 / 04 - ORLANDO / 39300</t>
  </si>
  <si>
    <t>001 / 04 - ORLANDO / 39400</t>
  </si>
  <si>
    <t>001 / 04 - ORLANDO / 39600</t>
  </si>
  <si>
    <t>001 / 04 - ORLANDO / 39700</t>
  </si>
  <si>
    <t>001 / 04 - ORLANDO / 39800</t>
  </si>
  <si>
    <t>001 / 05 - TRIANGLE / 30200</t>
  </si>
  <si>
    <t>001 / 05 - TRIANGLE / 30301</t>
  </si>
  <si>
    <t>001 / 05 - TRIANGLE / 37400</t>
  </si>
  <si>
    <t>001 / 05 - TRIANGLE / 37402</t>
  </si>
  <si>
    <t>001 / 05 - TRIANGLE / 37500</t>
  </si>
  <si>
    <t>001 / 05 - TRIANGLE / 37600</t>
  </si>
  <si>
    <t>001 / 05 - TRIANGLE / 37602</t>
  </si>
  <si>
    <t>001 / 05 - TRIANGLE / 37602D</t>
  </si>
  <si>
    <t>001 / 05 - TRIANGLE / 37800</t>
  </si>
  <si>
    <t>001 / 05 - TRIANGLE / 37900</t>
  </si>
  <si>
    <t>001 / 05 - TRIANGLE / 38000</t>
  </si>
  <si>
    <t>001 / 05 - TRIANGLE / 38002</t>
  </si>
  <si>
    <t>001 / 05 - TRIANGLE / 38200</t>
  </si>
  <si>
    <t>001 / 05 - TRIANGLE / 38300</t>
  </si>
  <si>
    <t>001 / 05 - TRIANGLE / 38400</t>
  </si>
  <si>
    <t>001 / 05 - TRIANGLE / 38500</t>
  </si>
  <si>
    <t>001 / 05 - TRIANGLE / 38700</t>
  </si>
  <si>
    <t>001 / 05 - TRIANGLE / 39000</t>
  </si>
  <si>
    <t>001 / 05 - TRIANGLE / 39100</t>
  </si>
  <si>
    <t>001 / 05 - TRIANGLE / 39101</t>
  </si>
  <si>
    <t>001 / 05 - TRIANGLE / 39102</t>
  </si>
  <si>
    <t>001 / 05 - TRIANGLE / 39201</t>
  </si>
  <si>
    <t>001 / 05 - TRIANGLE / 39202</t>
  </si>
  <si>
    <t>001 / 05 - TRIANGLE / 39204</t>
  </si>
  <si>
    <t>001 / 05 - TRIANGLE / 39205</t>
  </si>
  <si>
    <t>001 / 05 - TRIANGLE / 39300</t>
  </si>
  <si>
    <t>001 / 05 - TRIANGLE / 39400</t>
  </si>
  <si>
    <t>001 / 05 - TRIANGLE / 39600</t>
  </si>
  <si>
    <t>001 / 05 - TRIANGLE / 39700</t>
  </si>
  <si>
    <t>001 / 05 - TRIANGLE / 39800</t>
  </si>
  <si>
    <t>001 / 06 - JACKSONVILLE / 30301</t>
  </si>
  <si>
    <t>001 / 06 - JACKSONVILLE / 37400</t>
  </si>
  <si>
    <t>001 / 06 - JACKSONVILLE / 37402</t>
  </si>
  <si>
    <t>001 / 06 - JACKSONVILLE / 37500</t>
  </si>
  <si>
    <t>001 / 06 - JACKSONVILLE / 37600</t>
  </si>
  <si>
    <t>001 / 06 - JACKSONVILLE / 37602</t>
  </si>
  <si>
    <t>001 / 06 - JACKSONVILLE / 37602D</t>
  </si>
  <si>
    <t>001 / 06 - JACKSONVILLE / 37602S</t>
  </si>
  <si>
    <t>001 / 06 - JACKSONVILLE / 37800</t>
  </si>
  <si>
    <t>001 / 06 - JACKSONVILLE / 37900</t>
  </si>
  <si>
    <t>001 / 06 - JACKSONVILLE / 38000</t>
  </si>
  <si>
    <t>001 / 06 - JACKSONVILLE / 38002</t>
  </si>
  <si>
    <t>001 / 06 - JACKSONVILLE / 38200</t>
  </si>
  <si>
    <t>001 / 06 - JACKSONVILLE / 38300</t>
  </si>
  <si>
    <t>001 / 06 - JACKSONVILLE / 38400</t>
  </si>
  <si>
    <t>001 / 06 - JACKSONVILLE / 38500</t>
  </si>
  <si>
    <t>001 / 06 - JACKSONVILLE / 38700</t>
  </si>
  <si>
    <t>001 / 06 - JACKSONVILLE / 39000</t>
  </si>
  <si>
    <t>001 / 06 - JACKSONVILLE / 39100</t>
  </si>
  <si>
    <t>001 / 06 - JACKSONVILLE / 39101</t>
  </si>
  <si>
    <t>001 / 06 - JACKSONVILLE / 39102</t>
  </si>
  <si>
    <t>001 / 06 - JACKSONVILLE / 39201</t>
  </si>
  <si>
    <t>001 / 06 - JACKSONVILLE / 39202</t>
  </si>
  <si>
    <t>001 / 06 - JACKSONVILLE / 39204</t>
  </si>
  <si>
    <t>001 / 06 - JACKSONVILLE / 39205</t>
  </si>
  <si>
    <t>001 / 06 - JACKSONVILLE / 39300</t>
  </si>
  <si>
    <t>001 / 06 - JACKSONVILLE / 39400</t>
  </si>
  <si>
    <t>001 / 06 - JACKSONVILLE / 39600</t>
  </si>
  <si>
    <t>001 / 06 - JACKSONVILLE / 39700</t>
  </si>
  <si>
    <t>001 / 06 - JACKSONVILLE / 39800</t>
  </si>
  <si>
    <t>001 / 07 - MIAMI / 37500</t>
  </si>
  <si>
    <t>001 / 07 - MIAMI / 37600</t>
  </si>
  <si>
    <t>001 / 07 - MIAMI / 37602</t>
  </si>
  <si>
    <t>001 / 07 - MIAMI / 37800</t>
  </si>
  <si>
    <t>001 / 08 - LAKELAND / 30301</t>
  </si>
  <si>
    <t>001 / 08 - LAKELAND / 37400</t>
  </si>
  <si>
    <t>001 / 08 - LAKELAND / 37402</t>
  </si>
  <si>
    <t>001 / 08 - LAKELAND / 37500</t>
  </si>
  <si>
    <t>001 / 08 - LAKELAND / 37600</t>
  </si>
  <si>
    <t>001 / 08 - LAKELAND / 37602</t>
  </si>
  <si>
    <t>001 / 08 - LAKELAND / 37602S</t>
  </si>
  <si>
    <t>001 / 08 - LAKELAND / 37800</t>
  </si>
  <si>
    <t>001 / 08 - LAKELAND / 37900</t>
  </si>
  <si>
    <t>001 / 08 - LAKELAND / 38000</t>
  </si>
  <si>
    <t>001 / 08 - LAKELAND / 38002</t>
  </si>
  <si>
    <t>001 / 08 - LAKELAND / 38200</t>
  </si>
  <si>
    <t>001 / 08 - LAKELAND / 38300</t>
  </si>
  <si>
    <t>001 / 08 - LAKELAND / 38400</t>
  </si>
  <si>
    <t>001 / 08 - LAKELAND / 38500</t>
  </si>
  <si>
    <t>001 / 08 - LAKELAND / 38700</t>
  </si>
  <si>
    <t>001 / 08 - LAKELAND / 39100</t>
  </si>
  <si>
    <t>001 / 08 - LAKELAND / 39101</t>
  </si>
  <si>
    <t>001 / 08 - LAKELAND / 39102</t>
  </si>
  <si>
    <t>001 / 08 - LAKELAND / 39201</t>
  </si>
  <si>
    <t>001 / 08 - LAKELAND / 39202</t>
  </si>
  <si>
    <t>001 / 08 - LAKELAND / 39204</t>
  </si>
  <si>
    <t>001 / 08 - LAKELAND / 39205</t>
  </si>
  <si>
    <t>001 / 08 - LAKELAND / 39300</t>
  </si>
  <si>
    <t>001 / 08 - LAKELAND / 39400</t>
  </si>
  <si>
    <t>001 / 08 - LAKELAND / 39600</t>
  </si>
  <si>
    <t>001 / 08 - LAKELAND / 39700</t>
  </si>
  <si>
    <t>001 / 08 - LAKELAND / 39800</t>
  </si>
  <si>
    <t>001 / 09 - DAYTONA / 30200</t>
  </si>
  <si>
    <t>001 / 09 - DAYTONA / 37400</t>
  </si>
  <si>
    <t>001 / 09 - DAYTONA / 37402</t>
  </si>
  <si>
    <t>001 / 09 - DAYTONA / 37500</t>
  </si>
  <si>
    <t>001 / 09 - DAYTONA / 37600</t>
  </si>
  <si>
    <t>001 / 09 - DAYTONA / 37602</t>
  </si>
  <si>
    <t>001 / 09 - DAYTONA / 37800</t>
  </si>
  <si>
    <t>001 / 09 - DAYTONA / 37900</t>
  </si>
  <si>
    <t>001 / 09 - DAYTONA / 38000</t>
  </si>
  <si>
    <t>001 / 09 - DAYTONA / 38002</t>
  </si>
  <si>
    <t>001 / 09 - DAYTONA / 38200</t>
  </si>
  <si>
    <t>001 / 09 - DAYTONA / 38300</t>
  </si>
  <si>
    <t>001 / 09 - DAYTONA / 38400</t>
  </si>
  <si>
    <t>001 / 09 - DAYTONA / 38500</t>
  </si>
  <si>
    <t>001 / 09 - DAYTONA / 38700</t>
  </si>
  <si>
    <t>001 / 09 - DAYTONA / 39002</t>
  </si>
  <si>
    <t>001 / 09 - DAYTONA / 39100</t>
  </si>
  <si>
    <t>001 / 09 - DAYTONA / 39101</t>
  </si>
  <si>
    <t>001 / 09 - DAYTONA / 39102</t>
  </si>
  <si>
    <t>001 / 09 - DAYTONA / 39201</t>
  </si>
  <si>
    <t>001 / 09 - DAYTONA / 39202</t>
  </si>
  <si>
    <t>001 / 09 - DAYTONA / 39204</t>
  </si>
  <si>
    <t>001 / 09 - DAYTONA / 39205</t>
  </si>
  <si>
    <t>001 / 09 - DAYTONA / 39400</t>
  </si>
  <si>
    <t>001 / 09 - DAYTONA / 39600</t>
  </si>
  <si>
    <t>001 / 09 - DAYTONA / 39700</t>
  </si>
  <si>
    <t>001 / 09 - DAYTONA / 39800</t>
  </si>
  <si>
    <t>001 / 10 - HIGHLANDS / 30301</t>
  </si>
  <si>
    <t>001 / 10 - HIGHLANDS / 37402</t>
  </si>
  <si>
    <t>001 / 10 - HIGHLANDS / 37500</t>
  </si>
  <si>
    <t>001 / 10 - HIGHLANDS / 37600</t>
  </si>
  <si>
    <t>001 / 10 - HIGHLANDS / 37602</t>
  </si>
  <si>
    <t>001 / 10 - HIGHLANDS / 37800</t>
  </si>
  <si>
    <t>001 / 10 - HIGHLANDS / 37900</t>
  </si>
  <si>
    <t>001 / 10 - HIGHLANDS / 38000</t>
  </si>
  <si>
    <t>001 / 10 - HIGHLANDS / 38002</t>
  </si>
  <si>
    <t>001 / 10 - HIGHLANDS / 38200</t>
  </si>
  <si>
    <t>001 / 10 - HIGHLANDS / 38300</t>
  </si>
  <si>
    <t>001 / 10 - HIGHLANDS / 38400</t>
  </si>
  <si>
    <t>001 / 10 - HIGHLANDS / 38500</t>
  </si>
  <si>
    <t>001 / 10 - HIGHLANDS / 38700</t>
  </si>
  <si>
    <t>001 / 10 - HIGHLANDS / 39002</t>
  </si>
  <si>
    <t>001 / 10 - HIGHLANDS / 39100</t>
  </si>
  <si>
    <t>001 / 10 - HIGHLANDS / 39101</t>
  </si>
  <si>
    <t>001 / 10 - HIGHLANDS / 39102</t>
  </si>
  <si>
    <t>001 / 10 - HIGHLANDS / 39201</t>
  </si>
  <si>
    <t>001 / 10 - HIGHLANDS / 39202</t>
  </si>
  <si>
    <t>001 / 10 - HIGHLANDS / 39204</t>
  </si>
  <si>
    <t>001 / 10 - HIGHLANDS / 39400</t>
  </si>
  <si>
    <t>001 / 10 - HIGHLANDS / 39600</t>
  </si>
  <si>
    <t>001 / 10 - HIGHLANDS / 39700</t>
  </si>
  <si>
    <t>001 / 10 - HIGHLANDS / 39800</t>
  </si>
  <si>
    <t>001 / 11 - SARASOTA / 30301</t>
  </si>
  <si>
    <t>001 / 11 - SARASOTA / 37400</t>
  </si>
  <si>
    <t>001 / 11 - SARASOTA / 37402</t>
  </si>
  <si>
    <t>001 / 11 - SARASOTA / 37500</t>
  </si>
  <si>
    <t>001 / 11 - SARASOTA / 37600</t>
  </si>
  <si>
    <t>001 / 11 - SARASOTA / 37602</t>
  </si>
  <si>
    <t>001 / 11 - SARASOTA / 37602D</t>
  </si>
  <si>
    <t>001 / 11 - SARASOTA / 37602S</t>
  </si>
  <si>
    <t>001 / 11 - SARASOTA / 37800</t>
  </si>
  <si>
    <t>001 / 11 - SARASOTA / 37900</t>
  </si>
  <si>
    <t>001 / 11 - SARASOTA / 38000</t>
  </si>
  <si>
    <t>001 / 11 - SARASOTA / 38002</t>
  </si>
  <si>
    <t>001 / 11 - SARASOTA / 38200</t>
  </si>
  <si>
    <t>001 / 11 - SARASOTA / 38300</t>
  </si>
  <si>
    <t>001 / 11 - SARASOTA / 38400</t>
  </si>
  <si>
    <t>001 / 11 - SARASOTA / 38500</t>
  </si>
  <si>
    <t>001 / 11 - SARASOTA / 38700</t>
  </si>
  <si>
    <t>001 / 11 - SARASOTA / 39100</t>
  </si>
  <si>
    <t>001 / 11 - SARASOTA / 39101</t>
  </si>
  <si>
    <t>001 / 11 - SARASOTA / 39102</t>
  </si>
  <si>
    <t>001 / 11 - SARASOTA / 39201</t>
  </si>
  <si>
    <t>001 / 11 - SARASOTA / 39202</t>
  </si>
  <si>
    <t>001 / 11 - SARASOTA / 39204</t>
  </si>
  <si>
    <t>001 / 11 - SARASOTA / 39400</t>
  </si>
  <si>
    <t>001 / 11 - SARASOTA / 39600</t>
  </si>
  <si>
    <t>001 / 11 - SARASOTA / 39700</t>
  </si>
  <si>
    <t>001 / 11 - SARASOTA / 39800</t>
  </si>
  <si>
    <t>001 / 13 - PALM BEACH / 30301</t>
  </si>
  <si>
    <t>001 / 13 - PALM BEACH / 37400</t>
  </si>
  <si>
    <t>001 / 13 - PALM BEACH / 37402</t>
  </si>
  <si>
    <t>001 / 13 - PALM BEACH / 37500</t>
  </si>
  <si>
    <t>001 / 13 - PALM BEACH / 37600</t>
  </si>
  <si>
    <t>001 / 13 - PALM BEACH / 37602</t>
  </si>
  <si>
    <t>001 / 13 - PALM BEACH / 37602D</t>
  </si>
  <si>
    <t>001 / 13 - PALM BEACH / 37602S</t>
  </si>
  <si>
    <t>001 / 13 - PALM BEACH / 37800</t>
  </si>
  <si>
    <t>001 / 13 - PALM BEACH / 37900</t>
  </si>
  <si>
    <t>001 / 13 - PALM BEACH / 38000</t>
  </si>
  <si>
    <t>001 / 13 - PALM BEACH / 38002</t>
  </si>
  <si>
    <t>001 / 13 - PALM BEACH / 38200</t>
  </si>
  <si>
    <t>001 / 13 - PALM BEACH / 38300</t>
  </si>
  <si>
    <t>001 / 13 - PALM BEACH / 38400</t>
  </si>
  <si>
    <t>001 / 13 - PALM BEACH / 38500</t>
  </si>
  <si>
    <t>001 / 13 - PALM BEACH / 38700</t>
  </si>
  <si>
    <t>001 / 13 - PALM BEACH / 39000</t>
  </si>
  <si>
    <t>001 / 13 - PALM BEACH / 39002</t>
  </si>
  <si>
    <t>001 / 13 - PALM BEACH / 39100</t>
  </si>
  <si>
    <t>001 / 13 - PALM BEACH / 39101</t>
  </si>
  <si>
    <t>001 / 13 - PALM BEACH / 39102</t>
  </si>
  <si>
    <t>001 / 13 - PALM BEACH / 39201</t>
  </si>
  <si>
    <t>001 / 13 - PALM BEACH / 39202</t>
  </si>
  <si>
    <t>001 / 13 - PALM BEACH / 39204</t>
  </si>
  <si>
    <t>001 / 13 - PALM BEACH / 39205</t>
  </si>
  <si>
    <t>001 / 13 - PALM BEACH / 39300</t>
  </si>
  <si>
    <t>001 / 13 - PALM BEACH / 39400</t>
  </si>
  <si>
    <t>001 / 13 - PALM BEACH / 39600</t>
  </si>
  <si>
    <t>001 / 13 - PALM BEACH / 39700</t>
  </si>
  <si>
    <t>001 / 13 - PALM BEACH / 39800</t>
  </si>
  <si>
    <t>001 / 14 - PANAMA CITY / 30100</t>
  </si>
  <si>
    <t>001 / 14 - PANAMA CITY / 30200</t>
  </si>
  <si>
    <t>001 / 14 - PANAMA CITY / 30300</t>
  </si>
  <si>
    <t>001 / 14 - PANAMA CITY / 30301</t>
  </si>
  <si>
    <t>001 / 14 - PANAMA CITY / 37400</t>
  </si>
  <si>
    <t>001 / 14 - PANAMA CITY / 37500</t>
  </si>
  <si>
    <t>001 / 14 - PANAMA CITY / 37600</t>
  </si>
  <si>
    <t>001 / 14 - PANAMA CITY / 37602</t>
  </si>
  <si>
    <t>001 / 14 - PANAMA CITY / 37602D</t>
  </si>
  <si>
    <t>001 / 14 - PANAMA CITY / 37602S</t>
  </si>
  <si>
    <t>001 / 14 - PANAMA CITY / 37800</t>
  </si>
  <si>
    <t>001 / 14 - PANAMA CITY / 37801</t>
  </si>
  <si>
    <t>001 / 14 - PANAMA CITY / 37900</t>
  </si>
  <si>
    <t>001 / 14 - PANAMA CITY / 37901</t>
  </si>
  <si>
    <t>001 / 14 - PANAMA CITY / 38000</t>
  </si>
  <si>
    <t>001 / 14 - PANAMA CITY / 38002</t>
  </si>
  <si>
    <t>001 / 14 - PANAMA CITY / 38100</t>
  </si>
  <si>
    <t>001 / 14 - PANAMA CITY / 38200</t>
  </si>
  <si>
    <t>001 / 14 - PANAMA CITY / 38300</t>
  </si>
  <si>
    <t>001 / 14 - PANAMA CITY / 38400</t>
  </si>
  <si>
    <t>001 / 14 - PANAMA CITY / 38500</t>
  </si>
  <si>
    <t>001 / 14 - PANAMA CITY / 38700</t>
  </si>
  <si>
    <t>001 / 14 - PANAMA CITY / 39000</t>
  </si>
  <si>
    <t>001 / 14 - PANAMA CITY / 39100</t>
  </si>
  <si>
    <t>001 / 14 - PANAMA CITY / 39101</t>
  </si>
  <si>
    <t>001 / 14 - PANAMA CITY / 39102</t>
  </si>
  <si>
    <t>001 / 14 - PANAMA CITY / 39103</t>
  </si>
  <si>
    <t>001 / 14 - PANAMA CITY / 39201</t>
  </si>
  <si>
    <t>001 / 14 - PANAMA CITY / 39202</t>
  </si>
  <si>
    <t>001 / 14 - PANAMA CITY / 39204</t>
  </si>
  <si>
    <t>001 / 14 - PANAMA CITY / 39205</t>
  </si>
  <si>
    <t>001 / 14 - PANAMA CITY / 39400</t>
  </si>
  <si>
    <t>001 / 14 - PANAMA CITY / 39401</t>
  </si>
  <si>
    <t>001 / 14 - PANAMA CITY / 39500</t>
  </si>
  <si>
    <t>001 / 14 - PANAMA CITY / 39600</t>
  </si>
  <si>
    <t>001 / 14 - PANAMA CITY / 39700</t>
  </si>
  <si>
    <t>001 / 14 - PANAMA CITY / 39800</t>
  </si>
  <si>
    <t>001 / 15 - OCALA / 30100</t>
  </si>
  <si>
    <t>001 / 15 - OCALA / 30200</t>
  </si>
  <si>
    <t>001 / 15 - OCALA / 30300</t>
  </si>
  <si>
    <t>001 / 15 - OCALA / 37400</t>
  </si>
  <si>
    <t>001 / 15 - OCALA / 37402</t>
  </si>
  <si>
    <t>001 / 15 - OCALA / 37500</t>
  </si>
  <si>
    <t>001 / 15 - OCALA / 37600</t>
  </si>
  <si>
    <t>001 / 15 - OCALA / 37602</t>
  </si>
  <si>
    <t>001 / 15 - OCALA / 37602D</t>
  </si>
  <si>
    <t>001 / 15 - OCALA / 37800</t>
  </si>
  <si>
    <t>001 / 15 - OCALA / 37801</t>
  </si>
  <si>
    <t>001 / 15 - OCALA / 37900</t>
  </si>
  <si>
    <t>001 / 15 - OCALA / 37901</t>
  </si>
  <si>
    <t>001 / 15 - OCALA / 38000</t>
  </si>
  <si>
    <t>001 / 15 - OCALA / 38002</t>
  </si>
  <si>
    <t>001 / 15 - OCALA / 38100</t>
  </si>
  <si>
    <t>001 / 15 - OCALA / 38101</t>
  </si>
  <si>
    <t>001 / 15 - OCALA / 38200</t>
  </si>
  <si>
    <t>001 / 15 - OCALA / 38300</t>
  </si>
  <si>
    <t>001 / 15 - OCALA / 38400</t>
  </si>
  <si>
    <t>001 / 15 - OCALA / 38500</t>
  </si>
  <si>
    <t>001 / 15 - OCALA / 38700</t>
  </si>
  <si>
    <t>001 / 15 - OCALA / 39000</t>
  </si>
  <si>
    <t>001 / 15 - OCALA / 39100</t>
  </si>
  <si>
    <t>001 / 15 - OCALA / 39101</t>
  </si>
  <si>
    <t>001 / 15 - OCALA / 39102</t>
  </si>
  <si>
    <t>001 / 15 - OCALA / 39103</t>
  </si>
  <si>
    <t>001 / 15 - OCALA / 39201</t>
  </si>
  <si>
    <t>001 / 15 - OCALA / 39202</t>
  </si>
  <si>
    <t>001 / 15 - OCALA / 39204</t>
  </si>
  <si>
    <t>001 / 15 - OCALA / 39205</t>
  </si>
  <si>
    <t>001 / 15 - OCALA / 39400</t>
  </si>
  <si>
    <t>001 / 15 - OCALA / 39401</t>
  </si>
  <si>
    <t>001 / 15 - OCALA / 39600</t>
  </si>
  <si>
    <t>001 / 15 - OCALA / 39700</t>
  </si>
  <si>
    <t>001 / 15 - OCALA / 39800</t>
  </si>
  <si>
    <t>001 / 16 - S.W.FL / 37400</t>
  </si>
  <si>
    <t>001 / 16 - S.W.FL / 37402</t>
  </si>
  <si>
    <t>001 / 16 - S.W.FL / 37500</t>
  </si>
  <si>
    <t>001 / 16 - S.W.FL / 37600</t>
  </si>
  <si>
    <t>001 / 16 - S.W.FL / 37602</t>
  </si>
  <si>
    <t>001 / 16 - S.W.FL / 37602D</t>
  </si>
  <si>
    <t>001 / 16 - S.W.FL / 37602S</t>
  </si>
  <si>
    <t>001 / 16 - S.W.FL / 37800</t>
  </si>
  <si>
    <t>001 / 16 - S.W.FL / 37900</t>
  </si>
  <si>
    <t>001 / 16 - S.W.FL / 38000</t>
  </si>
  <si>
    <t>001 / 16 - S.W.FL / 38002</t>
  </si>
  <si>
    <t>001 / 16 - S.W.FL / 38200</t>
  </si>
  <si>
    <t>001 / 16 - S.W.FL / 38300</t>
  </si>
  <si>
    <t>001 / 16 - S.W.FL / 38400</t>
  </si>
  <si>
    <t>001 / 16 - S.W.FL / 38500</t>
  </si>
  <si>
    <t>001 / 16 - S.W.FL / 38700</t>
  </si>
  <si>
    <t>001 / 16 - S.W.FL / 39100</t>
  </si>
  <si>
    <t>001 / 16 - S.W.FL / 39101</t>
  </si>
  <si>
    <t>001 / 16 - S.W.FL / 39102</t>
  </si>
  <si>
    <t>001 / 16 - S.W.FL / 39201</t>
  </si>
  <si>
    <t>001 / 16 - S.W.FL / 39202</t>
  </si>
  <si>
    <t>001 / 16 - S.W.FL / 39204</t>
  </si>
  <si>
    <t>001 / 16 - S.W.FL / 39205</t>
  </si>
  <si>
    <t>001 / 16 - S.W.FL / 39300</t>
  </si>
  <si>
    <t>001 / 16 - S.W.FL / 39400</t>
  </si>
  <si>
    <t>001 / 16 - S.W.FL / 39600</t>
  </si>
  <si>
    <t>001 / 16 - S.W.FL / 39700</t>
  </si>
  <si>
    <t>001 / 16 - S.W.FL / 39800</t>
  </si>
  <si>
    <t>001 / 55 - CALL CENTER / 30301</t>
  </si>
  <si>
    <t>001 / 55 - CALL CENTER / 37500</t>
  </si>
  <si>
    <t>001 / 55 - CALL CENTER / 39100</t>
  </si>
  <si>
    <t>001 / 55 - CALL CENTER / 39101</t>
  </si>
  <si>
    <t>001 / 55 - CALL CENTER / 39102</t>
  </si>
  <si>
    <t>001 / 55 - CALL CENTER / 39700</t>
  </si>
  <si>
    <t>001 / 90 - CORPORATE / 30100</t>
  </si>
  <si>
    <t>001 / 90 - CORPORATE / 30200</t>
  </si>
  <si>
    <t>001 / 90 - CORPORATE / 30301</t>
  </si>
  <si>
    <t>001 / 90 - CORPORATE / 37400</t>
  </si>
  <si>
    <t>001 / 90 - CORPORATE / 37402</t>
  </si>
  <si>
    <t>001 / 90 - CORPORATE / 37500</t>
  </si>
  <si>
    <t>001 / 90 - CORPORATE / 37600</t>
  </si>
  <si>
    <t>001 / 90 - CORPORATE / 37900</t>
  </si>
  <si>
    <t>001 / 90 - CORPORATE / 38100</t>
  </si>
  <si>
    <t>001 / 90 - CORPORATE / 38300</t>
  </si>
  <si>
    <t>001 / 90 - CORPORATE / 38500</t>
  </si>
  <si>
    <t>001 / 90 - CORPORATE / 38602</t>
  </si>
  <si>
    <t>001 / 90 - CORPORATE / 38608</t>
  </si>
  <si>
    <t>001 / 90 - CORPORATE / 38700</t>
  </si>
  <si>
    <t>001 / 90 - CORPORATE / 39002</t>
  </si>
  <si>
    <t>001 / 90 - CORPORATE / 39100</t>
  </si>
  <si>
    <t>001 / 90 - CORPORATE / 39101</t>
  </si>
  <si>
    <t>001 / 90 - CORPORATE / 39102</t>
  </si>
  <si>
    <t>001 / 90 - CORPORATE / 39201</t>
  </si>
  <si>
    <t>001 / 90 - CORPORATE / 39202</t>
  </si>
  <si>
    <t>001 / 90 - CORPORATE / 39203</t>
  </si>
  <si>
    <t>001 / 90 - CORPORATE / 39204</t>
  </si>
  <si>
    <t>001 / 90 - CORPORATE / 39205</t>
  </si>
  <si>
    <t>001 / 90 - CORPORATE / 39400</t>
  </si>
  <si>
    <t>001 / 90 - CORPORATE / 39500</t>
  </si>
  <si>
    <t>001 / 90 - CORPORATE / 39600</t>
  </si>
  <si>
    <t>001 / 90 - CORPORATE / 39700</t>
  </si>
  <si>
    <t>001 / 90 - CORPORATE / 39800</t>
  </si>
  <si>
    <t>Not Depreciable</t>
  </si>
  <si>
    <t>Land Rights</t>
  </si>
  <si>
    <t>Florida Public Utilities</t>
  </si>
  <si>
    <t>PSC-09-0229-PAA-GU</t>
  </si>
  <si>
    <t>Florida City Gas</t>
  </si>
  <si>
    <t>PSC-09-0835-PAA-GU</t>
  </si>
  <si>
    <t>NA</t>
  </si>
  <si>
    <t>SQ</t>
  </si>
  <si>
    <t>Amort</t>
  </si>
  <si>
    <t>Transfers In/Out</t>
  </si>
  <si>
    <t>Organization Costs</t>
  </si>
  <si>
    <t>PAA</t>
  </si>
  <si>
    <t>As Filed</t>
  </si>
  <si>
    <t>&gt;</t>
  </si>
  <si>
    <t>Includes RWIP</t>
  </si>
  <si>
    <t>Lookup</t>
  </si>
  <si>
    <t>Count of Rate</t>
  </si>
  <si>
    <t>(blank)</t>
  </si>
  <si>
    <t>Not used at the moment</t>
  </si>
  <si>
    <t>001 / 01 - DADE - BROWARD / 10500</t>
  </si>
  <si>
    <t>001 / 01 - DADE - BROWARD / 39401</t>
  </si>
  <si>
    <t>39401 - CNC Station Equipment</t>
  </si>
  <si>
    <t>001 / 02 - TAMPA / 10500</t>
  </si>
  <si>
    <t>001 / 11 - SARASOTA / 39300</t>
  </si>
  <si>
    <t>001 / 15 - OCALA / 30301</t>
  </si>
  <si>
    <t>001 / 90 - CORPORATE / 11500</t>
  </si>
  <si>
    <t>30302 - SAP Intangible Plant</t>
  </si>
  <si>
    <t>001 / 90 - CORPORATE / 37800</t>
  </si>
  <si>
    <t>38602 - Other Property Cust Premise</t>
  </si>
  <si>
    <t>38608 - Other Property Cust Premise</t>
  </si>
  <si>
    <t>001 / 90 - CORPORATE / 39900</t>
  </si>
  <si>
    <t>39900 - Other Tangible Property</t>
  </si>
  <si>
    <t>2015 ACTUALS</t>
  </si>
  <si>
    <t>108 RWIP Unallocated</t>
  </si>
  <si>
    <t>CNC Station Equipment</t>
  </si>
  <si>
    <t>Less Land Distribution 37400</t>
  </si>
  <si>
    <t>CNG Station Equipment</t>
  </si>
  <si>
    <t>start_month</t>
  </si>
  <si>
    <t>end_month</t>
  </si>
  <si>
    <t>depr_group</t>
  </si>
  <si>
    <t>company</t>
  </si>
  <si>
    <t>set_of_books</t>
  </si>
  <si>
    <t>external_account_code</t>
  </si>
  <si>
    <t>begin_bal</t>
  </si>
  <si>
    <t>provision</t>
  </si>
  <si>
    <t>cost_of_removal</t>
  </si>
  <si>
    <t>transfers</t>
  </si>
  <si>
    <t>end_bal</t>
  </si>
  <si>
    <t>12/2015</t>
  </si>
  <si>
    <t>Financial</t>
  </si>
  <si>
    <t>1080000</t>
  </si>
  <si>
    <t>1150000</t>
  </si>
  <si>
    <t>Total Distribution &amp; General Plant</t>
  </si>
  <si>
    <t>PS Colorado Gas</t>
  </si>
  <si>
    <t>2011-2015</t>
  </si>
  <si>
    <t>00S-422G-02S-31SEG</t>
  </si>
  <si>
    <t>R5</t>
  </si>
  <si>
    <t>R2.5</t>
  </si>
  <si>
    <t>R1.5</t>
  </si>
  <si>
    <t>O1</t>
  </si>
  <si>
    <t>R0.5</t>
  </si>
  <si>
    <t>Gas Transportation Equipment</t>
  </si>
  <si>
    <t>L2</t>
  </si>
  <si>
    <t>01</t>
  </si>
  <si>
    <t>0110500</t>
  </si>
  <si>
    <t>10500 - Future Use</t>
  </si>
  <si>
    <t>0130100</t>
  </si>
  <si>
    <t>0130200</t>
  </si>
  <si>
    <t>0130301</t>
  </si>
  <si>
    <t>0137400</t>
  </si>
  <si>
    <t>0137402</t>
  </si>
  <si>
    <t>0137500</t>
  </si>
  <si>
    <t>0137600</t>
  </si>
  <si>
    <t>0137602</t>
  </si>
  <si>
    <t>0137800</t>
  </si>
  <si>
    <t>0137900</t>
  </si>
  <si>
    <t>0138000</t>
  </si>
  <si>
    <t>0138002</t>
  </si>
  <si>
    <t>0138200</t>
  </si>
  <si>
    <t>0138300</t>
  </si>
  <si>
    <t>0138400</t>
  </si>
  <si>
    <t>0138500</t>
  </si>
  <si>
    <t>0138700</t>
  </si>
  <si>
    <t>0139000</t>
  </si>
  <si>
    <t>0139002</t>
  </si>
  <si>
    <t>0139100</t>
  </si>
  <si>
    <t>0139101</t>
  </si>
  <si>
    <t>0139102</t>
  </si>
  <si>
    <t>0139201</t>
  </si>
  <si>
    <t>0139202</t>
  </si>
  <si>
    <t>0139204</t>
  </si>
  <si>
    <t>0139205</t>
  </si>
  <si>
    <t>0139300</t>
  </si>
  <si>
    <t>0139400</t>
  </si>
  <si>
    <t>0139401</t>
  </si>
  <si>
    <t>0139500</t>
  </si>
  <si>
    <t>0139600</t>
  </si>
  <si>
    <t>0139700</t>
  </si>
  <si>
    <t>0139800</t>
  </si>
  <si>
    <t>02</t>
  </si>
  <si>
    <t>0210500</t>
  </si>
  <si>
    <t>0230301</t>
  </si>
  <si>
    <t>0237400</t>
  </si>
  <si>
    <t>0237500</t>
  </si>
  <si>
    <t>0237600</t>
  </si>
  <si>
    <t>0237602</t>
  </si>
  <si>
    <t>0237800</t>
  </si>
  <si>
    <t>0237900</t>
  </si>
  <si>
    <t>0238000</t>
  </si>
  <si>
    <t>0238002</t>
  </si>
  <si>
    <t>0238200</t>
  </si>
  <si>
    <t>0238300</t>
  </si>
  <si>
    <t>0238400</t>
  </si>
  <si>
    <t>0238500</t>
  </si>
  <si>
    <t>0238700</t>
  </si>
  <si>
    <t>0239100</t>
  </si>
  <si>
    <t>0239101</t>
  </si>
  <si>
    <t>0239102</t>
  </si>
  <si>
    <t>0239201</t>
  </si>
  <si>
    <t>0239202</t>
  </si>
  <si>
    <t>0239204</t>
  </si>
  <si>
    <t>0239205</t>
  </si>
  <si>
    <t>0239300</t>
  </si>
  <si>
    <t>0239400</t>
  </si>
  <si>
    <t>0239500</t>
  </si>
  <si>
    <t>0239600</t>
  </si>
  <si>
    <t>0239700</t>
  </si>
  <si>
    <t>0239800</t>
  </si>
  <si>
    <t>03</t>
  </si>
  <si>
    <t>0330100</t>
  </si>
  <si>
    <t>0330200</t>
  </si>
  <si>
    <t>0330301</t>
  </si>
  <si>
    <t>0337400</t>
  </si>
  <si>
    <t>0337402</t>
  </si>
  <si>
    <t>0337500</t>
  </si>
  <si>
    <t>0337600</t>
  </si>
  <si>
    <t>0337602</t>
  </si>
  <si>
    <t>0337800</t>
  </si>
  <si>
    <t>0337900</t>
  </si>
  <si>
    <t>0338000</t>
  </si>
  <si>
    <t>0338002</t>
  </si>
  <si>
    <t>0338200</t>
  </si>
  <si>
    <t>0338300</t>
  </si>
  <si>
    <t>0338400</t>
  </si>
  <si>
    <t>0338500</t>
  </si>
  <si>
    <t>0338700</t>
  </si>
  <si>
    <t>0339100</t>
  </si>
  <si>
    <t>0339101</t>
  </si>
  <si>
    <t>0339102</t>
  </si>
  <si>
    <t>0339201</t>
  </si>
  <si>
    <t>0339202</t>
  </si>
  <si>
    <t>0339204</t>
  </si>
  <si>
    <t>0339205</t>
  </si>
  <si>
    <t>0339300</t>
  </si>
  <si>
    <t>0339400</t>
  </si>
  <si>
    <t>0339600</t>
  </si>
  <si>
    <t>0339700</t>
  </si>
  <si>
    <t>0339800</t>
  </si>
  <si>
    <t>04</t>
  </si>
  <si>
    <t>0430301</t>
  </si>
  <si>
    <t>0437400</t>
  </si>
  <si>
    <t>0437402</t>
  </si>
  <si>
    <t>0437500</t>
  </si>
  <si>
    <t>0437600</t>
  </si>
  <si>
    <t>0437602</t>
  </si>
  <si>
    <t>0437800</t>
  </si>
  <si>
    <t>0437900</t>
  </si>
  <si>
    <t>0438000</t>
  </si>
  <si>
    <t>0438002</t>
  </si>
  <si>
    <t>0438200</t>
  </si>
  <si>
    <t>0438300</t>
  </si>
  <si>
    <t>0438400</t>
  </si>
  <si>
    <t>0438500</t>
  </si>
  <si>
    <t>0438700</t>
  </si>
  <si>
    <t>0439002</t>
  </si>
  <si>
    <t>0439100</t>
  </si>
  <si>
    <t>0439101</t>
  </si>
  <si>
    <t>0439102</t>
  </si>
  <si>
    <t>0439201</t>
  </si>
  <si>
    <t>0439202</t>
  </si>
  <si>
    <t>0439204</t>
  </si>
  <si>
    <t>0439205</t>
  </si>
  <si>
    <t>0439300</t>
  </si>
  <si>
    <t>0439400</t>
  </si>
  <si>
    <t>0439600</t>
  </si>
  <si>
    <t>0439700</t>
  </si>
  <si>
    <t>0439800</t>
  </si>
  <si>
    <t>05</t>
  </si>
  <si>
    <t>0530200</t>
  </si>
  <si>
    <t>0530301</t>
  </si>
  <si>
    <t>0537400</t>
  </si>
  <si>
    <t>0537402</t>
  </si>
  <si>
    <t>0537500</t>
  </si>
  <si>
    <t>0537600</t>
  </si>
  <si>
    <t>0537602</t>
  </si>
  <si>
    <t>0537800</t>
  </si>
  <si>
    <t>0537900</t>
  </si>
  <si>
    <t>0538000</t>
  </si>
  <si>
    <t>0538002</t>
  </si>
  <si>
    <t>0538200</t>
  </si>
  <si>
    <t>0538300</t>
  </si>
  <si>
    <t>0538400</t>
  </si>
  <si>
    <t>0538500</t>
  </si>
  <si>
    <t>0538700</t>
  </si>
  <si>
    <t>0539000</t>
  </si>
  <si>
    <t>0539100</t>
  </si>
  <si>
    <t>0539101</t>
  </si>
  <si>
    <t>0539102</t>
  </si>
  <si>
    <t>0539201</t>
  </si>
  <si>
    <t>0539202</t>
  </si>
  <si>
    <t>0539204</t>
  </si>
  <si>
    <t>0539205</t>
  </si>
  <si>
    <t>0539300</t>
  </si>
  <si>
    <t>0539400</t>
  </si>
  <si>
    <t>0539600</t>
  </si>
  <si>
    <t>0539700</t>
  </si>
  <si>
    <t>0539800</t>
  </si>
  <si>
    <t>06</t>
  </si>
  <si>
    <t>0630301</t>
  </si>
  <si>
    <t>0637400</t>
  </si>
  <si>
    <t>0637402</t>
  </si>
  <si>
    <t>0637500</t>
  </si>
  <si>
    <t>0637600</t>
  </si>
  <si>
    <t>0637602</t>
  </si>
  <si>
    <t>0637800</t>
  </si>
  <si>
    <t>0637900</t>
  </si>
  <si>
    <t>0638000</t>
  </si>
  <si>
    <t>0638002</t>
  </si>
  <si>
    <t>0638200</t>
  </si>
  <si>
    <t>0638300</t>
  </si>
  <si>
    <t>0638400</t>
  </si>
  <si>
    <t>0638500</t>
  </si>
  <si>
    <t>0638700</t>
  </si>
  <si>
    <t>0639000</t>
  </si>
  <si>
    <t>0639100</t>
  </si>
  <si>
    <t>0639101</t>
  </si>
  <si>
    <t>0639102</t>
  </si>
  <si>
    <t>0639201</t>
  </si>
  <si>
    <t>0639202</t>
  </si>
  <si>
    <t>0639204</t>
  </si>
  <si>
    <t>0639205</t>
  </si>
  <si>
    <t>0639300</t>
  </si>
  <si>
    <t>0639400</t>
  </si>
  <si>
    <t>0639600</t>
  </si>
  <si>
    <t>0639700</t>
  </si>
  <si>
    <t>0639800</t>
  </si>
  <si>
    <t>07</t>
  </si>
  <si>
    <t>0737500</t>
  </si>
  <si>
    <t>0737600</t>
  </si>
  <si>
    <t>0737602</t>
  </si>
  <si>
    <t>0737800</t>
  </si>
  <si>
    <t>08</t>
  </si>
  <si>
    <t>0830301</t>
  </si>
  <si>
    <t>0837400</t>
  </si>
  <si>
    <t>0837402</t>
  </si>
  <si>
    <t>0837500</t>
  </si>
  <si>
    <t>0837600</t>
  </si>
  <si>
    <t>0837602</t>
  </si>
  <si>
    <t>0837800</t>
  </si>
  <si>
    <t>0837900</t>
  </si>
  <si>
    <t>0838000</t>
  </si>
  <si>
    <t>0838002</t>
  </si>
  <si>
    <t>0838200</t>
  </si>
  <si>
    <t>0838300</t>
  </si>
  <si>
    <t>0838400</t>
  </si>
  <si>
    <t>0838500</t>
  </si>
  <si>
    <t>0838700</t>
  </si>
  <si>
    <t>0839100</t>
  </si>
  <si>
    <t>0839101</t>
  </si>
  <si>
    <t>0839102</t>
  </si>
  <si>
    <t>0839201</t>
  </si>
  <si>
    <t>0839202</t>
  </si>
  <si>
    <t>0839204</t>
  </si>
  <si>
    <t>0839205</t>
  </si>
  <si>
    <t>0839300</t>
  </si>
  <si>
    <t>0839400</t>
  </si>
  <si>
    <t>0839600</t>
  </si>
  <si>
    <t>0839700</t>
  </si>
  <si>
    <t>0839800</t>
  </si>
  <si>
    <t>09</t>
  </si>
  <si>
    <t>0930200</t>
  </si>
  <si>
    <t>0937400</t>
  </si>
  <si>
    <t>0937402</t>
  </si>
  <si>
    <t>0937500</t>
  </si>
  <si>
    <t>0937600</t>
  </si>
  <si>
    <t>0937602</t>
  </si>
  <si>
    <t>0937800</t>
  </si>
  <si>
    <t>0937900</t>
  </si>
  <si>
    <t>0938000</t>
  </si>
  <si>
    <t>0938002</t>
  </si>
  <si>
    <t>0938200</t>
  </si>
  <si>
    <t>0938300</t>
  </si>
  <si>
    <t>0938400</t>
  </si>
  <si>
    <t>0938500</t>
  </si>
  <si>
    <t>0938700</t>
  </si>
  <si>
    <t>0939002</t>
  </si>
  <si>
    <t>0939100</t>
  </si>
  <si>
    <t>0939101</t>
  </si>
  <si>
    <t>0939102</t>
  </si>
  <si>
    <t>0939201</t>
  </si>
  <si>
    <t>0939202</t>
  </si>
  <si>
    <t>0939204</t>
  </si>
  <si>
    <t>0939205</t>
  </si>
  <si>
    <t>0939400</t>
  </si>
  <si>
    <t>0939600</t>
  </si>
  <si>
    <t>0939700</t>
  </si>
  <si>
    <t>0939800</t>
  </si>
  <si>
    <t>10</t>
  </si>
  <si>
    <t>1030301</t>
  </si>
  <si>
    <t>1037402</t>
  </si>
  <si>
    <t>1037500</t>
  </si>
  <si>
    <t>1037600</t>
  </si>
  <si>
    <t>1037602</t>
  </si>
  <si>
    <t>1037800</t>
  </si>
  <si>
    <t>1037900</t>
  </si>
  <si>
    <t>1038000</t>
  </si>
  <si>
    <t>1038002</t>
  </si>
  <si>
    <t>1038200</t>
  </si>
  <si>
    <t>1038300</t>
  </si>
  <si>
    <t>1038400</t>
  </si>
  <si>
    <t>1038500</t>
  </si>
  <si>
    <t>1038700</t>
  </si>
  <si>
    <t>1039002</t>
  </si>
  <si>
    <t>1039100</t>
  </si>
  <si>
    <t>1039101</t>
  </si>
  <si>
    <t>1039102</t>
  </si>
  <si>
    <t>1039201</t>
  </si>
  <si>
    <t>1039202</t>
  </si>
  <si>
    <t>1039204</t>
  </si>
  <si>
    <t>1039400</t>
  </si>
  <si>
    <t>1039600</t>
  </si>
  <si>
    <t>1039700</t>
  </si>
  <si>
    <t>1039800</t>
  </si>
  <si>
    <t>11</t>
  </si>
  <si>
    <t>1130301</t>
  </si>
  <si>
    <t>1137400</t>
  </si>
  <si>
    <t>1137402</t>
  </si>
  <si>
    <t>1137500</t>
  </si>
  <si>
    <t>1137600</t>
  </si>
  <si>
    <t>1137602</t>
  </si>
  <si>
    <t>1137800</t>
  </si>
  <si>
    <t>1137900</t>
  </si>
  <si>
    <t>1138000</t>
  </si>
  <si>
    <t>1138002</t>
  </si>
  <si>
    <t>1138200</t>
  </si>
  <si>
    <t>1138300</t>
  </si>
  <si>
    <t>1138400</t>
  </si>
  <si>
    <t>1138500</t>
  </si>
  <si>
    <t>1138700</t>
  </si>
  <si>
    <t>1139100</t>
  </si>
  <si>
    <t>1139101</t>
  </si>
  <si>
    <t>1139102</t>
  </si>
  <si>
    <t>1139201</t>
  </si>
  <si>
    <t>1139202</t>
  </si>
  <si>
    <t>1139204</t>
  </si>
  <si>
    <t>1139300</t>
  </si>
  <si>
    <t>1139400</t>
  </si>
  <si>
    <t>1139600</t>
  </si>
  <si>
    <t>1139700</t>
  </si>
  <si>
    <t>1139800</t>
  </si>
  <si>
    <t>13</t>
  </si>
  <si>
    <t>1330301</t>
  </si>
  <si>
    <t>1337400</t>
  </si>
  <si>
    <t>1337402</t>
  </si>
  <si>
    <t>1337500</t>
  </si>
  <si>
    <t>1337600</t>
  </si>
  <si>
    <t>1337602</t>
  </si>
  <si>
    <t>1337800</t>
  </si>
  <si>
    <t>1337900</t>
  </si>
  <si>
    <t>1338000</t>
  </si>
  <si>
    <t>1338002</t>
  </si>
  <si>
    <t>1338200</t>
  </si>
  <si>
    <t>1338300</t>
  </si>
  <si>
    <t>1338400</t>
  </si>
  <si>
    <t>1338500</t>
  </si>
  <si>
    <t>1338700</t>
  </si>
  <si>
    <t>1339000</t>
  </si>
  <si>
    <t>1339002</t>
  </si>
  <si>
    <t>1339100</t>
  </si>
  <si>
    <t>1339101</t>
  </si>
  <si>
    <t>1339102</t>
  </si>
  <si>
    <t>1339201</t>
  </si>
  <si>
    <t>1339202</t>
  </si>
  <si>
    <t>1339204</t>
  </si>
  <si>
    <t>1339205</t>
  </si>
  <si>
    <t>1339300</t>
  </si>
  <si>
    <t>1339400</t>
  </si>
  <si>
    <t>1339600</t>
  </si>
  <si>
    <t>1339700</t>
  </si>
  <si>
    <t>1339800</t>
  </si>
  <si>
    <t>14</t>
  </si>
  <si>
    <t>1430100</t>
  </si>
  <si>
    <t>1430200</t>
  </si>
  <si>
    <t>1430300</t>
  </si>
  <si>
    <t>1430301</t>
  </si>
  <si>
    <t>1437400</t>
  </si>
  <si>
    <t>1437500</t>
  </si>
  <si>
    <t>1437600</t>
  </si>
  <si>
    <t>1437602</t>
  </si>
  <si>
    <t>1437800</t>
  </si>
  <si>
    <t>1437900</t>
  </si>
  <si>
    <t>1438000</t>
  </si>
  <si>
    <t>1438002</t>
  </si>
  <si>
    <t>1438100</t>
  </si>
  <si>
    <t>1438200</t>
  </si>
  <si>
    <t>1438300</t>
  </si>
  <si>
    <t>1438400</t>
  </si>
  <si>
    <t>1438500</t>
  </si>
  <si>
    <t>1438700</t>
  </si>
  <si>
    <t>1439000</t>
  </si>
  <si>
    <t>1439100</t>
  </si>
  <si>
    <t>1439101</t>
  </si>
  <si>
    <t>1439102</t>
  </si>
  <si>
    <t>1439103</t>
  </si>
  <si>
    <t>1439201</t>
  </si>
  <si>
    <t>1439202</t>
  </si>
  <si>
    <t>1439204</t>
  </si>
  <si>
    <t>1439205</t>
  </si>
  <si>
    <t>1439400</t>
  </si>
  <si>
    <t>1439500</t>
  </si>
  <si>
    <t>1439600</t>
  </si>
  <si>
    <t>1439700</t>
  </si>
  <si>
    <t>1439800</t>
  </si>
  <si>
    <t>15</t>
  </si>
  <si>
    <t>1530100</t>
  </si>
  <si>
    <t>1530200</t>
  </si>
  <si>
    <t>1530300</t>
  </si>
  <si>
    <t>1530301</t>
  </si>
  <si>
    <t>1537400</t>
  </si>
  <si>
    <t>1537402</t>
  </si>
  <si>
    <t>1537500</t>
  </si>
  <si>
    <t>1537600</t>
  </si>
  <si>
    <t>1537602</t>
  </si>
  <si>
    <t>1537800</t>
  </si>
  <si>
    <t>1537900</t>
  </si>
  <si>
    <t>1538000</t>
  </si>
  <si>
    <t>1538002</t>
  </si>
  <si>
    <t>1538100</t>
  </si>
  <si>
    <t>1538200</t>
  </si>
  <si>
    <t>1538300</t>
  </si>
  <si>
    <t>1538400</t>
  </si>
  <si>
    <t>1538500</t>
  </si>
  <si>
    <t>1538700</t>
  </si>
  <si>
    <t>1539000</t>
  </si>
  <si>
    <t>1539100</t>
  </si>
  <si>
    <t>1539101</t>
  </si>
  <si>
    <t>1539102</t>
  </si>
  <si>
    <t>1539103</t>
  </si>
  <si>
    <t>1539201</t>
  </si>
  <si>
    <t>1539202</t>
  </si>
  <si>
    <t>1539204</t>
  </si>
  <si>
    <t>1539205</t>
  </si>
  <si>
    <t>1539400</t>
  </si>
  <si>
    <t>1539600</t>
  </si>
  <si>
    <t>1539700</t>
  </si>
  <si>
    <t>1539800</t>
  </si>
  <si>
    <t>16</t>
  </si>
  <si>
    <t>1637400</t>
  </si>
  <si>
    <t>1637402</t>
  </si>
  <si>
    <t>1637500</t>
  </si>
  <si>
    <t>1637600</t>
  </si>
  <si>
    <t>1637602</t>
  </si>
  <si>
    <t>1637800</t>
  </si>
  <si>
    <t>1637900</t>
  </si>
  <si>
    <t>1638000</t>
  </si>
  <si>
    <t>1638002</t>
  </si>
  <si>
    <t>1638200</t>
  </si>
  <si>
    <t>1638300</t>
  </si>
  <si>
    <t>1638400</t>
  </si>
  <si>
    <t>1638500</t>
  </si>
  <si>
    <t>1638700</t>
  </si>
  <si>
    <t>1639100</t>
  </si>
  <si>
    <t>1639101</t>
  </si>
  <si>
    <t>1639102</t>
  </si>
  <si>
    <t>1639201</t>
  </si>
  <si>
    <t>1639202</t>
  </si>
  <si>
    <t>1639204</t>
  </si>
  <si>
    <t>1639205</t>
  </si>
  <si>
    <t>1639300</t>
  </si>
  <si>
    <t>1639400</t>
  </si>
  <si>
    <t>1639600</t>
  </si>
  <si>
    <t>1639700</t>
  </si>
  <si>
    <t>1639800</t>
  </si>
  <si>
    <t>55</t>
  </si>
  <si>
    <t>5530301</t>
  </si>
  <si>
    <t>5537500</t>
  </si>
  <si>
    <t>5539100</t>
  </si>
  <si>
    <t>5539101</t>
  </si>
  <si>
    <t>5539102</t>
  </si>
  <si>
    <t>5539700</t>
  </si>
  <si>
    <t>90</t>
  </si>
  <si>
    <t>9011501</t>
  </si>
  <si>
    <t>11501 - PGS Acq Adj (Reserve)</t>
  </si>
  <si>
    <t>9030100</t>
  </si>
  <si>
    <t>9030200</t>
  </si>
  <si>
    <t>9030301</t>
  </si>
  <si>
    <t>9030302</t>
  </si>
  <si>
    <t>001 / 90 - CORPORATE / 30302</t>
  </si>
  <si>
    <t>9037400</t>
  </si>
  <si>
    <t>9037402</t>
  </si>
  <si>
    <t>9037500</t>
  </si>
  <si>
    <t>9037600</t>
  </si>
  <si>
    <t>9037800</t>
  </si>
  <si>
    <t>9037900</t>
  </si>
  <si>
    <t>9038100</t>
  </si>
  <si>
    <t>9038300</t>
  </si>
  <si>
    <t>9038500</t>
  </si>
  <si>
    <t>9038602</t>
  </si>
  <si>
    <t>9038608</t>
  </si>
  <si>
    <t>9038700</t>
  </si>
  <si>
    <t>9039002</t>
  </si>
  <si>
    <t>9039100</t>
  </si>
  <si>
    <t>9039101</t>
  </si>
  <si>
    <t>9039102</t>
  </si>
  <si>
    <t>9039201</t>
  </si>
  <si>
    <t>9039202</t>
  </si>
  <si>
    <t>9039203</t>
  </si>
  <si>
    <t>9039204</t>
  </si>
  <si>
    <t>9039205</t>
  </si>
  <si>
    <t>9039400</t>
  </si>
  <si>
    <t>9039500</t>
  </si>
  <si>
    <t>9039600</t>
  </si>
  <si>
    <t>9039700</t>
  </si>
  <si>
    <t>9039800</t>
  </si>
  <si>
    <t>9039900</t>
  </si>
  <si>
    <t>vintage</t>
  </si>
  <si>
    <t>age</t>
  </si>
  <si>
    <t>surviving_balance</t>
  </si>
  <si>
    <t>average_service_life</t>
  </si>
  <si>
    <t>remaining_life</t>
  </si>
  <si>
    <t>description</t>
  </si>
  <si>
    <t>% Net Salvage</t>
  </si>
  <si>
    <t>Theo Reserve</t>
  </si>
  <si>
    <t>30300 Total</t>
  </si>
  <si>
    <t>30301 Total</t>
  </si>
  <si>
    <t>37402 Total</t>
  </si>
  <si>
    <t>37500 Total</t>
  </si>
  <si>
    <t>37600 Total</t>
  </si>
  <si>
    <t>37602 Total</t>
  </si>
  <si>
    <t>37800 Total</t>
  </si>
  <si>
    <t>37900 Total</t>
  </si>
  <si>
    <t>38000 Total</t>
  </si>
  <si>
    <t>38002 Total</t>
  </si>
  <si>
    <t>38100 Total</t>
  </si>
  <si>
    <t>38200 Total</t>
  </si>
  <si>
    <t>38300 Total</t>
  </si>
  <si>
    <t>38400 Total</t>
  </si>
  <si>
    <t>38500 Total</t>
  </si>
  <si>
    <t>38700 Total</t>
  </si>
  <si>
    <t>39000 Total</t>
  </si>
  <si>
    <t>39100 Total</t>
  </si>
  <si>
    <t>39101 Total</t>
  </si>
  <si>
    <t>39102 Total</t>
  </si>
  <si>
    <t>39201 Total</t>
  </si>
  <si>
    <t>39202 Total</t>
  </si>
  <si>
    <t>39204 Total</t>
  </si>
  <si>
    <t>39205 Total</t>
  </si>
  <si>
    <t>39300 Total</t>
  </si>
  <si>
    <t>39400 Total</t>
  </si>
  <si>
    <t>39401 Total</t>
  </si>
  <si>
    <t>39600 Total</t>
  </si>
  <si>
    <t>39700 Total</t>
  </si>
  <si>
    <t>39800 Total</t>
  </si>
  <si>
    <t>$ x Remaining Life</t>
  </si>
  <si>
    <t>RL</t>
  </si>
  <si>
    <t>Computation of Proposed Depreciation Amortization Rates</t>
  </si>
  <si>
    <t>Using Average Life Group Depreciation</t>
  </si>
  <si>
    <t>Peoples Gas</t>
  </si>
  <si>
    <t>Description</t>
  </si>
  <si>
    <t>Book</t>
  </si>
  <si>
    <t>Unaccrued</t>
  </si>
  <si>
    <t xml:space="preserve">Remaining </t>
  </si>
  <si>
    <t>Accrual</t>
  </si>
  <si>
    <t>%</t>
  </si>
  <si>
    <t xml:space="preserve">    (c)</t>
  </si>
  <si>
    <t>(d)</t>
  </si>
  <si>
    <t>(e)</t>
  </si>
  <si>
    <t>(f)= (e)/100*(c)</t>
  </si>
  <si>
    <t>(g)=(c)-(d)-(f)</t>
  </si>
  <si>
    <t>(h)</t>
  </si>
  <si>
    <t>(i)=(g)/(h)</t>
  </si>
  <si>
    <t>(j)=(i)/(c)</t>
  </si>
  <si>
    <t>Distribution</t>
  </si>
  <si>
    <t>General</t>
  </si>
  <si>
    <t>Subtotal Distribution</t>
  </si>
  <si>
    <t xml:space="preserve"> </t>
  </si>
  <si>
    <t>Intangible Plant</t>
  </si>
  <si>
    <t>Less 39002 Leasehold Improvements</t>
  </si>
  <si>
    <t>Existing</t>
  </si>
  <si>
    <t xml:space="preserve">Accrual </t>
  </si>
  <si>
    <t>Accrual $</t>
  </si>
  <si>
    <t>at Existing</t>
  </si>
  <si>
    <t>Rates</t>
  </si>
  <si>
    <t>Revised</t>
  </si>
  <si>
    <t>at Revised</t>
  </si>
  <si>
    <t>Difference</t>
  </si>
  <si>
    <t xml:space="preserve">in </t>
  </si>
  <si>
    <t>Expense $</t>
  </si>
  <si>
    <t>Comparison of Depreciation Accrual Rates</t>
  </si>
  <si>
    <t>(f)</t>
  </si>
  <si>
    <t>(g)=(c) * (f)</t>
  </si>
  <si>
    <t xml:space="preserve">(h) = (g)-(e) </t>
  </si>
  <si>
    <t>Plant</t>
  </si>
  <si>
    <t>Based on 2018 data</t>
  </si>
  <si>
    <t>Distibution</t>
  </si>
  <si>
    <t>Subtotal General</t>
  </si>
  <si>
    <t>As of December 31, 2021</t>
  </si>
  <si>
    <t>37700 Total</t>
  </si>
  <si>
    <t>Compressor Equipment</t>
  </si>
  <si>
    <r>
      <t xml:space="preserve">2022 </t>
    </r>
    <r>
      <rPr>
        <b/>
        <sz val="13"/>
        <rFont val="Arial"/>
        <family val="2"/>
      </rPr>
      <t>Depreciation Rate Review</t>
    </r>
  </si>
  <si>
    <t>Settlement Proposed - Effective 1/1/2021</t>
  </si>
  <si>
    <t>L0</t>
  </si>
  <si>
    <t>L2.5</t>
  </si>
  <si>
    <t>L3</t>
  </si>
  <si>
    <t>L1.5</t>
  </si>
  <si>
    <r>
      <t>Company Proposed - Effective</t>
    </r>
    <r>
      <rPr>
        <b/>
        <sz val="10"/>
        <color indexed="12"/>
        <rFont val="Arial"/>
        <family val="2"/>
      </rPr>
      <t xml:space="preserve"> 1/1/2024</t>
    </r>
  </si>
  <si>
    <t>Based on 2021 data</t>
  </si>
  <si>
    <t>(e) = (c) * (d)</t>
  </si>
  <si>
    <t>S1.5</t>
  </si>
  <si>
    <t>As of December 31, 2024</t>
  </si>
  <si>
    <t>33600 Total</t>
  </si>
  <si>
    <t>Comparison of Depreciation Parameters</t>
  </si>
  <si>
    <t>Settlement Rates</t>
  </si>
  <si>
    <t xml:space="preserve"> Effective 1/1/2019</t>
  </si>
  <si>
    <t>Proposed Rates</t>
  </si>
  <si>
    <t>Change</t>
  </si>
  <si>
    <t xml:space="preserve">L2 </t>
  </si>
  <si>
    <t>RNG Plant</t>
  </si>
  <si>
    <t>LNG Plant</t>
  </si>
  <si>
    <t>Renewable Natural Gas (RNG)</t>
  </si>
  <si>
    <t>Liquified Natural Gas (LNG)</t>
  </si>
  <si>
    <t>PGS Acq Adj</t>
  </si>
  <si>
    <t>Land Distribution</t>
  </si>
  <si>
    <t>Check Total</t>
  </si>
  <si>
    <t>Total PGS</t>
  </si>
  <si>
    <t>Futre Use</t>
  </si>
  <si>
    <t>Organization</t>
  </si>
  <si>
    <t>Based on 2024 data</t>
  </si>
  <si>
    <t>Based on 2020 data</t>
  </si>
  <si>
    <t>ANALYSIS RESULTS</t>
  </si>
  <si>
    <t>Depreciable Property</t>
  </si>
  <si>
    <t>Account 30200</t>
  </si>
  <si>
    <t>Franchises and Consents</t>
  </si>
  <si>
    <t>Item</t>
  </si>
  <si>
    <t>FPSC Approved 2020</t>
  </si>
  <si>
    <t>Investment</t>
  </si>
  <si>
    <t>Iowa Curve</t>
  </si>
  <si>
    <t>Theoretical Reserve</t>
  </si>
  <si>
    <t>Book Reserve</t>
  </si>
  <si>
    <t>Reserve Variance</t>
  </si>
  <si>
    <t>Gross Salvage</t>
  </si>
  <si>
    <t>Removal Cost</t>
  </si>
  <si>
    <t>Net Salvage</t>
  </si>
  <si>
    <t>Avg Whole Life Rate</t>
  </si>
  <si>
    <t>AWL Expense (2024)</t>
  </si>
  <si>
    <t>ARL Rate</t>
  </si>
  <si>
    <t>ARL Expense (2024)</t>
  </si>
  <si>
    <t>Account 30300</t>
  </si>
  <si>
    <t>Miscellaneous Intangible Plant</t>
  </si>
  <si>
    <t>Account 30310</t>
  </si>
  <si>
    <t>Account 37402</t>
  </si>
  <si>
    <t>Account 37500</t>
  </si>
  <si>
    <t>Structures and Improvements</t>
  </si>
  <si>
    <t>Account 37600</t>
  </si>
  <si>
    <t>Account 37602</t>
  </si>
  <si>
    <t>Account 37800</t>
  </si>
  <si>
    <t>Measuring and Regulating Stations General</t>
  </si>
  <si>
    <t>Account 37900</t>
  </si>
  <si>
    <t>Measuring and Regulating Equipment City Gate</t>
  </si>
  <si>
    <t>Account 38000</t>
  </si>
  <si>
    <t>Account 38002</t>
  </si>
  <si>
    <t>Account 38100</t>
  </si>
  <si>
    <t>Account 38200</t>
  </si>
  <si>
    <t>Account 38300</t>
  </si>
  <si>
    <t>Account 38400</t>
  </si>
  <si>
    <t>House Regulator Installations</t>
  </si>
  <si>
    <t>Account 38500</t>
  </si>
  <si>
    <t>Measuring and Industrial Equipment</t>
  </si>
  <si>
    <t>Account 38700</t>
  </si>
  <si>
    <t>Account 39000</t>
  </si>
  <si>
    <t>Account 39201</t>
  </si>
  <si>
    <t>Vehicles up to 1/2 Ton</t>
  </si>
  <si>
    <t>Account 39202</t>
  </si>
  <si>
    <t>Vehicles from 1/2 to 1 ton</t>
  </si>
  <si>
    <t>Account 39204</t>
  </si>
  <si>
    <t>Account 39205</t>
  </si>
  <si>
    <t>Vehicles Over 1 Ton</t>
  </si>
  <si>
    <t>Account 39600</t>
  </si>
  <si>
    <t>Account 39100</t>
  </si>
  <si>
    <t>Account 39101</t>
  </si>
  <si>
    <t>Account 39102</t>
  </si>
  <si>
    <t>Account 39300</t>
  </si>
  <si>
    <t>Account 39400</t>
  </si>
  <si>
    <t>Tools Shop and Garage Equipment</t>
  </si>
  <si>
    <t>Account 39401</t>
  </si>
  <si>
    <t>Account 39500</t>
  </si>
  <si>
    <t>Account 39700</t>
  </si>
  <si>
    <t>Account 39800</t>
  </si>
  <si>
    <t>Account 33600</t>
  </si>
  <si>
    <t>Renewable Natural Gas</t>
  </si>
  <si>
    <t>Account 36400</t>
  </si>
  <si>
    <t>Account 37700</t>
  </si>
  <si>
    <t>Distribution Compressors</t>
  </si>
  <si>
    <t>33601 Total</t>
  </si>
  <si>
    <t>36400 Total</t>
  </si>
  <si>
    <t>Allocation of Dpen Credit</t>
  </si>
  <si>
    <t>Adjusted Reserve</t>
  </si>
  <si>
    <t>Less 115 PGS Acq Adj</t>
  </si>
  <si>
    <t>Less 10500 - Future Use</t>
  </si>
  <si>
    <t>Account 33601</t>
  </si>
  <si>
    <t>$ x Age</t>
  </si>
  <si>
    <t>Avg Age</t>
  </si>
  <si>
    <t xml:space="preserve">Account is fully accrued.  If assets are added, the Company proposes a rate of </t>
  </si>
  <si>
    <t>(1)</t>
  </si>
  <si>
    <t>(2)</t>
  </si>
  <si>
    <t>Note:  (1)</t>
  </si>
  <si>
    <t>Note:  (2)</t>
  </si>
  <si>
    <t>RNG Plant Leased- 15 Years</t>
  </si>
  <si>
    <t>RNG Plant Leased- 15 Year</t>
  </si>
  <si>
    <t>Note:  (3)</t>
  </si>
  <si>
    <t xml:space="preserve">Rate for 33601 requested in special filing.  Study assumes the application will be approved.  </t>
  </si>
  <si>
    <t>Total Depreciable Plant</t>
  </si>
  <si>
    <t>(3)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</si>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</sst>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_);_(@_)"/>
    <numFmt numFmtId="165" formatCode="_(* #,##0_);_(* \(#,##0\);_(* &quot;-&quot;??_);_(@_)"/>
    <numFmt numFmtId="166" formatCode="0.0_);\(0.0\)"/>
    <numFmt numFmtId="167" formatCode="0_);\(0\)"/>
    <numFmt numFmtId="168" formatCode="0.00_);\(0.00\)"/>
    <numFmt numFmtId="169" formatCode="0.0"/>
    <numFmt numFmtId="170" formatCode="0.000000"/>
    <numFmt numFmtId="171" formatCode="0.000"/>
    <numFmt numFmtId="172" formatCode="0.000%"/>
    <numFmt numFmtId="173" formatCode="0.0%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indexed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0">
    <xf numFmtId="0" fontId="0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33" fillId="0" borderId="0"/>
    <xf numFmtId="39" fontId="18" fillId="2" borderId="0"/>
    <xf numFmtId="0" fontId="26" fillId="6" borderId="17" applyNumberFormat="0" applyFont="0" applyAlignment="0" applyProtection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170" fontId="9" fillId="0" borderId="0">
      <alignment horizontal="left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170" fontId="5" fillId="0" borderId="0">
      <alignment horizontal="left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170" fontId="5" fillId="0" borderId="0">
      <alignment horizontal="left" wrapText="1"/>
    </xf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 vertical="top"/>
    </xf>
    <xf numFmtId="164" fontId="0" fillId="0" borderId="0" xfId="0" applyNumberFormat="1"/>
    <xf numFmtId="43" fontId="0" fillId="0" borderId="0" xfId="0" applyNumberFormat="1"/>
    <xf numFmtId="0" fontId="7" fillId="0" borderId="0" xfId="0" applyFont="1"/>
    <xf numFmtId="0" fontId="0" fillId="0" borderId="0" xfId="0" quotePrefix="1" applyAlignment="1">
      <alignment horizontal="center"/>
    </xf>
    <xf numFmtId="0" fontId="0" fillId="0" borderId="0" xfId="0" applyAlignment="1">
      <alignment horizontal="right"/>
    </xf>
    <xf numFmtId="0" fontId="7" fillId="0" borderId="0" xfId="0" quotePrefix="1" applyFont="1" applyAlignment="1">
      <alignment horizontal="center" vertical="top"/>
    </xf>
    <xf numFmtId="165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Border="1"/>
    <xf numFmtId="0" fontId="10" fillId="0" borderId="0" xfId="0" applyFont="1"/>
    <xf numFmtId="164" fontId="10" fillId="0" borderId="0" xfId="0" applyNumberFormat="1" applyFont="1"/>
    <xf numFmtId="41" fontId="10" fillId="0" borderId="0" xfId="0" applyNumberFormat="1" applyFont="1"/>
    <xf numFmtId="43" fontId="10" fillId="0" borderId="0" xfId="0" applyNumberFormat="1" applyFont="1"/>
    <xf numFmtId="0" fontId="10" fillId="0" borderId="0" xfId="0" applyFont="1" applyAlignment="1">
      <alignment horizontal="right"/>
    </xf>
    <xf numFmtId="41" fontId="10" fillId="0" borderId="0" xfId="0" applyNumberFormat="1" applyFont="1" applyAlignment="1">
      <alignment horizontal="right"/>
    </xf>
    <xf numFmtId="0" fontId="12" fillId="0" borderId="0" xfId="0" applyFont="1"/>
    <xf numFmtId="0" fontId="12" fillId="0" borderId="2" xfId="0" applyFont="1" applyBorder="1" applyAlignment="1">
      <alignment horizontal="centerContinuous"/>
    </xf>
    <xf numFmtId="0" fontId="12" fillId="0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14" fillId="3" borderId="0" xfId="0" applyFont="1" applyFill="1"/>
    <xf numFmtId="0" fontId="12" fillId="0" borderId="0" xfId="0" applyFont="1" applyBorder="1" applyAlignment="1">
      <alignment horizontal="center"/>
    </xf>
    <xf numFmtId="41" fontId="10" fillId="0" borderId="0" xfId="0" applyNumberFormat="1" applyFont="1" applyAlignment="1">
      <alignment horizontal="center"/>
    </xf>
    <xf numFmtId="0" fontId="12" fillId="0" borderId="0" xfId="0" quotePrefix="1" applyFont="1" applyAlignment="1">
      <alignment horizontal="center"/>
    </xf>
    <xf numFmtId="0" fontId="12" fillId="0" borderId="2" xfId="0" quotePrefix="1" applyFont="1" applyBorder="1" applyAlignment="1">
      <alignment horizontal="centerContinuous"/>
    </xf>
    <xf numFmtId="0" fontId="0" fillId="4" borderId="0" xfId="0" applyFill="1"/>
    <xf numFmtId="0" fontId="0" fillId="4" borderId="0" xfId="0" applyFill="1" applyAlignment="1">
      <alignment horizontal="left"/>
    </xf>
    <xf numFmtId="0" fontId="12" fillId="4" borderId="0" xfId="0" applyFont="1" applyFill="1" applyAlignment="1">
      <alignment horizontal="center"/>
    </xf>
    <xf numFmtId="164" fontId="0" fillId="4" borderId="0" xfId="0" applyNumberFormat="1" applyFill="1"/>
    <xf numFmtId="43" fontId="0" fillId="4" borderId="0" xfId="0" applyNumberFormat="1" applyFill="1"/>
    <xf numFmtId="41" fontId="0" fillId="4" borderId="0" xfId="0" applyNumberFormat="1" applyFill="1"/>
    <xf numFmtId="165" fontId="9" fillId="0" borderId="0" xfId="1" applyNumberFormat="1" applyFont="1"/>
    <xf numFmtId="165" fontId="9" fillId="4" borderId="0" xfId="1" applyNumberFormat="1" applyFont="1" applyFill="1"/>
    <xf numFmtId="164" fontId="9" fillId="4" borderId="0" xfId="0" applyNumberFormat="1" applyFont="1" applyFill="1"/>
    <xf numFmtId="164" fontId="0" fillId="0" borderId="0" xfId="0" applyNumberFormat="1" applyFill="1"/>
    <xf numFmtId="41" fontId="0" fillId="0" borderId="0" xfId="0" applyNumberFormat="1" applyFill="1"/>
    <xf numFmtId="43" fontId="0" fillId="0" borderId="0" xfId="0" applyNumberFormat="1" applyFill="1"/>
    <xf numFmtId="43" fontId="0" fillId="0" borderId="0" xfId="0" applyNumberFormat="1" applyFill="1" applyAlignment="1">
      <alignment horizontal="right"/>
    </xf>
    <xf numFmtId="165" fontId="9" fillId="0" borderId="5" xfId="1" applyNumberFormat="1" applyFont="1" applyBorder="1"/>
    <xf numFmtId="0" fontId="19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0" fillId="4" borderId="0" xfId="0" applyFont="1" applyFill="1"/>
    <xf numFmtId="14" fontId="12" fillId="5" borderId="0" xfId="0" applyNumberFormat="1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0" fillId="0" borderId="6" xfId="0" applyBorder="1"/>
    <xf numFmtId="0" fontId="12" fillId="0" borderId="6" xfId="0" applyFont="1" applyBorder="1" applyAlignment="1">
      <alignment horizontal="center"/>
    </xf>
    <xf numFmtId="39" fontId="12" fillId="4" borderId="0" xfId="11" applyNumberFormat="1" applyFont="1" applyFill="1" applyAlignment="1"/>
    <xf numFmtId="0" fontId="0" fillId="0" borderId="6" xfId="0" applyFill="1" applyBorder="1"/>
    <xf numFmtId="164" fontId="0" fillId="0" borderId="6" xfId="0" applyNumberFormat="1" applyFill="1" applyBorder="1"/>
    <xf numFmtId="41" fontId="0" fillId="0" borderId="6" xfId="0" applyNumberFormat="1" applyFill="1" applyBorder="1"/>
    <xf numFmtId="43" fontId="0" fillId="0" borderId="6" xfId="0" applyNumberFormat="1" applyFill="1" applyBorder="1"/>
    <xf numFmtId="43" fontId="0" fillId="0" borderId="6" xfId="0" applyNumberFormat="1" applyFill="1" applyBorder="1" applyAlignment="1">
      <alignment horizontal="right"/>
    </xf>
    <xf numFmtId="0" fontId="24" fillId="0" borderId="0" xfId="0" applyFont="1" applyAlignment="1">
      <alignment horizontal="center"/>
    </xf>
    <xf numFmtId="164" fontId="12" fillId="5" borderId="0" xfId="0" applyNumberFormat="1" applyFont="1" applyFill="1"/>
    <xf numFmtId="41" fontId="12" fillId="5" borderId="0" xfId="0" applyNumberFormat="1" applyFont="1" applyFill="1"/>
    <xf numFmtId="43" fontId="12" fillId="5" borderId="0" xfId="0" applyNumberFormat="1" applyFont="1" applyFill="1"/>
    <xf numFmtId="0" fontId="12" fillId="5" borderId="0" xfId="0" applyFont="1" applyFill="1" applyAlignment="1">
      <alignment horizontal="right"/>
    </xf>
    <xf numFmtId="43" fontId="12" fillId="0" borderId="0" xfId="0" applyNumberFormat="1" applyFont="1" applyFill="1" applyAlignment="1">
      <alignment horizontal="right"/>
    </xf>
    <xf numFmtId="0" fontId="27" fillId="3" borderId="0" xfId="0" applyFont="1" applyFill="1"/>
    <xf numFmtId="0" fontId="12" fillId="0" borderId="0" xfId="0" quotePrefix="1" applyFont="1" applyFill="1" applyAlignment="1">
      <alignment horizontal="center"/>
    </xf>
    <xf numFmtId="0" fontId="12" fillId="0" borderId="3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/>
    <xf numFmtId="0" fontId="12" fillId="0" borderId="3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28" fillId="3" borderId="0" xfId="0" quotePrefix="1" applyFont="1" applyFill="1" applyAlignment="1">
      <alignment horizontal="left"/>
    </xf>
    <xf numFmtId="0" fontId="0" fillId="3" borderId="0" xfId="0" applyFill="1"/>
    <xf numFmtId="0" fontId="28" fillId="3" borderId="0" xfId="0" applyFont="1" applyFill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8" xfId="0" applyBorder="1" applyAlignment="1">
      <alignment horizontal="center"/>
    </xf>
    <xf numFmtId="165" fontId="0" fillId="0" borderId="8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165" fontId="12" fillId="0" borderId="5" xfId="0" applyNumberFormat="1" applyFont="1" applyBorder="1"/>
    <xf numFmtId="0" fontId="0" fillId="0" borderId="8" xfId="0" pivotButton="1" applyBorder="1"/>
    <xf numFmtId="0" fontId="0" fillId="0" borderId="8" xfId="0" pivotButton="1" applyBorder="1" applyAlignment="1">
      <alignment horizontal="center"/>
    </xf>
    <xf numFmtId="164" fontId="10" fillId="0" borderId="0" xfId="0" applyNumberFormat="1" applyFont="1" applyAlignment="1">
      <alignment horizontal="right"/>
    </xf>
    <xf numFmtId="43" fontId="10" fillId="0" borderId="0" xfId="0" applyNumberFormat="1" applyFont="1" applyAlignment="1">
      <alignment horizontal="right"/>
    </xf>
    <xf numFmtId="164" fontId="10" fillId="0" borderId="0" xfId="0" applyNumberFormat="1" applyFont="1" applyAlignment="1"/>
    <xf numFmtId="41" fontId="12" fillId="5" borderId="0" xfId="0" applyNumberFormat="1" applyFont="1" applyFill="1" applyAlignment="1">
      <alignment horizontal="right"/>
    </xf>
    <xf numFmtId="0" fontId="29" fillId="0" borderId="0" xfId="0" applyFont="1" applyAlignment="1">
      <alignment horizontal="centerContinuous"/>
    </xf>
    <xf numFmtId="14" fontId="24" fillId="0" borderId="0" xfId="0" applyNumberFormat="1" applyFont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29" fillId="0" borderId="0" xfId="0" quotePrefix="1" applyFont="1" applyAlignment="1">
      <alignment horizontal="centerContinuous"/>
    </xf>
    <xf numFmtId="14" fontId="29" fillId="0" borderId="0" xfId="0" applyNumberFormat="1" applyFont="1" applyAlignment="1">
      <alignment horizontal="centerContinuous"/>
    </xf>
    <xf numFmtId="0" fontId="5" fillId="0" borderId="0" xfId="0" applyFont="1" applyBorder="1"/>
    <xf numFmtId="0" fontId="12" fillId="0" borderId="2" xfId="0" applyFont="1" applyBorder="1" applyAlignment="1">
      <alignment horizontal="center"/>
    </xf>
    <xf numFmtId="14" fontId="12" fillId="0" borderId="2" xfId="0" applyNumberFormat="1" applyFont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2" fontId="10" fillId="0" borderId="0" xfId="0" applyNumberFormat="1" applyFont="1" applyAlignment="1">
      <alignment horizontal="right"/>
    </xf>
    <xf numFmtId="0" fontId="0" fillId="0" borderId="0" xfId="0" applyNumberFormat="1" applyFill="1"/>
    <xf numFmtId="0" fontId="12" fillId="5" borderId="0" xfId="0" applyNumberFormat="1" applyFont="1" applyFill="1"/>
    <xf numFmtId="43" fontId="12" fillId="5" borderId="0" xfId="1" applyFont="1" applyFill="1" applyAlignment="1">
      <alignment horizontal="right"/>
    </xf>
    <xf numFmtId="169" fontId="0" fillId="0" borderId="0" xfId="0" applyNumberFormat="1" applyFill="1"/>
    <xf numFmtId="169" fontId="12" fillId="5" borderId="0" xfId="0" applyNumberFormat="1" applyFont="1" applyFill="1"/>
    <xf numFmtId="10" fontId="0" fillId="0" borderId="0" xfId="0" applyNumberFormat="1"/>
    <xf numFmtId="0" fontId="5" fillId="0" borderId="0" xfId="0" applyFont="1" applyFill="1" applyAlignment="1">
      <alignment horizontal="right"/>
    </xf>
    <xf numFmtId="0" fontId="12" fillId="0" borderId="3" xfId="0" quotePrefix="1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>
      <alignment horizontal="left"/>
    </xf>
    <xf numFmtId="0" fontId="5" fillId="0" borderId="0" xfId="0" applyNumberFormat="1" applyFont="1" applyFill="1" applyAlignment="1"/>
    <xf numFmtId="165" fontId="0" fillId="0" borderId="0" xfId="16" applyNumberFormat="1" applyFont="1"/>
    <xf numFmtId="165" fontId="0" fillId="0" borderId="6" xfId="16" applyNumberFormat="1" applyFont="1" applyBorder="1"/>
    <xf numFmtId="171" fontId="35" fillId="0" borderId="0" xfId="16" applyNumberFormat="1" applyFont="1" applyFill="1" applyAlignment="1">
      <alignment horizontal="center"/>
    </xf>
    <xf numFmtId="171" fontId="12" fillId="0" borderId="0" xfId="0" applyNumberFormat="1" applyFont="1" applyAlignment="1">
      <alignment horizontal="center"/>
    </xf>
    <xf numFmtId="0" fontId="0" fillId="0" borderId="0" xfId="0" applyNumberFormat="1"/>
    <xf numFmtId="171" fontId="35" fillId="9" borderId="0" xfId="16" applyNumberFormat="1" applyFont="1" applyFill="1" applyAlignment="1">
      <alignment horizontal="center"/>
    </xf>
    <xf numFmtId="0" fontId="0" fillId="9" borderId="0" xfId="0" applyFill="1"/>
    <xf numFmtId="171" fontId="35" fillId="8" borderId="0" xfId="16" applyNumberFormat="1" applyFont="1" applyFill="1" applyAlignment="1">
      <alignment horizontal="center"/>
    </xf>
    <xf numFmtId="0" fontId="0" fillId="8" borderId="0" xfId="0" applyFill="1"/>
    <xf numFmtId="171" fontId="35" fillId="7" borderId="0" xfId="16" applyNumberFormat="1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/>
    <xf numFmtId="0" fontId="0" fillId="0" borderId="7" xfId="0" applyBorder="1"/>
    <xf numFmtId="165" fontId="12" fillId="0" borderId="5" xfId="16" applyNumberFormat="1" applyFont="1" applyBorder="1"/>
    <xf numFmtId="43" fontId="12" fillId="0" borderId="5" xfId="1" applyFont="1" applyBorder="1"/>
    <xf numFmtId="0" fontId="5" fillId="4" borderId="0" xfId="0" applyFont="1" applyFill="1"/>
    <xf numFmtId="0" fontId="5" fillId="4" borderId="0" xfId="0" applyFont="1" applyFill="1" applyAlignment="1"/>
    <xf numFmtId="165" fontId="5" fillId="4" borderId="0" xfId="16" applyNumberFormat="1" applyFont="1" applyFill="1" applyAlignment="1"/>
    <xf numFmtId="0" fontId="0" fillId="0" borderId="0" xfId="0" pivotButton="1"/>
    <xf numFmtId="0" fontId="36" fillId="3" borderId="0" xfId="0" quotePrefix="1" applyFont="1" applyFill="1" applyAlignment="1">
      <alignment horizontal="center"/>
    </xf>
    <xf numFmtId="0" fontId="12" fillId="0" borderId="8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2" fillId="0" borderId="13" xfId="0" applyFont="1" applyBorder="1"/>
    <xf numFmtId="0" fontId="12" fillId="0" borderId="14" xfId="0" applyFont="1" applyBorder="1"/>
    <xf numFmtId="165" fontId="12" fillId="0" borderId="13" xfId="0" applyNumberFormat="1" applyFont="1" applyBorder="1"/>
    <xf numFmtId="165" fontId="12" fillId="0" borderId="15" xfId="0" applyNumberFormat="1" applyFont="1" applyBorder="1"/>
    <xf numFmtId="165" fontId="12" fillId="0" borderId="16" xfId="0" applyNumberFormat="1" applyFont="1" applyBorder="1"/>
    <xf numFmtId="0" fontId="5" fillId="0" borderId="0" xfId="0" applyNumberFormat="1" applyFont="1" applyFill="1" applyBorder="1" applyAlignment="1">
      <alignment horizontal="left"/>
    </xf>
    <xf numFmtId="0" fontId="5" fillId="0" borderId="0" xfId="0" quotePrefix="1" applyNumberFormat="1" applyFont="1" applyFill="1" applyBorder="1" applyAlignment="1">
      <alignment horizontal="left"/>
    </xf>
    <xf numFmtId="0" fontId="5" fillId="0" borderId="0" xfId="0" quotePrefix="1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43" fontId="0" fillId="0" borderId="0" xfId="16" applyFont="1"/>
    <xf numFmtId="172" fontId="0" fillId="0" borderId="0" xfId="13" applyNumberFormat="1" applyFont="1"/>
    <xf numFmtId="0" fontId="0" fillId="0" borderId="0" xfId="0"/>
    <xf numFmtId="0" fontId="12" fillId="0" borderId="0" xfId="0" applyFont="1" applyAlignment="1">
      <alignment horizontal="center"/>
    </xf>
    <xf numFmtId="0" fontId="38" fillId="8" borderId="3" xfId="0" applyFont="1" applyFill="1" applyBorder="1" applyAlignment="1">
      <alignment horizontal="center"/>
    </xf>
    <xf numFmtId="0" fontId="38" fillId="8" borderId="3" xfId="0" applyFont="1" applyFill="1" applyBorder="1"/>
    <xf numFmtId="165" fontId="12" fillId="0" borderId="0" xfId="1" applyNumberFormat="1" applyFont="1"/>
    <xf numFmtId="0" fontId="12" fillId="7" borderId="3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43" fontId="38" fillId="8" borderId="3" xfId="1" applyFont="1" applyFill="1" applyBorder="1" applyAlignment="1">
      <alignment horizontal="right"/>
    </xf>
    <xf numFmtId="0" fontId="19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12" fillId="0" borderId="0" xfId="0" quotePrefix="1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quotePrefix="1" applyFont="1" applyFill="1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169" fontId="12" fillId="0" borderId="0" xfId="11" applyNumberFormat="1" applyFont="1" applyFill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8" fontId="12" fillId="0" borderId="0" xfId="0" applyNumberFormat="1" applyFont="1" applyAlignment="1">
      <alignment horizontal="center" vertical="center"/>
    </xf>
    <xf numFmtId="168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12" fillId="0" borderId="1" xfId="0" quotePrefix="1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39" fontId="12" fillId="0" borderId="0" xfId="11" applyNumberFormat="1" applyFont="1" applyFill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41" fontId="7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39" fontId="5" fillId="0" borderId="0" xfId="11" applyNumberFormat="1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165" fontId="0" fillId="0" borderId="0" xfId="1" applyNumberFormat="1" applyFont="1" applyAlignment="1">
      <alignment vertical="center"/>
    </xf>
    <xf numFmtId="168" fontId="5" fillId="0" borderId="0" xfId="11" applyNumberFormat="1" applyFont="1" applyFill="1" applyAlignment="1">
      <alignment horizontal="center" vertical="center"/>
    </xf>
    <xf numFmtId="168" fontId="8" fillId="0" borderId="0" xfId="0" applyNumberFormat="1" applyFont="1" applyFill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0" xfId="0" quotePrefix="1" applyFont="1" applyAlignment="1">
      <alignment horizontal="left" vertical="center"/>
    </xf>
    <xf numFmtId="165" fontId="9" fillId="0" borderId="0" xfId="1" applyNumberFormat="1" applyFont="1" applyFill="1" applyAlignment="1">
      <alignment vertical="center"/>
    </xf>
    <xf numFmtId="0" fontId="8" fillId="0" borderId="0" xfId="0" applyNumberFormat="1" applyFont="1" applyAlignment="1">
      <alignment horizontal="center" vertical="center"/>
    </xf>
    <xf numFmtId="165" fontId="9" fillId="0" borderId="0" xfId="1" applyNumberFormat="1" applyFont="1" applyAlignment="1">
      <alignment vertical="center"/>
    </xf>
    <xf numFmtId="0" fontId="9" fillId="0" borderId="0" xfId="9" applyNumberFormat="1" applyFont="1" applyFill="1" applyAlignment="1">
      <alignment horizontal="left" vertical="center"/>
    </xf>
    <xf numFmtId="165" fontId="34" fillId="0" borderId="0" xfId="1" applyNumberFormat="1" applyFont="1" applyFill="1" applyAlignment="1">
      <alignment vertical="center"/>
    </xf>
    <xf numFmtId="0" fontId="8" fillId="0" borderId="1" xfId="0" quotePrefix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0" fontId="8" fillId="0" borderId="1" xfId="0" quotePrefix="1" applyNumberFormat="1" applyFont="1" applyBorder="1" applyAlignment="1">
      <alignment horizontal="center" vertical="center"/>
    </xf>
    <xf numFmtId="165" fontId="12" fillId="0" borderId="1" xfId="1" applyNumberFormat="1" applyFont="1" applyBorder="1" applyAlignment="1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5" fontId="12" fillId="0" borderId="1" xfId="1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165" fontId="12" fillId="0" borderId="2" xfId="1" applyNumberFormat="1" applyFont="1" applyBorder="1" applyAlignment="1">
      <alignment vertical="center"/>
    </xf>
    <xf numFmtId="0" fontId="21" fillId="0" borderId="0" xfId="0" applyFont="1" applyAlignment="1">
      <alignment horizontal="centerContinuous" vertical="center"/>
    </xf>
    <xf numFmtId="0" fontId="12" fillId="0" borderId="2" xfId="0" applyFont="1" applyBorder="1" applyAlignment="1">
      <alignment horizontal="centerContinuous" vertical="center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12" fillId="0" borderId="3" xfId="0" applyFont="1" applyBorder="1" applyAlignment="1">
      <alignment horizontal="centerContinuous" vertical="center"/>
    </xf>
    <xf numFmtId="0" fontId="12" fillId="0" borderId="0" xfId="0" applyFont="1" applyFill="1" applyAlignment="1">
      <alignment vertical="center"/>
    </xf>
    <xf numFmtId="0" fontId="12" fillId="3" borderId="0" xfId="0" quotePrefix="1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0" fillId="3" borderId="0" xfId="0" applyNumberForma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67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41" fontId="10" fillId="0" borderId="0" xfId="0" applyNumberFormat="1" applyFont="1" applyAlignment="1">
      <alignment vertical="center"/>
    </xf>
    <xf numFmtId="43" fontId="10" fillId="0" borderId="0" xfId="0" applyNumberFormat="1" applyFont="1" applyAlignment="1">
      <alignment vertical="center"/>
    </xf>
    <xf numFmtId="166" fontId="25" fillId="3" borderId="0" xfId="0" quotePrefix="1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5" fontId="7" fillId="0" borderId="0" xfId="1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7" fontId="10" fillId="0" borderId="0" xfId="0" applyNumberFormat="1" applyFont="1" applyFill="1" applyAlignment="1">
      <alignment horizontal="center" vertical="center"/>
    </xf>
    <xf numFmtId="166" fontId="9" fillId="0" borderId="0" xfId="0" applyNumberFormat="1" applyFont="1" applyFill="1" applyAlignment="1">
      <alignment horizontal="center" vertical="center"/>
    </xf>
    <xf numFmtId="166" fontId="10" fillId="0" borderId="0" xfId="0" applyNumberFormat="1" applyFont="1" applyFill="1" applyAlignment="1">
      <alignment horizontal="center" vertical="center"/>
    </xf>
    <xf numFmtId="167" fontId="9" fillId="0" borderId="0" xfId="0" applyNumberFormat="1" applyFont="1" applyFill="1" applyAlignment="1">
      <alignment horizontal="center" vertical="center"/>
    </xf>
    <xf numFmtId="166" fontId="10" fillId="0" borderId="0" xfId="41" applyNumberFormat="1" applyFont="1" applyFill="1" applyAlignment="1">
      <alignment horizontal="center" vertical="center"/>
    </xf>
    <xf numFmtId="168" fontId="10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166" fontId="9" fillId="0" borderId="0" xfId="0" applyNumberFormat="1" applyFont="1" applyAlignment="1">
      <alignment horizontal="center" vertical="center"/>
    </xf>
    <xf numFmtId="0" fontId="14" fillId="3" borderId="0" xfId="0" quotePrefix="1" applyFont="1" applyFill="1" applyAlignment="1">
      <alignment horizontal="left" vertical="center"/>
    </xf>
    <xf numFmtId="166" fontId="10" fillId="0" borderId="0" xfId="0" applyNumberFormat="1" applyFont="1" applyFill="1" applyAlignment="1">
      <alignment vertical="center"/>
    </xf>
    <xf numFmtId="166" fontId="9" fillId="0" borderId="0" xfId="0" applyNumberFormat="1" applyFont="1" applyAlignment="1">
      <alignment vertical="center"/>
    </xf>
    <xf numFmtId="164" fontId="0" fillId="0" borderId="0" xfId="0" applyNumberForma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6" fontId="12" fillId="0" borderId="0" xfId="0" applyNumberFormat="1" applyFont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166" fontId="12" fillId="0" borderId="0" xfId="0" quotePrefix="1" applyNumberFormat="1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66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165" fontId="9" fillId="0" borderId="1" xfId="1" applyNumberFormat="1" applyFont="1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left" vertical="center"/>
    </xf>
    <xf numFmtId="165" fontId="9" fillId="0" borderId="2" xfId="1" applyNumberFormat="1" applyFont="1" applyBorder="1" applyAlignment="1">
      <alignment vertical="center"/>
    </xf>
    <xf numFmtId="166" fontId="0" fillId="0" borderId="2" xfId="0" applyNumberFormat="1" applyBorder="1" applyAlignment="1">
      <alignment horizontal="center" vertical="center"/>
    </xf>
    <xf numFmtId="0" fontId="12" fillId="0" borderId="2" xfId="0" quotePrefix="1" applyFont="1" applyBorder="1" applyAlignment="1">
      <alignment horizontal="right" vertical="center"/>
    </xf>
    <xf numFmtId="166" fontId="12" fillId="0" borderId="2" xfId="0" applyNumberFormat="1" applyFont="1" applyBorder="1" applyAlignment="1">
      <alignment horizontal="center" vertical="center"/>
    </xf>
    <xf numFmtId="0" fontId="29" fillId="0" borderId="0" xfId="0" applyFont="1" applyFill="1" applyAlignment="1">
      <alignment horizontal="centerContinuous"/>
    </xf>
    <xf numFmtId="164" fontId="10" fillId="0" borderId="0" xfId="0" applyNumberFormat="1" applyFont="1" applyFill="1"/>
    <xf numFmtId="41" fontId="10" fillId="0" borderId="0" xfId="0" applyNumberFormat="1" applyFont="1" applyFill="1"/>
    <xf numFmtId="0" fontId="10" fillId="0" borderId="0" xfId="0" applyFont="1" applyFill="1" applyAlignment="1">
      <alignment horizontal="right"/>
    </xf>
    <xf numFmtId="43" fontId="10" fillId="0" borderId="0" xfId="0" applyNumberFormat="1" applyFont="1" applyFill="1"/>
    <xf numFmtId="0" fontId="10" fillId="0" borderId="0" xfId="0" applyFont="1" applyFill="1"/>
    <xf numFmtId="165" fontId="0" fillId="7" borderId="0" xfId="16" applyNumberFormat="1" applyFont="1" applyFill="1"/>
    <xf numFmtId="39" fontId="0" fillId="0" borderId="0" xfId="0" applyNumberFormat="1" applyFill="1"/>
    <xf numFmtId="39" fontId="12" fillId="5" borderId="0" xfId="0" applyNumberFormat="1" applyFont="1" applyFill="1"/>
    <xf numFmtId="39" fontId="12" fillId="5" borderId="0" xfId="0" applyNumberFormat="1" applyFont="1" applyFill="1" applyAlignment="1">
      <alignment horizontal="right"/>
    </xf>
    <xf numFmtId="39" fontId="0" fillId="0" borderId="0" xfId="0" quotePrefix="1" applyNumberFormat="1" applyAlignment="1">
      <alignment horizontal="center"/>
    </xf>
    <xf numFmtId="39" fontId="12" fillId="0" borderId="0" xfId="0" applyNumberFormat="1" applyFont="1"/>
    <xf numFmtId="165" fontId="0" fillId="4" borderId="0" xfId="1" applyNumberFormat="1" applyFont="1" applyFill="1"/>
    <xf numFmtId="10" fontId="35" fillId="4" borderId="0" xfId="0" applyNumberFormat="1" applyFont="1" applyFill="1" applyAlignment="1">
      <alignment horizontal="center"/>
    </xf>
    <xf numFmtId="43" fontId="35" fillId="4" borderId="0" xfId="1" applyNumberFormat="1" applyFont="1" applyFill="1" applyAlignment="1">
      <alignment horizontal="center"/>
    </xf>
    <xf numFmtId="9" fontId="35" fillId="4" borderId="0" xfId="13" applyFont="1" applyFill="1" applyAlignment="1">
      <alignment horizontal="center"/>
    </xf>
    <xf numFmtId="10" fontId="35" fillId="4" borderId="0" xfId="13" applyNumberFormat="1" applyFont="1" applyFill="1" applyAlignment="1">
      <alignment horizontal="center"/>
    </xf>
    <xf numFmtId="164" fontId="38" fillId="0" borderId="0" xfId="0" applyNumberFormat="1" applyFont="1" applyAlignment="1">
      <alignment horizontal="center"/>
    </xf>
    <xf numFmtId="0" fontId="12" fillId="0" borderId="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6" fontId="11" fillId="0" borderId="0" xfId="0" applyNumberFormat="1" applyFont="1" applyFill="1" applyAlignment="1">
      <alignment horizontal="center" vertical="center"/>
    </xf>
    <xf numFmtId="167" fontId="11" fillId="0" borderId="0" xfId="0" applyNumberFormat="1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41" fontId="10" fillId="0" borderId="0" xfId="0" applyNumberFormat="1" applyFont="1" applyFill="1" applyAlignment="1">
      <alignment horizontal="center" vertical="center"/>
    </xf>
    <xf numFmtId="0" fontId="10" fillId="0" borderId="0" xfId="0" quotePrefix="1" applyFont="1" applyFill="1" applyAlignment="1">
      <alignment horizontal="center" vertical="center"/>
    </xf>
    <xf numFmtId="167" fontId="9" fillId="0" borderId="0" xfId="0" applyNumberFormat="1" applyFont="1" applyFill="1" applyAlignment="1">
      <alignment vertical="center"/>
    </xf>
    <xf numFmtId="41" fontId="0" fillId="0" borderId="0" xfId="0" applyNumberFormat="1" applyFill="1" applyAlignment="1">
      <alignment vertical="center"/>
    </xf>
    <xf numFmtId="0" fontId="13" fillId="0" borderId="1" xfId="0" quotePrefix="1" applyFont="1" applyBorder="1" applyAlignment="1">
      <alignment horizontal="center" vertical="center"/>
    </xf>
    <xf numFmtId="173" fontId="10" fillId="0" borderId="0" xfId="0" applyNumberFormat="1" applyFont="1" applyFill="1" applyAlignment="1">
      <alignment horizontal="center" vertical="center"/>
    </xf>
    <xf numFmtId="173" fontId="9" fillId="0" borderId="0" xfId="0" applyNumberFormat="1" applyFont="1" applyAlignment="1">
      <alignment horizontal="center" vertical="center"/>
    </xf>
    <xf numFmtId="39" fontId="0" fillId="0" borderId="0" xfId="0" applyNumberFormat="1"/>
    <xf numFmtId="3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73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39" fontId="0" fillId="0" borderId="19" xfId="0" applyNumberFormat="1" applyBorder="1"/>
    <xf numFmtId="39" fontId="5" fillId="0" borderId="19" xfId="0" applyNumberFormat="1" applyFont="1" applyBorder="1"/>
    <xf numFmtId="39" fontId="10" fillId="0" borderId="0" xfId="0" applyNumberFormat="1" applyFont="1" applyFill="1" applyAlignment="1">
      <alignment horizontal="center" vertical="center"/>
    </xf>
    <xf numFmtId="39" fontId="5" fillId="0" borderId="0" xfId="0" applyNumberFormat="1" applyFont="1"/>
    <xf numFmtId="10" fontId="0" fillId="0" borderId="0" xfId="0" applyNumberFormat="1" applyAlignment="1">
      <alignment vertical="center"/>
    </xf>
    <xf numFmtId="39" fontId="12" fillId="0" borderId="0" xfId="11" applyNumberFormat="1" applyFont="1" applyFill="1" applyAlignment="1"/>
    <xf numFmtId="166" fontId="25" fillId="0" borderId="0" xfId="0" quotePrefix="1" applyNumberFormat="1" applyFont="1" applyFill="1" applyAlignment="1">
      <alignment horizontal="center" vertical="center"/>
    </xf>
    <xf numFmtId="0" fontId="5" fillId="0" borderId="3" xfId="0" applyFont="1" applyBorder="1"/>
    <xf numFmtId="0" fontId="0" fillId="0" borderId="3" xfId="0" applyBorder="1"/>
    <xf numFmtId="3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0" fontId="0" fillId="0" borderId="3" xfId="0" applyNumberFormat="1" applyBorder="1" applyAlignment="1">
      <alignment horizontal="center"/>
    </xf>
    <xf numFmtId="37" fontId="0" fillId="0" borderId="0" xfId="0" applyNumberFormat="1"/>
    <xf numFmtId="0" fontId="5" fillId="0" borderId="3" xfId="0" applyFont="1" applyBorder="1" applyAlignment="1">
      <alignment horizontal="center"/>
    </xf>
    <xf numFmtId="37" fontId="0" fillId="0" borderId="5" xfId="0" applyNumberFormat="1" applyBorder="1"/>
    <xf numFmtId="0" fontId="0" fillId="0" borderId="5" xfId="0" applyBorder="1"/>
    <xf numFmtId="37" fontId="5" fillId="0" borderId="5" xfId="0" applyNumberFormat="1" applyFont="1" applyBorder="1"/>
    <xf numFmtId="0" fontId="5" fillId="0" borderId="0" xfId="0" applyFont="1" applyFill="1" applyAlignment="1">
      <alignment vertical="center"/>
    </xf>
    <xf numFmtId="39" fontId="5" fillId="0" borderId="0" xfId="0" applyNumberFormat="1" applyFont="1" applyAlignment="1">
      <alignment horizontal="center"/>
    </xf>
    <xf numFmtId="0" fontId="0" fillId="0" borderId="19" xfId="0" applyBorder="1"/>
    <xf numFmtId="10" fontId="0" fillId="0" borderId="19" xfId="0" applyNumberFormat="1" applyBorder="1"/>
    <xf numFmtId="173" fontId="9" fillId="0" borderId="0" xfId="0" applyNumberFormat="1" applyFont="1" applyFill="1" applyAlignment="1">
      <alignment horizontal="center" vertical="center"/>
    </xf>
    <xf numFmtId="165" fontId="0" fillId="0" borderId="0" xfId="1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65" fontId="10" fillId="0" borderId="0" xfId="1" applyNumberFormat="1" applyFont="1" applyFill="1" applyAlignment="1">
      <alignment vertical="center"/>
    </xf>
    <xf numFmtId="10" fontId="5" fillId="0" borderId="19" xfId="0" applyNumberFormat="1" applyFont="1" applyBorder="1"/>
    <xf numFmtId="43" fontId="0" fillId="0" borderId="0" xfId="1" applyFont="1"/>
    <xf numFmtId="43" fontId="5" fillId="0" borderId="0" xfId="1" applyFont="1"/>
    <xf numFmtId="0" fontId="0" fillId="0" borderId="0" xfId="0" quotePrefix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165" fontId="12" fillId="0" borderId="0" xfId="1" applyNumberFormat="1" applyFont="1" applyBorder="1" applyAlignment="1">
      <alignment vertical="center"/>
    </xf>
    <xf numFmtId="166" fontId="12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0" fontId="0" fillId="0" borderId="0" xfId="0" applyNumberFormat="1" applyFill="1"/>
    <xf numFmtId="10" fontId="5" fillId="0" borderId="0" xfId="0" applyNumberFormat="1" applyFont="1" applyFill="1"/>
    <xf numFmtId="43" fontId="0" fillId="0" borderId="0" xfId="1" applyFont="1" applyFill="1"/>
    <xf numFmtId="0" fontId="0" fillId="0" borderId="26" xfId="0" applyBorder="1" applyAlignment="1">
      <alignment horizontal="center"/>
    </xf>
    <xf numFmtId="0" fontId="0" fillId="0" borderId="26" xfId="0" applyBorder="1"/>
    <xf numFmtId="6" fontId="0" fillId="0" borderId="26" xfId="0" applyNumberFormat="1" applyBorder="1"/>
    <xf numFmtId="6" fontId="0" fillId="0" borderId="26" xfId="0" applyNumberFormat="1" applyBorder="1" applyAlignment="1">
      <alignment horizontal="right"/>
    </xf>
    <xf numFmtId="0" fontId="0" fillId="0" borderId="26" xfId="0" applyBorder="1" applyAlignment="1">
      <alignment horizontal="right"/>
    </xf>
    <xf numFmtId="38" fontId="0" fillId="0" borderId="26" xfId="0" applyNumberFormat="1" applyBorder="1" applyAlignment="1">
      <alignment horizontal="right"/>
    </xf>
    <xf numFmtId="5" fontId="0" fillId="0" borderId="26" xfId="0" applyNumberFormat="1" applyBorder="1"/>
    <xf numFmtId="5" fontId="0" fillId="0" borderId="26" xfId="0" applyNumberFormat="1" applyBorder="1" applyAlignment="1">
      <alignment horizontal="right"/>
    </xf>
    <xf numFmtId="10" fontId="0" fillId="0" borderId="26" xfId="0" applyNumberFormat="1" applyBorder="1" applyAlignment="1">
      <alignment horizontal="right"/>
    </xf>
    <xf numFmtId="10" fontId="0" fillId="0" borderId="26" xfId="0" applyNumberFormat="1" applyBorder="1"/>
    <xf numFmtId="9" fontId="0" fillId="0" borderId="26" xfId="0" applyNumberFormat="1" applyBorder="1"/>
    <xf numFmtId="9" fontId="0" fillId="0" borderId="26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6" xfId="0" applyNumberFormat="1" applyBorder="1"/>
    <xf numFmtId="6" fontId="0" fillId="0" borderId="26" xfId="0" applyNumberFormat="1" applyFill="1" applyBorder="1" applyAlignment="1">
      <alignment horizontal="right"/>
    </xf>
    <xf numFmtId="0" fontId="0" fillId="0" borderId="26" xfId="0" applyFill="1" applyBorder="1" applyAlignment="1">
      <alignment horizontal="right"/>
    </xf>
    <xf numFmtId="0" fontId="0" fillId="0" borderId="26" xfId="0" applyFill="1" applyBorder="1" applyAlignment="1">
      <alignment horizontal="center"/>
    </xf>
    <xf numFmtId="5" fontId="0" fillId="0" borderId="26" xfId="0" applyNumberFormat="1" applyFill="1" applyBorder="1"/>
    <xf numFmtId="0" fontId="0" fillId="0" borderId="26" xfId="0" applyFill="1" applyBorder="1"/>
    <xf numFmtId="10" fontId="0" fillId="0" borderId="26" xfId="0" applyNumberFormat="1" applyFill="1" applyBorder="1"/>
    <xf numFmtId="9" fontId="0" fillId="0" borderId="26" xfId="0" applyNumberFormat="1" applyFill="1" applyBorder="1"/>
    <xf numFmtId="6" fontId="0" fillId="0" borderId="26" xfId="0" applyNumberFormat="1" applyFill="1" applyBorder="1"/>
    <xf numFmtId="2" fontId="0" fillId="0" borderId="26" xfId="0" applyNumberFormat="1" applyFill="1" applyBorder="1"/>
    <xf numFmtId="39" fontId="0" fillId="0" borderId="0" xfId="0" applyNumberFormat="1" applyFill="1" applyAlignment="1">
      <alignment horizontal="center"/>
    </xf>
    <xf numFmtId="38" fontId="0" fillId="0" borderId="26" xfId="0" applyNumberFormat="1" applyFill="1" applyBorder="1" applyAlignment="1">
      <alignment horizontal="right"/>
    </xf>
    <xf numFmtId="5" fontId="0" fillId="0" borderId="26" xfId="0" applyNumberFormat="1" applyFill="1" applyBorder="1" applyAlignment="1">
      <alignment horizontal="right"/>
    </xf>
    <xf numFmtId="9" fontId="0" fillId="0" borderId="26" xfId="0" applyNumberFormat="1" applyFill="1" applyBorder="1" applyAlignment="1">
      <alignment horizontal="right"/>
    </xf>
    <xf numFmtId="10" fontId="0" fillId="0" borderId="26" xfId="0" applyNumberFormat="1" applyFill="1" applyBorder="1" applyAlignment="1">
      <alignment horizontal="right"/>
    </xf>
    <xf numFmtId="2" fontId="0" fillId="0" borderId="26" xfId="0" applyNumberFormat="1" applyFill="1" applyBorder="1" applyAlignment="1">
      <alignment horizontal="right"/>
    </xf>
    <xf numFmtId="39" fontId="0" fillId="8" borderId="0" xfId="0" applyNumberFormat="1" applyFill="1"/>
    <xf numFmtId="0" fontId="5" fillId="0" borderId="2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39" fontId="5" fillId="0" borderId="0" xfId="0" applyNumberFormat="1" applyFont="1" applyFill="1"/>
    <xf numFmtId="0" fontId="0" fillId="0" borderId="27" xfId="0" applyFill="1" applyBorder="1"/>
    <xf numFmtId="0" fontId="5" fillId="0" borderId="0" xfId="0" quotePrefix="1" applyFont="1" applyAlignment="1">
      <alignment horizontal="center"/>
    </xf>
    <xf numFmtId="0" fontId="5" fillId="0" borderId="26" xfId="0" applyFont="1" applyBorder="1" applyAlignment="1">
      <alignment horizontal="center"/>
    </xf>
    <xf numFmtId="9" fontId="0" fillId="0" borderId="26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3" fontId="0" fillId="0" borderId="19" xfId="1" applyFont="1" applyBorder="1"/>
    <xf numFmtId="43" fontId="0" fillId="0" borderId="5" xfId="1" applyFont="1" applyBorder="1"/>
    <xf numFmtId="43" fontId="0" fillId="0" borderId="19" xfId="1" applyFont="1" applyFill="1" applyBorder="1"/>
    <xf numFmtId="43" fontId="0" fillId="0" borderId="5" xfId="1" applyFont="1" applyFill="1" applyBorder="1"/>
    <xf numFmtId="43" fontId="5" fillId="0" borderId="3" xfId="1" applyFont="1" applyFill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0" fontId="5" fillId="0" borderId="0" xfId="0" applyFont="1" applyAlignment="1">
      <alignment horizontal="left"/>
    </xf>
    <xf numFmtId="3" fontId="0" fillId="0" borderId="26" xfId="0" applyNumberFormat="1" applyBorder="1" applyAlignment="1">
      <alignment horizontal="right"/>
    </xf>
    <xf numFmtId="0" fontId="19" fillId="8" borderId="0" xfId="0" applyFont="1" applyFill="1" applyAlignment="1">
      <alignment horizontal="centerContinuous" vertical="center"/>
    </xf>
    <xf numFmtId="0" fontId="12" fillId="8" borderId="0" xfId="0" applyFont="1" applyFill="1" applyAlignment="1">
      <alignment vertical="center"/>
    </xf>
    <xf numFmtId="0" fontId="12" fillId="8" borderId="2" xfId="0" applyFont="1" applyFill="1" applyBorder="1" applyAlignment="1">
      <alignment horizontal="centerContinuous" vertical="center"/>
    </xf>
    <xf numFmtId="0" fontId="12" fillId="8" borderId="3" xfId="0" applyFont="1" applyFill="1" applyBorder="1" applyAlignment="1">
      <alignment horizontal="centerContinuous" vertical="center"/>
    </xf>
    <xf numFmtId="166" fontId="12" fillId="8" borderId="0" xfId="0" applyNumberFormat="1" applyFont="1" applyFill="1" applyAlignment="1">
      <alignment horizontal="center" vertical="center"/>
    </xf>
    <xf numFmtId="166" fontId="12" fillId="8" borderId="1" xfId="0" applyNumberFormat="1" applyFont="1" applyFill="1" applyBorder="1" applyAlignment="1">
      <alignment horizontal="center" vertical="center"/>
    </xf>
    <xf numFmtId="166" fontId="12" fillId="8" borderId="0" xfId="0" quotePrefix="1" applyNumberFormat="1" applyFont="1" applyFill="1" applyAlignment="1">
      <alignment horizontal="center" vertical="center"/>
    </xf>
    <xf numFmtId="166" fontId="0" fillId="8" borderId="0" xfId="0" applyNumberFormat="1" applyFill="1" applyAlignment="1">
      <alignment horizontal="center" vertical="center"/>
    </xf>
    <xf numFmtId="173" fontId="9" fillId="8" borderId="0" xfId="0" applyNumberFormat="1" applyFont="1" applyFill="1" applyAlignment="1">
      <alignment horizontal="center" vertical="center"/>
    </xf>
    <xf numFmtId="166" fontId="0" fillId="8" borderId="1" xfId="0" applyNumberFormat="1" applyFill="1" applyBorder="1" applyAlignment="1">
      <alignment horizontal="center" vertical="center"/>
    </xf>
    <xf numFmtId="166" fontId="12" fillId="8" borderId="0" xfId="0" applyNumberFormat="1" applyFont="1" applyFill="1" applyBorder="1" applyAlignment="1">
      <alignment horizontal="center" vertical="center"/>
    </xf>
    <xf numFmtId="43" fontId="0" fillId="8" borderId="0" xfId="0" applyNumberFormat="1" applyFill="1" applyAlignment="1">
      <alignment vertical="center"/>
    </xf>
    <xf numFmtId="166" fontId="0" fillId="8" borderId="2" xfId="0" applyNumberFormat="1" applyFill="1" applyBorder="1" applyAlignment="1">
      <alignment horizontal="center" vertical="center"/>
    </xf>
    <xf numFmtId="166" fontId="12" fillId="8" borderId="2" xfId="0" applyNumberFormat="1" applyFont="1" applyFill="1" applyBorder="1" applyAlignment="1">
      <alignment horizontal="center" vertical="center"/>
    </xf>
    <xf numFmtId="41" fontId="0" fillId="8" borderId="0" xfId="0" applyNumberFormat="1" applyFill="1"/>
    <xf numFmtId="164" fontId="0" fillId="8" borderId="0" xfId="0" applyNumberFormat="1" applyFill="1"/>
    <xf numFmtId="164" fontId="5" fillId="5" borderId="0" xfId="0" applyNumberFormat="1" applyFont="1" applyFill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164" fontId="5" fillId="0" borderId="0" xfId="0" applyNumberFormat="1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0" fillId="0" borderId="0" xfId="0" applyFont="1" applyFill="1" applyAlignment="1">
      <alignment horizontal="centerContinuous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horizontal="centerContinuous" vertical="center"/>
    </xf>
    <xf numFmtId="165" fontId="20" fillId="0" borderId="0" xfId="0" applyNumberFormat="1" applyFont="1" applyFill="1" applyAlignment="1">
      <alignment horizontal="centerContinuous" vertical="center"/>
    </xf>
    <xf numFmtId="0" fontId="12" fillId="0" borderId="0" xfId="0" quotePrefix="1" applyFont="1" applyFill="1" applyAlignment="1">
      <alignment horizontal="left" vertical="center"/>
    </xf>
    <xf numFmtId="165" fontId="0" fillId="0" borderId="0" xfId="0" applyNumberFormat="1" applyFill="1" applyAlignment="1">
      <alignment vertical="center"/>
    </xf>
    <xf numFmtId="165" fontId="12" fillId="0" borderId="0" xfId="0" applyNumberFormat="1" applyFont="1" applyFill="1" applyAlignment="1">
      <alignment horizontal="center" vertical="center"/>
    </xf>
    <xf numFmtId="165" fontId="12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4" fontId="13" fillId="0" borderId="1" xfId="0" quotePrefix="1" applyNumberFormat="1" applyFont="1" applyFill="1" applyBorder="1" applyAlignment="1">
      <alignment horizontal="center" vertical="center"/>
    </xf>
    <xf numFmtId="14" fontId="12" fillId="0" borderId="1" xfId="0" quotePrefix="1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/>
    </xf>
    <xf numFmtId="168" fontId="12" fillId="0" borderId="1" xfId="0" applyNumberFormat="1" applyFont="1" applyFill="1" applyBorder="1" applyAlignment="1">
      <alignment horizontal="center" vertical="center"/>
    </xf>
    <xf numFmtId="165" fontId="12" fillId="0" borderId="0" xfId="0" quotePrefix="1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43" fontId="0" fillId="0" borderId="0" xfId="0" applyNumberFormat="1" applyFill="1" applyAlignment="1">
      <alignment vertical="center"/>
    </xf>
    <xf numFmtId="41" fontId="7" fillId="0" borderId="0" xfId="0" applyNumberFormat="1" applyFont="1" applyFill="1" applyAlignment="1">
      <alignment vertical="center"/>
    </xf>
    <xf numFmtId="43" fontId="8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165" fontId="7" fillId="0" borderId="0" xfId="1" applyNumberFormat="1" applyFont="1" applyFill="1" applyAlignment="1">
      <alignment vertical="center"/>
    </xf>
    <xf numFmtId="43" fontId="8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168" fontId="0" fillId="0" borderId="0" xfId="0" applyNumberFormat="1" applyFill="1" applyAlignment="1">
      <alignment horizontal="center" vertical="center"/>
    </xf>
    <xf numFmtId="165" fontId="5" fillId="0" borderId="0" xfId="1" applyNumberFormat="1" applyFill="1" applyAlignment="1">
      <alignment vertical="center"/>
    </xf>
    <xf numFmtId="0" fontId="8" fillId="0" borderId="0" xfId="0" quotePrefix="1" applyFont="1" applyFill="1" applyAlignment="1">
      <alignment horizontal="left" vertical="center"/>
    </xf>
    <xf numFmtId="167" fontId="0" fillId="0" borderId="0" xfId="0" applyNumberFormat="1" applyFill="1" applyAlignment="1">
      <alignment horizontal="center" vertical="center"/>
    </xf>
    <xf numFmtId="165" fontId="5" fillId="0" borderId="0" xfId="1" applyNumberFormat="1" applyFont="1" applyFill="1" applyAlignment="1">
      <alignment vertical="center"/>
    </xf>
    <xf numFmtId="165" fontId="8" fillId="0" borderId="0" xfId="0" applyNumberFormat="1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165" fontId="10" fillId="0" borderId="1" xfId="1" applyNumberFormat="1" applyFont="1" applyFill="1" applyBorder="1" applyAlignment="1">
      <alignment vertical="center"/>
    </xf>
    <xf numFmtId="168" fontId="0" fillId="0" borderId="1" xfId="0" applyNumberForma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vertical="center"/>
    </xf>
    <xf numFmtId="167" fontId="0" fillId="0" borderId="1" xfId="0" applyNumberForma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/>
    </xf>
    <xf numFmtId="168" fontId="12" fillId="0" borderId="18" xfId="0" applyNumberFormat="1" applyFont="1" applyFill="1" applyBorder="1" applyAlignment="1">
      <alignment horizontal="center" vertical="center"/>
    </xf>
    <xf numFmtId="167" fontId="12" fillId="0" borderId="18" xfId="0" applyNumberFormat="1" applyFont="1" applyFill="1" applyBorder="1" applyAlignment="1">
      <alignment horizontal="center" vertical="center"/>
    </xf>
    <xf numFmtId="165" fontId="37" fillId="0" borderId="1" xfId="1" applyNumberFormat="1" applyFont="1" applyFill="1" applyBorder="1" applyAlignment="1">
      <alignment vertical="center"/>
    </xf>
    <xf numFmtId="165" fontId="5" fillId="0" borderId="1" xfId="1" applyNumberFormat="1" applyFill="1" applyBorder="1" applyAlignment="1">
      <alignment vertical="center"/>
    </xf>
    <xf numFmtId="167" fontId="1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167" fontId="0" fillId="0" borderId="0" xfId="0" applyNumberFormat="1" applyFill="1" applyAlignment="1">
      <alignment vertical="center"/>
    </xf>
    <xf numFmtId="0" fontId="0" fillId="0" borderId="2" xfId="0" applyFill="1" applyBorder="1" applyAlignment="1">
      <alignment horizontal="right" vertical="center"/>
    </xf>
    <xf numFmtId="165" fontId="0" fillId="0" borderId="2" xfId="1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67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65" fontId="5" fillId="0" borderId="2" xfId="1" applyNumberFormat="1" applyFill="1" applyBorder="1" applyAlignment="1">
      <alignment vertical="center"/>
    </xf>
    <xf numFmtId="0" fontId="12" fillId="0" borderId="4" xfId="0" quotePrefix="1" applyFont="1" applyFill="1" applyBorder="1" applyAlignment="1">
      <alignment horizontal="right" vertical="center"/>
    </xf>
    <xf numFmtId="165" fontId="12" fillId="0" borderId="2" xfId="1" applyNumberFormat="1" applyFont="1" applyFill="1" applyBorder="1" applyAlignment="1">
      <alignment vertical="center"/>
    </xf>
    <xf numFmtId="168" fontId="12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165" fontId="0" fillId="0" borderId="0" xfId="0" applyNumberFormat="1" applyFill="1"/>
    <xf numFmtId="0" fontId="0" fillId="0" borderId="0" xfId="0" applyFill="1" applyAlignment="1">
      <alignment horizontal="right"/>
    </xf>
    <xf numFmtId="165" fontId="17" fillId="0" borderId="0" xfId="1" applyNumberFormat="1" applyFont="1" applyFill="1"/>
    <xf numFmtId="165" fontId="0" fillId="0" borderId="0" xfId="1" applyNumberFormat="1" applyFont="1" applyFill="1"/>
    <xf numFmtId="164" fontId="12" fillId="0" borderId="0" xfId="0" applyNumberFormat="1" applyFont="1" applyFill="1" applyAlignment="1">
      <alignment horizontal="left"/>
    </xf>
    <xf numFmtId="165" fontId="9" fillId="0" borderId="0" xfId="1" applyNumberFormat="1" applyFont="1" applyFill="1"/>
    <xf numFmtId="0" fontId="0" fillId="0" borderId="0" xfId="0" quotePrefix="1" applyFill="1" applyAlignment="1">
      <alignment horizontal="right"/>
    </xf>
    <xf numFmtId="165" fontId="9" fillId="0" borderId="5" xfId="1" applyNumberFormat="1" applyFont="1" applyFill="1" applyBorder="1"/>
    <xf numFmtId="164" fontId="38" fillId="0" borderId="0" xfId="0" applyNumberFormat="1" applyFont="1" applyFill="1" applyAlignment="1">
      <alignment horizontal="center"/>
    </xf>
  </cellXfs>
  <cellStyles count="70">
    <cellStyle name="Comma" xfId="1" builtinId="3"/>
    <cellStyle name="Comma 2" xfId="2" xr:uid="{00000000-0005-0000-0000-000001000000}"/>
    <cellStyle name="Comma 2 2" xfId="3" xr:uid="{00000000-0005-0000-0000-000002000000}"/>
    <cellStyle name="Comma 2 2 2" xfId="4" xr:uid="{00000000-0005-0000-0000-000003000000}"/>
    <cellStyle name="Comma 2 2 2 2" xfId="38" xr:uid="{00000000-0005-0000-0000-000004000000}"/>
    <cellStyle name="Comma 2 2 2 3" xfId="28" xr:uid="{00000000-0005-0000-0000-000005000000}"/>
    <cellStyle name="Comma 2 2 2 4" xfId="19" xr:uid="{00000000-0005-0000-0000-000006000000}"/>
    <cellStyle name="Comma 2 2 3" xfId="37" xr:uid="{00000000-0005-0000-0000-000007000000}"/>
    <cellStyle name="Comma 2 2 4" xfId="27" xr:uid="{00000000-0005-0000-0000-000008000000}"/>
    <cellStyle name="Comma 2 2 5" xfId="18" xr:uid="{00000000-0005-0000-0000-000009000000}"/>
    <cellStyle name="Comma 2 3" xfId="36" xr:uid="{00000000-0005-0000-0000-00000A000000}"/>
    <cellStyle name="Comma 2 4" xfId="26" xr:uid="{00000000-0005-0000-0000-00000B000000}"/>
    <cellStyle name="Comma 2 5" xfId="17" xr:uid="{00000000-0005-0000-0000-00000C000000}"/>
    <cellStyle name="Comma 3" xfId="5" xr:uid="{00000000-0005-0000-0000-00000D000000}"/>
    <cellStyle name="Comma 3 2" xfId="6" xr:uid="{00000000-0005-0000-0000-00000E000000}"/>
    <cellStyle name="Comma 3 2 2" xfId="39" xr:uid="{00000000-0005-0000-0000-00000F000000}"/>
    <cellStyle name="Comma 3 2 3" xfId="29" xr:uid="{00000000-0005-0000-0000-000010000000}"/>
    <cellStyle name="Comma 3 2 4" xfId="20" xr:uid="{00000000-0005-0000-0000-000011000000}"/>
    <cellStyle name="Comma 4" xfId="7" xr:uid="{00000000-0005-0000-0000-000012000000}"/>
    <cellStyle name="Comma 4 3" xfId="16" xr:uid="{00000000-0005-0000-0000-000013000000}"/>
    <cellStyle name="Currency 2" xfId="8" xr:uid="{00000000-0005-0000-0000-000014000000}"/>
    <cellStyle name="Currency 2 2" xfId="40" xr:uid="{00000000-0005-0000-0000-000015000000}"/>
    <cellStyle name="Currency 2 3" xfId="30" xr:uid="{00000000-0005-0000-0000-000016000000}"/>
    <cellStyle name="Currency 2 4" xfId="21" xr:uid="{00000000-0005-0000-0000-000017000000}"/>
    <cellStyle name="Normal" xfId="0" builtinId="0"/>
    <cellStyle name="Normal 2" xfId="9" xr:uid="{00000000-0005-0000-0000-000019000000}"/>
    <cellStyle name="Normal 2 2" xfId="41" xr:uid="{00000000-0005-0000-0000-00001A000000}"/>
    <cellStyle name="Normal 2 3" xfId="31" xr:uid="{00000000-0005-0000-0000-00001B000000}"/>
    <cellStyle name="Normal 2 4" xfId="22" xr:uid="{00000000-0005-0000-0000-00001C000000}"/>
    <cellStyle name="Normal 3" xfId="10" xr:uid="{00000000-0005-0000-0000-00001D000000}"/>
    <cellStyle name="Normal 3 2" xfId="42" xr:uid="{00000000-0005-0000-0000-00001E000000}"/>
    <cellStyle name="Normal 3 2 2" xfId="50" xr:uid="{00000000-0005-0000-0000-00001F000000}"/>
    <cellStyle name="Normal 3 2 2 2" xfId="58" xr:uid="{00000000-0005-0000-0000-000020000000}"/>
    <cellStyle name="Normal 3 2 2 3" xfId="68" xr:uid="{00000000-0005-0000-0000-000021000000}"/>
    <cellStyle name="Normal 3 2 3" xfId="53" xr:uid="{00000000-0005-0000-0000-000022000000}"/>
    <cellStyle name="Normal 3 2 3 2" xfId="61" xr:uid="{00000000-0005-0000-0000-000023000000}"/>
    <cellStyle name="Normal 3 2 3 3" xfId="66" xr:uid="{00000000-0005-0000-0000-000024000000}"/>
    <cellStyle name="Normal 3 2 4" xfId="48" xr:uid="{00000000-0005-0000-0000-000025000000}"/>
    <cellStyle name="Normal 3 2 5" xfId="56" xr:uid="{00000000-0005-0000-0000-000026000000}"/>
    <cellStyle name="Normal 3 2 6" xfId="63" xr:uid="{00000000-0005-0000-0000-000027000000}"/>
    <cellStyle name="Normal 3 3" xfId="32" xr:uid="{00000000-0005-0000-0000-000028000000}"/>
    <cellStyle name="Normal 3 3 2" xfId="52" xr:uid="{00000000-0005-0000-0000-000029000000}"/>
    <cellStyle name="Normal 3 3 2 2" xfId="60" xr:uid="{00000000-0005-0000-0000-00002A000000}"/>
    <cellStyle name="Normal 3 3 2 3" xfId="69" xr:uid="{00000000-0005-0000-0000-00002B000000}"/>
    <cellStyle name="Normal 3 3 3" xfId="47" xr:uid="{00000000-0005-0000-0000-00002C000000}"/>
    <cellStyle name="Normal 3 3 4" xfId="55" xr:uid="{00000000-0005-0000-0000-00002D000000}"/>
    <cellStyle name="Normal 3 3 5" xfId="65" xr:uid="{00000000-0005-0000-0000-00002E000000}"/>
    <cellStyle name="Normal 3 4" xfId="23" xr:uid="{00000000-0005-0000-0000-00002F000000}"/>
    <cellStyle name="Normal 3 4 2" xfId="49" xr:uid="{00000000-0005-0000-0000-000030000000}"/>
    <cellStyle name="Normal 3 4 3" xfId="57" xr:uid="{00000000-0005-0000-0000-000031000000}"/>
    <cellStyle name="Normal 3 4 4" xfId="67" xr:uid="{00000000-0005-0000-0000-000032000000}"/>
    <cellStyle name="Normal 3 5" xfId="51" xr:uid="{00000000-0005-0000-0000-000033000000}"/>
    <cellStyle name="Normal 3 5 2" xfId="59" xr:uid="{00000000-0005-0000-0000-000034000000}"/>
    <cellStyle name="Normal 3 5 3" xfId="64" xr:uid="{00000000-0005-0000-0000-000035000000}"/>
    <cellStyle name="Normal 3 6" xfId="46" xr:uid="{00000000-0005-0000-0000-000036000000}"/>
    <cellStyle name="Normal 3 7" xfId="54" xr:uid="{00000000-0005-0000-0000-000037000000}"/>
    <cellStyle name="Normal 3 8" xfId="62" xr:uid="{00000000-0005-0000-0000-000038000000}"/>
    <cellStyle name="Normal 4" xfId="35" xr:uid="{00000000-0005-0000-0000-000039000000}"/>
    <cellStyle name="Normal_2003 Depreciation Study Summary - Updated for 2003 Actuals" xfId="11" xr:uid="{00000000-0005-0000-0000-00003A000000}"/>
    <cellStyle name="Note 2" xfId="12" xr:uid="{00000000-0005-0000-0000-00003B000000}"/>
    <cellStyle name="Percent" xfId="13" builtinId="5"/>
    <cellStyle name="Percent 2" xfId="14" xr:uid="{00000000-0005-0000-0000-00003D000000}"/>
    <cellStyle name="Percent 2 2" xfId="44" xr:uid="{00000000-0005-0000-0000-00003E000000}"/>
    <cellStyle name="Percent 2 3" xfId="33" xr:uid="{00000000-0005-0000-0000-00003F000000}"/>
    <cellStyle name="Percent 2 4" xfId="24" xr:uid="{00000000-0005-0000-0000-000040000000}"/>
    <cellStyle name="Percent 3" xfId="43" xr:uid="{00000000-0005-0000-0000-000041000000}"/>
    <cellStyle name="Style 1" xfId="15" xr:uid="{00000000-0005-0000-0000-000042000000}"/>
    <cellStyle name="Style 1 2" xfId="45" xr:uid="{00000000-0005-0000-0000-000043000000}"/>
    <cellStyle name="Style 1 3" xfId="34" xr:uid="{00000000-0005-0000-0000-000044000000}"/>
    <cellStyle name="Style 1 4" xfId="25" xr:uid="{00000000-0005-0000-0000-000045000000}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KLAS\Plant%20Accting\OOR%201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OR VP Assumptions"/>
      <sheetName val="PROCEDURES"/>
      <sheetName val="Dist List"/>
      <sheetName val="UPDATES"/>
      <sheetName val="DOWNLOAD"/>
      <sheetName val="TO for RESID."/>
      <sheetName val="MISC SRV REV BACKUP"/>
      <sheetName val="MISC SRV DATA"/>
      <sheetName val="OOR PKG"/>
      <sheetName val="MISC SRV PKG"/>
      <sheetName val="OOR PRESENT."/>
      <sheetName val="RENT REV PRESEN"/>
      <sheetName val="MISC SRV PRESEN"/>
      <sheetName val="OOR BACKUP"/>
      <sheetName val="Monthly Detail by VP "/>
      <sheetName val="Detail by VP"/>
      <sheetName val="Detail by Component"/>
      <sheetName val="Summary by VP"/>
      <sheetName val="Executive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B69"/>
  <sheetViews>
    <sheetView zoomScaleNormal="100" workbookViewId="0">
      <pane xSplit="3" ySplit="12" topLeftCell="D37" activePane="bottomRight" state="frozen"/>
      <selection activeCell="J68" sqref="J68"/>
      <selection pane="topRight" activeCell="J68" sqref="J68"/>
      <selection pane="bottomLeft" activeCell="J68" sqref="J68"/>
      <selection pane="bottomRight" activeCell="O49" sqref="O49:O59"/>
    </sheetView>
  </sheetViews>
  <sheetFormatPr defaultRowHeight="12.75" x14ac:dyDescent="0.2"/>
  <cols>
    <col min="1" max="1" width="8.28515625" style="11" customWidth="1"/>
    <col min="2" max="2" width="1.7109375" customWidth="1"/>
    <col min="3" max="3" width="25" bestFit="1" customWidth="1"/>
    <col min="4" max="4" width="1.7109375" customWidth="1"/>
    <col min="5" max="5" width="8.7109375" bestFit="1" customWidth="1"/>
    <col min="6" max="6" width="8.7109375" customWidth="1"/>
    <col min="7" max="7" width="10.140625" customWidth="1"/>
    <col min="8" max="8" width="7.85546875" customWidth="1"/>
    <col min="9" max="9" width="9.7109375" bestFit="1" customWidth="1"/>
    <col min="10" max="10" width="10.85546875" customWidth="1"/>
    <col min="11" max="12" width="1.7109375" customWidth="1"/>
    <col min="13" max="13" width="6.28515625" customWidth="1"/>
    <col min="14" max="14" width="8.140625" customWidth="1"/>
    <col min="15" max="15" width="7.85546875" customWidth="1"/>
    <col min="16" max="16" width="6.5703125" customWidth="1"/>
    <col min="17" max="17" width="1.7109375" customWidth="1"/>
    <col min="18" max="18" width="8.140625" customWidth="1"/>
    <col min="19" max="20" width="10.140625" customWidth="1"/>
    <col min="21" max="21" width="7.85546875" customWidth="1"/>
    <col min="22" max="22" width="8.28515625" customWidth="1"/>
    <col min="23" max="23" width="10.7109375" customWidth="1"/>
    <col min="24" max="24" width="6.85546875" customWidth="1"/>
    <col min="25" max="25" width="1.140625" style="143" customWidth="1"/>
    <col min="26" max="26" width="10.28515625" style="13" bestFit="1" customWidth="1"/>
    <col min="27" max="27" width="1.7109375" customWidth="1"/>
    <col min="28" max="28" width="8" customWidth="1"/>
  </cols>
  <sheetData>
    <row r="1" spans="1:28" ht="16.5" x14ac:dyDescent="0.2">
      <c r="A1" s="151" t="s">
        <v>88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66"/>
      <c r="Z1" s="243"/>
      <c r="AA1" s="166"/>
      <c r="AB1" s="166"/>
    </row>
    <row r="2" spans="1:28" ht="16.5" x14ac:dyDescent="0.2">
      <c r="A2" s="202" t="s">
        <v>1254</v>
      </c>
      <c r="B2" s="202"/>
      <c r="C2" s="202"/>
      <c r="D2" s="202"/>
      <c r="E2" s="202"/>
      <c r="F2" s="202"/>
      <c r="G2" s="202"/>
      <c r="H2" s="202"/>
      <c r="I2" s="202"/>
      <c r="J2" s="202"/>
      <c r="K2" s="151"/>
      <c r="L2" s="151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166"/>
      <c r="Z2" s="243"/>
      <c r="AA2" s="166"/>
      <c r="AB2" s="166"/>
    </row>
    <row r="3" spans="1:28" ht="16.5" x14ac:dyDescent="0.2">
      <c r="A3" s="151" t="s">
        <v>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66"/>
      <c r="Z3" s="243"/>
      <c r="AA3" s="166"/>
      <c r="AB3" s="166"/>
    </row>
    <row r="4" spans="1:28" x14ac:dyDescent="0.2">
      <c r="A4" s="153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243"/>
      <c r="AA4" s="166"/>
      <c r="AB4" s="166"/>
    </row>
    <row r="5" spans="1:28" ht="13.5" thickBot="1" x14ac:dyDescent="0.25">
      <c r="A5" s="153"/>
      <c r="B5" s="166"/>
      <c r="C5" s="166"/>
      <c r="D5" s="166"/>
      <c r="E5" s="203" t="s">
        <v>1255</v>
      </c>
      <c r="F5" s="203"/>
      <c r="G5" s="203"/>
      <c r="H5" s="203"/>
      <c r="I5" s="203"/>
      <c r="J5" s="203"/>
      <c r="K5" s="166"/>
      <c r="L5" s="166"/>
      <c r="M5" s="203" t="s">
        <v>1260</v>
      </c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166"/>
      <c r="Z5" s="243"/>
      <c r="AA5" s="166"/>
      <c r="AB5" s="166"/>
    </row>
    <row r="6" spans="1:28" x14ac:dyDescent="0.2">
      <c r="A6" s="204"/>
      <c r="B6" s="166"/>
      <c r="C6" s="166"/>
      <c r="D6" s="166"/>
      <c r="E6" s="166" t="s">
        <v>1283</v>
      </c>
      <c r="F6" s="166"/>
      <c r="G6" s="166"/>
      <c r="H6" s="166"/>
      <c r="I6" s="166"/>
      <c r="J6" s="166"/>
      <c r="K6" s="205"/>
      <c r="L6" s="166"/>
      <c r="M6" s="166" t="s">
        <v>1282</v>
      </c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243"/>
      <c r="AA6" s="166"/>
      <c r="AB6" s="166"/>
    </row>
    <row r="7" spans="1:28" x14ac:dyDescent="0.2">
      <c r="A7" s="204"/>
      <c r="B7" s="166"/>
      <c r="C7" s="166"/>
      <c r="D7" s="166"/>
      <c r="E7" s="166"/>
      <c r="F7" s="166"/>
      <c r="G7" s="166"/>
      <c r="H7" s="166"/>
      <c r="I7" s="166"/>
      <c r="J7" s="166"/>
      <c r="K7" s="205"/>
      <c r="L7" s="166"/>
      <c r="M7" s="206" t="s">
        <v>1</v>
      </c>
      <c r="N7" s="206"/>
      <c r="O7" s="206"/>
      <c r="P7" s="206"/>
      <c r="Q7" s="166"/>
      <c r="R7" s="206" t="s">
        <v>2</v>
      </c>
      <c r="S7" s="206"/>
      <c r="T7" s="206"/>
      <c r="U7" s="206"/>
      <c r="V7" s="206"/>
      <c r="W7" s="206"/>
      <c r="X7" s="206"/>
      <c r="Y7" s="166"/>
      <c r="Z7" s="243"/>
      <c r="AA7" s="166"/>
      <c r="AB7" s="166"/>
    </row>
    <row r="8" spans="1:28" x14ac:dyDescent="0.2">
      <c r="A8" s="204"/>
      <c r="B8" s="166"/>
      <c r="C8" s="166"/>
      <c r="D8" s="166"/>
      <c r="E8" s="166"/>
      <c r="F8" s="166"/>
      <c r="G8" s="166"/>
      <c r="H8" s="166"/>
      <c r="I8" s="166"/>
      <c r="J8" s="166"/>
      <c r="K8" s="205"/>
      <c r="L8" s="166"/>
      <c r="M8" s="166"/>
      <c r="N8" s="166"/>
      <c r="O8" s="166"/>
      <c r="P8" s="166"/>
      <c r="Q8" s="166"/>
      <c r="R8" s="207"/>
      <c r="S8" s="207"/>
      <c r="T8" s="208" t="s">
        <v>85</v>
      </c>
      <c r="U8" s="207"/>
      <c r="V8" s="166"/>
      <c r="W8" s="166"/>
      <c r="X8" s="209" t="s">
        <v>85</v>
      </c>
      <c r="Y8" s="166"/>
      <c r="Z8" s="243"/>
      <c r="AA8" s="166"/>
      <c r="AB8" s="166"/>
    </row>
    <row r="9" spans="1:28" x14ac:dyDescent="0.2">
      <c r="A9" s="204"/>
      <c r="B9" s="156"/>
      <c r="C9" s="156"/>
      <c r="D9" s="156"/>
      <c r="E9" s="156"/>
      <c r="F9" s="156" t="s">
        <v>3</v>
      </c>
      <c r="G9" s="210" t="s">
        <v>3</v>
      </c>
      <c r="H9" s="210" t="s">
        <v>4</v>
      </c>
      <c r="I9" s="210" t="s">
        <v>6</v>
      </c>
      <c r="J9" s="210" t="s">
        <v>7</v>
      </c>
      <c r="K9" s="211"/>
      <c r="L9" s="156"/>
      <c r="M9" s="156"/>
      <c r="N9" s="156" t="s">
        <v>3</v>
      </c>
      <c r="O9" s="156" t="s">
        <v>4</v>
      </c>
      <c r="P9" s="156" t="s">
        <v>8</v>
      </c>
      <c r="Q9" s="156"/>
      <c r="R9" s="156"/>
      <c r="S9" s="156" t="s">
        <v>3</v>
      </c>
      <c r="T9" s="212" t="s">
        <v>3</v>
      </c>
      <c r="U9" s="156" t="s">
        <v>4</v>
      </c>
      <c r="V9" s="156" t="s">
        <v>6</v>
      </c>
      <c r="W9" s="156" t="s">
        <v>7</v>
      </c>
      <c r="X9" s="212" t="s">
        <v>7</v>
      </c>
      <c r="Y9" s="156"/>
      <c r="Z9" s="161" t="s">
        <v>54</v>
      </c>
      <c r="AA9" s="156"/>
      <c r="AB9" s="156" t="s">
        <v>59</v>
      </c>
    </row>
    <row r="10" spans="1:28" x14ac:dyDescent="0.2">
      <c r="A10" s="156" t="s">
        <v>9</v>
      </c>
      <c r="B10" s="156"/>
      <c r="C10" s="156"/>
      <c r="D10" s="156"/>
      <c r="E10" s="156" t="s">
        <v>13</v>
      </c>
      <c r="F10" s="156" t="s">
        <v>10</v>
      </c>
      <c r="G10" s="156" t="s">
        <v>11</v>
      </c>
      <c r="H10" s="156" t="s">
        <v>12</v>
      </c>
      <c r="I10" s="156" t="s">
        <v>14</v>
      </c>
      <c r="J10" s="156" t="s">
        <v>15</v>
      </c>
      <c r="K10" s="211"/>
      <c r="L10" s="156"/>
      <c r="M10" s="156" t="s">
        <v>13</v>
      </c>
      <c r="N10" s="156" t="s">
        <v>10</v>
      </c>
      <c r="O10" s="156" t="s">
        <v>12</v>
      </c>
      <c r="P10" s="156" t="s">
        <v>16</v>
      </c>
      <c r="Q10" s="156"/>
      <c r="R10" s="156" t="s">
        <v>3</v>
      </c>
      <c r="S10" s="156" t="s">
        <v>11</v>
      </c>
      <c r="T10" s="212" t="s">
        <v>11</v>
      </c>
      <c r="U10" s="156" t="s">
        <v>12</v>
      </c>
      <c r="V10" s="156" t="s">
        <v>14</v>
      </c>
      <c r="W10" s="156" t="s">
        <v>15</v>
      </c>
      <c r="X10" s="212" t="s">
        <v>15</v>
      </c>
      <c r="Y10" s="156"/>
      <c r="Z10" s="161" t="s">
        <v>55</v>
      </c>
      <c r="AA10" s="156"/>
      <c r="AB10" s="156" t="s">
        <v>56</v>
      </c>
    </row>
    <row r="11" spans="1:28" ht="13.5" thickBot="1" x14ac:dyDescent="0.25">
      <c r="A11" s="164" t="s">
        <v>17</v>
      </c>
      <c r="B11" s="156"/>
      <c r="C11" s="164" t="s">
        <v>18</v>
      </c>
      <c r="D11" s="156"/>
      <c r="E11" s="164" t="s">
        <v>20</v>
      </c>
      <c r="F11" s="164" t="s">
        <v>16</v>
      </c>
      <c r="G11" s="164" t="s">
        <v>16</v>
      </c>
      <c r="H11" s="164" t="s">
        <v>19</v>
      </c>
      <c r="I11" s="288">
        <v>2020</v>
      </c>
      <c r="J11" s="164" t="s">
        <v>21</v>
      </c>
      <c r="K11" s="211"/>
      <c r="L11" s="156"/>
      <c r="M11" s="164" t="s">
        <v>20</v>
      </c>
      <c r="N11" s="164" t="s">
        <v>16</v>
      </c>
      <c r="O11" s="164" t="s">
        <v>19</v>
      </c>
      <c r="P11" s="164" t="s">
        <v>21</v>
      </c>
      <c r="Q11" s="156"/>
      <c r="R11" s="164" t="s">
        <v>22</v>
      </c>
      <c r="S11" s="164" t="s">
        <v>16</v>
      </c>
      <c r="T11" s="213" t="s">
        <v>16</v>
      </c>
      <c r="U11" s="164" t="s">
        <v>19</v>
      </c>
      <c r="V11" s="288">
        <v>2024</v>
      </c>
      <c r="W11" s="164" t="s">
        <v>21</v>
      </c>
      <c r="X11" s="213" t="s">
        <v>21</v>
      </c>
      <c r="Y11" s="156"/>
      <c r="Z11" s="164" t="s">
        <v>21</v>
      </c>
      <c r="AA11" s="156"/>
      <c r="AB11" s="164" t="s">
        <v>57</v>
      </c>
    </row>
    <row r="12" spans="1:28" ht="13.5" thickTop="1" x14ac:dyDescent="0.2">
      <c r="A12" s="156"/>
      <c r="B12" s="166"/>
      <c r="C12" s="166"/>
      <c r="D12" s="166"/>
      <c r="E12" s="166"/>
      <c r="F12" s="159" t="s">
        <v>23</v>
      </c>
      <c r="G12" s="159" t="s">
        <v>23</v>
      </c>
      <c r="H12" s="159" t="s">
        <v>24</v>
      </c>
      <c r="I12" s="159" t="s">
        <v>24</v>
      </c>
      <c r="J12" s="159" t="s">
        <v>24</v>
      </c>
      <c r="K12" s="211"/>
      <c r="L12" s="156"/>
      <c r="M12" s="166"/>
      <c r="N12" s="159" t="s">
        <v>23</v>
      </c>
      <c r="O12" s="159" t="s">
        <v>24</v>
      </c>
      <c r="P12" s="159" t="s">
        <v>24</v>
      </c>
      <c r="Q12" s="166"/>
      <c r="R12" s="159" t="s">
        <v>23</v>
      </c>
      <c r="S12" s="159" t="s">
        <v>23</v>
      </c>
      <c r="T12" s="208" t="s">
        <v>23</v>
      </c>
      <c r="U12" s="159" t="s">
        <v>24</v>
      </c>
      <c r="V12" s="159" t="s">
        <v>24</v>
      </c>
      <c r="W12" s="159" t="s">
        <v>24</v>
      </c>
      <c r="X12" s="208" t="s">
        <v>24</v>
      </c>
      <c r="Y12" s="166"/>
      <c r="Z12" s="243"/>
      <c r="AA12" s="166"/>
      <c r="AB12" s="156"/>
    </row>
    <row r="13" spans="1:28" x14ac:dyDescent="0.2">
      <c r="A13" s="214"/>
      <c r="B13" s="154"/>
      <c r="C13" s="215"/>
      <c r="D13" s="154"/>
      <c r="E13" s="157"/>
      <c r="F13" s="154"/>
      <c r="G13" s="170"/>
      <c r="H13" s="173"/>
      <c r="I13" s="171"/>
      <c r="J13" s="170"/>
      <c r="K13" s="211"/>
      <c r="L13" s="156"/>
      <c r="M13" s="216"/>
      <c r="N13" s="172"/>
      <c r="O13" s="172"/>
      <c r="P13" s="170"/>
      <c r="Q13" s="154"/>
      <c r="R13" s="170"/>
      <c r="S13" s="170"/>
      <c r="T13" s="217"/>
      <c r="U13" s="173"/>
      <c r="V13" s="171"/>
      <c r="W13" s="173"/>
      <c r="X13" s="217"/>
      <c r="Y13" s="154"/>
      <c r="Z13" s="244"/>
      <c r="AA13" s="154"/>
      <c r="AB13" s="157"/>
    </row>
    <row r="14" spans="1:28" x14ac:dyDescent="0.2">
      <c r="A14" s="214"/>
      <c r="B14" s="218"/>
      <c r="C14" s="175" t="s">
        <v>27</v>
      </c>
      <c r="D14" s="218"/>
      <c r="E14" s="219"/>
      <c r="F14" s="220"/>
      <c r="G14" s="221"/>
      <c r="H14" s="222"/>
      <c r="I14" s="223"/>
      <c r="J14" s="221"/>
      <c r="K14" s="211"/>
      <c r="L14" s="156"/>
      <c r="M14" s="219"/>
      <c r="N14" s="222"/>
      <c r="O14" s="222"/>
      <c r="P14" s="170"/>
      <c r="Q14" s="154"/>
      <c r="R14" s="221"/>
      <c r="S14" s="221"/>
      <c r="T14" s="224"/>
      <c r="U14" s="173"/>
      <c r="V14" s="171"/>
      <c r="W14" s="173"/>
      <c r="X14" s="224"/>
      <c r="Y14" s="154"/>
      <c r="Z14" s="244"/>
      <c r="AA14" s="154"/>
      <c r="AB14" s="157"/>
    </row>
    <row r="15" spans="1:28" x14ac:dyDescent="0.2">
      <c r="A15" s="225"/>
      <c r="B15" s="218"/>
      <c r="C15" s="215"/>
      <c r="D15" s="218"/>
      <c r="E15" s="179" t="s">
        <v>78</v>
      </c>
      <c r="F15" s="179" t="s">
        <v>78</v>
      </c>
      <c r="G15" s="179" t="s">
        <v>78</v>
      </c>
      <c r="H15" s="179" t="s">
        <v>78</v>
      </c>
      <c r="I15" s="179" t="s">
        <v>78</v>
      </c>
      <c r="J15" s="179" t="s">
        <v>78</v>
      </c>
      <c r="K15" s="211"/>
      <c r="L15" s="156"/>
      <c r="M15" s="179" t="s">
        <v>76</v>
      </c>
      <c r="N15" s="179" t="s">
        <v>76</v>
      </c>
      <c r="O15" s="179" t="s">
        <v>76</v>
      </c>
      <c r="P15" s="226"/>
      <c r="Q15" s="154"/>
      <c r="R15" s="227" t="s">
        <v>76</v>
      </c>
      <c r="S15" s="227" t="s">
        <v>76</v>
      </c>
      <c r="T15" s="303" t="s">
        <v>87</v>
      </c>
      <c r="U15" s="287"/>
      <c r="V15" s="231"/>
      <c r="W15" s="287"/>
      <c r="X15" s="303" t="s">
        <v>87</v>
      </c>
      <c r="Y15" s="154"/>
      <c r="Z15" s="237"/>
      <c r="AA15" s="154"/>
      <c r="AB15" s="157"/>
    </row>
    <row r="16" spans="1:28" x14ac:dyDescent="0.2">
      <c r="A16" s="180">
        <f>'Plant &amp; Reserve'!A16</f>
        <v>37402</v>
      </c>
      <c r="B16" s="218"/>
      <c r="C16" s="215" t="str">
        <f>'Plant &amp; Reserve'!C16</f>
        <v>Land Rights</v>
      </c>
      <c r="D16" s="218"/>
      <c r="E16" s="228" t="s">
        <v>652</v>
      </c>
      <c r="F16" s="229">
        <v>75</v>
      </c>
      <c r="G16" s="231">
        <v>59.86</v>
      </c>
      <c r="H16" s="229">
        <v>0</v>
      </c>
      <c r="I16" s="234">
        <v>21.7</v>
      </c>
      <c r="J16" s="289">
        <v>1.2999999999999999E-2</v>
      </c>
      <c r="K16" s="279"/>
      <c r="L16" s="210"/>
      <c r="M16" s="228" t="s">
        <v>652</v>
      </c>
      <c r="N16" s="228">
        <v>75</v>
      </c>
      <c r="O16" s="229">
        <v>0</v>
      </c>
      <c r="P16" s="230">
        <f t="shared" ref="P16:P31" si="0">IF(N16=0,0,ROUND((100-O16)/N16,1))</f>
        <v>1.3</v>
      </c>
      <c r="Q16" s="155"/>
      <c r="R16" s="231">
        <f>'Avg Age'!F78</f>
        <v>19.1389951861436</v>
      </c>
      <c r="S16" s="299">
        <f>'Rate Computation'!M21</f>
        <v>55.861004813856397</v>
      </c>
      <c r="T16" s="299">
        <f t="shared" ref="T16:T31" si="1">IF(S16&gt;20,ROUND(S16,0),S16)</f>
        <v>56</v>
      </c>
      <c r="U16" s="232">
        <v>0</v>
      </c>
      <c r="V16" s="231">
        <f>ROUND('Plant &amp; Reserve'!G16,2)</f>
        <v>26.61</v>
      </c>
      <c r="W16" s="318">
        <f>IF(S16=0,0,ROUND((100-U16-V16)/S16,1))/100</f>
        <v>1.3000000000000001E-2</v>
      </c>
      <c r="X16" s="318">
        <f t="shared" ref="X16:X59" si="2">W16</f>
        <v>1.3000000000000001E-2</v>
      </c>
      <c r="Y16" s="301"/>
      <c r="Z16" s="289">
        <f>X16-J16</f>
        <v>0</v>
      </c>
      <c r="AA16" s="154"/>
      <c r="AB16" s="214" t="s">
        <v>58</v>
      </c>
    </row>
    <row r="17" spans="1:28" x14ac:dyDescent="0.2">
      <c r="A17" s="180">
        <f>'Plant &amp; Reserve'!A17</f>
        <v>37500</v>
      </c>
      <c r="B17" s="218"/>
      <c r="C17" s="215" t="str">
        <f>'Plant &amp; Reserve'!C17</f>
        <v>Structures &amp; Improvements</v>
      </c>
      <c r="D17" s="218"/>
      <c r="E17" s="228" t="s">
        <v>1256</v>
      </c>
      <c r="F17" s="229">
        <v>33</v>
      </c>
      <c r="G17" s="231">
        <v>25.9</v>
      </c>
      <c r="H17" s="229">
        <v>0</v>
      </c>
      <c r="I17" s="234">
        <v>27.1</v>
      </c>
      <c r="J17" s="289">
        <v>2.8000000000000001E-2</v>
      </c>
      <c r="K17" s="279"/>
      <c r="L17" s="210"/>
      <c r="M17" s="228" t="s">
        <v>1256</v>
      </c>
      <c r="N17" s="228">
        <v>33</v>
      </c>
      <c r="O17" s="229">
        <v>0</v>
      </c>
      <c r="P17" s="230">
        <f t="shared" si="0"/>
        <v>3</v>
      </c>
      <c r="Q17" s="155"/>
      <c r="R17" s="231">
        <f>'Avg Age'!F128</f>
        <v>10.323588459164158</v>
      </c>
      <c r="S17" s="231">
        <f>'Rate Computation'!M22</f>
        <v>27.84390288172925</v>
      </c>
      <c r="T17" s="231">
        <f t="shared" si="1"/>
        <v>28</v>
      </c>
      <c r="U17" s="232">
        <v>0</v>
      </c>
      <c r="V17" s="231">
        <f>ROUND('Plant &amp; Reserve'!G17,2)</f>
        <v>19.57</v>
      </c>
      <c r="W17" s="318">
        <f t="shared" ref="W17:W30" si="3">IF(S17=0,0,ROUND((100-U17-V17)/S17,1))/100</f>
        <v>2.8999999999999998E-2</v>
      </c>
      <c r="X17" s="318">
        <f t="shared" si="2"/>
        <v>2.8999999999999998E-2</v>
      </c>
      <c r="Y17" s="301"/>
      <c r="Z17" s="289">
        <f t="shared" ref="Z17:Z31" si="4">X17-J17</f>
        <v>9.9999999999999742E-4</v>
      </c>
      <c r="AA17" s="154"/>
      <c r="AB17" s="214" t="s">
        <v>58</v>
      </c>
    </row>
    <row r="18" spans="1:28" x14ac:dyDescent="0.2">
      <c r="A18" s="180">
        <f>'Plant &amp; Reserve'!A18</f>
        <v>37600</v>
      </c>
      <c r="B18" s="218"/>
      <c r="C18" s="215" t="str">
        <f>'Plant &amp; Reserve'!C18</f>
        <v>Mains Steel</v>
      </c>
      <c r="D18" s="218"/>
      <c r="E18" s="228" t="s">
        <v>703</v>
      </c>
      <c r="F18" s="229">
        <v>65</v>
      </c>
      <c r="G18" s="231">
        <v>53.2</v>
      </c>
      <c r="H18" s="229">
        <v>-50</v>
      </c>
      <c r="I18" s="234">
        <v>37.5</v>
      </c>
      <c r="J18" s="289">
        <v>2.1000000000000001E-2</v>
      </c>
      <c r="K18" s="279"/>
      <c r="L18" s="210"/>
      <c r="M18" s="228" t="s">
        <v>703</v>
      </c>
      <c r="N18" s="228">
        <v>65</v>
      </c>
      <c r="O18" s="229">
        <v>-60</v>
      </c>
      <c r="P18" s="230">
        <f t="shared" si="0"/>
        <v>2.5</v>
      </c>
      <c r="Q18" s="155"/>
      <c r="R18" s="231">
        <f>'Avg Age'!F200</f>
        <v>13.404441253013516</v>
      </c>
      <c r="S18" s="233">
        <f>'Rate Computation'!M23</f>
        <v>54.669563555170619</v>
      </c>
      <c r="T18" s="233">
        <f t="shared" si="1"/>
        <v>55</v>
      </c>
      <c r="U18" s="232">
        <v>-60</v>
      </c>
      <c r="V18" s="231">
        <f>ROUND('Plant &amp; Reserve'!G18,2)</f>
        <v>26.14</v>
      </c>
      <c r="W18" s="318">
        <f t="shared" si="3"/>
        <v>2.4E-2</v>
      </c>
      <c r="X18" s="318">
        <f t="shared" si="2"/>
        <v>2.4E-2</v>
      </c>
      <c r="Y18" s="301"/>
      <c r="Z18" s="289">
        <f t="shared" si="4"/>
        <v>2.9999999999999992E-3</v>
      </c>
      <c r="AA18" s="154"/>
      <c r="AB18" s="214" t="s">
        <v>58</v>
      </c>
    </row>
    <row r="19" spans="1:28" x14ac:dyDescent="0.2">
      <c r="A19" s="180">
        <f>'Plant &amp; Reserve'!A19</f>
        <v>37602</v>
      </c>
      <c r="B19" s="218"/>
      <c r="C19" s="314" t="str">
        <f>'Plant &amp; Reserve'!C19</f>
        <v>Mains Plastic</v>
      </c>
      <c r="D19" s="314"/>
      <c r="E19" s="228" t="s">
        <v>26</v>
      </c>
      <c r="F19" s="229">
        <v>75</v>
      </c>
      <c r="G19" s="231">
        <v>65.7</v>
      </c>
      <c r="H19" s="229">
        <v>-33</v>
      </c>
      <c r="I19" s="234">
        <v>30</v>
      </c>
      <c r="J19" s="289">
        <v>1.6E-2</v>
      </c>
      <c r="K19" s="279"/>
      <c r="L19" s="210"/>
      <c r="M19" s="228" t="s">
        <v>26</v>
      </c>
      <c r="N19" s="228">
        <v>75</v>
      </c>
      <c r="O19" s="229">
        <v>-40</v>
      </c>
      <c r="P19" s="230">
        <f t="shared" si="0"/>
        <v>1.9</v>
      </c>
      <c r="Q19" s="155"/>
      <c r="R19" s="231">
        <f>'Avg Age'!F238</f>
        <v>8.779937226598225</v>
      </c>
      <c r="S19" s="231">
        <f>'Rate Computation'!M24</f>
        <v>67.333982178474372</v>
      </c>
      <c r="T19" s="231">
        <f t="shared" si="1"/>
        <v>67</v>
      </c>
      <c r="U19" s="232">
        <v>-40</v>
      </c>
      <c r="V19" s="231">
        <f>ROUND('Plant &amp; Reserve'!G19,2)</f>
        <v>18.52</v>
      </c>
      <c r="W19" s="318">
        <f t="shared" si="3"/>
        <v>1.8000000000000002E-2</v>
      </c>
      <c r="X19" s="318">
        <f t="shared" si="2"/>
        <v>1.8000000000000002E-2</v>
      </c>
      <c r="Y19" s="301"/>
      <c r="Z19" s="289">
        <f t="shared" si="4"/>
        <v>2.0000000000000018E-3</v>
      </c>
      <c r="AA19" s="154"/>
      <c r="AB19" s="214" t="s">
        <v>58</v>
      </c>
    </row>
    <row r="20" spans="1:28" s="143" customFormat="1" x14ac:dyDescent="0.2">
      <c r="A20" s="180">
        <v>37700</v>
      </c>
      <c r="B20" s="218"/>
      <c r="C20" s="314" t="s">
        <v>1253</v>
      </c>
      <c r="D20" s="314"/>
      <c r="E20" s="228" t="s">
        <v>26</v>
      </c>
      <c r="F20" s="229">
        <v>35</v>
      </c>
      <c r="G20" s="231">
        <v>35</v>
      </c>
      <c r="H20" s="229">
        <v>-5</v>
      </c>
      <c r="I20" s="234">
        <v>0</v>
      </c>
      <c r="J20" s="289">
        <v>0.03</v>
      </c>
      <c r="K20" s="279"/>
      <c r="L20" s="210"/>
      <c r="M20" s="228" t="s">
        <v>26</v>
      </c>
      <c r="N20" s="228">
        <v>35</v>
      </c>
      <c r="O20" s="229">
        <v>-5</v>
      </c>
      <c r="P20" s="230">
        <f t="shared" si="0"/>
        <v>3</v>
      </c>
      <c r="Q20" s="155"/>
      <c r="R20" s="231">
        <f>'Avg Age'!F241</f>
        <v>3.4950305493510898</v>
      </c>
      <c r="S20" s="231">
        <f>+'Rate Computation'!M25</f>
        <v>31.875409199669306</v>
      </c>
      <c r="T20" s="231">
        <f t="shared" si="1"/>
        <v>32</v>
      </c>
      <c r="U20" s="232">
        <v>-5</v>
      </c>
      <c r="V20" s="231">
        <f>ROUND('Plant &amp; Reserve'!G20,2)</f>
        <v>9.76</v>
      </c>
      <c r="W20" s="318">
        <f t="shared" ref="W20" si="5">IF(S20=0,0,ROUND((100-U20-V20)/S20,1))/100</f>
        <v>0.03</v>
      </c>
      <c r="X20" s="318">
        <f t="shared" ref="X20" si="6">W20</f>
        <v>0.03</v>
      </c>
      <c r="Y20" s="301"/>
      <c r="Z20" s="289">
        <f t="shared" ref="Z20" si="7">X20-J20</f>
        <v>0</v>
      </c>
      <c r="AA20" s="154"/>
      <c r="AB20" s="214" t="s">
        <v>58</v>
      </c>
    </row>
    <row r="21" spans="1:28" ht="13.5" customHeight="1" x14ac:dyDescent="0.2">
      <c r="A21" s="180">
        <f>'Plant &amp; Reserve'!A21</f>
        <v>37800</v>
      </c>
      <c r="B21" s="218"/>
      <c r="C21" s="314" t="str">
        <f>'Plant &amp; Reserve'!C21</f>
        <v>Meas &amp; Reg Station Eqp Gen</v>
      </c>
      <c r="D21" s="314"/>
      <c r="E21" s="228" t="s">
        <v>703</v>
      </c>
      <c r="F21" s="229">
        <v>40</v>
      </c>
      <c r="G21" s="231">
        <v>32.1</v>
      </c>
      <c r="H21" s="229">
        <v>-10</v>
      </c>
      <c r="I21" s="234">
        <v>22.9</v>
      </c>
      <c r="J21" s="289">
        <v>2.7E-2</v>
      </c>
      <c r="K21" s="279"/>
      <c r="L21" s="210"/>
      <c r="M21" s="228" t="s">
        <v>703</v>
      </c>
      <c r="N21" s="228">
        <v>40</v>
      </c>
      <c r="O21" s="229">
        <v>-20</v>
      </c>
      <c r="P21" s="230">
        <f t="shared" si="0"/>
        <v>3</v>
      </c>
      <c r="Q21" s="155"/>
      <c r="R21" s="231">
        <f>'Avg Age'!F299</f>
        <v>11.978646882213344</v>
      </c>
      <c r="S21" s="231">
        <f>'Rate Computation'!M26</f>
        <v>30.823834421347936</v>
      </c>
      <c r="T21" s="231">
        <f t="shared" si="1"/>
        <v>31</v>
      </c>
      <c r="U21" s="232">
        <v>-20</v>
      </c>
      <c r="V21" s="231">
        <f>ROUND('Plant &amp; Reserve'!G21,2)</f>
        <v>28</v>
      </c>
      <c r="W21" s="318">
        <f t="shared" si="3"/>
        <v>0.03</v>
      </c>
      <c r="X21" s="318">
        <f t="shared" si="2"/>
        <v>0.03</v>
      </c>
      <c r="Y21" s="301"/>
      <c r="Z21" s="289">
        <f t="shared" si="4"/>
        <v>2.9999999999999992E-3</v>
      </c>
      <c r="AA21" s="154"/>
      <c r="AB21" s="214" t="s">
        <v>58</v>
      </c>
    </row>
    <row r="22" spans="1:28" x14ac:dyDescent="0.2">
      <c r="A22" s="180">
        <f>'Plant &amp; Reserve'!A22</f>
        <v>37900</v>
      </c>
      <c r="B22" s="218"/>
      <c r="C22" s="314" t="str">
        <f>'Plant &amp; Reserve'!C22</f>
        <v>Meas &amp; Reg Station Eqp City</v>
      </c>
      <c r="D22" s="314"/>
      <c r="E22" s="228" t="s">
        <v>702</v>
      </c>
      <c r="F22" s="229">
        <v>50</v>
      </c>
      <c r="G22" s="231">
        <v>45.5</v>
      </c>
      <c r="H22" s="229">
        <v>-10</v>
      </c>
      <c r="I22" s="234">
        <v>13.3</v>
      </c>
      <c r="J22" s="289">
        <v>2.1000000000000001E-2</v>
      </c>
      <c r="K22" s="279"/>
      <c r="L22" s="210"/>
      <c r="M22" s="228" t="s">
        <v>26</v>
      </c>
      <c r="N22" s="228">
        <v>52</v>
      </c>
      <c r="O22" s="229">
        <v>-20</v>
      </c>
      <c r="P22" s="230">
        <f t="shared" si="0"/>
        <v>2.2999999999999998</v>
      </c>
      <c r="Q22" s="155"/>
      <c r="R22" s="231">
        <f>'Avg Age'!F332</f>
        <v>6.9793181814305454</v>
      </c>
      <c r="S22" s="231">
        <f>'Rate Computation'!M27</f>
        <v>45.90457784266907</v>
      </c>
      <c r="T22" s="231">
        <f t="shared" si="1"/>
        <v>46</v>
      </c>
      <c r="U22" s="232">
        <v>-20</v>
      </c>
      <c r="V22" s="231">
        <f>ROUND('Plant &amp; Reserve'!G22,2)</f>
        <v>16.78</v>
      </c>
      <c r="W22" s="318">
        <f t="shared" si="3"/>
        <v>2.2000000000000002E-2</v>
      </c>
      <c r="X22" s="318">
        <f t="shared" si="2"/>
        <v>2.2000000000000002E-2</v>
      </c>
      <c r="Y22" s="301"/>
      <c r="Z22" s="289">
        <f t="shared" si="4"/>
        <v>1.0000000000000009E-3</v>
      </c>
      <c r="AA22" s="154"/>
      <c r="AB22" s="214" t="s">
        <v>58</v>
      </c>
    </row>
    <row r="23" spans="1:28" x14ac:dyDescent="0.2">
      <c r="A23" s="180">
        <f>'Plant &amp; Reserve'!A23</f>
        <v>38000</v>
      </c>
      <c r="B23" s="218"/>
      <c r="C23" s="314" t="str">
        <f>'Plant &amp; Reserve'!C23</f>
        <v>Services Steel</v>
      </c>
      <c r="D23" s="314"/>
      <c r="E23" s="228" t="s">
        <v>705</v>
      </c>
      <c r="F23" s="229">
        <v>52</v>
      </c>
      <c r="G23" s="231">
        <v>38.299999999999997</v>
      </c>
      <c r="H23" s="229">
        <v>-125</v>
      </c>
      <c r="I23" s="234">
        <v>72</v>
      </c>
      <c r="J23" s="289">
        <v>0.04</v>
      </c>
      <c r="K23" s="279"/>
      <c r="L23" s="210"/>
      <c r="M23" s="228" t="s">
        <v>705</v>
      </c>
      <c r="N23" s="228">
        <v>52</v>
      </c>
      <c r="O23" s="229">
        <v>-130</v>
      </c>
      <c r="P23" s="230">
        <f t="shared" si="0"/>
        <v>4.4000000000000004</v>
      </c>
      <c r="Q23" s="155"/>
      <c r="R23" s="231">
        <f>'Avg Age'!F425</f>
        <v>22.680213631118114</v>
      </c>
      <c r="S23" s="231">
        <f>'Rate Computation'!M28</f>
        <v>38.747125865709364</v>
      </c>
      <c r="T23" s="231">
        <f t="shared" si="1"/>
        <v>39</v>
      </c>
      <c r="U23" s="232">
        <v>-130</v>
      </c>
      <c r="V23" s="231">
        <f>ROUND('Plant &amp; Reserve'!G23,2)</f>
        <v>64.77</v>
      </c>
      <c r="W23" s="318">
        <f t="shared" si="3"/>
        <v>4.2999999999999997E-2</v>
      </c>
      <c r="X23" s="318">
        <f t="shared" si="2"/>
        <v>4.2999999999999997E-2</v>
      </c>
      <c r="Y23" s="301"/>
      <c r="Z23" s="289">
        <f t="shared" si="4"/>
        <v>2.9999999999999957E-3</v>
      </c>
      <c r="AA23" s="154"/>
      <c r="AB23" s="214" t="s">
        <v>58</v>
      </c>
    </row>
    <row r="24" spans="1:28" x14ac:dyDescent="0.2">
      <c r="A24" s="180">
        <f>'Plant &amp; Reserve'!A24</f>
        <v>38002</v>
      </c>
      <c r="B24" s="218"/>
      <c r="C24" s="314" t="str">
        <f>'Plant &amp; Reserve'!C24</f>
        <v>Services Plastic</v>
      </c>
      <c r="D24" s="314"/>
      <c r="E24" s="228" t="s">
        <v>703</v>
      </c>
      <c r="F24" s="229">
        <v>55</v>
      </c>
      <c r="G24" s="231">
        <v>46</v>
      </c>
      <c r="H24" s="229">
        <v>-68</v>
      </c>
      <c r="I24" s="234">
        <v>44.8</v>
      </c>
      <c r="J24" s="289">
        <v>2.7E-2</v>
      </c>
      <c r="K24" s="279"/>
      <c r="L24" s="210"/>
      <c r="M24" s="228" t="s">
        <v>702</v>
      </c>
      <c r="N24" s="228">
        <v>55</v>
      </c>
      <c r="O24" s="229">
        <v>-75</v>
      </c>
      <c r="P24" s="230">
        <f t="shared" si="0"/>
        <v>3.2</v>
      </c>
      <c r="Q24" s="155"/>
      <c r="R24" s="231">
        <f>'Avg Age'!F467</f>
        <v>9.6998866017848222</v>
      </c>
      <c r="S24" s="231">
        <f>'Rate Computation'!M29</f>
        <v>46.257022570121585</v>
      </c>
      <c r="T24" s="231">
        <f t="shared" si="1"/>
        <v>46</v>
      </c>
      <c r="U24" s="232">
        <v>-75</v>
      </c>
      <c r="V24" s="231">
        <f>ROUND('Plant &amp; Reserve'!G24,2)</f>
        <v>31.89</v>
      </c>
      <c r="W24" s="318">
        <f t="shared" si="3"/>
        <v>3.1E-2</v>
      </c>
      <c r="X24" s="318">
        <f t="shared" si="2"/>
        <v>3.1E-2</v>
      </c>
      <c r="Y24" s="301"/>
      <c r="Z24" s="289">
        <f t="shared" si="4"/>
        <v>4.0000000000000001E-3</v>
      </c>
      <c r="AA24" s="154"/>
      <c r="AB24" s="214" t="s">
        <v>58</v>
      </c>
    </row>
    <row r="25" spans="1:28" x14ac:dyDescent="0.2">
      <c r="A25" s="180">
        <f>'Plant &amp; Reserve'!A25</f>
        <v>38100</v>
      </c>
      <c r="B25" s="218"/>
      <c r="C25" s="314" t="str">
        <f>'Plant &amp; Reserve'!C25</f>
        <v>Meters</v>
      </c>
      <c r="D25" s="314"/>
      <c r="E25" s="228" t="s">
        <v>26</v>
      </c>
      <c r="F25" s="229">
        <v>19</v>
      </c>
      <c r="G25" s="231">
        <v>11.7</v>
      </c>
      <c r="H25" s="229">
        <v>3</v>
      </c>
      <c r="I25" s="234">
        <v>37.799999999999997</v>
      </c>
      <c r="J25" s="289">
        <v>0.05</v>
      </c>
      <c r="K25" s="279"/>
      <c r="L25" s="210"/>
      <c r="M25" s="228" t="s">
        <v>26</v>
      </c>
      <c r="N25" s="228">
        <v>20</v>
      </c>
      <c r="O25" s="229">
        <v>0</v>
      </c>
      <c r="P25" s="230">
        <f t="shared" si="0"/>
        <v>5</v>
      </c>
      <c r="Q25" s="155"/>
      <c r="R25" s="231">
        <f>'Avg Age'!F493</f>
        <v>9.2368342474204148</v>
      </c>
      <c r="S25" s="231">
        <f>'Rate Computation'!M30</f>
        <v>12.80616217522196</v>
      </c>
      <c r="T25" s="231">
        <f t="shared" si="1"/>
        <v>12.80616217522196</v>
      </c>
      <c r="U25" s="232">
        <v>0</v>
      </c>
      <c r="V25" s="231">
        <f>ROUND('Plant &amp; Reserve'!G25,2)</f>
        <v>39.299999999999997</v>
      </c>
      <c r="W25" s="318">
        <f t="shared" si="3"/>
        <v>4.7E-2</v>
      </c>
      <c r="X25" s="318">
        <f t="shared" si="2"/>
        <v>4.7E-2</v>
      </c>
      <c r="Y25" s="301"/>
      <c r="Z25" s="289">
        <f t="shared" si="4"/>
        <v>-3.0000000000000027E-3</v>
      </c>
      <c r="AA25" s="154"/>
      <c r="AB25" s="214" t="s">
        <v>58</v>
      </c>
    </row>
    <row r="26" spans="1:28" x14ac:dyDescent="0.2">
      <c r="A26" s="180">
        <f>'Plant &amp; Reserve'!A26</f>
        <v>38200</v>
      </c>
      <c r="B26" s="218"/>
      <c r="C26" s="314" t="str">
        <f>'Plant &amp; Reserve'!C26</f>
        <v>Meter Installations</v>
      </c>
      <c r="D26" s="314"/>
      <c r="E26" s="228" t="s">
        <v>52</v>
      </c>
      <c r="F26" s="229">
        <v>44</v>
      </c>
      <c r="G26" s="231">
        <v>35.6</v>
      </c>
      <c r="H26" s="229">
        <v>-25</v>
      </c>
      <c r="I26" s="234">
        <v>46.2</v>
      </c>
      <c r="J26" s="289">
        <v>2.1999999999999999E-2</v>
      </c>
      <c r="K26" s="279"/>
      <c r="L26" s="210"/>
      <c r="M26" s="228" t="s">
        <v>703</v>
      </c>
      <c r="N26" s="228">
        <v>45</v>
      </c>
      <c r="O26" s="229">
        <v>-30</v>
      </c>
      <c r="P26" s="230">
        <f t="shared" si="0"/>
        <v>2.9</v>
      </c>
      <c r="Q26" s="155"/>
      <c r="R26" s="231">
        <f>'Avg Age'!F538</f>
        <v>9.8287416299590245</v>
      </c>
      <c r="S26" s="231">
        <f>'Rate Computation'!M31</f>
        <v>37.422411158016857</v>
      </c>
      <c r="T26" s="231">
        <f t="shared" si="1"/>
        <v>37</v>
      </c>
      <c r="U26" s="232">
        <v>-30</v>
      </c>
      <c r="V26" s="231">
        <f>ROUND('Plant &amp; Reserve'!G26,2)</f>
        <v>30.34</v>
      </c>
      <c r="W26" s="318">
        <f t="shared" si="3"/>
        <v>2.7000000000000003E-2</v>
      </c>
      <c r="X26" s="318">
        <f t="shared" si="2"/>
        <v>2.7000000000000003E-2</v>
      </c>
      <c r="Y26" s="301"/>
      <c r="Z26" s="289">
        <f t="shared" si="4"/>
        <v>5.0000000000000044E-3</v>
      </c>
      <c r="AA26" s="154"/>
      <c r="AB26" s="214" t="s">
        <v>58</v>
      </c>
    </row>
    <row r="27" spans="1:28" x14ac:dyDescent="0.2">
      <c r="A27" s="180">
        <f>'Plant &amp; Reserve'!A27</f>
        <v>38300</v>
      </c>
      <c r="B27" s="218"/>
      <c r="C27" s="314" t="str">
        <f>'Plant &amp; Reserve'!C27</f>
        <v>House Regulators</v>
      </c>
      <c r="D27" s="314"/>
      <c r="E27" s="228" t="s">
        <v>53</v>
      </c>
      <c r="F27" s="229">
        <v>42</v>
      </c>
      <c r="G27" s="231">
        <v>28.9</v>
      </c>
      <c r="H27" s="229">
        <v>0</v>
      </c>
      <c r="I27" s="234">
        <v>47.7</v>
      </c>
      <c r="J27" s="289">
        <v>1.7999999999999999E-2</v>
      </c>
      <c r="K27" s="279"/>
      <c r="L27" s="210"/>
      <c r="M27" s="228" t="s">
        <v>1263</v>
      </c>
      <c r="N27" s="228">
        <v>42</v>
      </c>
      <c r="O27" s="229">
        <v>0</v>
      </c>
      <c r="P27" s="230">
        <f t="shared" si="0"/>
        <v>2.4</v>
      </c>
      <c r="Q27" s="155"/>
      <c r="R27" s="231">
        <f>'Avg Age'!F591</f>
        <v>16.366689903786291</v>
      </c>
      <c r="S27" s="231">
        <f>'Rate Computation'!M32</f>
        <v>28.141857448609773</v>
      </c>
      <c r="T27" s="231">
        <f t="shared" si="1"/>
        <v>28</v>
      </c>
      <c r="U27" s="232">
        <v>0</v>
      </c>
      <c r="V27" s="231">
        <f>ROUND('Plant &amp; Reserve'!G27,2)</f>
        <v>42.16</v>
      </c>
      <c r="W27" s="318">
        <f t="shared" si="3"/>
        <v>2.1000000000000001E-2</v>
      </c>
      <c r="X27" s="318">
        <f t="shared" si="2"/>
        <v>2.1000000000000001E-2</v>
      </c>
      <c r="Y27" s="301"/>
      <c r="Z27" s="289">
        <f t="shared" si="4"/>
        <v>3.0000000000000027E-3</v>
      </c>
      <c r="AA27" s="154"/>
      <c r="AB27" s="214" t="s">
        <v>58</v>
      </c>
    </row>
    <row r="28" spans="1:28" x14ac:dyDescent="0.2">
      <c r="A28" s="180">
        <f>'Plant &amp; Reserve'!A28</f>
        <v>38400</v>
      </c>
      <c r="B28" s="218"/>
      <c r="C28" s="314" t="str">
        <f>'Plant &amp; Reserve'!C28</f>
        <v>House Regulator Installs</v>
      </c>
      <c r="D28" s="314"/>
      <c r="E28" s="228" t="s">
        <v>52</v>
      </c>
      <c r="F28" s="229">
        <v>47</v>
      </c>
      <c r="G28" s="231">
        <v>37.299999999999997</v>
      </c>
      <c r="H28" s="229">
        <v>-25</v>
      </c>
      <c r="I28" s="234">
        <v>55.7</v>
      </c>
      <c r="J28" s="289">
        <v>1.9E-2</v>
      </c>
      <c r="K28" s="279"/>
      <c r="L28" s="210"/>
      <c r="M28" s="228" t="s">
        <v>703</v>
      </c>
      <c r="N28" s="228">
        <v>47</v>
      </c>
      <c r="O28" s="229">
        <v>-30</v>
      </c>
      <c r="P28" s="230">
        <f t="shared" si="0"/>
        <v>2.8</v>
      </c>
      <c r="Q28" s="155"/>
      <c r="R28" s="231">
        <f>'Avg Age'!F656</f>
        <v>12.86066603568041</v>
      </c>
      <c r="S28" s="231">
        <f>'Rate Computation'!M33</f>
        <v>37.147776723231274</v>
      </c>
      <c r="T28" s="231">
        <f t="shared" si="1"/>
        <v>37</v>
      </c>
      <c r="U28" s="232">
        <v>-30</v>
      </c>
      <c r="V28" s="231">
        <f>ROUND('Plant &amp; Reserve'!G28,2)</f>
        <v>40.29</v>
      </c>
      <c r="W28" s="318">
        <f t="shared" si="3"/>
        <v>2.4E-2</v>
      </c>
      <c r="X28" s="318">
        <f t="shared" si="2"/>
        <v>2.4E-2</v>
      </c>
      <c r="Y28" s="301"/>
      <c r="Z28" s="289">
        <f t="shared" si="4"/>
        <v>5.000000000000001E-3</v>
      </c>
      <c r="AA28" s="154"/>
      <c r="AB28" s="214" t="s">
        <v>58</v>
      </c>
    </row>
    <row r="29" spans="1:28" x14ac:dyDescent="0.2">
      <c r="A29" s="180">
        <f>'Plant &amp; Reserve'!A29</f>
        <v>38500</v>
      </c>
      <c r="B29" s="218"/>
      <c r="C29" s="215" t="str">
        <f>'Plant &amp; Reserve'!C29</f>
        <v>Meas &amp; Reg Station Eqp Ind</v>
      </c>
      <c r="D29" s="218"/>
      <c r="E29" s="228" t="s">
        <v>25</v>
      </c>
      <c r="F29" s="229">
        <v>37</v>
      </c>
      <c r="G29" s="231">
        <v>20</v>
      </c>
      <c r="H29" s="229">
        <v>-2</v>
      </c>
      <c r="I29" s="234">
        <v>56.9</v>
      </c>
      <c r="J29" s="289">
        <v>2.3E-2</v>
      </c>
      <c r="K29" s="279"/>
      <c r="L29" s="210"/>
      <c r="M29" s="228" t="s">
        <v>702</v>
      </c>
      <c r="N29" s="228">
        <v>39</v>
      </c>
      <c r="O29" s="229">
        <v>0</v>
      </c>
      <c r="P29" s="230">
        <f t="shared" si="0"/>
        <v>2.6</v>
      </c>
      <c r="Q29" s="155"/>
      <c r="R29" s="231">
        <f>'Avg Age'!F704</f>
        <v>18.674219180274864</v>
      </c>
      <c r="S29" s="231">
        <f>'Rate Computation'!M34</f>
        <v>23.493268546577429</v>
      </c>
      <c r="T29" s="231">
        <f t="shared" si="1"/>
        <v>23</v>
      </c>
      <c r="U29" s="232">
        <v>0</v>
      </c>
      <c r="V29" s="231">
        <f>ROUND('Plant &amp; Reserve'!G29,2)</f>
        <v>47.95</v>
      </c>
      <c r="W29" s="318">
        <f t="shared" si="3"/>
        <v>2.2000000000000002E-2</v>
      </c>
      <c r="X29" s="318">
        <f t="shared" si="2"/>
        <v>2.2000000000000002E-2</v>
      </c>
      <c r="Y29" s="301"/>
      <c r="Z29" s="289">
        <f t="shared" si="4"/>
        <v>-9.9999999999999742E-4</v>
      </c>
      <c r="AA29" s="154"/>
      <c r="AB29" s="214" t="s">
        <v>58</v>
      </c>
    </row>
    <row r="30" spans="1:28" x14ac:dyDescent="0.2">
      <c r="A30" s="180">
        <f>'Plant &amp; Reserve'!A30</f>
        <v>38600</v>
      </c>
      <c r="B30" s="218"/>
      <c r="C30" s="215" t="str">
        <f>'Plant &amp; Reserve'!C30</f>
        <v>Other Property Cust Premise</v>
      </c>
      <c r="D30" s="218"/>
      <c r="E30" s="228" t="s">
        <v>52</v>
      </c>
      <c r="F30" s="229">
        <v>15</v>
      </c>
      <c r="G30" s="231">
        <v>15</v>
      </c>
      <c r="H30" s="229">
        <v>0</v>
      </c>
      <c r="I30" s="234">
        <v>0</v>
      </c>
      <c r="J30" s="289">
        <v>6.7000000000000004E-2</v>
      </c>
      <c r="K30" s="279"/>
      <c r="L30" s="210"/>
      <c r="M30" s="228" t="s">
        <v>52</v>
      </c>
      <c r="N30" s="228">
        <v>15</v>
      </c>
      <c r="O30" s="229">
        <v>0</v>
      </c>
      <c r="P30" s="230">
        <f t="shared" si="0"/>
        <v>6.7</v>
      </c>
      <c r="Q30" s="155"/>
      <c r="R30" s="231"/>
      <c r="S30" s="231">
        <v>15</v>
      </c>
      <c r="T30" s="231">
        <f t="shared" si="1"/>
        <v>15</v>
      </c>
      <c r="U30" s="232">
        <v>0</v>
      </c>
      <c r="V30" s="231">
        <f>ROUND('Plant &amp; Reserve'!G30,2)</f>
        <v>0</v>
      </c>
      <c r="W30" s="318">
        <f t="shared" si="3"/>
        <v>6.7000000000000004E-2</v>
      </c>
      <c r="X30" s="318">
        <f t="shared" si="2"/>
        <v>6.7000000000000004E-2</v>
      </c>
      <c r="Y30" s="104"/>
      <c r="Z30" s="289">
        <f t="shared" si="4"/>
        <v>0</v>
      </c>
      <c r="AA30" s="154"/>
      <c r="AB30" s="214" t="s">
        <v>58</v>
      </c>
    </row>
    <row r="31" spans="1:28" x14ac:dyDescent="0.2">
      <c r="A31" s="180">
        <f>'Plant &amp; Reserve'!A31</f>
        <v>38700</v>
      </c>
      <c r="B31" s="218"/>
      <c r="C31" s="215" t="str">
        <f>'Plant &amp; Reserve'!C31</f>
        <v>Other Equipment</v>
      </c>
      <c r="D31" s="218"/>
      <c r="E31" s="228" t="s">
        <v>707</v>
      </c>
      <c r="F31" s="229">
        <v>24</v>
      </c>
      <c r="G31" s="231">
        <v>17.100000000000001</v>
      </c>
      <c r="H31" s="229">
        <v>0</v>
      </c>
      <c r="I31" s="234">
        <v>48.3</v>
      </c>
      <c r="J31" s="289">
        <v>0.03</v>
      </c>
      <c r="K31" s="279"/>
      <c r="L31" s="210"/>
      <c r="M31" s="228" t="s">
        <v>1259</v>
      </c>
      <c r="N31" s="228">
        <v>27</v>
      </c>
      <c r="O31" s="229">
        <v>0</v>
      </c>
      <c r="P31" s="230">
        <f t="shared" si="0"/>
        <v>3.7</v>
      </c>
      <c r="Q31" s="155"/>
      <c r="R31" s="231">
        <f>'Avg Age'!F748</f>
        <v>10.011714766517791</v>
      </c>
      <c r="S31" s="231">
        <f>+'Rate Computation'!M35</f>
        <v>19.25358481757295</v>
      </c>
      <c r="T31" s="231">
        <f t="shared" si="1"/>
        <v>19.25358481757295</v>
      </c>
      <c r="U31" s="232">
        <v>0</v>
      </c>
      <c r="V31" s="231">
        <f>ROUND('Plant &amp; Reserve'!G31,2)</f>
        <v>42.22</v>
      </c>
      <c r="W31" s="318">
        <f>IF(S31=0,0,ROUND((100-U31-V31)/S31,1))/100</f>
        <v>0.03</v>
      </c>
      <c r="X31" s="318">
        <f t="shared" si="2"/>
        <v>0.03</v>
      </c>
      <c r="Y31" s="301"/>
      <c r="Z31" s="289">
        <f t="shared" si="4"/>
        <v>0</v>
      </c>
      <c r="AA31" s="154"/>
      <c r="AB31" s="214" t="s">
        <v>58</v>
      </c>
    </row>
    <row r="32" spans="1:28" x14ac:dyDescent="0.2">
      <c r="A32" s="180"/>
      <c r="B32" s="218"/>
      <c r="C32" s="215"/>
      <c r="D32" s="218"/>
      <c r="E32" s="228"/>
      <c r="F32" s="229"/>
      <c r="G32" s="231"/>
      <c r="H32" s="229"/>
      <c r="I32" s="234"/>
      <c r="J32" s="234"/>
      <c r="K32" s="234"/>
      <c r="L32" s="234"/>
      <c r="M32" s="228"/>
      <c r="N32" s="228"/>
      <c r="O32" s="229"/>
      <c r="P32" s="234"/>
      <c r="Q32" s="155"/>
      <c r="R32" s="231"/>
      <c r="S32" s="231"/>
      <c r="T32" s="231"/>
      <c r="U32" s="232"/>
      <c r="V32" s="231"/>
      <c r="W32" s="230"/>
      <c r="X32" s="230"/>
      <c r="Y32" s="154"/>
      <c r="Z32" s="237"/>
      <c r="AA32" s="154"/>
      <c r="AB32" s="214"/>
    </row>
    <row r="33" spans="1:28" x14ac:dyDescent="0.2">
      <c r="A33" s="235"/>
      <c r="B33" s="215"/>
      <c r="C33" s="215"/>
      <c r="D33" s="218"/>
      <c r="E33" s="228"/>
      <c r="F33" s="229"/>
      <c r="G33" s="231"/>
      <c r="H33" s="229"/>
      <c r="I33" s="234"/>
      <c r="J33" s="234"/>
      <c r="K33" s="234"/>
      <c r="L33" s="234"/>
      <c r="M33" s="228"/>
      <c r="N33" s="228"/>
      <c r="O33" s="229"/>
      <c r="P33" s="234"/>
      <c r="Q33" s="155"/>
      <c r="R33" s="231"/>
      <c r="S33" s="231"/>
      <c r="T33" s="231"/>
      <c r="U33" s="229"/>
      <c r="V33" s="231"/>
      <c r="W33" s="229"/>
      <c r="X33" s="229"/>
      <c r="Y33" s="154"/>
      <c r="Z33" s="237"/>
      <c r="AA33" s="154"/>
      <c r="AB33" s="214"/>
    </row>
    <row r="34" spans="1:28" x14ac:dyDescent="0.2">
      <c r="A34" s="193"/>
      <c r="B34" s="218"/>
      <c r="C34" s="215"/>
      <c r="D34" s="218"/>
      <c r="E34" s="228"/>
      <c r="F34" s="229"/>
      <c r="G34" s="231"/>
      <c r="H34" s="229"/>
      <c r="I34" s="234"/>
      <c r="J34" s="234"/>
      <c r="K34" s="234"/>
      <c r="L34" s="234"/>
      <c r="M34" s="228"/>
      <c r="N34" s="228"/>
      <c r="O34" s="229"/>
      <c r="P34" s="234"/>
      <c r="Q34" s="155"/>
      <c r="R34" s="231"/>
      <c r="S34" s="231"/>
      <c r="T34" s="231"/>
      <c r="U34" s="229"/>
      <c r="V34" s="231"/>
      <c r="W34" s="229"/>
      <c r="X34" s="229"/>
      <c r="Y34" s="154"/>
      <c r="Z34" s="237"/>
      <c r="AA34" s="154"/>
      <c r="AB34" s="214"/>
    </row>
    <row r="35" spans="1:28" x14ac:dyDescent="0.2">
      <c r="A35" s="193"/>
      <c r="B35" s="218"/>
      <c r="C35" s="215"/>
      <c r="D35" s="218"/>
      <c r="E35" s="228"/>
      <c r="F35" s="229"/>
      <c r="G35" s="231"/>
      <c r="H35" s="229"/>
      <c r="I35" s="234"/>
      <c r="J35" s="234"/>
      <c r="K35" s="279"/>
      <c r="L35" s="210"/>
      <c r="M35" s="228"/>
      <c r="N35" s="228"/>
      <c r="O35" s="229"/>
      <c r="P35" s="234"/>
      <c r="Q35" s="155"/>
      <c r="R35" s="231"/>
      <c r="S35" s="231"/>
      <c r="T35" s="231"/>
      <c r="U35" s="229"/>
      <c r="V35" s="231"/>
      <c r="W35" s="229"/>
      <c r="X35" s="229"/>
      <c r="Y35" s="154"/>
      <c r="Z35" s="237"/>
      <c r="AA35" s="154"/>
      <c r="AB35" s="214"/>
    </row>
    <row r="36" spans="1:28" x14ac:dyDescent="0.2">
      <c r="A36" s="193"/>
      <c r="B36" s="218"/>
      <c r="C36" s="175" t="s">
        <v>31</v>
      </c>
      <c r="D36" s="218"/>
      <c r="E36" s="228"/>
      <c r="F36" s="229"/>
      <c r="G36" s="231"/>
      <c r="H36" s="229"/>
      <c r="I36" s="234"/>
      <c r="J36" s="234"/>
      <c r="K36" s="279"/>
      <c r="L36" s="210"/>
      <c r="M36" s="228"/>
      <c r="N36" s="228"/>
      <c r="O36" s="229"/>
      <c r="P36" s="234"/>
      <c r="Q36" s="155"/>
      <c r="R36" s="231"/>
      <c r="S36" s="231"/>
      <c r="T36" s="231"/>
      <c r="U36" s="229"/>
      <c r="V36" s="231"/>
      <c r="W36" s="229"/>
      <c r="X36" s="229"/>
      <c r="Y36" s="154"/>
      <c r="Z36" s="237"/>
      <c r="AA36" s="154"/>
      <c r="AB36" s="214"/>
    </row>
    <row r="37" spans="1:28" x14ac:dyDescent="0.2">
      <c r="A37" s="193"/>
      <c r="B37" s="218"/>
      <c r="C37" s="236"/>
      <c r="D37" s="218"/>
      <c r="E37" s="228"/>
      <c r="F37" s="229"/>
      <c r="G37" s="231"/>
      <c r="H37" s="229"/>
      <c r="I37" s="234"/>
      <c r="J37" s="234"/>
      <c r="K37" s="279"/>
      <c r="L37" s="210"/>
      <c r="M37" s="228"/>
      <c r="N37" s="228"/>
      <c r="O37" s="229"/>
      <c r="P37" s="234"/>
      <c r="Q37" s="155"/>
      <c r="R37" s="231"/>
      <c r="S37" s="231"/>
      <c r="T37" s="231"/>
      <c r="U37" s="229"/>
      <c r="V37" s="231"/>
      <c r="W37" s="229"/>
      <c r="X37" s="229"/>
      <c r="Y37" s="154"/>
      <c r="Z37" s="237"/>
      <c r="AA37" s="154"/>
      <c r="AB37" s="214"/>
    </row>
    <row r="38" spans="1:28" x14ac:dyDescent="0.2">
      <c r="A38" s="180">
        <f>'Plant &amp; Reserve'!A38</f>
        <v>39201</v>
      </c>
      <c r="B38" s="218"/>
      <c r="C38" s="215" t="str">
        <f>'Plant &amp; Reserve'!C38</f>
        <v>Vehicles up to 1/2 Tons</v>
      </c>
      <c r="D38" s="218"/>
      <c r="E38" s="228" t="s">
        <v>1257</v>
      </c>
      <c r="F38" s="229">
        <v>9</v>
      </c>
      <c r="G38" s="231">
        <v>5.6</v>
      </c>
      <c r="H38" s="229">
        <v>11</v>
      </c>
      <c r="I38" s="234">
        <v>49.6</v>
      </c>
      <c r="J38" s="289">
        <v>7.0000000000000007E-2</v>
      </c>
      <c r="K38" s="279"/>
      <c r="L38" s="210"/>
      <c r="M38" s="228" t="s">
        <v>1257</v>
      </c>
      <c r="N38" s="228">
        <v>8</v>
      </c>
      <c r="O38" s="229">
        <v>11</v>
      </c>
      <c r="P38" s="230">
        <f t="shared" ref="P38:P41" si="8">IF(N38=0,0,ROUND((100-O38)/N38,1))</f>
        <v>11.1</v>
      </c>
      <c r="Q38" s="155"/>
      <c r="R38" s="231">
        <f>'Avg Age'!F832</f>
        <v>3.6807799560215586</v>
      </c>
      <c r="S38" s="231">
        <f>+'Rate Computation'!M50</f>
        <v>5.3913796326334404</v>
      </c>
      <c r="T38" s="231">
        <f t="shared" ref="T38:T41" si="9">IF(S38&gt;20,ROUND(S38,0),S38)</f>
        <v>5.3913796326334404</v>
      </c>
      <c r="U38" s="229">
        <f t="shared" ref="U38:U41" si="10">O38</f>
        <v>11</v>
      </c>
      <c r="V38" s="231">
        <f>ROUND('Plant &amp; Reserve'!G38,2)</f>
        <v>34.69</v>
      </c>
      <c r="W38" s="318">
        <f t="shared" ref="W38:W41" si="11">IF(S38=0,0,ROUND((100-U38-V38)/S38,1))/100</f>
        <v>0.10099999999999999</v>
      </c>
      <c r="X38" s="318">
        <f t="shared" si="2"/>
        <v>0.10099999999999999</v>
      </c>
      <c r="Y38" s="154"/>
      <c r="Z38" s="289">
        <f t="shared" ref="Z38:Z41" si="12">X38-J38</f>
        <v>3.0999999999999986E-2</v>
      </c>
      <c r="AA38" s="154"/>
      <c r="AB38" s="214" t="s">
        <v>58</v>
      </c>
    </row>
    <row r="39" spans="1:28" x14ac:dyDescent="0.2">
      <c r="A39" s="180">
        <f>'Plant &amp; Reserve'!A39</f>
        <v>39202</v>
      </c>
      <c r="B39" s="218"/>
      <c r="C39" s="215" t="str">
        <f>'Plant &amp; Reserve'!C39</f>
        <v>Vehicles from 1/2 - 1 Tons</v>
      </c>
      <c r="D39" s="218"/>
      <c r="E39" s="228" t="s">
        <v>1258</v>
      </c>
      <c r="F39" s="229">
        <v>10</v>
      </c>
      <c r="G39" s="231">
        <v>6.2</v>
      </c>
      <c r="H39" s="229">
        <v>11</v>
      </c>
      <c r="I39" s="234">
        <v>54.6</v>
      </c>
      <c r="J39" s="289">
        <v>5.6000000000000001E-2</v>
      </c>
      <c r="K39" s="279"/>
      <c r="L39" s="210"/>
      <c r="M39" s="228" t="s">
        <v>1258</v>
      </c>
      <c r="N39" s="228">
        <v>10</v>
      </c>
      <c r="O39" s="229">
        <v>11</v>
      </c>
      <c r="P39" s="230">
        <f t="shared" si="8"/>
        <v>8.9</v>
      </c>
      <c r="Q39" s="155"/>
      <c r="R39" s="231">
        <f>'Avg Age'!F852</f>
        <v>6.3188517713831285</v>
      </c>
      <c r="S39" s="231">
        <f>+'Rate Computation'!M51</f>
        <v>4.8959083213442938</v>
      </c>
      <c r="T39" s="231">
        <f t="shared" si="9"/>
        <v>4.8959083213442938</v>
      </c>
      <c r="U39" s="229">
        <f t="shared" si="10"/>
        <v>11</v>
      </c>
      <c r="V39" s="231">
        <f>ROUND('Plant &amp; Reserve'!G39,2)</f>
        <v>54.12</v>
      </c>
      <c r="W39" s="318">
        <f t="shared" si="11"/>
        <v>7.0999999999999994E-2</v>
      </c>
      <c r="X39" s="318">
        <f t="shared" si="2"/>
        <v>7.0999999999999994E-2</v>
      </c>
      <c r="Y39" s="154"/>
      <c r="Z39" s="289">
        <f t="shared" si="12"/>
        <v>1.4999999999999993E-2</v>
      </c>
      <c r="AA39" s="154"/>
      <c r="AB39" s="214" t="s">
        <v>58</v>
      </c>
    </row>
    <row r="40" spans="1:28" x14ac:dyDescent="0.2">
      <c r="A40" s="180">
        <f>'Plant &amp; Reserve'!A40</f>
        <v>39204</v>
      </c>
      <c r="B40" s="218"/>
      <c r="C40" s="215" t="str">
        <f>'Plant &amp; Reserve'!C40</f>
        <v>Trailers &amp; Other</v>
      </c>
      <c r="D40" s="218"/>
      <c r="E40" s="228" t="s">
        <v>26</v>
      </c>
      <c r="F40" s="229">
        <v>27</v>
      </c>
      <c r="G40" s="231">
        <v>22.6</v>
      </c>
      <c r="H40" s="229">
        <v>15</v>
      </c>
      <c r="I40" s="234">
        <v>19.7</v>
      </c>
      <c r="J40" s="289">
        <v>2.9000000000000001E-2</v>
      </c>
      <c r="K40" s="279"/>
      <c r="L40" s="210"/>
      <c r="M40" s="228" t="s">
        <v>703</v>
      </c>
      <c r="N40" s="228">
        <v>30</v>
      </c>
      <c r="O40" s="229">
        <v>20</v>
      </c>
      <c r="P40" s="230">
        <f t="shared" si="8"/>
        <v>2.7</v>
      </c>
      <c r="Q40" s="155"/>
      <c r="R40" s="231">
        <f>'Avg Age'!F893</f>
        <v>6.2880853564275183</v>
      </c>
      <c r="S40" s="231">
        <f>+'Rate Computation'!M52</f>
        <v>25.152054599291752</v>
      </c>
      <c r="T40" s="231">
        <f t="shared" si="9"/>
        <v>25</v>
      </c>
      <c r="U40" s="229">
        <f t="shared" si="10"/>
        <v>20</v>
      </c>
      <c r="V40" s="231">
        <f>ROUND('Plant &amp; Reserve'!G40,2)</f>
        <v>19.920000000000002</v>
      </c>
      <c r="W40" s="318">
        <f t="shared" si="11"/>
        <v>2.4E-2</v>
      </c>
      <c r="X40" s="318">
        <f t="shared" si="2"/>
        <v>2.4E-2</v>
      </c>
      <c r="Y40" s="154"/>
      <c r="Z40" s="289">
        <f t="shared" si="12"/>
        <v>-5.000000000000001E-3</v>
      </c>
      <c r="AA40" s="154"/>
      <c r="AB40" s="214" t="s">
        <v>58</v>
      </c>
    </row>
    <row r="41" spans="1:28" x14ac:dyDescent="0.2">
      <c r="A41" s="180">
        <f>'Plant &amp; Reserve'!A41</f>
        <v>39205</v>
      </c>
      <c r="B41" s="218"/>
      <c r="C41" s="215" t="str">
        <f>'Plant &amp; Reserve'!C41</f>
        <v>Vehicles over 1 Ton</v>
      </c>
      <c r="D41" s="218"/>
      <c r="E41" s="228" t="s">
        <v>707</v>
      </c>
      <c r="F41" s="229">
        <v>12</v>
      </c>
      <c r="G41" s="231">
        <v>6.6</v>
      </c>
      <c r="H41" s="229">
        <v>4</v>
      </c>
      <c r="I41" s="234">
        <v>52.6</v>
      </c>
      <c r="J41" s="289">
        <v>6.6000000000000003E-2</v>
      </c>
      <c r="K41" s="279"/>
      <c r="L41" s="210"/>
      <c r="M41" s="228" t="s">
        <v>707</v>
      </c>
      <c r="N41" s="228">
        <v>13</v>
      </c>
      <c r="O41" s="229">
        <v>7</v>
      </c>
      <c r="P41" s="230">
        <f t="shared" si="8"/>
        <v>7.2</v>
      </c>
      <c r="Q41" s="155"/>
      <c r="R41" s="231">
        <f>'Avg Age'!F909</f>
        <v>8.4076240762479983</v>
      </c>
      <c r="S41" s="231">
        <f>+'Rate Computation'!M53</f>
        <v>6.9471357509861367</v>
      </c>
      <c r="T41" s="231">
        <f t="shared" si="9"/>
        <v>6.9471357509861367</v>
      </c>
      <c r="U41" s="229">
        <f t="shared" si="10"/>
        <v>7</v>
      </c>
      <c r="V41" s="231">
        <f>ROUND('Plant &amp; Reserve'!G41,2)</f>
        <v>54.43</v>
      </c>
      <c r="W41" s="318">
        <f t="shared" si="11"/>
        <v>5.5999999999999994E-2</v>
      </c>
      <c r="X41" s="318">
        <f t="shared" si="2"/>
        <v>5.5999999999999994E-2</v>
      </c>
      <c r="Y41" s="154"/>
      <c r="Z41" s="289">
        <f t="shared" si="12"/>
        <v>-1.0000000000000009E-2</v>
      </c>
      <c r="AA41" s="154"/>
      <c r="AB41" s="214" t="s">
        <v>58</v>
      </c>
    </row>
    <row r="42" spans="1:28" x14ac:dyDescent="0.2">
      <c r="A42" s="193"/>
      <c r="B42" s="218"/>
      <c r="C42" s="215"/>
      <c r="D42" s="218"/>
      <c r="E42" s="228"/>
      <c r="F42" s="228"/>
      <c r="G42" s="231"/>
      <c r="H42" s="229"/>
      <c r="I42" s="231"/>
      <c r="J42" s="289"/>
      <c r="K42" s="279"/>
      <c r="L42" s="210"/>
      <c r="M42" s="228"/>
      <c r="N42" s="228"/>
      <c r="O42" s="229"/>
      <c r="P42" s="231"/>
      <c r="Q42" s="155"/>
      <c r="R42" s="231"/>
      <c r="S42" s="231"/>
      <c r="T42" s="231"/>
      <c r="U42" s="232"/>
      <c r="V42" s="231"/>
      <c r="W42" s="318"/>
      <c r="X42" s="318"/>
      <c r="Y42" s="154"/>
      <c r="Z42" s="237"/>
      <c r="AA42" s="154"/>
      <c r="AB42" s="214"/>
    </row>
    <row r="43" spans="1:28" x14ac:dyDescent="0.2">
      <c r="A43" s="193"/>
      <c r="B43" s="218"/>
      <c r="C43" s="238" t="s">
        <v>62</v>
      </c>
      <c r="D43" s="218"/>
      <c r="E43" s="228"/>
      <c r="F43" s="280"/>
      <c r="G43" s="281"/>
      <c r="H43" s="282"/>
      <c r="I43" s="281"/>
      <c r="J43" s="289"/>
      <c r="K43" s="279"/>
      <c r="L43" s="210"/>
      <c r="M43" s="228"/>
      <c r="N43" s="228"/>
      <c r="O43" s="229"/>
      <c r="P43" s="239"/>
      <c r="Q43" s="155"/>
      <c r="R43" s="231"/>
      <c r="S43" s="239"/>
      <c r="T43" s="239"/>
      <c r="U43" s="286"/>
      <c r="V43" s="231"/>
      <c r="W43" s="318"/>
      <c r="X43" s="318"/>
      <c r="Y43" s="154"/>
      <c r="Z43" s="240"/>
      <c r="AA43" s="154"/>
      <c r="AB43" s="214"/>
    </row>
    <row r="44" spans="1:28" x14ac:dyDescent="0.2">
      <c r="A44" s="193"/>
      <c r="B44" s="218"/>
      <c r="C44" s="215"/>
      <c r="D44" s="218"/>
      <c r="E44" s="228"/>
      <c r="F44" s="228"/>
      <c r="G44" s="283"/>
      <c r="H44" s="284"/>
      <c r="I44" s="283"/>
      <c r="J44" s="289"/>
      <c r="K44" s="279"/>
      <c r="L44" s="210"/>
      <c r="M44" s="228"/>
      <c r="N44" s="228"/>
      <c r="O44" s="229"/>
      <c r="P44" s="241"/>
      <c r="Q44" s="155"/>
      <c r="R44" s="231"/>
      <c r="S44" s="242"/>
      <c r="T44" s="242"/>
      <c r="U44" s="287"/>
      <c r="V44" s="231"/>
      <c r="W44" s="318"/>
      <c r="X44" s="318"/>
      <c r="Y44" s="154"/>
      <c r="Z44" s="244"/>
      <c r="AA44" s="154"/>
      <c r="AB44" s="214"/>
    </row>
    <row r="45" spans="1:28" x14ac:dyDescent="0.2">
      <c r="A45" s="180">
        <f>'Plant &amp; Reserve'!A45</f>
        <v>30100</v>
      </c>
      <c r="B45" s="218"/>
      <c r="C45" s="215" t="str">
        <f>'Plant &amp; Reserve'!C45</f>
        <v>Organization Costs</v>
      </c>
      <c r="D45" s="218"/>
      <c r="E45" s="228"/>
      <c r="F45" s="229" t="s">
        <v>645</v>
      </c>
      <c r="G45" s="228"/>
      <c r="H45" s="229"/>
      <c r="I45" s="234"/>
      <c r="J45" s="289">
        <v>0</v>
      </c>
      <c r="K45" s="279"/>
      <c r="L45" s="210"/>
      <c r="M45" s="228"/>
      <c r="N45" s="228" t="s">
        <v>645</v>
      </c>
      <c r="O45" s="229"/>
      <c r="P45" s="231">
        <v>0</v>
      </c>
      <c r="Q45" s="155"/>
      <c r="R45" s="231"/>
      <c r="S45" s="242"/>
      <c r="T45" s="242"/>
      <c r="U45" s="232"/>
      <c r="V45" s="231"/>
      <c r="W45" s="318">
        <v>0</v>
      </c>
      <c r="X45" s="318">
        <f t="shared" si="2"/>
        <v>0</v>
      </c>
      <c r="Y45" s="154"/>
      <c r="Z45" s="289">
        <f t="shared" ref="Z45:Z59" si="13">X45-J45</f>
        <v>0</v>
      </c>
      <c r="AA45" s="154"/>
      <c r="AB45" s="214" t="s">
        <v>653</v>
      </c>
    </row>
    <row r="46" spans="1:28" x14ac:dyDescent="0.2">
      <c r="A46" s="180">
        <f>'Plant &amp; Reserve'!A46</f>
        <v>30200</v>
      </c>
      <c r="B46" s="218"/>
      <c r="C46" s="215" t="str">
        <f>'Plant &amp; Reserve'!C46</f>
        <v>Franchise &amp; Consents</v>
      </c>
      <c r="D46" s="218"/>
      <c r="E46" s="228" t="s">
        <v>652</v>
      </c>
      <c r="F46" s="229">
        <v>25</v>
      </c>
      <c r="G46" s="228">
        <v>25</v>
      </c>
      <c r="H46" s="229">
        <v>0</v>
      </c>
      <c r="I46" s="234">
        <v>0</v>
      </c>
      <c r="J46" s="289">
        <v>0.04</v>
      </c>
      <c r="K46" s="279"/>
      <c r="L46" s="210"/>
      <c r="M46" s="228" t="s">
        <v>652</v>
      </c>
      <c r="N46" s="228">
        <v>25</v>
      </c>
      <c r="O46" s="229">
        <v>0</v>
      </c>
      <c r="P46" s="230">
        <f>IF(N46=0,0,ROUND((100-O46)/N46,1))</f>
        <v>4</v>
      </c>
      <c r="Q46" s="155"/>
      <c r="R46" s="231"/>
      <c r="S46" s="231">
        <v>25</v>
      </c>
      <c r="T46" s="231">
        <f t="shared" ref="T46:T53" si="14">IF(S46&gt;20,ROUND(S46,0),S46)</f>
        <v>25</v>
      </c>
      <c r="U46" s="232">
        <f t="shared" ref="U46:U59" si="15">O46</f>
        <v>0</v>
      </c>
      <c r="V46" s="231">
        <f>ROUND('Plant &amp; Reserve'!G46,2)</f>
        <v>0</v>
      </c>
      <c r="W46" s="318">
        <f t="shared" ref="W46:W59" si="16">IF(S46=0,0,ROUND((100-U46-V46)/S46,1))/100</f>
        <v>0.04</v>
      </c>
      <c r="X46" s="318">
        <f t="shared" si="2"/>
        <v>0.04</v>
      </c>
      <c r="Z46" s="289">
        <f t="shared" si="13"/>
        <v>0</v>
      </c>
      <c r="AA46" s="154"/>
      <c r="AB46" s="214" t="s">
        <v>653</v>
      </c>
    </row>
    <row r="47" spans="1:28" x14ac:dyDescent="0.2">
      <c r="A47" s="180">
        <f>'Plant &amp; Reserve'!A47</f>
        <v>30300</v>
      </c>
      <c r="B47" s="218"/>
      <c r="C47" s="215" t="str">
        <f>'Plant &amp; Reserve'!C47</f>
        <v>Misc Intangible Plant</v>
      </c>
      <c r="D47" s="218"/>
      <c r="E47" s="228" t="s">
        <v>652</v>
      </c>
      <c r="F47" s="229">
        <v>25</v>
      </c>
      <c r="G47" s="228">
        <v>0.5</v>
      </c>
      <c r="H47" s="229">
        <v>0</v>
      </c>
      <c r="I47" s="234">
        <v>101.9</v>
      </c>
      <c r="J47" s="289">
        <v>0.04</v>
      </c>
      <c r="K47" s="279"/>
      <c r="L47" s="210"/>
      <c r="M47" s="228" t="s">
        <v>652</v>
      </c>
      <c r="N47" s="228">
        <v>25</v>
      </c>
      <c r="O47" s="229">
        <v>0</v>
      </c>
      <c r="P47" s="230">
        <f>IF(N47=0,0,ROUND((100-O47)/N47,1))</f>
        <v>4</v>
      </c>
      <c r="Q47" s="155"/>
      <c r="R47" s="231">
        <f>'Avg Age'!F5</f>
        <v>29.482697011880184</v>
      </c>
      <c r="S47" s="231">
        <f>'Rate Computation'!M15</f>
        <v>0</v>
      </c>
      <c r="T47" s="231">
        <f t="shared" si="14"/>
        <v>0</v>
      </c>
      <c r="U47" s="232">
        <f t="shared" si="15"/>
        <v>0</v>
      </c>
      <c r="V47" s="231">
        <f>ROUND('Plant &amp; Reserve'!G47,2)</f>
        <v>100</v>
      </c>
      <c r="W47" s="318">
        <f t="shared" si="16"/>
        <v>0</v>
      </c>
      <c r="X47" s="318">
        <f t="shared" si="2"/>
        <v>0</v>
      </c>
      <c r="Y47" s="154"/>
      <c r="Z47" s="289">
        <f t="shared" si="13"/>
        <v>-0.04</v>
      </c>
      <c r="AA47" s="154"/>
      <c r="AB47" s="214" t="s">
        <v>653</v>
      </c>
    </row>
    <row r="48" spans="1:28" x14ac:dyDescent="0.2">
      <c r="A48" s="180">
        <f>'Plant &amp; Reserve'!A48</f>
        <v>30301</v>
      </c>
      <c r="B48" s="218"/>
      <c r="C48" s="215" t="str">
        <f>'Plant &amp; Reserve'!C48</f>
        <v>Custom Intangible Plant</v>
      </c>
      <c r="D48" s="218"/>
      <c r="E48" s="228" t="s">
        <v>652</v>
      </c>
      <c r="F48" s="229">
        <v>15</v>
      </c>
      <c r="G48" s="228">
        <v>9.6999999999999993</v>
      </c>
      <c r="H48" s="229">
        <v>0</v>
      </c>
      <c r="I48" s="234">
        <v>36.5</v>
      </c>
      <c r="J48" s="289">
        <v>6.6000000000000003E-2</v>
      </c>
      <c r="K48" s="279"/>
      <c r="L48" s="210"/>
      <c r="M48" s="228" t="s">
        <v>652</v>
      </c>
      <c r="N48" s="228">
        <v>15</v>
      </c>
      <c r="O48" s="229">
        <v>0</v>
      </c>
      <c r="P48" s="230">
        <f>IF(N48=0,0,ROUND((100-O48)/N48,1))</f>
        <v>6.7</v>
      </c>
      <c r="Q48" s="155"/>
      <c r="R48" s="231">
        <f>'Avg Age'!F29</f>
        <v>4.6457092999775007</v>
      </c>
      <c r="S48" s="231">
        <f>'Rate Computation'!M16</f>
        <v>10.534336762284255</v>
      </c>
      <c r="T48" s="231">
        <f t="shared" si="14"/>
        <v>10.534336762284255</v>
      </c>
      <c r="U48" s="232">
        <f t="shared" si="15"/>
        <v>0</v>
      </c>
      <c r="V48" s="231">
        <f>ROUND('Plant &amp; Reserve'!G48,2)</f>
        <v>30.06</v>
      </c>
      <c r="W48" s="318">
        <f t="shared" si="16"/>
        <v>6.6000000000000003E-2</v>
      </c>
      <c r="X48" s="318">
        <f t="shared" si="2"/>
        <v>6.6000000000000003E-2</v>
      </c>
      <c r="Y48" s="154"/>
      <c r="Z48" s="289">
        <f t="shared" si="13"/>
        <v>0</v>
      </c>
      <c r="AA48" s="154"/>
      <c r="AB48" s="214" t="s">
        <v>653</v>
      </c>
    </row>
    <row r="49" spans="1:28" x14ac:dyDescent="0.2">
      <c r="A49" s="180">
        <f>'Plant &amp; Reserve'!A49</f>
        <v>39000</v>
      </c>
      <c r="B49" s="218"/>
      <c r="C49" s="215" t="str">
        <f>'Plant &amp; Reserve'!C49</f>
        <v>Structures &amp; Improvements</v>
      </c>
      <c r="D49" s="218"/>
      <c r="E49" s="228" t="s">
        <v>1256</v>
      </c>
      <c r="F49" s="229">
        <v>25</v>
      </c>
      <c r="G49" s="231">
        <v>20.9</v>
      </c>
      <c r="H49" s="229">
        <v>0</v>
      </c>
      <c r="I49" s="234">
        <v>50.4</v>
      </c>
      <c r="J49" s="289">
        <v>2.4E-2</v>
      </c>
      <c r="K49" s="279"/>
      <c r="L49" s="210"/>
      <c r="M49" s="228" t="s">
        <v>1256</v>
      </c>
      <c r="N49" s="228">
        <v>25</v>
      </c>
      <c r="O49" s="229">
        <v>0</v>
      </c>
      <c r="P49" s="230">
        <f>IF(N49=0,0,ROUND((100-O49)/N49,1))</f>
        <v>4</v>
      </c>
      <c r="Q49" s="155"/>
      <c r="R49" s="231">
        <f>'Avg Age'!F756</f>
        <v>3.5586804930829961</v>
      </c>
      <c r="S49" s="231">
        <f>+'Rate Computation'!M46</f>
        <v>22.876068219495995</v>
      </c>
      <c r="T49" s="231">
        <f t="shared" si="14"/>
        <v>23</v>
      </c>
      <c r="U49" s="232">
        <f t="shared" si="15"/>
        <v>0</v>
      </c>
      <c r="V49" s="231">
        <f>ROUND('Plant &amp; Reserve'!G49,2)</f>
        <v>6.87</v>
      </c>
      <c r="W49" s="318">
        <f t="shared" si="16"/>
        <v>4.0999999999999995E-2</v>
      </c>
      <c r="X49" s="318">
        <f t="shared" si="2"/>
        <v>4.0999999999999995E-2</v>
      </c>
      <c r="Y49" s="154"/>
      <c r="Z49" s="289">
        <f t="shared" si="13"/>
        <v>1.6999999999999994E-2</v>
      </c>
      <c r="AA49" s="154"/>
      <c r="AB49" s="214" t="s">
        <v>58</v>
      </c>
    </row>
    <row r="50" spans="1:28" x14ac:dyDescent="0.2">
      <c r="A50" s="180">
        <f>'Plant &amp; Reserve'!A50</f>
        <v>39100</v>
      </c>
      <c r="B50" s="218"/>
      <c r="C50" s="215" t="str">
        <f>'Plant &amp; Reserve'!C50</f>
        <v>Office Furniture</v>
      </c>
      <c r="D50" s="218"/>
      <c r="E50" s="228" t="s">
        <v>652</v>
      </c>
      <c r="F50" s="229">
        <v>17</v>
      </c>
      <c r="G50" s="231">
        <v>14.5</v>
      </c>
      <c r="H50" s="229">
        <v>0</v>
      </c>
      <c r="I50" s="234">
        <v>22.9</v>
      </c>
      <c r="J50" s="289">
        <v>5.8999999999999997E-2</v>
      </c>
      <c r="K50" s="279"/>
      <c r="L50" s="210"/>
      <c r="M50" s="228" t="s">
        <v>652</v>
      </c>
      <c r="N50" s="228">
        <v>17</v>
      </c>
      <c r="O50" s="229">
        <v>0</v>
      </c>
      <c r="P50" s="230">
        <f t="shared" ref="P50:P58" si="17">IF(N50=0,0,ROUND((100-O50)/N50,1))</f>
        <v>5.9</v>
      </c>
      <c r="Q50" s="155"/>
      <c r="R50" s="231">
        <f>'Avg Age'!F774</f>
        <v>8.4532181200797698</v>
      </c>
      <c r="S50" s="231">
        <f>+'Rate Computation'!M47</f>
        <v>6.8131428149096056</v>
      </c>
      <c r="T50" s="231">
        <f t="shared" si="14"/>
        <v>6.8131428149096056</v>
      </c>
      <c r="U50" s="232">
        <f t="shared" si="15"/>
        <v>0</v>
      </c>
      <c r="V50" s="231">
        <f>ROUND('Plant &amp; Reserve'!G50,2)</f>
        <v>57.05</v>
      </c>
      <c r="W50" s="318">
        <f t="shared" si="16"/>
        <v>6.3E-2</v>
      </c>
      <c r="X50" s="318">
        <f t="shared" si="2"/>
        <v>6.3E-2</v>
      </c>
      <c r="Y50" s="154"/>
      <c r="Z50" s="289">
        <f t="shared" si="13"/>
        <v>4.0000000000000036E-3</v>
      </c>
      <c r="AA50" s="154"/>
      <c r="AB50" s="214" t="s">
        <v>58</v>
      </c>
    </row>
    <row r="51" spans="1:28" x14ac:dyDescent="0.2">
      <c r="A51" s="180">
        <f>'Plant &amp; Reserve'!A51</f>
        <v>39101</v>
      </c>
      <c r="B51" s="218"/>
      <c r="C51" s="215" t="str">
        <f>'Plant &amp; Reserve'!C51</f>
        <v>Computer Equipment</v>
      </c>
      <c r="D51" s="218"/>
      <c r="E51" s="228" t="s">
        <v>652</v>
      </c>
      <c r="F51" s="229">
        <v>9</v>
      </c>
      <c r="G51" s="231">
        <v>5.2</v>
      </c>
      <c r="H51" s="229">
        <v>0</v>
      </c>
      <c r="I51" s="234">
        <v>86.8</v>
      </c>
      <c r="J51" s="289">
        <v>0.111</v>
      </c>
      <c r="K51" s="279"/>
      <c r="L51" s="210"/>
      <c r="M51" s="228" t="s">
        <v>652</v>
      </c>
      <c r="N51" s="228">
        <v>9</v>
      </c>
      <c r="O51" s="229">
        <v>0</v>
      </c>
      <c r="P51" s="230">
        <f t="shared" si="17"/>
        <v>11.1</v>
      </c>
      <c r="Q51" s="155"/>
      <c r="R51" s="231">
        <f>'Avg Age'!F788</f>
        <v>2.5011178418705931</v>
      </c>
      <c r="S51" s="231">
        <f>+'Rate Computation'!M48</f>
        <v>4.8612938925527258</v>
      </c>
      <c r="T51" s="231">
        <f t="shared" si="14"/>
        <v>4.8612938925527258</v>
      </c>
      <c r="U51" s="232">
        <f t="shared" si="15"/>
        <v>0</v>
      </c>
      <c r="V51" s="231">
        <f>ROUND('Plant &amp; Reserve'!G51,2)</f>
        <v>60.51</v>
      </c>
      <c r="W51" s="318">
        <v>0</v>
      </c>
      <c r="X51" s="318">
        <f t="shared" si="2"/>
        <v>0</v>
      </c>
      <c r="Y51" s="154"/>
      <c r="Z51" s="289">
        <f t="shared" si="13"/>
        <v>-0.111</v>
      </c>
      <c r="AA51" s="154"/>
      <c r="AB51" s="214" t="s">
        <v>58</v>
      </c>
    </row>
    <row r="52" spans="1:28" x14ac:dyDescent="0.2">
      <c r="A52" s="180">
        <f>'Plant &amp; Reserve'!A52</f>
        <v>39102</v>
      </c>
      <c r="B52" s="218"/>
      <c r="C52" s="215" t="str">
        <f>'Plant &amp; Reserve'!C52</f>
        <v>Office Equipment</v>
      </c>
      <c r="D52" s="218"/>
      <c r="E52" s="228" t="s">
        <v>652</v>
      </c>
      <c r="F52" s="229">
        <v>15</v>
      </c>
      <c r="G52" s="231">
        <v>13.1</v>
      </c>
      <c r="H52" s="229">
        <v>0</v>
      </c>
      <c r="I52" s="234">
        <v>52</v>
      </c>
      <c r="J52" s="289">
        <v>6.7000000000000004E-2</v>
      </c>
      <c r="K52" s="279"/>
      <c r="L52" s="210"/>
      <c r="M52" s="228" t="s">
        <v>652</v>
      </c>
      <c r="N52" s="228">
        <v>15</v>
      </c>
      <c r="O52" s="229">
        <v>0</v>
      </c>
      <c r="P52" s="230">
        <f t="shared" si="17"/>
        <v>6.7</v>
      </c>
      <c r="Q52" s="155"/>
      <c r="R52" s="231">
        <f>'Avg Age'!F808</f>
        <v>10.448345182798745</v>
      </c>
      <c r="S52" s="231">
        <f>+'Rate Computation'!M49</f>
        <v>5.0181124467066933</v>
      </c>
      <c r="T52" s="231">
        <f t="shared" si="14"/>
        <v>5.0181124467066933</v>
      </c>
      <c r="U52" s="232">
        <f t="shared" si="15"/>
        <v>0</v>
      </c>
      <c r="V52" s="231">
        <f>ROUND('Plant &amp; Reserve'!G52,2)</f>
        <v>69.099999999999994</v>
      </c>
      <c r="W52" s="318">
        <f t="shared" si="16"/>
        <v>6.2E-2</v>
      </c>
      <c r="X52" s="318">
        <f t="shared" si="2"/>
        <v>6.2E-2</v>
      </c>
      <c r="Y52" s="154"/>
      <c r="Z52" s="289">
        <f t="shared" si="13"/>
        <v>-5.0000000000000044E-3</v>
      </c>
      <c r="AA52" s="154"/>
      <c r="AB52" s="214" t="s">
        <v>58</v>
      </c>
    </row>
    <row r="53" spans="1:28" x14ac:dyDescent="0.2">
      <c r="A53" s="180">
        <f>'Plant &amp; Reserve'!A53</f>
        <v>39300</v>
      </c>
      <c r="B53" s="218"/>
      <c r="C53" s="215" t="str">
        <f>'Plant &amp; Reserve'!C53</f>
        <v>Stores Equipment</v>
      </c>
      <c r="D53" s="218"/>
      <c r="E53" s="228" t="s">
        <v>652</v>
      </c>
      <c r="F53" s="229">
        <v>24</v>
      </c>
      <c r="G53" s="231">
        <v>18.5</v>
      </c>
      <c r="H53" s="229">
        <v>0</v>
      </c>
      <c r="I53" s="234">
        <v>33.5</v>
      </c>
      <c r="J53" s="289">
        <v>4.2000000000000003E-2</v>
      </c>
      <c r="K53" s="279"/>
      <c r="L53" s="210"/>
      <c r="M53" s="228" t="s">
        <v>652</v>
      </c>
      <c r="N53" s="228">
        <v>24</v>
      </c>
      <c r="O53" s="229">
        <v>0</v>
      </c>
      <c r="P53" s="230">
        <f t="shared" si="17"/>
        <v>4.2</v>
      </c>
      <c r="Q53" s="155"/>
      <c r="R53" s="231">
        <f>'Avg Age'!F911</f>
        <v>12.5</v>
      </c>
      <c r="S53" s="231">
        <f>+'Rate Computation'!M54</f>
        <v>11.5</v>
      </c>
      <c r="T53" s="231">
        <f t="shared" si="14"/>
        <v>11.5</v>
      </c>
      <c r="U53" s="232">
        <f t="shared" si="15"/>
        <v>0</v>
      </c>
      <c r="V53" s="231">
        <f>ROUND('Plant &amp; Reserve'!G53,2)</f>
        <v>50.42</v>
      </c>
      <c r="W53" s="318">
        <f t="shared" si="16"/>
        <v>4.2999999999999997E-2</v>
      </c>
      <c r="X53" s="318">
        <f t="shared" si="2"/>
        <v>4.2999999999999997E-2</v>
      </c>
      <c r="Y53" s="154"/>
      <c r="Z53" s="289">
        <f t="shared" si="13"/>
        <v>9.9999999999999395E-4</v>
      </c>
      <c r="AA53" s="154"/>
      <c r="AB53" s="214" t="s">
        <v>58</v>
      </c>
    </row>
    <row r="54" spans="1:28" x14ac:dyDescent="0.2">
      <c r="A54" s="180">
        <f>'Plant &amp; Reserve'!A54</f>
        <v>39400</v>
      </c>
      <c r="B54" s="218"/>
      <c r="C54" s="215" t="str">
        <f>'Plant &amp; Reserve'!C54</f>
        <v>Tools, Shop &amp; Garage Equip</v>
      </c>
      <c r="D54" s="218"/>
      <c r="E54" s="228" t="s">
        <v>652</v>
      </c>
      <c r="F54" s="229">
        <v>18</v>
      </c>
      <c r="G54" s="231">
        <v>11.4</v>
      </c>
      <c r="H54" s="229">
        <v>0</v>
      </c>
      <c r="I54" s="234">
        <v>45.9</v>
      </c>
      <c r="J54" s="289">
        <v>5.6000000000000001E-2</v>
      </c>
      <c r="K54" s="279"/>
      <c r="L54" s="210"/>
      <c r="M54" s="228" t="s">
        <v>652</v>
      </c>
      <c r="N54" s="228">
        <v>18</v>
      </c>
      <c r="O54" s="229">
        <v>0</v>
      </c>
      <c r="P54" s="230">
        <f t="shared" si="17"/>
        <v>5.6</v>
      </c>
      <c r="Q54" s="155"/>
      <c r="R54" s="231">
        <f>'Avg Age'!F933</f>
        <v>8.0422726035715133</v>
      </c>
      <c r="S54" s="231">
        <f>+'Rate Computation'!M55</f>
        <v>9.9824180096380797</v>
      </c>
      <c r="T54" s="231">
        <f t="shared" ref="T54:T58" si="18">IF(S54&gt;20,ROUND(S54,0),S54)</f>
        <v>9.9824180096380797</v>
      </c>
      <c r="U54" s="232">
        <f t="shared" si="15"/>
        <v>0</v>
      </c>
      <c r="V54" s="231">
        <f>ROUND('Plant &amp; Reserve'!G54,2)</f>
        <v>51.19</v>
      </c>
      <c r="W54" s="318">
        <f t="shared" si="16"/>
        <v>4.9000000000000002E-2</v>
      </c>
      <c r="X54" s="318">
        <f t="shared" si="2"/>
        <v>4.9000000000000002E-2</v>
      </c>
      <c r="Y54" s="154"/>
      <c r="Z54" s="289">
        <f t="shared" si="13"/>
        <v>-6.9999999999999993E-3</v>
      </c>
      <c r="AA54" s="154"/>
      <c r="AB54" s="214" t="s">
        <v>58</v>
      </c>
    </row>
    <row r="55" spans="1:28" x14ac:dyDescent="0.2">
      <c r="A55" s="180">
        <f>'Plant &amp; Reserve'!A55</f>
        <v>39401</v>
      </c>
      <c r="B55" s="218"/>
      <c r="C55" s="215" t="str">
        <f>'Plant &amp; Reserve'!C55</f>
        <v>CNC Station Equipment</v>
      </c>
      <c r="D55" s="218"/>
      <c r="E55" s="228" t="s">
        <v>652</v>
      </c>
      <c r="F55" s="229">
        <v>20</v>
      </c>
      <c r="G55" s="285">
        <v>16.399999999999999</v>
      </c>
      <c r="H55" s="229">
        <v>0</v>
      </c>
      <c r="I55" s="234">
        <v>17</v>
      </c>
      <c r="J55" s="289">
        <v>0.05</v>
      </c>
      <c r="K55" s="279"/>
      <c r="L55" s="210"/>
      <c r="M55" s="228" t="s">
        <v>652</v>
      </c>
      <c r="N55" s="228">
        <v>20</v>
      </c>
      <c r="O55" s="229">
        <v>0</v>
      </c>
      <c r="P55" s="230">
        <f t="shared" si="17"/>
        <v>5</v>
      </c>
      <c r="Q55" s="155"/>
      <c r="R55" s="231">
        <f>'Avg Age'!F942</f>
        <v>6.0640169154673185</v>
      </c>
      <c r="S55" s="231">
        <f>+'Rate Computation'!M56</f>
        <v>13.935983084532676</v>
      </c>
      <c r="T55" s="231">
        <f t="shared" si="18"/>
        <v>13.935983084532676</v>
      </c>
      <c r="U55" s="232">
        <f t="shared" si="15"/>
        <v>0</v>
      </c>
      <c r="V55" s="231">
        <f>ROUND('Plant &amp; Reserve'!G55,2)</f>
        <v>29.55</v>
      </c>
      <c r="W55" s="318">
        <f t="shared" si="16"/>
        <v>5.0999999999999997E-2</v>
      </c>
      <c r="X55" s="318">
        <f t="shared" si="2"/>
        <v>5.0999999999999997E-2</v>
      </c>
      <c r="Y55" s="154"/>
      <c r="Z55" s="289">
        <f t="shared" si="13"/>
        <v>9.9999999999999395E-4</v>
      </c>
      <c r="AA55" s="154"/>
      <c r="AB55" s="214" t="s">
        <v>58</v>
      </c>
    </row>
    <row r="56" spans="1:28" x14ac:dyDescent="0.2">
      <c r="A56" s="180">
        <f>'Plant &amp; Reserve'!A56</f>
        <v>39500</v>
      </c>
      <c r="B56" s="218"/>
      <c r="C56" s="215" t="str">
        <f>'Plant &amp; Reserve'!C56</f>
        <v>Laboratory Equipment</v>
      </c>
      <c r="D56" s="218"/>
      <c r="E56" s="228" t="s">
        <v>652</v>
      </c>
      <c r="F56" s="229">
        <v>20</v>
      </c>
      <c r="G56" s="231">
        <v>20</v>
      </c>
      <c r="H56" s="229">
        <v>0</v>
      </c>
      <c r="I56" s="234">
        <v>0</v>
      </c>
      <c r="J56" s="289">
        <v>0.05</v>
      </c>
      <c r="K56" s="279"/>
      <c r="L56" s="210"/>
      <c r="M56" s="228" t="s">
        <v>652</v>
      </c>
      <c r="N56" s="228">
        <v>20</v>
      </c>
      <c r="O56" s="229">
        <v>0</v>
      </c>
      <c r="P56" s="230">
        <f t="shared" si="17"/>
        <v>5</v>
      </c>
      <c r="Q56" s="155"/>
      <c r="R56" s="231"/>
      <c r="S56" s="231">
        <v>20</v>
      </c>
      <c r="T56" s="231">
        <f t="shared" si="18"/>
        <v>20</v>
      </c>
      <c r="U56" s="232">
        <f t="shared" si="15"/>
        <v>0</v>
      </c>
      <c r="V56" s="231">
        <f>ROUND('Plant &amp; Reserve'!G56,2)</f>
        <v>0</v>
      </c>
      <c r="W56" s="318">
        <f t="shared" si="16"/>
        <v>0.05</v>
      </c>
      <c r="X56" s="318">
        <f t="shared" si="2"/>
        <v>0.05</v>
      </c>
      <c r="Y56" s="154"/>
      <c r="Z56" s="289">
        <f t="shared" si="13"/>
        <v>0</v>
      </c>
      <c r="AA56" s="154"/>
      <c r="AB56" s="214" t="s">
        <v>58</v>
      </c>
    </row>
    <row r="57" spans="1:28" x14ac:dyDescent="0.2">
      <c r="A57" s="180">
        <f>'Plant &amp; Reserve'!A57</f>
        <v>39600</v>
      </c>
      <c r="B57" s="218"/>
      <c r="C57" s="215" t="str">
        <f>'Plant &amp; Reserve'!C57</f>
        <v>Power Operated Equipment</v>
      </c>
      <c r="D57" s="218"/>
      <c r="E57" s="228" t="s">
        <v>1259</v>
      </c>
      <c r="F57" s="229">
        <v>18</v>
      </c>
      <c r="G57" s="231">
        <v>11.2</v>
      </c>
      <c r="H57" s="229">
        <v>10</v>
      </c>
      <c r="I57" s="234">
        <v>60.1</v>
      </c>
      <c r="J57" s="289">
        <v>2.7E-2</v>
      </c>
      <c r="K57" s="279"/>
      <c r="L57" s="210"/>
      <c r="M57" s="228" t="s">
        <v>1259</v>
      </c>
      <c r="N57" s="228">
        <v>18</v>
      </c>
      <c r="O57" s="229">
        <v>10</v>
      </c>
      <c r="P57" s="230">
        <v>9.76</v>
      </c>
      <c r="Q57" s="155"/>
      <c r="R57" s="231">
        <f>'Avg Age'!F976</f>
        <v>9.5503597052203055</v>
      </c>
      <c r="S57" s="231">
        <f>'Rate Computation'!M57</f>
        <v>11.50286458051837</v>
      </c>
      <c r="T57" s="231">
        <f t="shared" si="18"/>
        <v>11.50286458051837</v>
      </c>
      <c r="U57" s="232">
        <f t="shared" si="15"/>
        <v>10</v>
      </c>
      <c r="V57" s="231">
        <f>ROUND('Plant &amp; Reserve'!G57,2)</f>
        <v>47.5</v>
      </c>
      <c r="W57" s="318">
        <f t="shared" si="16"/>
        <v>3.7000000000000005E-2</v>
      </c>
      <c r="X57" s="318">
        <f t="shared" si="2"/>
        <v>3.7000000000000005E-2</v>
      </c>
      <c r="Y57" s="154"/>
      <c r="Z57" s="289">
        <f t="shared" si="13"/>
        <v>1.0000000000000005E-2</v>
      </c>
      <c r="AA57" s="154"/>
      <c r="AB57" s="214" t="s">
        <v>58</v>
      </c>
    </row>
    <row r="58" spans="1:28" x14ac:dyDescent="0.2">
      <c r="A58" s="180">
        <f>'Plant &amp; Reserve'!A58</f>
        <v>39700</v>
      </c>
      <c r="B58" s="218"/>
      <c r="C58" s="215" t="str">
        <f>'Plant &amp; Reserve'!C58</f>
        <v>Communication Equipment</v>
      </c>
      <c r="D58" s="218"/>
      <c r="E58" s="228" t="s">
        <v>652</v>
      </c>
      <c r="F58" s="229">
        <v>13</v>
      </c>
      <c r="G58" s="231">
        <v>4.7</v>
      </c>
      <c r="H58" s="229">
        <v>0</v>
      </c>
      <c r="I58" s="234">
        <v>81.400000000000006</v>
      </c>
      <c r="J58" s="289">
        <v>7.6999999999999999E-2</v>
      </c>
      <c r="K58" s="279"/>
      <c r="L58" s="210"/>
      <c r="M58" s="228" t="s">
        <v>652</v>
      </c>
      <c r="N58" s="228">
        <v>13</v>
      </c>
      <c r="O58" s="229">
        <v>0</v>
      </c>
      <c r="P58" s="230">
        <f t="shared" si="17"/>
        <v>7.7</v>
      </c>
      <c r="Q58" s="155"/>
      <c r="R58" s="231">
        <f>'Avg Age'!F989</f>
        <v>11.969992727011793</v>
      </c>
      <c r="S58" s="231">
        <f>'Rate Computation'!M58</f>
        <v>1.6712045651452556</v>
      </c>
      <c r="T58" s="231">
        <f t="shared" si="18"/>
        <v>1.6712045651452556</v>
      </c>
      <c r="U58" s="232">
        <f t="shared" si="15"/>
        <v>0</v>
      </c>
      <c r="V58" s="231">
        <f>ROUND('Plant &amp; Reserve'!G58,2)</f>
        <v>99.55</v>
      </c>
      <c r="W58" s="318">
        <v>0</v>
      </c>
      <c r="X58" s="318">
        <f t="shared" si="2"/>
        <v>0</v>
      </c>
      <c r="Y58" s="154"/>
      <c r="Z58" s="289">
        <f t="shared" si="13"/>
        <v>-7.6999999999999999E-2</v>
      </c>
      <c r="AA58" s="154"/>
      <c r="AB58" s="214" t="s">
        <v>58</v>
      </c>
    </row>
    <row r="59" spans="1:28" x14ac:dyDescent="0.2">
      <c r="A59" s="180">
        <f>'Plant &amp; Reserve'!A59</f>
        <v>39800</v>
      </c>
      <c r="B59" s="218"/>
      <c r="C59" s="215" t="str">
        <f>'Plant &amp; Reserve'!C59</f>
        <v>Miscellaneous Equipment</v>
      </c>
      <c r="D59" s="218"/>
      <c r="E59" s="228" t="s">
        <v>652</v>
      </c>
      <c r="F59" s="229">
        <v>20</v>
      </c>
      <c r="G59" s="231">
        <v>16.8</v>
      </c>
      <c r="H59" s="229">
        <v>0</v>
      </c>
      <c r="I59" s="234">
        <v>-10.8</v>
      </c>
      <c r="J59" s="289">
        <v>0.05</v>
      </c>
      <c r="K59" s="279"/>
      <c r="L59" s="210"/>
      <c r="M59" s="228" t="s">
        <v>652</v>
      </c>
      <c r="N59" s="228">
        <v>20</v>
      </c>
      <c r="O59" s="229">
        <v>0</v>
      </c>
      <c r="P59" s="230">
        <f t="shared" ref="P59" si="19">IF(N59=0,0,ROUND((100-O59)/N59,1))</f>
        <v>5</v>
      </c>
      <c r="Q59" s="155"/>
      <c r="R59" s="231">
        <f>'Avg Age'!F1007</f>
        <v>3.5479634147012105</v>
      </c>
      <c r="S59" s="231">
        <f>'Rate Computation'!M59</f>
        <v>16.508388916867876</v>
      </c>
      <c r="T59" s="231">
        <f t="shared" ref="T59" si="20">IF(S59&gt;20,ROUND(S59,0),S59)</f>
        <v>16.508388916867876</v>
      </c>
      <c r="U59" s="232">
        <f t="shared" si="15"/>
        <v>0</v>
      </c>
      <c r="V59" s="231">
        <f>ROUND('Plant &amp; Reserve'!G59,2)</f>
        <v>25.57</v>
      </c>
      <c r="W59" s="318">
        <f t="shared" si="16"/>
        <v>4.4999999999999998E-2</v>
      </c>
      <c r="X59" s="318">
        <f t="shared" si="2"/>
        <v>4.4999999999999998E-2</v>
      </c>
      <c r="Y59" s="154"/>
      <c r="Z59" s="289">
        <f t="shared" si="13"/>
        <v>-5.0000000000000044E-3</v>
      </c>
      <c r="AA59" s="154"/>
      <c r="AB59" s="214" t="s">
        <v>58</v>
      </c>
    </row>
    <row r="60" spans="1:28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231"/>
      <c r="S60" s="51"/>
      <c r="T60" s="302"/>
      <c r="U60" s="302"/>
      <c r="V60" s="302"/>
      <c r="W60" s="302"/>
      <c r="X60" s="302"/>
      <c r="Y60" s="51"/>
      <c r="Z60" s="51"/>
      <c r="AA60" s="51"/>
      <c r="AB60" s="51"/>
    </row>
    <row r="61" spans="1:28" x14ac:dyDescent="0.2">
      <c r="R61" s="231"/>
    </row>
    <row r="62" spans="1:28" x14ac:dyDescent="0.2">
      <c r="R62" s="231"/>
    </row>
    <row r="63" spans="1:28" x14ac:dyDescent="0.2">
      <c r="A63" s="11">
        <v>33600</v>
      </c>
      <c r="C63" t="s">
        <v>1272</v>
      </c>
      <c r="E63" t="s">
        <v>26</v>
      </c>
      <c r="F63">
        <v>30</v>
      </c>
      <c r="G63">
        <v>30</v>
      </c>
      <c r="H63">
        <v>-5</v>
      </c>
      <c r="I63">
        <v>0</v>
      </c>
      <c r="J63" s="289">
        <v>3.5000000000000003E-2</v>
      </c>
      <c r="M63" s="143" t="s">
        <v>26</v>
      </c>
      <c r="N63" s="143">
        <v>30</v>
      </c>
      <c r="O63" s="143">
        <f>+Parameter!I55</f>
        <v>-5</v>
      </c>
      <c r="P63" s="230">
        <f t="shared" ref="P63:P65" si="21">IF(N63=0,0,ROUND((100-O63)/N63,1))</f>
        <v>3.5</v>
      </c>
      <c r="Q63" s="89" t="s">
        <v>1230</v>
      </c>
      <c r="R63" s="231">
        <f>'Avg Age'!F33</f>
        <v>1.5</v>
      </c>
      <c r="S63" s="291">
        <f>+'Rate Computation'!M66</f>
        <v>28.649208999999999</v>
      </c>
      <c r="T63" s="231">
        <f t="shared" ref="T63:T65" si="22">IF(S63&gt;20,ROUND(S63,0),S63)</f>
        <v>29</v>
      </c>
      <c r="U63">
        <v>-5</v>
      </c>
      <c r="V63" s="231">
        <f>ROUND('Plant &amp; Reserve'!G63,2)</f>
        <v>6.7</v>
      </c>
      <c r="W63" s="318">
        <f>'Rate Computation'!Q66</f>
        <v>3.4000000000000002E-2</v>
      </c>
      <c r="X63" s="318">
        <f t="shared" ref="X63:X65" si="23">W63</f>
        <v>3.4000000000000002E-2</v>
      </c>
      <c r="Y63" s="154"/>
      <c r="Z63" s="289">
        <f t="shared" ref="Z63:Z65" si="24">X63-J63</f>
        <v>-1.0000000000000009E-3</v>
      </c>
      <c r="AA63" s="154"/>
      <c r="AB63" s="214" t="s">
        <v>58</v>
      </c>
    </row>
    <row r="64" spans="1:28" s="143" customFormat="1" x14ac:dyDescent="0.2">
      <c r="A64" s="11">
        <v>33601</v>
      </c>
      <c r="C64" s="89" t="s">
        <v>1362</v>
      </c>
      <c r="E64" s="143" t="s">
        <v>26</v>
      </c>
      <c r="F64" s="143">
        <v>30</v>
      </c>
      <c r="J64" s="289"/>
      <c r="M64" s="143" t="str">
        <f>+Parameter!H56</f>
        <v>SQ</v>
      </c>
      <c r="N64" s="143">
        <f>+Parameter!G56</f>
        <v>15</v>
      </c>
      <c r="O64" s="143">
        <f>+Parameter!I56</f>
        <v>0</v>
      </c>
      <c r="P64" s="230">
        <f t="shared" si="21"/>
        <v>6.7</v>
      </c>
      <c r="Q64" s="89" t="s">
        <v>1230</v>
      </c>
      <c r="R64" s="231">
        <f>'Avg Age'!F36</f>
        <v>1.5</v>
      </c>
      <c r="S64" s="291">
        <v>13.5</v>
      </c>
      <c r="T64" s="231">
        <f t="shared" ref="T64" si="25">IF(S64&gt;20,ROUND(S64,0),S64)</f>
        <v>13.5</v>
      </c>
      <c r="U64" s="143">
        <f>+Parameter!I56</f>
        <v>0</v>
      </c>
      <c r="V64" s="231">
        <f>ROUND('Plant &amp; Reserve'!G64,2)</f>
        <v>12.2</v>
      </c>
      <c r="W64" s="318">
        <v>6.7000000000000004E-2</v>
      </c>
      <c r="X64" s="318">
        <f t="shared" si="23"/>
        <v>6.7000000000000004E-2</v>
      </c>
      <c r="Y64" s="154"/>
      <c r="Z64" s="289">
        <f t="shared" si="24"/>
        <v>6.7000000000000004E-2</v>
      </c>
      <c r="AA64" s="154"/>
      <c r="AB64" s="214" t="s">
        <v>58</v>
      </c>
    </row>
    <row r="65" spans="1:26" x14ac:dyDescent="0.2">
      <c r="A65" s="11">
        <v>36400</v>
      </c>
      <c r="C65" t="s">
        <v>1273</v>
      </c>
      <c r="E65" t="s">
        <v>26</v>
      </c>
      <c r="F65">
        <v>30</v>
      </c>
      <c r="G65">
        <v>30</v>
      </c>
      <c r="H65">
        <v>-5</v>
      </c>
      <c r="I65">
        <v>0</v>
      </c>
      <c r="J65" s="289">
        <v>3.5000000000000003E-2</v>
      </c>
      <c r="M65" s="143" t="s">
        <v>26</v>
      </c>
      <c r="N65" s="143">
        <v>30</v>
      </c>
      <c r="O65" s="143">
        <f>+Parameter!I57</f>
        <v>-5</v>
      </c>
      <c r="P65" s="230">
        <f t="shared" si="21"/>
        <v>3.5</v>
      </c>
      <c r="Q65" s="89" t="s">
        <v>1230</v>
      </c>
      <c r="R65" s="231">
        <f>'Avg Age'!F40</f>
        <v>1.4880428053244104</v>
      </c>
      <c r="S65" s="291">
        <f>+'Rate Computation'!M68</f>
        <v>28.659952957917831</v>
      </c>
      <c r="T65" s="231">
        <f t="shared" si="22"/>
        <v>29</v>
      </c>
      <c r="U65">
        <v>-5</v>
      </c>
      <c r="V65" s="231">
        <f>ROUND('Plant &amp; Reserve'!G65,2)</f>
        <v>5.29</v>
      </c>
      <c r="W65" s="318">
        <f>'Rate Computation'!Q68</f>
        <v>3.5000000000000003E-2</v>
      </c>
      <c r="X65" s="318">
        <f t="shared" si="23"/>
        <v>3.5000000000000003E-2</v>
      </c>
      <c r="Z65" s="289">
        <f t="shared" si="24"/>
        <v>0</v>
      </c>
    </row>
    <row r="66" spans="1:26" x14ac:dyDescent="0.2">
      <c r="J66" s="289"/>
      <c r="M66" s="143"/>
      <c r="N66" s="143"/>
      <c r="O66" s="143"/>
      <c r="P66" s="230"/>
      <c r="Q66" s="89"/>
      <c r="R66" s="289"/>
      <c r="S66" s="291"/>
      <c r="W66" s="318"/>
    </row>
    <row r="67" spans="1:26" x14ac:dyDescent="0.2">
      <c r="W67" s="318"/>
    </row>
    <row r="68" spans="1:26" x14ac:dyDescent="0.2">
      <c r="W68" s="318"/>
    </row>
    <row r="69" spans="1:26" x14ac:dyDescent="0.2">
      <c r="W69" s="318"/>
    </row>
  </sheetData>
  <phoneticPr fontId="0" type="noConversion"/>
  <conditionalFormatting sqref="M16:N59">
    <cfRule type="cellIs" dxfId="4" priority="15" operator="notEqual">
      <formula>E16</formula>
    </cfRule>
  </conditionalFormatting>
  <conditionalFormatting sqref="O16:O59">
    <cfRule type="cellIs" dxfId="3" priority="14" operator="notEqual">
      <formula>H16</formula>
    </cfRule>
  </conditionalFormatting>
  <conditionalFormatting sqref="U38:U41">
    <cfRule type="cellIs" dxfId="2" priority="1" operator="notEqual">
      <formula>N38</formula>
    </cfRule>
  </conditionalFormatting>
  <printOptions horizontalCentered="1"/>
  <pageMargins left="0.5" right="0.5" top="0.5" bottom="0.5" header="0.3" footer="0.3"/>
  <pageSetup scale="71" fitToHeight="2" orientation="landscape" blackAndWhite="1" r:id="rId1"/>
  <headerFooter alignWithMargins="0"/>
  <rowBreaks count="1" manualBreakCount="1">
    <brk id="34" max="23" man="1"/>
  </rowBreaks>
  <customProperties>
    <customPr name="EpmWorksheetKeyString_GUID" r:id="rId2"/>
  </customProperties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7"/>
    <pageSetUpPr fitToPage="1"/>
  </sheetPr>
  <dimension ref="A1:L75"/>
  <sheetViews>
    <sheetView zoomScale="80" zoomScaleNormal="80" workbookViewId="0">
      <pane xSplit="2" ySplit="4" topLeftCell="C5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ColWidth="10.85546875" defaultRowHeight="12.75" x14ac:dyDescent="0.2"/>
  <cols>
    <col min="1" max="1" width="38.85546875" style="143" bestFit="1" customWidth="1"/>
    <col min="2" max="2" width="9.85546875" style="143" customWidth="1"/>
    <col min="3" max="3" width="13.28515625" style="143" customWidth="1"/>
    <col min="4" max="4" width="18.85546875" style="143" customWidth="1"/>
    <col min="5" max="5" width="18.42578125" style="143" customWidth="1"/>
    <col min="6" max="6" width="11.7109375" style="143" customWidth="1"/>
    <col min="7" max="7" width="14.5703125" style="143" customWidth="1"/>
    <col min="8" max="8" width="16.7109375" style="143" customWidth="1"/>
    <col min="9" max="9" width="13.28515625" style="143" customWidth="1"/>
    <col min="10" max="10" width="17.7109375" style="143" customWidth="1"/>
    <col min="11" max="11" width="12.28515625" style="143" bestFit="1" customWidth="1"/>
    <col min="12" max="16384" width="10.85546875" style="143"/>
  </cols>
  <sheetData>
    <row r="1" spans="1:12" ht="15.75" x14ac:dyDescent="0.25">
      <c r="A1" s="70" t="s">
        <v>129</v>
      </c>
      <c r="B1" s="71"/>
      <c r="E1" s="128" t="s">
        <v>677</v>
      </c>
      <c r="J1" s="72" t="s">
        <v>179</v>
      </c>
    </row>
    <row r="3" spans="1:12" x14ac:dyDescent="0.2">
      <c r="A3" s="73"/>
      <c r="B3" s="74"/>
      <c r="C3" s="81" t="s">
        <v>131</v>
      </c>
      <c r="D3" s="74"/>
      <c r="E3" s="74"/>
      <c r="F3" s="74"/>
      <c r="G3" s="74"/>
      <c r="H3" s="74"/>
      <c r="I3" s="74"/>
      <c r="J3" s="75"/>
    </row>
    <row r="4" spans="1:12" x14ac:dyDescent="0.2">
      <c r="A4" s="81" t="s">
        <v>123</v>
      </c>
      <c r="B4" s="81" t="s">
        <v>9</v>
      </c>
      <c r="C4" s="129" t="s">
        <v>132</v>
      </c>
      <c r="D4" s="130" t="s">
        <v>180</v>
      </c>
      <c r="E4" s="130" t="s">
        <v>134</v>
      </c>
      <c r="F4" s="130" t="s">
        <v>182</v>
      </c>
      <c r="G4" s="130" t="s">
        <v>181</v>
      </c>
      <c r="H4" s="130" t="s">
        <v>135</v>
      </c>
      <c r="I4" s="130" t="s">
        <v>136</v>
      </c>
      <c r="J4" s="131" t="s">
        <v>137</v>
      </c>
    </row>
    <row r="5" spans="1:12" x14ac:dyDescent="0.2">
      <c r="A5" s="73" t="s">
        <v>138</v>
      </c>
      <c r="B5" s="76">
        <v>30100</v>
      </c>
      <c r="C5" s="77">
        <v>-3116.4300000000003</v>
      </c>
      <c r="D5" s="78">
        <v>0</v>
      </c>
      <c r="E5" s="78">
        <v>0</v>
      </c>
      <c r="F5" s="78">
        <v>0</v>
      </c>
      <c r="G5" s="78">
        <v>0</v>
      </c>
      <c r="H5" s="78">
        <v>0</v>
      </c>
      <c r="I5" s="78">
        <v>-3116.4300000000003</v>
      </c>
      <c r="J5" s="79">
        <v>-3116.4300000000003</v>
      </c>
    </row>
    <row r="6" spans="1:12" x14ac:dyDescent="0.2">
      <c r="A6" s="73" t="s">
        <v>139</v>
      </c>
      <c r="B6" s="76">
        <v>30200</v>
      </c>
      <c r="C6" s="77">
        <v>-1.9258550310041755E-10</v>
      </c>
      <c r="D6" s="78">
        <v>0</v>
      </c>
      <c r="E6" s="78">
        <v>0</v>
      </c>
      <c r="F6" s="78">
        <v>0</v>
      </c>
      <c r="G6" s="78">
        <v>0</v>
      </c>
      <c r="H6" s="78">
        <v>0</v>
      </c>
      <c r="I6" s="78">
        <v>-1.9258550310041755E-10</v>
      </c>
      <c r="J6" s="79">
        <v>-1.9258550310041755E-10</v>
      </c>
    </row>
    <row r="7" spans="1:12" x14ac:dyDescent="0.2">
      <c r="A7" s="73" t="s">
        <v>140</v>
      </c>
      <c r="B7" s="76">
        <v>30300</v>
      </c>
      <c r="C7" s="77">
        <v>-724877.96999999904</v>
      </c>
      <c r="D7" s="78">
        <v>-32613</v>
      </c>
      <c r="E7" s="78">
        <v>0</v>
      </c>
      <c r="F7" s="78">
        <v>0</v>
      </c>
      <c r="G7" s="78">
        <v>0</v>
      </c>
      <c r="H7" s="78">
        <v>0</v>
      </c>
      <c r="I7" s="78">
        <v>-757490.96999999904</v>
      </c>
      <c r="J7" s="79">
        <v>-741184.46999999904</v>
      </c>
    </row>
    <row r="8" spans="1:12" x14ac:dyDescent="0.2">
      <c r="A8" s="73" t="s">
        <v>141</v>
      </c>
      <c r="B8" s="76">
        <v>30301</v>
      </c>
      <c r="C8" s="77">
        <v>-16495213.029999999</v>
      </c>
      <c r="D8" s="78">
        <v>-1696894.75</v>
      </c>
      <c r="E8" s="78">
        <v>5854250.0299999993</v>
      </c>
      <c r="F8" s="78">
        <v>0</v>
      </c>
      <c r="G8" s="78">
        <v>0</v>
      </c>
      <c r="H8" s="78">
        <v>0</v>
      </c>
      <c r="I8" s="78">
        <v>-12337857.75</v>
      </c>
      <c r="J8" s="79">
        <v>-12389272.936923077</v>
      </c>
    </row>
    <row r="9" spans="1:12" x14ac:dyDescent="0.2">
      <c r="A9" s="73" t="s">
        <v>671</v>
      </c>
      <c r="B9" s="76">
        <v>30302</v>
      </c>
      <c r="C9" s="77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9">
        <v>0</v>
      </c>
    </row>
    <row r="10" spans="1:12" x14ac:dyDescent="0.2">
      <c r="A10" s="73" t="s">
        <v>142</v>
      </c>
      <c r="B10" s="76">
        <v>37400</v>
      </c>
      <c r="C10" s="77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9">
        <v>0</v>
      </c>
    </row>
    <row r="11" spans="1:12" x14ac:dyDescent="0.2">
      <c r="A11" s="73" t="s">
        <v>143</v>
      </c>
      <c r="B11" s="76">
        <v>37402</v>
      </c>
      <c r="C11" s="77">
        <v>-621779.84999999951</v>
      </c>
      <c r="D11" s="78">
        <v>-32885.699999999997</v>
      </c>
      <c r="E11" s="78">
        <v>0</v>
      </c>
      <c r="F11" s="78">
        <v>0</v>
      </c>
      <c r="G11" s="78">
        <v>0</v>
      </c>
      <c r="H11" s="78">
        <v>0</v>
      </c>
      <c r="I11" s="78">
        <v>-654665.54999999981</v>
      </c>
      <c r="J11" s="79">
        <v>-637024.35769230709</v>
      </c>
    </row>
    <row r="12" spans="1:12" x14ac:dyDescent="0.2">
      <c r="A12" s="73" t="s">
        <v>144</v>
      </c>
      <c r="B12" s="76">
        <v>37500</v>
      </c>
      <c r="C12" s="77">
        <v>-7452718.2000000002</v>
      </c>
      <c r="D12" s="78">
        <v>-476023.06999999995</v>
      </c>
      <c r="E12" s="78">
        <v>0</v>
      </c>
      <c r="F12" s="78">
        <v>0</v>
      </c>
      <c r="G12" s="78">
        <v>0</v>
      </c>
      <c r="H12" s="78">
        <v>0</v>
      </c>
      <c r="I12" s="78">
        <v>-7928741.2700000014</v>
      </c>
      <c r="J12" s="79">
        <v>-7689350.5546153858</v>
      </c>
      <c r="L12" s="13"/>
    </row>
    <row r="13" spans="1:12" x14ac:dyDescent="0.2">
      <c r="A13" s="73" t="s">
        <v>145</v>
      </c>
      <c r="B13" s="76">
        <v>37600</v>
      </c>
      <c r="C13" s="77">
        <v>-206745843.82999998</v>
      </c>
      <c r="D13" s="78">
        <v>-15969078.390000001</v>
      </c>
      <c r="E13" s="78">
        <v>2271521.1100000003</v>
      </c>
      <c r="F13" s="78">
        <v>2412466.77</v>
      </c>
      <c r="G13" s="78">
        <v>10637.26</v>
      </c>
      <c r="H13" s="78">
        <v>0</v>
      </c>
      <c r="I13" s="78">
        <v>-218020297.08000004</v>
      </c>
      <c r="J13" s="79">
        <v>-212201197.14461544</v>
      </c>
      <c r="L13" s="13"/>
    </row>
    <row r="14" spans="1:12" x14ac:dyDescent="0.2">
      <c r="A14" s="73" t="s">
        <v>146</v>
      </c>
      <c r="B14" s="76">
        <v>37602</v>
      </c>
      <c r="C14" s="77">
        <v>-126680258.59000005</v>
      </c>
      <c r="D14" s="78">
        <v>-11723953.089999998</v>
      </c>
      <c r="E14" s="78">
        <v>543219.1</v>
      </c>
      <c r="F14" s="78">
        <v>677922.17</v>
      </c>
      <c r="G14" s="78">
        <v>-1247.5100000000002</v>
      </c>
      <c r="H14" s="78">
        <v>0</v>
      </c>
      <c r="I14" s="78">
        <v>-137184317.92000005</v>
      </c>
      <c r="J14" s="79">
        <v>-131873508.83153853</v>
      </c>
      <c r="L14" s="13"/>
    </row>
    <row r="15" spans="1:12" x14ac:dyDescent="0.2">
      <c r="A15" s="73" t="s">
        <v>147</v>
      </c>
      <c r="B15" s="76">
        <v>37800</v>
      </c>
      <c r="C15" s="77">
        <v>-2786056.5599999991</v>
      </c>
      <c r="D15" s="78">
        <v>-401586.31</v>
      </c>
      <c r="E15" s="78">
        <v>76233.399999999994</v>
      </c>
      <c r="F15" s="78">
        <v>31075.09</v>
      </c>
      <c r="G15" s="78">
        <v>0</v>
      </c>
      <c r="H15" s="78">
        <v>0</v>
      </c>
      <c r="I15" s="78">
        <v>-3080334.3799999994</v>
      </c>
      <c r="J15" s="79">
        <v>-2921796.2561538462</v>
      </c>
    </row>
    <row r="16" spans="1:12" x14ac:dyDescent="0.2">
      <c r="A16" s="73" t="s">
        <v>148</v>
      </c>
      <c r="B16" s="76">
        <v>37900</v>
      </c>
      <c r="C16" s="77">
        <v>-6507150.1899999976</v>
      </c>
      <c r="D16" s="78">
        <v>-1142582.17</v>
      </c>
      <c r="E16" s="78">
        <v>6130.88</v>
      </c>
      <c r="F16" s="78">
        <v>5882.36</v>
      </c>
      <c r="G16" s="78">
        <v>0</v>
      </c>
      <c r="H16" s="78">
        <v>0</v>
      </c>
      <c r="I16" s="78">
        <v>-7637719.1199999973</v>
      </c>
      <c r="J16" s="79">
        <v>-7074522.1169230724</v>
      </c>
    </row>
    <row r="17" spans="1:10" x14ac:dyDescent="0.2">
      <c r="A17" s="73" t="s">
        <v>149</v>
      </c>
      <c r="B17" s="76">
        <v>38000</v>
      </c>
      <c r="C17" s="77">
        <v>-50389425.689999998</v>
      </c>
      <c r="D17" s="78">
        <v>-3006008.8599999994</v>
      </c>
      <c r="E17" s="78">
        <v>297928.00000000012</v>
      </c>
      <c r="F17" s="78">
        <v>1613137.71</v>
      </c>
      <c r="G17" s="78">
        <v>-84</v>
      </c>
      <c r="H17" s="78">
        <v>0</v>
      </c>
      <c r="I17" s="78">
        <v>-51484452.840000011</v>
      </c>
      <c r="J17" s="79">
        <v>-51041035.113076933</v>
      </c>
    </row>
    <row r="18" spans="1:10" x14ac:dyDescent="0.2">
      <c r="A18" s="73" t="s">
        <v>150</v>
      </c>
      <c r="B18" s="76">
        <v>38002</v>
      </c>
      <c r="C18" s="77">
        <v>-124309897.25</v>
      </c>
      <c r="D18" s="78">
        <v>-11878740.950000001</v>
      </c>
      <c r="E18" s="78">
        <v>396791.63999999996</v>
      </c>
      <c r="F18" s="78">
        <v>1313550.27</v>
      </c>
      <c r="G18" s="78">
        <v>-833.85</v>
      </c>
      <c r="H18" s="78">
        <v>0</v>
      </c>
      <c r="I18" s="78">
        <v>-134479130.13999996</v>
      </c>
      <c r="J18" s="79">
        <v>-129452352.57538462</v>
      </c>
    </row>
    <row r="19" spans="1:10" x14ac:dyDescent="0.2">
      <c r="A19" s="73" t="s">
        <v>151</v>
      </c>
      <c r="B19" s="76">
        <v>38100</v>
      </c>
      <c r="C19" s="77">
        <v>-19327065.189999986</v>
      </c>
      <c r="D19" s="78">
        <v>-3582096.86</v>
      </c>
      <c r="E19" s="78">
        <v>1076327.8500000001</v>
      </c>
      <c r="F19" s="78">
        <v>24117.77</v>
      </c>
      <c r="G19" s="78">
        <v>-66484.55</v>
      </c>
      <c r="H19" s="78">
        <v>0</v>
      </c>
      <c r="I19" s="78">
        <v>-21875200.979999986</v>
      </c>
      <c r="J19" s="79">
        <v>-20488774.419999983</v>
      </c>
    </row>
    <row r="20" spans="1:10" x14ac:dyDescent="0.2">
      <c r="A20" s="73" t="s">
        <v>152</v>
      </c>
      <c r="B20" s="76">
        <v>38200</v>
      </c>
      <c r="C20" s="77">
        <v>-24199187.63000001</v>
      </c>
      <c r="D20" s="78">
        <v>-2159999.27</v>
      </c>
      <c r="E20" s="78">
        <v>319302.69</v>
      </c>
      <c r="F20" s="78">
        <v>210018.38</v>
      </c>
      <c r="G20" s="78">
        <v>0</v>
      </c>
      <c r="H20" s="78">
        <v>0</v>
      </c>
      <c r="I20" s="78">
        <v>-25829865.830000002</v>
      </c>
      <c r="J20" s="79">
        <v>-25096179.611538462</v>
      </c>
    </row>
    <row r="21" spans="1:10" x14ac:dyDescent="0.2">
      <c r="A21" s="73" t="s">
        <v>153</v>
      </c>
      <c r="B21" s="76">
        <v>38300</v>
      </c>
      <c r="C21" s="77">
        <v>-6065954.2000000002</v>
      </c>
      <c r="D21" s="78">
        <v>-516509.86</v>
      </c>
      <c r="E21" s="78">
        <v>64582.04</v>
      </c>
      <c r="F21" s="78">
        <v>0</v>
      </c>
      <c r="G21" s="78">
        <v>0</v>
      </c>
      <c r="H21" s="78">
        <v>0</v>
      </c>
      <c r="I21" s="78">
        <v>-6517882.0200000005</v>
      </c>
      <c r="J21" s="79">
        <v>-6317747.0530769248</v>
      </c>
    </row>
    <row r="22" spans="1:10" x14ac:dyDescent="0.2">
      <c r="A22" s="73" t="s">
        <v>154</v>
      </c>
      <c r="B22" s="76">
        <v>38400</v>
      </c>
      <c r="C22" s="77">
        <v>-9270617.2400000002</v>
      </c>
      <c r="D22" s="78">
        <v>-879122.80999999994</v>
      </c>
      <c r="E22" s="78">
        <v>78463.209999999992</v>
      </c>
      <c r="F22" s="78">
        <v>167547.76999999999</v>
      </c>
      <c r="G22" s="78">
        <v>0</v>
      </c>
      <c r="H22" s="78">
        <v>0</v>
      </c>
      <c r="I22" s="78">
        <v>-9903729.0699999966</v>
      </c>
      <c r="J22" s="79">
        <v>-9587507.6807692274</v>
      </c>
    </row>
    <row r="23" spans="1:10" x14ac:dyDescent="0.2">
      <c r="A23" s="73" t="s">
        <v>155</v>
      </c>
      <c r="B23" s="76">
        <v>38500</v>
      </c>
      <c r="C23" s="77">
        <v>-5169257.5599999996</v>
      </c>
      <c r="D23" s="78">
        <v>-282188.49999999994</v>
      </c>
      <c r="E23" s="78">
        <v>23703.08</v>
      </c>
      <c r="F23" s="78">
        <v>729.57</v>
      </c>
      <c r="G23" s="78">
        <v>0</v>
      </c>
      <c r="H23" s="78">
        <v>0</v>
      </c>
      <c r="I23" s="78">
        <v>-5427013.4100000001</v>
      </c>
      <c r="J23" s="79">
        <v>-5299182.1715384638</v>
      </c>
    </row>
    <row r="24" spans="1:10" x14ac:dyDescent="0.2">
      <c r="A24" s="73" t="s">
        <v>673</v>
      </c>
      <c r="B24" s="76">
        <v>38602</v>
      </c>
      <c r="C24" s="77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  <c r="I24" s="78">
        <v>0</v>
      </c>
      <c r="J24" s="79">
        <v>0</v>
      </c>
    </row>
    <row r="25" spans="1:10" x14ac:dyDescent="0.2">
      <c r="A25" s="73" t="s">
        <v>674</v>
      </c>
      <c r="B25" s="76">
        <v>38608</v>
      </c>
      <c r="C25" s="77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  <c r="I25" s="78">
        <v>0</v>
      </c>
      <c r="J25" s="79">
        <v>0</v>
      </c>
    </row>
    <row r="26" spans="1:10" x14ac:dyDescent="0.2">
      <c r="A26" s="73" t="s">
        <v>156</v>
      </c>
      <c r="B26" s="76">
        <v>38700</v>
      </c>
      <c r="C26" s="77">
        <v>-1837412.2899999996</v>
      </c>
      <c r="D26" s="78">
        <v>-351229.86999999994</v>
      </c>
      <c r="E26" s="78">
        <v>0</v>
      </c>
      <c r="F26" s="78">
        <v>0</v>
      </c>
      <c r="G26" s="78">
        <v>0</v>
      </c>
      <c r="H26" s="78">
        <v>0</v>
      </c>
      <c r="I26" s="78">
        <v>-2188642.1599999997</v>
      </c>
      <c r="J26" s="79">
        <v>-2011012.3623076926</v>
      </c>
    </row>
    <row r="27" spans="1:10" x14ac:dyDescent="0.2">
      <c r="A27" s="73" t="s">
        <v>157</v>
      </c>
      <c r="B27" s="76">
        <v>39000</v>
      </c>
      <c r="C27" s="77">
        <v>-10589.809999999972</v>
      </c>
      <c r="D27" s="78">
        <v>-296.01000000000005</v>
      </c>
      <c r="E27" s="78">
        <v>0</v>
      </c>
      <c r="F27" s="78">
        <v>0</v>
      </c>
      <c r="G27" s="78">
        <v>0</v>
      </c>
      <c r="H27" s="78">
        <v>0</v>
      </c>
      <c r="I27" s="78">
        <v>-10885.819999999974</v>
      </c>
      <c r="J27" s="79">
        <v>-10722.34538461535</v>
      </c>
    </row>
    <row r="28" spans="1:10" x14ac:dyDescent="0.2">
      <c r="A28" s="73" t="s">
        <v>158</v>
      </c>
      <c r="B28" s="76">
        <v>39002</v>
      </c>
      <c r="C28" s="77">
        <v>-7066.9999999999955</v>
      </c>
      <c r="D28" s="78">
        <v>-3069.9800000000009</v>
      </c>
      <c r="E28" s="78">
        <v>0</v>
      </c>
      <c r="F28" s="78">
        <v>0</v>
      </c>
      <c r="G28" s="78">
        <v>0</v>
      </c>
      <c r="H28" s="78">
        <v>0</v>
      </c>
      <c r="I28" s="78">
        <v>-10136.979999999996</v>
      </c>
      <c r="J28" s="79">
        <v>-8591.0661538461482</v>
      </c>
    </row>
    <row r="29" spans="1:10" x14ac:dyDescent="0.2">
      <c r="A29" s="73" t="s">
        <v>159</v>
      </c>
      <c r="B29" s="76">
        <v>39100</v>
      </c>
      <c r="C29" s="77">
        <v>-1156788.070000001</v>
      </c>
      <c r="D29" s="78">
        <v>-101696.21</v>
      </c>
      <c r="E29" s="78">
        <v>576000</v>
      </c>
      <c r="F29" s="78">
        <v>0</v>
      </c>
      <c r="G29" s="78">
        <v>0</v>
      </c>
      <c r="H29" s="78">
        <v>0</v>
      </c>
      <c r="I29" s="78">
        <v>-682484.28000000073</v>
      </c>
      <c r="J29" s="79">
        <v>-721908.76384615456</v>
      </c>
    </row>
    <row r="30" spans="1:10" x14ac:dyDescent="0.2">
      <c r="A30" s="73" t="s">
        <v>160</v>
      </c>
      <c r="B30" s="76">
        <v>39101</v>
      </c>
      <c r="C30" s="77">
        <v>-4470519.9400000023</v>
      </c>
      <c r="D30" s="78">
        <v>-667907.09000000008</v>
      </c>
      <c r="E30" s="78">
        <v>933953.06</v>
      </c>
      <c r="F30" s="78">
        <v>0</v>
      </c>
      <c r="G30" s="78">
        <v>0</v>
      </c>
      <c r="H30" s="78">
        <v>0</v>
      </c>
      <c r="I30" s="78">
        <v>-4204473.9700000025</v>
      </c>
      <c r="J30" s="79">
        <v>-4019942.3846153873</v>
      </c>
    </row>
    <row r="31" spans="1:10" x14ac:dyDescent="0.2">
      <c r="A31" s="73" t="s">
        <v>161</v>
      </c>
      <c r="B31" s="76">
        <v>39102</v>
      </c>
      <c r="C31" s="77">
        <v>-231711.42999999956</v>
      </c>
      <c r="D31" s="78">
        <v>-57655.649999999994</v>
      </c>
      <c r="E31" s="78">
        <v>0</v>
      </c>
      <c r="F31" s="78">
        <v>0</v>
      </c>
      <c r="G31" s="78">
        <v>0</v>
      </c>
      <c r="H31" s="78">
        <v>0</v>
      </c>
      <c r="I31" s="78">
        <v>-289367.07999999955</v>
      </c>
      <c r="J31" s="79">
        <v>-260210.35923076887</v>
      </c>
    </row>
    <row r="32" spans="1:10" x14ac:dyDescent="0.2">
      <c r="A32" s="73" t="s">
        <v>162</v>
      </c>
      <c r="B32" s="76">
        <v>39103</v>
      </c>
      <c r="C32" s="77">
        <v>0</v>
      </c>
      <c r="D32" s="78">
        <v>0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9">
        <v>0</v>
      </c>
    </row>
    <row r="33" spans="1:10" x14ac:dyDescent="0.2">
      <c r="A33" s="73" t="s">
        <v>163</v>
      </c>
      <c r="B33" s="76">
        <v>39201</v>
      </c>
      <c r="C33" s="77">
        <v>-2596486.17</v>
      </c>
      <c r="D33" s="78">
        <v>-795656.48</v>
      </c>
      <c r="E33" s="78">
        <v>248255.03</v>
      </c>
      <c r="F33" s="78">
        <v>5200.1000000000004</v>
      </c>
      <c r="G33" s="78">
        <v>-57615.3</v>
      </c>
      <c r="H33" s="78">
        <v>0</v>
      </c>
      <c r="I33" s="78">
        <v>-3196302.8199999994</v>
      </c>
      <c r="J33" s="79">
        <v>-2851568.7899999996</v>
      </c>
    </row>
    <row r="34" spans="1:10" x14ac:dyDescent="0.2">
      <c r="A34" s="73" t="s">
        <v>164</v>
      </c>
      <c r="B34" s="76">
        <v>39202</v>
      </c>
      <c r="C34" s="77">
        <v>-3435958.8699999992</v>
      </c>
      <c r="D34" s="78">
        <v>-808623.02</v>
      </c>
      <c r="E34" s="78">
        <v>425514.52999999997</v>
      </c>
      <c r="F34" s="78">
        <v>2970.16</v>
      </c>
      <c r="G34" s="78">
        <v>-83279.7</v>
      </c>
      <c r="H34" s="78">
        <v>0</v>
      </c>
      <c r="I34" s="78">
        <v>-3899376.8999999994</v>
      </c>
      <c r="J34" s="79">
        <v>-3648077.6038461532</v>
      </c>
    </row>
    <row r="35" spans="1:10" x14ac:dyDescent="0.2">
      <c r="A35" s="73" t="s">
        <v>165</v>
      </c>
      <c r="B35" s="76">
        <v>39203</v>
      </c>
      <c r="C35" s="77">
        <v>0.4599999999627471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  <c r="I35" s="78">
        <v>0.4599999999627471</v>
      </c>
      <c r="J35" s="79">
        <v>0.4599999999627471</v>
      </c>
    </row>
    <row r="36" spans="1:10" x14ac:dyDescent="0.2">
      <c r="A36" s="73" t="s">
        <v>166</v>
      </c>
      <c r="B36" s="76">
        <v>39204</v>
      </c>
      <c r="C36" s="77">
        <v>-167460.75999999989</v>
      </c>
      <c r="D36" s="78">
        <v>-46001.94000000001</v>
      </c>
      <c r="E36" s="78">
        <v>2292.7399999999998</v>
      </c>
      <c r="F36" s="78">
        <v>0</v>
      </c>
      <c r="G36" s="78">
        <v>-50</v>
      </c>
      <c r="H36" s="78">
        <v>0</v>
      </c>
      <c r="I36" s="78">
        <v>-211219.95999999993</v>
      </c>
      <c r="J36" s="79">
        <v>-189422.18846153838</v>
      </c>
    </row>
    <row r="37" spans="1:10" x14ac:dyDescent="0.2">
      <c r="A37" s="73" t="s">
        <v>167</v>
      </c>
      <c r="B37" s="76">
        <v>39205</v>
      </c>
      <c r="C37" s="77">
        <v>-585830.0399999998</v>
      </c>
      <c r="D37" s="78">
        <v>-116292.23999999999</v>
      </c>
      <c r="E37" s="78">
        <v>32788.949999999997</v>
      </c>
      <c r="F37" s="78">
        <v>0</v>
      </c>
      <c r="G37" s="78">
        <v>-515</v>
      </c>
      <c r="H37" s="78">
        <v>0</v>
      </c>
      <c r="I37" s="78">
        <v>-669848.32999999996</v>
      </c>
      <c r="J37" s="79">
        <v>-624772.26230769197</v>
      </c>
    </row>
    <row r="38" spans="1:10" x14ac:dyDescent="0.2">
      <c r="A38" s="73" t="s">
        <v>168</v>
      </c>
      <c r="B38" s="76">
        <v>39300</v>
      </c>
      <c r="C38" s="77">
        <v>4615.2299999999341</v>
      </c>
      <c r="D38" s="78">
        <v>-47.080000000000005</v>
      </c>
      <c r="E38" s="78">
        <v>0</v>
      </c>
      <c r="F38" s="78">
        <v>0</v>
      </c>
      <c r="G38" s="78">
        <v>0</v>
      </c>
      <c r="H38" s="78">
        <v>0</v>
      </c>
      <c r="I38" s="78">
        <v>4568.1499999999342</v>
      </c>
      <c r="J38" s="79">
        <v>4593.5007692307026</v>
      </c>
    </row>
    <row r="39" spans="1:10" x14ac:dyDescent="0.2">
      <c r="A39" s="73" t="s">
        <v>169</v>
      </c>
      <c r="B39" s="76">
        <v>39400</v>
      </c>
      <c r="C39" s="77">
        <v>-850578.37000000046</v>
      </c>
      <c r="D39" s="78">
        <v>-335370.61</v>
      </c>
      <c r="E39" s="78">
        <v>10941.39</v>
      </c>
      <c r="F39" s="78">
        <v>0</v>
      </c>
      <c r="G39" s="78">
        <v>0</v>
      </c>
      <c r="H39" s="78">
        <v>0</v>
      </c>
      <c r="I39" s="78">
        <v>-1175007.5900000001</v>
      </c>
      <c r="J39" s="79">
        <v>-998131.09230769263</v>
      </c>
    </row>
    <row r="40" spans="1:10" x14ac:dyDescent="0.2">
      <c r="A40" s="73" t="s">
        <v>666</v>
      </c>
      <c r="B40" s="76">
        <v>39401</v>
      </c>
      <c r="C40" s="77">
        <v>0</v>
      </c>
      <c r="D40" s="78">
        <v>-467.17000000000007</v>
      </c>
      <c r="E40" s="78">
        <v>0</v>
      </c>
      <c r="F40" s="78">
        <v>0</v>
      </c>
      <c r="G40" s="78">
        <v>0</v>
      </c>
      <c r="H40" s="78">
        <v>0</v>
      </c>
      <c r="I40" s="78">
        <v>-467.17000000000007</v>
      </c>
      <c r="J40" s="79">
        <v>-215.61692307692309</v>
      </c>
    </row>
    <row r="41" spans="1:10" x14ac:dyDescent="0.2">
      <c r="A41" s="73" t="s">
        <v>170</v>
      </c>
      <c r="B41" s="76">
        <v>39500</v>
      </c>
      <c r="C41" s="77">
        <v>14417.43999999985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  <c r="I41" s="78">
        <v>14417.43999999985</v>
      </c>
      <c r="J41" s="79">
        <v>14417.439999999857</v>
      </c>
    </row>
    <row r="42" spans="1:10" x14ac:dyDescent="0.2">
      <c r="A42" s="73" t="s">
        <v>171</v>
      </c>
      <c r="B42" s="76">
        <v>39600</v>
      </c>
      <c r="C42" s="77">
        <v>-1138250.2500000007</v>
      </c>
      <c r="D42" s="78">
        <v>-171998.95</v>
      </c>
      <c r="E42" s="78">
        <v>0</v>
      </c>
      <c r="F42" s="78">
        <v>0</v>
      </c>
      <c r="G42" s="78">
        <v>0</v>
      </c>
      <c r="H42" s="78">
        <v>0</v>
      </c>
      <c r="I42" s="78">
        <v>-1310249.2000000009</v>
      </c>
      <c r="J42" s="79">
        <v>-1223359.8769230777</v>
      </c>
    </row>
    <row r="43" spans="1:10" x14ac:dyDescent="0.2">
      <c r="A43" s="73" t="s">
        <v>172</v>
      </c>
      <c r="B43" s="76">
        <v>39700</v>
      </c>
      <c r="C43" s="77">
        <v>-2881688.0799999973</v>
      </c>
      <c r="D43" s="78">
        <v>-407237.53</v>
      </c>
      <c r="E43" s="78">
        <v>224380.83999999997</v>
      </c>
      <c r="F43" s="78">
        <v>0</v>
      </c>
      <c r="G43" s="78">
        <v>0</v>
      </c>
      <c r="H43" s="78">
        <v>0</v>
      </c>
      <c r="I43" s="78">
        <v>-3064544.7699999968</v>
      </c>
      <c r="J43" s="79">
        <v>-2896457.896153843</v>
      </c>
    </row>
    <row r="44" spans="1:10" x14ac:dyDescent="0.2">
      <c r="A44" s="73" t="s">
        <v>173</v>
      </c>
      <c r="B44" s="76">
        <v>39800</v>
      </c>
      <c r="C44" s="77">
        <v>-314495.8600000001</v>
      </c>
      <c r="D44" s="78">
        <v>-26115.360000000001</v>
      </c>
      <c r="E44" s="78">
        <v>20472.060000000001</v>
      </c>
      <c r="F44" s="78">
        <v>0</v>
      </c>
      <c r="G44" s="78">
        <v>0</v>
      </c>
      <c r="H44" s="78">
        <v>0</v>
      </c>
      <c r="I44" s="78">
        <v>-320139.16000000003</v>
      </c>
      <c r="J44" s="79">
        <v>-310136.66384615382</v>
      </c>
    </row>
    <row r="45" spans="1:10" x14ac:dyDescent="0.2">
      <c r="A45" s="73" t="s">
        <v>676</v>
      </c>
      <c r="B45" s="76">
        <v>39900</v>
      </c>
      <c r="C45" s="77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9">
        <v>0</v>
      </c>
    </row>
    <row r="46" spans="1:10" x14ac:dyDescent="0.2">
      <c r="A46" s="132" t="s">
        <v>174</v>
      </c>
      <c r="B46" s="133"/>
      <c r="C46" s="134">
        <v>-626414223.21999979</v>
      </c>
      <c r="D46" s="135">
        <v>-57669948.780000001</v>
      </c>
      <c r="E46" s="135">
        <v>13483051.630000001</v>
      </c>
      <c r="F46" s="135">
        <v>6464618.1199999982</v>
      </c>
      <c r="G46" s="135">
        <v>-199472.65000000002</v>
      </c>
      <c r="H46" s="135">
        <v>0</v>
      </c>
      <c r="I46" s="135">
        <v>-664335974.90000021</v>
      </c>
      <c r="J46" s="136">
        <v>-642569269.59538448</v>
      </c>
    </row>
    <row r="48" spans="1:10" x14ac:dyDescent="0.2">
      <c r="I48" s="109"/>
    </row>
    <row r="50" spans="1:11" x14ac:dyDescent="0.2">
      <c r="A50" s="138" t="s">
        <v>678</v>
      </c>
      <c r="B50" s="139"/>
      <c r="C50" s="109">
        <v>0</v>
      </c>
      <c r="D50" s="109">
        <v>0</v>
      </c>
      <c r="F50" s="109">
        <v>0</v>
      </c>
      <c r="G50" s="109">
        <v>0</v>
      </c>
      <c r="H50" s="109">
        <v>0</v>
      </c>
      <c r="I50" s="109">
        <v>0</v>
      </c>
      <c r="J50" s="109">
        <v>0</v>
      </c>
      <c r="K50" s="10"/>
    </row>
    <row r="52" spans="1:11" x14ac:dyDescent="0.2">
      <c r="A52" s="137" t="s">
        <v>183</v>
      </c>
      <c r="B52" s="1">
        <v>11501</v>
      </c>
      <c r="C52" s="109">
        <v>-4111754.4699999928</v>
      </c>
      <c r="D52" s="109">
        <v>-149145.84000000003</v>
      </c>
      <c r="E52" s="109">
        <v>0</v>
      </c>
      <c r="F52" s="109">
        <v>0</v>
      </c>
      <c r="G52" s="109">
        <v>0</v>
      </c>
      <c r="H52" s="109">
        <v>0</v>
      </c>
      <c r="I52" s="109">
        <v>-4260900.3099999931</v>
      </c>
      <c r="J52" s="109">
        <v>-4186327.3899999931</v>
      </c>
      <c r="K52" s="10">
        <v>0</v>
      </c>
    </row>
    <row r="54" spans="1:11" x14ac:dyDescent="0.2">
      <c r="A54" s="143" t="s">
        <v>175</v>
      </c>
      <c r="B54" s="1">
        <v>10500</v>
      </c>
      <c r="C54" s="109">
        <v>0</v>
      </c>
      <c r="D54" s="109">
        <v>0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  <c r="J54" s="109">
        <v>0</v>
      </c>
      <c r="K54" s="10">
        <v>0</v>
      </c>
    </row>
    <row r="56" spans="1:11" ht="13.5" thickBot="1" x14ac:dyDescent="0.25">
      <c r="A56" s="143" t="s">
        <v>184</v>
      </c>
      <c r="C56" s="80">
        <v>-630525977.68999982</v>
      </c>
      <c r="D56" s="80">
        <v>-57819094.620000005</v>
      </c>
      <c r="E56" s="80">
        <v>13483051.630000001</v>
      </c>
      <c r="F56" s="80">
        <v>6464618.1199999982</v>
      </c>
      <c r="G56" s="80">
        <v>-199472.65000000002</v>
      </c>
      <c r="H56" s="80">
        <v>0</v>
      </c>
      <c r="I56" s="80">
        <v>-668596875.21000016</v>
      </c>
      <c r="J56" s="80">
        <v>-646755596.98538446</v>
      </c>
      <c r="K56" s="10">
        <v>0</v>
      </c>
    </row>
    <row r="57" spans="1:11" ht="13.5" thickTop="1" x14ac:dyDescent="0.2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1" x14ac:dyDescent="0.2">
      <c r="B58" s="7" t="s">
        <v>178</v>
      </c>
      <c r="C58" s="109">
        <v>0</v>
      </c>
      <c r="D58" s="109">
        <v>0</v>
      </c>
      <c r="E58" s="109">
        <v>0</v>
      </c>
      <c r="F58" s="109">
        <v>0</v>
      </c>
      <c r="G58" s="109">
        <v>0</v>
      </c>
      <c r="H58" s="109">
        <v>0</v>
      </c>
      <c r="I58" s="109">
        <v>0</v>
      </c>
      <c r="J58" s="109">
        <v>0</v>
      </c>
    </row>
    <row r="59" spans="1:11" x14ac:dyDescent="0.2">
      <c r="B59" s="7" t="s">
        <v>178</v>
      </c>
      <c r="C59" s="109">
        <v>0</v>
      </c>
      <c r="D59" s="109">
        <v>0</v>
      </c>
      <c r="E59" s="109">
        <v>0</v>
      </c>
      <c r="F59" s="109">
        <v>0</v>
      </c>
      <c r="G59" s="109">
        <v>0</v>
      </c>
      <c r="H59" s="109">
        <v>0</v>
      </c>
      <c r="I59" s="109">
        <v>0</v>
      </c>
      <c r="J59" s="109">
        <v>0</v>
      </c>
    </row>
    <row r="60" spans="1:11" x14ac:dyDescent="0.2">
      <c r="F60" s="140"/>
      <c r="G60" s="89"/>
      <c r="I60" s="10"/>
    </row>
    <row r="61" spans="1:11" x14ac:dyDescent="0.2">
      <c r="D61" s="141"/>
      <c r="F61" s="10"/>
      <c r="G61" s="10"/>
      <c r="I61" s="10"/>
    </row>
    <row r="62" spans="1:11" x14ac:dyDescent="0.2">
      <c r="D62" s="109"/>
      <c r="E62" s="109"/>
      <c r="F62" s="109"/>
    </row>
    <row r="63" spans="1:11" x14ac:dyDescent="0.2">
      <c r="I63" s="10"/>
    </row>
    <row r="67" spans="4:6" x14ac:dyDescent="0.2">
      <c r="D67" s="109"/>
      <c r="E67" s="109"/>
      <c r="F67" s="109"/>
    </row>
    <row r="68" spans="4:6" x14ac:dyDescent="0.2">
      <c r="D68" s="109"/>
      <c r="E68" s="109"/>
      <c r="F68" s="109"/>
    </row>
    <row r="69" spans="4:6" x14ac:dyDescent="0.2">
      <c r="D69" s="109"/>
      <c r="E69" s="109"/>
      <c r="F69" s="109"/>
    </row>
    <row r="70" spans="4:6" x14ac:dyDescent="0.2">
      <c r="D70" s="109"/>
      <c r="E70" s="109"/>
      <c r="F70" s="109"/>
    </row>
    <row r="71" spans="4:6" x14ac:dyDescent="0.2">
      <c r="D71" s="109"/>
      <c r="E71" s="109"/>
      <c r="F71" s="109"/>
    </row>
    <row r="72" spans="4:6" x14ac:dyDescent="0.2">
      <c r="D72" s="109"/>
      <c r="E72" s="109"/>
      <c r="F72" s="109"/>
    </row>
    <row r="73" spans="4:6" x14ac:dyDescent="0.2">
      <c r="D73" s="109"/>
      <c r="E73" s="109"/>
      <c r="F73" s="109"/>
    </row>
    <row r="74" spans="4:6" x14ac:dyDescent="0.2">
      <c r="D74" s="109"/>
      <c r="E74" s="109"/>
      <c r="F74" s="109"/>
    </row>
    <row r="75" spans="4:6" x14ac:dyDescent="0.2">
      <c r="F75" s="10"/>
    </row>
  </sheetData>
  <phoneticPr fontId="0" type="noConversion"/>
  <printOptions horizontalCentered="1"/>
  <pageMargins left="0.75" right="0.75" top="1" bottom="1" header="0.5" footer="0.5"/>
  <pageSetup scale="64" orientation="landscape" r:id="rId1"/>
  <headerFooter alignWithMargins="0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69"/>
  <sheetViews>
    <sheetView workbookViewId="0">
      <selection activeCell="R305" sqref="R305"/>
    </sheetView>
  </sheetViews>
  <sheetFormatPr defaultRowHeight="12.75" x14ac:dyDescent="0.2"/>
  <cols>
    <col min="1" max="2" width="11.7109375" style="1" bestFit="1" customWidth="1"/>
    <col min="3" max="3" width="10.7109375" style="1" bestFit="1" customWidth="1"/>
    <col min="4" max="4" width="34.28515625" style="143" bestFit="1" customWidth="1"/>
    <col min="5" max="5" width="18" style="143" bestFit="1" customWidth="1"/>
    <col min="6" max="6" width="12.7109375" style="1" bestFit="1" customWidth="1"/>
    <col min="7" max="7" width="21.5703125" style="1" bestFit="1" customWidth="1"/>
    <col min="8" max="8" width="14.140625" style="143" bestFit="1" customWidth="1"/>
    <col min="9" max="9" width="10.42578125" style="143" bestFit="1" customWidth="1"/>
    <col min="10" max="10" width="15.5703125" style="143" bestFit="1" customWidth="1"/>
    <col min="11" max="11" width="9" style="143" bestFit="1" customWidth="1"/>
    <col min="12" max="12" width="14.140625" style="143" bestFit="1" customWidth="1"/>
  </cols>
  <sheetData>
    <row r="1" spans="1:12" x14ac:dyDescent="0.2">
      <c r="A1" s="148" t="s">
        <v>660</v>
      </c>
      <c r="B1" s="145" t="s">
        <v>682</v>
      </c>
      <c r="C1" s="145" t="s">
        <v>683</v>
      </c>
      <c r="D1" s="146" t="s">
        <v>684</v>
      </c>
      <c r="E1" s="146" t="s">
        <v>685</v>
      </c>
      <c r="F1" s="145" t="s">
        <v>686</v>
      </c>
      <c r="G1" s="145" t="s">
        <v>687</v>
      </c>
      <c r="H1" s="150" t="s">
        <v>688</v>
      </c>
      <c r="I1" s="150" t="s">
        <v>689</v>
      </c>
      <c r="J1" s="150" t="s">
        <v>690</v>
      </c>
      <c r="K1" s="150" t="s">
        <v>691</v>
      </c>
      <c r="L1" s="150" t="s">
        <v>692</v>
      </c>
    </row>
    <row r="2" spans="1:12" x14ac:dyDescent="0.2">
      <c r="A2" s="149">
        <v>30100</v>
      </c>
      <c r="B2" s="1" t="s">
        <v>693</v>
      </c>
      <c r="C2" s="1" t="s">
        <v>693</v>
      </c>
      <c r="D2" s="143" t="s">
        <v>185</v>
      </c>
      <c r="E2" s="143" t="s">
        <v>89</v>
      </c>
      <c r="F2" s="1" t="s">
        <v>694</v>
      </c>
      <c r="G2" s="1" t="s">
        <v>695</v>
      </c>
      <c r="H2" s="9">
        <v>0</v>
      </c>
      <c r="I2" s="9">
        <v>0</v>
      </c>
      <c r="J2" s="9">
        <v>0</v>
      </c>
      <c r="K2" s="9">
        <v>0</v>
      </c>
      <c r="L2" s="147">
        <v>0</v>
      </c>
    </row>
    <row r="3" spans="1:12" x14ac:dyDescent="0.2">
      <c r="A3" s="149">
        <v>30100</v>
      </c>
      <c r="B3" s="1" t="s">
        <v>693</v>
      </c>
      <c r="C3" s="1" t="s">
        <v>693</v>
      </c>
      <c r="D3" s="143" t="s">
        <v>247</v>
      </c>
      <c r="E3" s="143" t="s">
        <v>89</v>
      </c>
      <c r="F3" s="1" t="s">
        <v>694</v>
      </c>
      <c r="G3" s="1" t="s">
        <v>695</v>
      </c>
      <c r="H3" s="9">
        <v>0</v>
      </c>
      <c r="I3" s="9">
        <v>0</v>
      </c>
      <c r="J3" s="9">
        <v>0</v>
      </c>
      <c r="K3" s="9">
        <v>0</v>
      </c>
      <c r="L3" s="147">
        <v>0</v>
      </c>
    </row>
    <row r="4" spans="1:12" x14ac:dyDescent="0.2">
      <c r="A4" s="149">
        <v>30100</v>
      </c>
      <c r="B4" s="1" t="s">
        <v>693</v>
      </c>
      <c r="C4" s="1" t="s">
        <v>693</v>
      </c>
      <c r="D4" s="143" t="s">
        <v>510</v>
      </c>
      <c r="E4" s="143" t="s">
        <v>89</v>
      </c>
      <c r="F4" s="1" t="s">
        <v>694</v>
      </c>
      <c r="G4" s="1" t="s">
        <v>695</v>
      </c>
      <c r="H4" s="9">
        <v>0</v>
      </c>
      <c r="I4" s="9">
        <v>0</v>
      </c>
      <c r="J4" s="9">
        <v>0</v>
      </c>
      <c r="K4" s="9">
        <v>0</v>
      </c>
      <c r="L4" s="147">
        <v>0</v>
      </c>
    </row>
    <row r="5" spans="1:12" x14ac:dyDescent="0.2">
      <c r="A5" s="149">
        <v>30100</v>
      </c>
      <c r="B5" s="1" t="s">
        <v>693</v>
      </c>
      <c r="C5" s="1" t="s">
        <v>693</v>
      </c>
      <c r="D5" s="143" t="s">
        <v>547</v>
      </c>
      <c r="E5" s="143" t="s">
        <v>89</v>
      </c>
      <c r="F5" s="1" t="s">
        <v>694</v>
      </c>
      <c r="G5" s="1" t="s">
        <v>695</v>
      </c>
      <c r="H5" s="9">
        <v>0</v>
      </c>
      <c r="I5" s="9">
        <v>0</v>
      </c>
      <c r="J5" s="9">
        <v>0</v>
      </c>
      <c r="K5" s="9">
        <v>0</v>
      </c>
      <c r="L5" s="147">
        <v>0</v>
      </c>
    </row>
    <row r="6" spans="1:12" x14ac:dyDescent="0.2">
      <c r="A6" s="149">
        <v>30100</v>
      </c>
      <c r="B6" s="1" t="s">
        <v>693</v>
      </c>
      <c r="C6" s="1" t="s">
        <v>693</v>
      </c>
      <c r="D6" s="143" t="s">
        <v>617</v>
      </c>
      <c r="E6" s="143" t="s">
        <v>89</v>
      </c>
      <c r="F6" s="1" t="s">
        <v>694</v>
      </c>
      <c r="G6" s="1" t="s">
        <v>695</v>
      </c>
      <c r="H6" s="9">
        <v>0</v>
      </c>
      <c r="I6" s="9">
        <v>0</v>
      </c>
      <c r="J6" s="9">
        <v>0</v>
      </c>
      <c r="K6" s="9">
        <v>0</v>
      </c>
      <c r="L6" s="147">
        <v>0</v>
      </c>
    </row>
    <row r="7" spans="1:12" x14ac:dyDescent="0.2">
      <c r="A7" s="149">
        <v>30200</v>
      </c>
      <c r="B7" s="1" t="s">
        <v>693</v>
      </c>
      <c r="C7" s="1" t="s">
        <v>693</v>
      </c>
      <c r="D7" s="143" t="s">
        <v>186</v>
      </c>
      <c r="E7" s="143" t="s">
        <v>89</v>
      </c>
      <c r="F7" s="1" t="s">
        <v>694</v>
      </c>
      <c r="G7" s="1" t="s">
        <v>695</v>
      </c>
      <c r="H7" s="9">
        <v>0</v>
      </c>
      <c r="I7" s="9">
        <v>0</v>
      </c>
      <c r="J7" s="9">
        <v>0</v>
      </c>
      <c r="K7" s="9">
        <v>0</v>
      </c>
      <c r="L7" s="147">
        <v>0</v>
      </c>
    </row>
    <row r="8" spans="1:12" x14ac:dyDescent="0.2">
      <c r="A8" s="149">
        <v>30200</v>
      </c>
      <c r="B8" s="1" t="s">
        <v>693</v>
      </c>
      <c r="C8" s="1" t="s">
        <v>693</v>
      </c>
      <c r="D8" s="143" t="s">
        <v>248</v>
      </c>
      <c r="E8" s="143" t="s">
        <v>89</v>
      </c>
      <c r="F8" s="1" t="s">
        <v>694</v>
      </c>
      <c r="G8" s="1" t="s">
        <v>695</v>
      </c>
      <c r="H8" s="9">
        <v>0</v>
      </c>
      <c r="I8" s="9">
        <v>0</v>
      </c>
      <c r="J8" s="9">
        <v>0</v>
      </c>
      <c r="K8" s="9">
        <v>0</v>
      </c>
      <c r="L8" s="147">
        <v>0</v>
      </c>
    </row>
    <row r="9" spans="1:12" x14ac:dyDescent="0.2">
      <c r="A9" s="149">
        <v>30200</v>
      </c>
      <c r="B9" s="1" t="s">
        <v>693</v>
      </c>
      <c r="C9" s="1" t="s">
        <v>693</v>
      </c>
      <c r="D9" s="143" t="s">
        <v>308</v>
      </c>
      <c r="E9" s="143" t="s">
        <v>89</v>
      </c>
      <c r="F9" s="1" t="s">
        <v>694</v>
      </c>
      <c r="G9" s="1" t="s">
        <v>695</v>
      </c>
      <c r="H9" s="9">
        <v>0</v>
      </c>
      <c r="I9" s="9">
        <v>0</v>
      </c>
      <c r="J9" s="9">
        <v>0</v>
      </c>
      <c r="K9" s="9">
        <v>0</v>
      </c>
      <c r="L9" s="147">
        <v>0</v>
      </c>
    </row>
    <row r="10" spans="1:12" x14ac:dyDescent="0.2">
      <c r="A10" s="149">
        <v>30200</v>
      </c>
      <c r="B10" s="1" t="s">
        <v>693</v>
      </c>
      <c r="C10" s="1" t="s">
        <v>693</v>
      </c>
      <c r="D10" s="143" t="s">
        <v>400</v>
      </c>
      <c r="E10" s="143" t="s">
        <v>89</v>
      </c>
      <c r="F10" s="1" t="s">
        <v>694</v>
      </c>
      <c r="G10" s="1" t="s">
        <v>695</v>
      </c>
      <c r="H10" s="9">
        <v>0</v>
      </c>
      <c r="I10" s="9">
        <v>0</v>
      </c>
      <c r="J10" s="9">
        <v>0</v>
      </c>
      <c r="K10" s="9">
        <v>0</v>
      </c>
      <c r="L10" s="147">
        <v>0</v>
      </c>
    </row>
    <row r="11" spans="1:12" x14ac:dyDescent="0.2">
      <c r="A11" s="149">
        <v>30200</v>
      </c>
      <c r="B11" s="1" t="s">
        <v>693</v>
      </c>
      <c r="C11" s="1" t="s">
        <v>693</v>
      </c>
      <c r="D11" s="143" t="s">
        <v>511</v>
      </c>
      <c r="E11" s="143" t="s">
        <v>89</v>
      </c>
      <c r="F11" s="1" t="s">
        <v>694</v>
      </c>
      <c r="G11" s="1" t="s">
        <v>695</v>
      </c>
      <c r="H11" s="9">
        <v>0</v>
      </c>
      <c r="I11" s="9">
        <v>0</v>
      </c>
      <c r="J11" s="9">
        <v>0</v>
      </c>
      <c r="K11" s="9">
        <v>0</v>
      </c>
      <c r="L11" s="147">
        <v>0</v>
      </c>
    </row>
    <row r="12" spans="1:12" x14ac:dyDescent="0.2">
      <c r="A12" s="149">
        <v>30200</v>
      </c>
      <c r="B12" s="1" t="s">
        <v>693</v>
      </c>
      <c r="C12" s="1" t="s">
        <v>693</v>
      </c>
      <c r="D12" s="143" t="s">
        <v>548</v>
      </c>
      <c r="E12" s="143" t="s">
        <v>89</v>
      </c>
      <c r="F12" s="1" t="s">
        <v>694</v>
      </c>
      <c r="G12" s="1" t="s">
        <v>695</v>
      </c>
      <c r="H12" s="9">
        <v>0</v>
      </c>
      <c r="I12" s="9">
        <v>0</v>
      </c>
      <c r="J12" s="9">
        <v>0</v>
      </c>
      <c r="K12" s="9">
        <v>0</v>
      </c>
      <c r="L12" s="147">
        <v>0</v>
      </c>
    </row>
    <row r="13" spans="1:12" x14ac:dyDescent="0.2">
      <c r="A13" s="149">
        <v>30200</v>
      </c>
      <c r="B13" s="1" t="s">
        <v>693</v>
      </c>
      <c r="C13" s="1" t="s">
        <v>693</v>
      </c>
      <c r="D13" s="143" t="s">
        <v>618</v>
      </c>
      <c r="E13" s="143" t="s">
        <v>89</v>
      </c>
      <c r="F13" s="1" t="s">
        <v>694</v>
      </c>
      <c r="G13" s="1" t="s">
        <v>695</v>
      </c>
      <c r="H13" s="9">
        <v>0</v>
      </c>
      <c r="I13" s="9">
        <v>0</v>
      </c>
      <c r="J13" s="9">
        <v>0</v>
      </c>
      <c r="K13" s="9">
        <v>0</v>
      </c>
      <c r="L13" s="147">
        <v>0</v>
      </c>
    </row>
    <row r="14" spans="1:12" x14ac:dyDescent="0.2">
      <c r="A14" s="149">
        <v>30300</v>
      </c>
      <c r="B14" s="1" t="s">
        <v>693</v>
      </c>
      <c r="C14" s="1" t="s">
        <v>693</v>
      </c>
      <c r="D14" s="143" t="s">
        <v>512</v>
      </c>
      <c r="E14" s="143" t="s">
        <v>89</v>
      </c>
      <c r="F14" s="1" t="s">
        <v>694</v>
      </c>
      <c r="G14" s="1" t="s">
        <v>695</v>
      </c>
      <c r="H14" s="9">
        <v>0</v>
      </c>
      <c r="I14" s="9">
        <v>0</v>
      </c>
      <c r="J14" s="9">
        <v>0</v>
      </c>
      <c r="K14" s="9">
        <v>0</v>
      </c>
      <c r="L14" s="147">
        <v>0</v>
      </c>
    </row>
    <row r="15" spans="1:12" x14ac:dyDescent="0.2">
      <c r="A15" s="149">
        <v>30300</v>
      </c>
      <c r="B15" s="1" t="s">
        <v>693</v>
      </c>
      <c r="C15" s="1" t="s">
        <v>693</v>
      </c>
      <c r="D15" s="143" t="s">
        <v>549</v>
      </c>
      <c r="E15" s="143" t="s">
        <v>89</v>
      </c>
      <c r="F15" s="1" t="s">
        <v>694</v>
      </c>
      <c r="G15" s="1" t="s">
        <v>695</v>
      </c>
      <c r="H15" s="9">
        <v>0</v>
      </c>
      <c r="I15" s="9">
        <v>0</v>
      </c>
      <c r="J15" s="9">
        <v>0</v>
      </c>
      <c r="K15" s="9">
        <v>0</v>
      </c>
      <c r="L15" s="147">
        <v>0</v>
      </c>
    </row>
    <row r="16" spans="1:12" x14ac:dyDescent="0.2">
      <c r="A16" s="149">
        <v>30301</v>
      </c>
      <c r="B16" s="1" t="s">
        <v>693</v>
      </c>
      <c r="C16" s="1" t="s">
        <v>693</v>
      </c>
      <c r="D16" s="143" t="s">
        <v>187</v>
      </c>
      <c r="E16" s="143" t="s">
        <v>89</v>
      </c>
      <c r="F16" s="1" t="s">
        <v>694</v>
      </c>
      <c r="G16" s="1" t="s">
        <v>695</v>
      </c>
      <c r="H16" s="9">
        <v>0</v>
      </c>
      <c r="I16" s="9">
        <v>0</v>
      </c>
      <c r="J16" s="9">
        <v>0</v>
      </c>
      <c r="K16" s="9">
        <v>0</v>
      </c>
      <c r="L16" s="147">
        <v>0</v>
      </c>
    </row>
    <row r="17" spans="1:12" x14ac:dyDescent="0.2">
      <c r="A17" s="149">
        <v>30301</v>
      </c>
      <c r="B17" s="1" t="s">
        <v>693</v>
      </c>
      <c r="C17" s="1" t="s">
        <v>693</v>
      </c>
      <c r="D17" s="143" t="s">
        <v>218</v>
      </c>
      <c r="E17" s="143" t="s">
        <v>89</v>
      </c>
      <c r="F17" s="1" t="s">
        <v>694</v>
      </c>
      <c r="G17" s="1" t="s">
        <v>695</v>
      </c>
      <c r="H17" s="9">
        <v>0</v>
      </c>
      <c r="I17" s="9">
        <v>0</v>
      </c>
      <c r="J17" s="9">
        <v>0</v>
      </c>
      <c r="K17" s="9">
        <v>0</v>
      </c>
      <c r="L17" s="147">
        <v>0</v>
      </c>
    </row>
    <row r="18" spans="1:12" x14ac:dyDescent="0.2">
      <c r="A18" s="149">
        <v>30301</v>
      </c>
      <c r="B18" s="1" t="s">
        <v>693</v>
      </c>
      <c r="C18" s="1" t="s">
        <v>693</v>
      </c>
      <c r="D18" s="143" t="s">
        <v>249</v>
      </c>
      <c r="E18" s="143" t="s">
        <v>89</v>
      </c>
      <c r="F18" s="1" t="s">
        <v>694</v>
      </c>
      <c r="G18" s="1" t="s">
        <v>695</v>
      </c>
      <c r="H18" s="9">
        <v>0</v>
      </c>
      <c r="I18" s="9">
        <v>0</v>
      </c>
      <c r="J18" s="9">
        <v>0</v>
      </c>
      <c r="K18" s="9">
        <v>0</v>
      </c>
      <c r="L18" s="147">
        <v>0</v>
      </c>
    </row>
    <row r="19" spans="1:12" x14ac:dyDescent="0.2">
      <c r="A19" s="149">
        <v>30301</v>
      </c>
      <c r="B19" s="1" t="s">
        <v>693</v>
      </c>
      <c r="C19" s="1" t="s">
        <v>693</v>
      </c>
      <c r="D19" s="143" t="s">
        <v>278</v>
      </c>
      <c r="E19" s="143" t="s">
        <v>89</v>
      </c>
      <c r="F19" s="1" t="s">
        <v>694</v>
      </c>
      <c r="G19" s="1" t="s">
        <v>695</v>
      </c>
      <c r="H19" s="9">
        <v>0</v>
      </c>
      <c r="I19" s="9">
        <v>0</v>
      </c>
      <c r="J19" s="9">
        <v>0</v>
      </c>
      <c r="K19" s="9">
        <v>0</v>
      </c>
      <c r="L19" s="147">
        <v>0</v>
      </c>
    </row>
    <row r="20" spans="1:12" x14ac:dyDescent="0.2">
      <c r="A20" s="149">
        <v>30301</v>
      </c>
      <c r="B20" s="1" t="s">
        <v>693</v>
      </c>
      <c r="C20" s="1" t="s">
        <v>693</v>
      </c>
      <c r="D20" s="143" t="s">
        <v>309</v>
      </c>
      <c r="E20" s="143" t="s">
        <v>89</v>
      </c>
      <c r="F20" s="1" t="s">
        <v>694</v>
      </c>
      <c r="G20" s="1" t="s">
        <v>695</v>
      </c>
      <c r="H20" s="9">
        <v>0</v>
      </c>
      <c r="I20" s="9">
        <v>0</v>
      </c>
      <c r="J20" s="9">
        <v>0</v>
      </c>
      <c r="K20" s="9">
        <v>0</v>
      </c>
      <c r="L20" s="147">
        <v>0</v>
      </c>
    </row>
    <row r="21" spans="1:12" x14ac:dyDescent="0.2">
      <c r="A21" s="149">
        <v>30301</v>
      </c>
      <c r="B21" s="1" t="s">
        <v>693</v>
      </c>
      <c r="C21" s="1" t="s">
        <v>693</v>
      </c>
      <c r="D21" s="143" t="s">
        <v>338</v>
      </c>
      <c r="E21" s="143" t="s">
        <v>89</v>
      </c>
      <c r="F21" s="1" t="s">
        <v>694</v>
      </c>
      <c r="G21" s="1" t="s">
        <v>695</v>
      </c>
      <c r="H21" s="9">
        <v>0</v>
      </c>
      <c r="I21" s="9">
        <v>0</v>
      </c>
      <c r="J21" s="9">
        <v>0</v>
      </c>
      <c r="K21" s="9">
        <v>0</v>
      </c>
      <c r="L21" s="147">
        <v>0</v>
      </c>
    </row>
    <row r="22" spans="1:12" x14ac:dyDescent="0.2">
      <c r="A22" s="149">
        <v>30301</v>
      </c>
      <c r="B22" s="1" t="s">
        <v>693</v>
      </c>
      <c r="C22" s="1" t="s">
        <v>693</v>
      </c>
      <c r="D22" s="143" t="s">
        <v>372</v>
      </c>
      <c r="E22" s="143" t="s">
        <v>89</v>
      </c>
      <c r="F22" s="1" t="s">
        <v>694</v>
      </c>
      <c r="G22" s="1" t="s">
        <v>695</v>
      </c>
      <c r="H22" s="9">
        <v>0</v>
      </c>
      <c r="I22" s="9">
        <v>0</v>
      </c>
      <c r="J22" s="9">
        <v>0</v>
      </c>
      <c r="K22" s="9">
        <v>0</v>
      </c>
      <c r="L22" s="147">
        <v>0</v>
      </c>
    </row>
    <row r="23" spans="1:12" x14ac:dyDescent="0.2">
      <c r="A23" s="149">
        <v>30301</v>
      </c>
      <c r="B23" s="1" t="s">
        <v>693</v>
      </c>
      <c r="C23" s="1" t="s">
        <v>693</v>
      </c>
      <c r="D23" s="143" t="s">
        <v>427</v>
      </c>
      <c r="E23" s="143" t="s">
        <v>89</v>
      </c>
      <c r="F23" s="1" t="s">
        <v>694</v>
      </c>
      <c r="G23" s="1" t="s">
        <v>695</v>
      </c>
      <c r="H23" s="9">
        <v>0</v>
      </c>
      <c r="I23" s="9">
        <v>0</v>
      </c>
      <c r="J23" s="9">
        <v>0</v>
      </c>
      <c r="K23" s="9">
        <v>0</v>
      </c>
      <c r="L23" s="147">
        <v>0</v>
      </c>
    </row>
    <row r="24" spans="1:12" x14ac:dyDescent="0.2">
      <c r="A24" s="149">
        <v>30301</v>
      </c>
      <c r="B24" s="1" t="s">
        <v>693</v>
      </c>
      <c r="C24" s="1" t="s">
        <v>693</v>
      </c>
      <c r="D24" s="143" t="s">
        <v>452</v>
      </c>
      <c r="E24" s="143" t="s">
        <v>89</v>
      </c>
      <c r="F24" s="1" t="s">
        <v>694</v>
      </c>
      <c r="G24" s="1" t="s">
        <v>695</v>
      </c>
      <c r="H24" s="9">
        <v>0</v>
      </c>
      <c r="I24" s="9">
        <v>0</v>
      </c>
      <c r="J24" s="9">
        <v>0</v>
      </c>
      <c r="K24" s="9">
        <v>0</v>
      </c>
      <c r="L24" s="147">
        <v>0</v>
      </c>
    </row>
    <row r="25" spans="1:12" x14ac:dyDescent="0.2">
      <c r="A25" s="149">
        <v>30301</v>
      </c>
      <c r="B25" s="1" t="s">
        <v>693</v>
      </c>
      <c r="C25" s="1" t="s">
        <v>693</v>
      </c>
      <c r="D25" s="143" t="s">
        <v>479</v>
      </c>
      <c r="E25" s="143" t="s">
        <v>89</v>
      </c>
      <c r="F25" s="1" t="s">
        <v>694</v>
      </c>
      <c r="G25" s="1" t="s">
        <v>695</v>
      </c>
      <c r="H25" s="9">
        <v>0</v>
      </c>
      <c r="I25" s="9">
        <v>0</v>
      </c>
      <c r="J25" s="9">
        <v>0</v>
      </c>
      <c r="K25" s="9">
        <v>0</v>
      </c>
      <c r="L25" s="147">
        <v>0</v>
      </c>
    </row>
    <row r="26" spans="1:12" x14ac:dyDescent="0.2">
      <c r="A26" s="149">
        <v>30301</v>
      </c>
      <c r="B26" s="1" t="s">
        <v>693</v>
      </c>
      <c r="C26" s="1" t="s">
        <v>693</v>
      </c>
      <c r="D26" s="143" t="s">
        <v>513</v>
      </c>
      <c r="E26" s="143" t="s">
        <v>89</v>
      </c>
      <c r="F26" s="1" t="s">
        <v>694</v>
      </c>
      <c r="G26" s="1" t="s">
        <v>695</v>
      </c>
      <c r="H26" s="9">
        <v>0</v>
      </c>
      <c r="I26" s="9">
        <v>0</v>
      </c>
      <c r="J26" s="9">
        <v>0</v>
      </c>
      <c r="K26" s="9">
        <v>0</v>
      </c>
      <c r="L26" s="147">
        <v>0</v>
      </c>
    </row>
    <row r="27" spans="1:12" x14ac:dyDescent="0.2">
      <c r="A27" s="149">
        <v>30301</v>
      </c>
      <c r="B27" s="1" t="s">
        <v>693</v>
      </c>
      <c r="C27" s="1" t="s">
        <v>693</v>
      </c>
      <c r="D27" s="143" t="s">
        <v>669</v>
      </c>
      <c r="E27" s="143" t="s">
        <v>89</v>
      </c>
      <c r="F27" s="1" t="s">
        <v>694</v>
      </c>
      <c r="G27" s="1" t="s">
        <v>695</v>
      </c>
      <c r="H27" s="9">
        <v>0</v>
      </c>
      <c r="I27" s="9">
        <v>0</v>
      </c>
      <c r="J27" s="9">
        <v>0</v>
      </c>
      <c r="K27" s="9">
        <v>0</v>
      </c>
      <c r="L27" s="147">
        <v>0</v>
      </c>
    </row>
    <row r="28" spans="1:12" x14ac:dyDescent="0.2">
      <c r="A28" s="149">
        <v>30301</v>
      </c>
      <c r="B28" s="1" t="s">
        <v>693</v>
      </c>
      <c r="C28" s="1" t="s">
        <v>693</v>
      </c>
      <c r="D28" s="143" t="s">
        <v>611</v>
      </c>
      <c r="E28" s="143" t="s">
        <v>89</v>
      </c>
      <c r="F28" s="1" t="s">
        <v>694</v>
      </c>
      <c r="G28" s="1" t="s">
        <v>695</v>
      </c>
      <c r="H28" s="9">
        <v>0</v>
      </c>
      <c r="I28" s="9">
        <v>0</v>
      </c>
      <c r="J28" s="9">
        <v>0</v>
      </c>
      <c r="K28" s="9">
        <v>0</v>
      </c>
      <c r="L28" s="147">
        <v>0</v>
      </c>
    </row>
    <row r="29" spans="1:12" x14ac:dyDescent="0.2">
      <c r="A29" s="149">
        <v>30301</v>
      </c>
      <c r="B29" s="1" t="s">
        <v>693</v>
      </c>
      <c r="C29" s="1" t="s">
        <v>693</v>
      </c>
      <c r="D29" s="143" t="s">
        <v>619</v>
      </c>
      <c r="E29" s="143" t="s">
        <v>89</v>
      </c>
      <c r="F29" s="1" t="s">
        <v>694</v>
      </c>
      <c r="G29" s="1" t="s">
        <v>695</v>
      </c>
      <c r="H29" s="9">
        <v>0</v>
      </c>
      <c r="I29" s="9">
        <v>0</v>
      </c>
      <c r="J29" s="9">
        <v>0</v>
      </c>
      <c r="K29" s="9">
        <v>0</v>
      </c>
      <c r="L29" s="147">
        <v>0</v>
      </c>
    </row>
    <row r="30" spans="1:12" x14ac:dyDescent="0.2">
      <c r="A30" s="149">
        <v>37402</v>
      </c>
      <c r="B30" s="1" t="s">
        <v>693</v>
      </c>
      <c r="C30" s="1" t="s">
        <v>693</v>
      </c>
      <c r="D30" s="143" t="s">
        <v>189</v>
      </c>
      <c r="E30" s="143" t="s">
        <v>89</v>
      </c>
      <c r="F30" s="1" t="s">
        <v>694</v>
      </c>
      <c r="G30" s="1" t="s">
        <v>695</v>
      </c>
      <c r="H30" s="9">
        <v>0</v>
      </c>
      <c r="I30" s="9">
        <v>0</v>
      </c>
      <c r="J30" s="9">
        <v>0</v>
      </c>
      <c r="K30" s="9">
        <v>0</v>
      </c>
      <c r="L30" s="147">
        <v>0</v>
      </c>
    </row>
    <row r="31" spans="1:12" x14ac:dyDescent="0.2">
      <c r="A31" s="149">
        <v>37402</v>
      </c>
      <c r="B31" s="1" t="s">
        <v>693</v>
      </c>
      <c r="C31" s="1" t="s">
        <v>693</v>
      </c>
      <c r="D31" s="143" t="s">
        <v>251</v>
      </c>
      <c r="E31" s="143" t="s">
        <v>89</v>
      </c>
      <c r="F31" s="1" t="s">
        <v>694</v>
      </c>
      <c r="G31" s="1" t="s">
        <v>695</v>
      </c>
      <c r="H31" s="9">
        <v>0</v>
      </c>
      <c r="I31" s="9">
        <v>0</v>
      </c>
      <c r="J31" s="9">
        <v>0</v>
      </c>
      <c r="K31" s="9">
        <v>0</v>
      </c>
      <c r="L31" s="147">
        <v>0</v>
      </c>
    </row>
    <row r="32" spans="1:12" x14ac:dyDescent="0.2">
      <c r="A32" s="149">
        <v>37402</v>
      </c>
      <c r="B32" s="1" t="s">
        <v>693</v>
      </c>
      <c r="C32" s="1" t="s">
        <v>693</v>
      </c>
      <c r="D32" s="143" t="s">
        <v>280</v>
      </c>
      <c r="E32" s="143" t="s">
        <v>89</v>
      </c>
      <c r="F32" s="1" t="s">
        <v>694</v>
      </c>
      <c r="G32" s="1" t="s">
        <v>695</v>
      </c>
      <c r="H32" s="9">
        <v>0</v>
      </c>
      <c r="I32" s="9">
        <v>0</v>
      </c>
      <c r="J32" s="9">
        <v>0</v>
      </c>
      <c r="K32" s="9">
        <v>0</v>
      </c>
      <c r="L32" s="147">
        <v>0</v>
      </c>
    </row>
    <row r="33" spans="1:12" x14ac:dyDescent="0.2">
      <c r="A33" s="149">
        <v>37402</v>
      </c>
      <c r="B33" s="1" t="s">
        <v>693</v>
      </c>
      <c r="C33" s="1" t="s">
        <v>693</v>
      </c>
      <c r="D33" s="143" t="s">
        <v>311</v>
      </c>
      <c r="E33" s="143" t="s">
        <v>89</v>
      </c>
      <c r="F33" s="1" t="s">
        <v>694</v>
      </c>
      <c r="G33" s="1" t="s">
        <v>695</v>
      </c>
      <c r="H33" s="9">
        <v>0</v>
      </c>
      <c r="I33" s="9">
        <v>0</v>
      </c>
      <c r="J33" s="9">
        <v>0</v>
      </c>
      <c r="K33" s="9">
        <v>0</v>
      </c>
      <c r="L33" s="147">
        <v>0</v>
      </c>
    </row>
    <row r="34" spans="1:12" x14ac:dyDescent="0.2">
      <c r="A34" s="149">
        <v>37402</v>
      </c>
      <c r="B34" s="1" t="s">
        <v>693</v>
      </c>
      <c r="C34" s="1" t="s">
        <v>693</v>
      </c>
      <c r="D34" s="143" t="s">
        <v>340</v>
      </c>
      <c r="E34" s="143" t="s">
        <v>89</v>
      </c>
      <c r="F34" s="1" t="s">
        <v>694</v>
      </c>
      <c r="G34" s="1" t="s">
        <v>695</v>
      </c>
      <c r="H34" s="9">
        <v>0</v>
      </c>
      <c r="I34" s="9">
        <v>0</v>
      </c>
      <c r="J34" s="9">
        <v>0</v>
      </c>
      <c r="K34" s="9">
        <v>0</v>
      </c>
      <c r="L34" s="147">
        <v>0</v>
      </c>
    </row>
    <row r="35" spans="1:12" x14ac:dyDescent="0.2">
      <c r="A35" s="149">
        <v>37402</v>
      </c>
      <c r="B35" s="1" t="s">
        <v>693</v>
      </c>
      <c r="C35" s="1" t="s">
        <v>693</v>
      </c>
      <c r="D35" s="143" t="s">
        <v>374</v>
      </c>
      <c r="E35" s="143" t="s">
        <v>89</v>
      </c>
      <c r="F35" s="1" t="s">
        <v>694</v>
      </c>
      <c r="G35" s="1" t="s">
        <v>695</v>
      </c>
      <c r="H35" s="9">
        <v>0</v>
      </c>
      <c r="I35" s="9">
        <v>0</v>
      </c>
      <c r="J35" s="9">
        <v>0</v>
      </c>
      <c r="K35" s="9">
        <v>0</v>
      </c>
      <c r="L35" s="147">
        <v>0</v>
      </c>
    </row>
    <row r="36" spans="1:12" x14ac:dyDescent="0.2">
      <c r="A36" s="149">
        <v>37402</v>
      </c>
      <c r="B36" s="1" t="s">
        <v>693</v>
      </c>
      <c r="C36" s="1" t="s">
        <v>693</v>
      </c>
      <c r="D36" s="143" t="s">
        <v>402</v>
      </c>
      <c r="E36" s="143" t="s">
        <v>89</v>
      </c>
      <c r="F36" s="1" t="s">
        <v>694</v>
      </c>
      <c r="G36" s="1" t="s">
        <v>695</v>
      </c>
      <c r="H36" s="9">
        <v>0</v>
      </c>
      <c r="I36" s="9">
        <v>0</v>
      </c>
      <c r="J36" s="9">
        <v>0</v>
      </c>
      <c r="K36" s="9">
        <v>0</v>
      </c>
      <c r="L36" s="147">
        <v>0</v>
      </c>
    </row>
    <row r="37" spans="1:12" x14ac:dyDescent="0.2">
      <c r="A37" s="149">
        <v>37402</v>
      </c>
      <c r="B37" s="1" t="s">
        <v>693</v>
      </c>
      <c r="C37" s="1" t="s">
        <v>693</v>
      </c>
      <c r="D37" s="143" t="s">
        <v>428</v>
      </c>
      <c r="E37" s="143" t="s">
        <v>89</v>
      </c>
      <c r="F37" s="1" t="s">
        <v>694</v>
      </c>
      <c r="G37" s="1" t="s">
        <v>695</v>
      </c>
      <c r="H37" s="9">
        <v>0</v>
      </c>
      <c r="I37" s="9">
        <v>0</v>
      </c>
      <c r="J37" s="9">
        <v>0</v>
      </c>
      <c r="K37" s="9">
        <v>0</v>
      </c>
      <c r="L37" s="147">
        <v>0</v>
      </c>
    </row>
    <row r="38" spans="1:12" x14ac:dyDescent="0.2">
      <c r="A38" s="149">
        <v>37402</v>
      </c>
      <c r="B38" s="1" t="s">
        <v>693</v>
      </c>
      <c r="C38" s="1" t="s">
        <v>693</v>
      </c>
      <c r="D38" s="143" t="s">
        <v>454</v>
      </c>
      <c r="E38" s="143" t="s">
        <v>89</v>
      </c>
      <c r="F38" s="1" t="s">
        <v>694</v>
      </c>
      <c r="G38" s="1" t="s">
        <v>695</v>
      </c>
      <c r="H38" s="9">
        <v>0</v>
      </c>
      <c r="I38" s="9">
        <v>0</v>
      </c>
      <c r="J38" s="9">
        <v>0</v>
      </c>
      <c r="K38" s="9">
        <v>0</v>
      </c>
      <c r="L38" s="147">
        <v>0</v>
      </c>
    </row>
    <row r="39" spans="1:12" x14ac:dyDescent="0.2">
      <c r="A39" s="149">
        <v>37402</v>
      </c>
      <c r="B39" s="1" t="s">
        <v>693</v>
      </c>
      <c r="C39" s="1" t="s">
        <v>693</v>
      </c>
      <c r="D39" s="143" t="s">
        <v>481</v>
      </c>
      <c r="E39" s="143" t="s">
        <v>89</v>
      </c>
      <c r="F39" s="1" t="s">
        <v>694</v>
      </c>
      <c r="G39" s="1" t="s">
        <v>695</v>
      </c>
      <c r="H39" s="9">
        <v>0</v>
      </c>
      <c r="I39" s="9">
        <v>0</v>
      </c>
      <c r="J39" s="9">
        <v>0</v>
      </c>
      <c r="K39" s="9">
        <v>0</v>
      </c>
      <c r="L39" s="147">
        <v>0</v>
      </c>
    </row>
    <row r="40" spans="1:12" x14ac:dyDescent="0.2">
      <c r="A40" s="149">
        <v>37402</v>
      </c>
      <c r="B40" s="1" t="s">
        <v>693</v>
      </c>
      <c r="C40" s="1" t="s">
        <v>693</v>
      </c>
      <c r="D40" s="143" t="s">
        <v>551</v>
      </c>
      <c r="E40" s="143" t="s">
        <v>89</v>
      </c>
      <c r="F40" s="1" t="s">
        <v>694</v>
      </c>
      <c r="G40" s="1" t="s">
        <v>695</v>
      </c>
      <c r="H40" s="9">
        <v>0</v>
      </c>
      <c r="I40" s="9">
        <v>0</v>
      </c>
      <c r="J40" s="9">
        <v>0</v>
      </c>
      <c r="K40" s="9">
        <v>0</v>
      </c>
      <c r="L40" s="147">
        <v>0</v>
      </c>
    </row>
    <row r="41" spans="1:12" x14ac:dyDescent="0.2">
      <c r="A41" s="149">
        <v>37402</v>
      </c>
      <c r="B41" s="1" t="s">
        <v>693</v>
      </c>
      <c r="C41" s="1" t="s">
        <v>693</v>
      </c>
      <c r="D41" s="143" t="s">
        <v>584</v>
      </c>
      <c r="E41" s="143" t="s">
        <v>89</v>
      </c>
      <c r="F41" s="1" t="s">
        <v>694</v>
      </c>
      <c r="G41" s="1" t="s">
        <v>695</v>
      </c>
      <c r="H41" s="9">
        <v>0</v>
      </c>
      <c r="I41" s="9">
        <v>0</v>
      </c>
      <c r="J41" s="9">
        <v>0</v>
      </c>
      <c r="K41" s="9">
        <v>0</v>
      </c>
      <c r="L41" s="147">
        <v>0</v>
      </c>
    </row>
    <row r="42" spans="1:12" x14ac:dyDescent="0.2">
      <c r="A42" s="149">
        <v>37402</v>
      </c>
      <c r="B42" s="1" t="s">
        <v>693</v>
      </c>
      <c r="C42" s="1" t="s">
        <v>693</v>
      </c>
      <c r="D42" s="143" t="s">
        <v>621</v>
      </c>
      <c r="E42" s="143" t="s">
        <v>89</v>
      </c>
      <c r="F42" s="1" t="s">
        <v>694</v>
      </c>
      <c r="G42" s="1" t="s">
        <v>695</v>
      </c>
      <c r="H42" s="9">
        <v>0</v>
      </c>
      <c r="I42" s="9">
        <v>0</v>
      </c>
      <c r="J42" s="9">
        <v>0</v>
      </c>
      <c r="K42" s="9">
        <v>0</v>
      </c>
      <c r="L42" s="147">
        <v>0</v>
      </c>
    </row>
    <row r="43" spans="1:12" x14ac:dyDescent="0.2">
      <c r="A43" s="149">
        <v>37500</v>
      </c>
      <c r="B43" s="1" t="s">
        <v>693</v>
      </c>
      <c r="C43" s="1" t="s">
        <v>693</v>
      </c>
      <c r="D43" s="143" t="s">
        <v>190</v>
      </c>
      <c r="E43" s="143" t="s">
        <v>89</v>
      </c>
      <c r="F43" s="1" t="s">
        <v>694</v>
      </c>
      <c r="G43" s="1" t="s">
        <v>695</v>
      </c>
      <c r="H43" s="9">
        <v>0</v>
      </c>
      <c r="I43" s="9">
        <v>0</v>
      </c>
      <c r="J43" s="9">
        <v>0</v>
      </c>
      <c r="K43" s="9">
        <v>0</v>
      </c>
      <c r="L43" s="147">
        <v>0</v>
      </c>
    </row>
    <row r="44" spans="1:12" x14ac:dyDescent="0.2">
      <c r="A44" s="149">
        <v>37500</v>
      </c>
      <c r="B44" s="1" t="s">
        <v>693</v>
      </c>
      <c r="C44" s="1" t="s">
        <v>693</v>
      </c>
      <c r="D44" s="143" t="s">
        <v>220</v>
      </c>
      <c r="E44" s="143" t="s">
        <v>89</v>
      </c>
      <c r="F44" s="1" t="s">
        <v>694</v>
      </c>
      <c r="G44" s="1" t="s">
        <v>695</v>
      </c>
      <c r="H44" s="9">
        <v>0</v>
      </c>
      <c r="I44" s="9">
        <v>0</v>
      </c>
      <c r="J44" s="9">
        <v>0</v>
      </c>
      <c r="K44" s="9">
        <v>0</v>
      </c>
      <c r="L44" s="147">
        <v>0</v>
      </c>
    </row>
    <row r="45" spans="1:12" x14ac:dyDescent="0.2">
      <c r="A45" s="149">
        <v>37500</v>
      </c>
      <c r="B45" s="1" t="s">
        <v>693</v>
      </c>
      <c r="C45" s="1" t="s">
        <v>693</v>
      </c>
      <c r="D45" s="143" t="s">
        <v>252</v>
      </c>
      <c r="E45" s="143" t="s">
        <v>89</v>
      </c>
      <c r="F45" s="1" t="s">
        <v>694</v>
      </c>
      <c r="G45" s="1" t="s">
        <v>695</v>
      </c>
      <c r="H45" s="9">
        <v>0</v>
      </c>
      <c r="I45" s="9">
        <v>0</v>
      </c>
      <c r="J45" s="9">
        <v>0</v>
      </c>
      <c r="K45" s="9">
        <v>0</v>
      </c>
      <c r="L45" s="147">
        <v>0</v>
      </c>
    </row>
    <row r="46" spans="1:12" x14ac:dyDescent="0.2">
      <c r="A46" s="149">
        <v>37500</v>
      </c>
      <c r="B46" s="1" t="s">
        <v>693</v>
      </c>
      <c r="C46" s="1" t="s">
        <v>693</v>
      </c>
      <c r="D46" s="143" t="s">
        <v>281</v>
      </c>
      <c r="E46" s="143" t="s">
        <v>89</v>
      </c>
      <c r="F46" s="1" t="s">
        <v>694</v>
      </c>
      <c r="G46" s="1" t="s">
        <v>695</v>
      </c>
      <c r="H46" s="9">
        <v>0</v>
      </c>
      <c r="I46" s="9">
        <v>0</v>
      </c>
      <c r="J46" s="9">
        <v>0</v>
      </c>
      <c r="K46" s="9">
        <v>0</v>
      </c>
      <c r="L46" s="147">
        <v>0</v>
      </c>
    </row>
    <row r="47" spans="1:12" x14ac:dyDescent="0.2">
      <c r="A47" s="149">
        <v>37500</v>
      </c>
      <c r="B47" s="1" t="s">
        <v>693</v>
      </c>
      <c r="C47" s="1" t="s">
        <v>693</v>
      </c>
      <c r="D47" s="143" t="s">
        <v>312</v>
      </c>
      <c r="E47" s="143" t="s">
        <v>89</v>
      </c>
      <c r="F47" s="1" t="s">
        <v>694</v>
      </c>
      <c r="G47" s="1" t="s">
        <v>695</v>
      </c>
      <c r="H47" s="9">
        <v>0</v>
      </c>
      <c r="I47" s="9">
        <v>0</v>
      </c>
      <c r="J47" s="9">
        <v>0</v>
      </c>
      <c r="K47" s="9">
        <v>0</v>
      </c>
      <c r="L47" s="147">
        <v>0</v>
      </c>
    </row>
    <row r="48" spans="1:12" x14ac:dyDescent="0.2">
      <c r="A48" s="149">
        <v>37500</v>
      </c>
      <c r="B48" s="1" t="s">
        <v>693</v>
      </c>
      <c r="C48" s="1" t="s">
        <v>693</v>
      </c>
      <c r="D48" s="143" t="s">
        <v>341</v>
      </c>
      <c r="E48" s="143" t="s">
        <v>89</v>
      </c>
      <c r="F48" s="1" t="s">
        <v>694</v>
      </c>
      <c r="G48" s="1" t="s">
        <v>695</v>
      </c>
      <c r="H48" s="9">
        <v>0</v>
      </c>
      <c r="I48" s="9">
        <v>0</v>
      </c>
      <c r="J48" s="9">
        <v>0</v>
      </c>
      <c r="K48" s="9">
        <v>0</v>
      </c>
      <c r="L48" s="147">
        <v>0</v>
      </c>
    </row>
    <row r="49" spans="1:12" x14ac:dyDescent="0.2">
      <c r="A49" s="149">
        <v>37500</v>
      </c>
      <c r="B49" s="1" t="s">
        <v>693</v>
      </c>
      <c r="C49" s="1" t="s">
        <v>693</v>
      </c>
      <c r="D49" s="143" t="s">
        <v>368</v>
      </c>
      <c r="E49" s="143" t="s">
        <v>89</v>
      </c>
      <c r="F49" s="1" t="s">
        <v>694</v>
      </c>
      <c r="G49" s="1" t="s">
        <v>695</v>
      </c>
      <c r="H49" s="9">
        <v>0</v>
      </c>
      <c r="I49" s="9">
        <v>0</v>
      </c>
      <c r="J49" s="9">
        <v>0</v>
      </c>
      <c r="K49" s="9">
        <v>0</v>
      </c>
      <c r="L49" s="147">
        <v>0</v>
      </c>
    </row>
    <row r="50" spans="1:12" x14ac:dyDescent="0.2">
      <c r="A50" s="149">
        <v>37500</v>
      </c>
      <c r="B50" s="1" t="s">
        <v>693</v>
      </c>
      <c r="C50" s="1" t="s">
        <v>693</v>
      </c>
      <c r="D50" s="143" t="s">
        <v>375</v>
      </c>
      <c r="E50" s="143" t="s">
        <v>89</v>
      </c>
      <c r="F50" s="1" t="s">
        <v>694</v>
      </c>
      <c r="G50" s="1" t="s">
        <v>695</v>
      </c>
      <c r="H50" s="9">
        <v>0</v>
      </c>
      <c r="I50" s="9">
        <v>0</v>
      </c>
      <c r="J50" s="9">
        <v>0</v>
      </c>
      <c r="K50" s="9">
        <v>0</v>
      </c>
      <c r="L50" s="147">
        <v>0</v>
      </c>
    </row>
    <row r="51" spans="1:12" x14ac:dyDescent="0.2">
      <c r="A51" s="149">
        <v>37500</v>
      </c>
      <c r="B51" s="1" t="s">
        <v>693</v>
      </c>
      <c r="C51" s="1" t="s">
        <v>693</v>
      </c>
      <c r="D51" s="143" t="s">
        <v>403</v>
      </c>
      <c r="E51" s="143" t="s">
        <v>89</v>
      </c>
      <c r="F51" s="1" t="s">
        <v>694</v>
      </c>
      <c r="G51" s="1" t="s">
        <v>695</v>
      </c>
      <c r="H51" s="9">
        <v>0</v>
      </c>
      <c r="I51" s="9">
        <v>0</v>
      </c>
      <c r="J51" s="9">
        <v>0</v>
      </c>
      <c r="K51" s="9">
        <v>0</v>
      </c>
      <c r="L51" s="147">
        <v>0</v>
      </c>
    </row>
    <row r="52" spans="1:12" x14ac:dyDescent="0.2">
      <c r="A52" s="149">
        <v>37500</v>
      </c>
      <c r="B52" s="1" t="s">
        <v>693</v>
      </c>
      <c r="C52" s="1" t="s">
        <v>693</v>
      </c>
      <c r="D52" s="143" t="s">
        <v>429</v>
      </c>
      <c r="E52" s="143" t="s">
        <v>89</v>
      </c>
      <c r="F52" s="1" t="s">
        <v>694</v>
      </c>
      <c r="G52" s="1" t="s">
        <v>695</v>
      </c>
      <c r="H52" s="9">
        <v>0</v>
      </c>
      <c r="I52" s="9">
        <v>0</v>
      </c>
      <c r="J52" s="9">
        <v>0</v>
      </c>
      <c r="K52" s="9">
        <v>0</v>
      </c>
      <c r="L52" s="147">
        <v>0</v>
      </c>
    </row>
    <row r="53" spans="1:12" x14ac:dyDescent="0.2">
      <c r="A53" s="149">
        <v>37500</v>
      </c>
      <c r="B53" s="1" t="s">
        <v>693</v>
      </c>
      <c r="C53" s="1" t="s">
        <v>693</v>
      </c>
      <c r="D53" s="143" t="s">
        <v>455</v>
      </c>
      <c r="E53" s="143" t="s">
        <v>89</v>
      </c>
      <c r="F53" s="1" t="s">
        <v>694</v>
      </c>
      <c r="G53" s="1" t="s">
        <v>695</v>
      </c>
      <c r="H53" s="9">
        <v>0</v>
      </c>
      <c r="I53" s="9">
        <v>0</v>
      </c>
      <c r="J53" s="9">
        <v>0</v>
      </c>
      <c r="K53" s="9">
        <v>0</v>
      </c>
      <c r="L53" s="147">
        <v>0</v>
      </c>
    </row>
    <row r="54" spans="1:12" x14ac:dyDescent="0.2">
      <c r="A54" s="149">
        <v>37500</v>
      </c>
      <c r="B54" s="1" t="s">
        <v>693</v>
      </c>
      <c r="C54" s="1" t="s">
        <v>693</v>
      </c>
      <c r="D54" s="143" t="s">
        <v>482</v>
      </c>
      <c r="E54" s="143" t="s">
        <v>89</v>
      </c>
      <c r="F54" s="1" t="s">
        <v>694</v>
      </c>
      <c r="G54" s="1" t="s">
        <v>695</v>
      </c>
      <c r="H54" s="9">
        <v>0</v>
      </c>
      <c r="I54" s="9">
        <v>0</v>
      </c>
      <c r="J54" s="9">
        <v>0</v>
      </c>
      <c r="K54" s="9">
        <v>0</v>
      </c>
      <c r="L54" s="147">
        <v>0</v>
      </c>
    </row>
    <row r="55" spans="1:12" x14ac:dyDescent="0.2">
      <c r="A55" s="149">
        <v>37500</v>
      </c>
      <c r="B55" s="1" t="s">
        <v>693</v>
      </c>
      <c r="C55" s="1" t="s">
        <v>693</v>
      </c>
      <c r="D55" s="143" t="s">
        <v>515</v>
      </c>
      <c r="E55" s="143" t="s">
        <v>89</v>
      </c>
      <c r="F55" s="1" t="s">
        <v>694</v>
      </c>
      <c r="G55" s="1" t="s">
        <v>695</v>
      </c>
      <c r="H55" s="9">
        <v>0</v>
      </c>
      <c r="I55" s="9">
        <v>0</v>
      </c>
      <c r="J55" s="9">
        <v>0</v>
      </c>
      <c r="K55" s="9">
        <v>0</v>
      </c>
      <c r="L55" s="147">
        <v>0</v>
      </c>
    </row>
    <row r="56" spans="1:12" x14ac:dyDescent="0.2">
      <c r="A56" s="149">
        <v>37500</v>
      </c>
      <c r="B56" s="1" t="s">
        <v>693</v>
      </c>
      <c r="C56" s="1" t="s">
        <v>693</v>
      </c>
      <c r="D56" s="143" t="s">
        <v>552</v>
      </c>
      <c r="E56" s="143" t="s">
        <v>89</v>
      </c>
      <c r="F56" s="1" t="s">
        <v>694</v>
      </c>
      <c r="G56" s="1" t="s">
        <v>695</v>
      </c>
      <c r="H56" s="9">
        <v>0</v>
      </c>
      <c r="I56" s="9">
        <v>0</v>
      </c>
      <c r="J56" s="9">
        <v>0</v>
      </c>
      <c r="K56" s="9">
        <v>0</v>
      </c>
      <c r="L56" s="147">
        <v>0</v>
      </c>
    </row>
    <row r="57" spans="1:12" x14ac:dyDescent="0.2">
      <c r="A57" s="149">
        <v>37500</v>
      </c>
      <c r="B57" s="1" t="s">
        <v>693</v>
      </c>
      <c r="C57" s="1" t="s">
        <v>693</v>
      </c>
      <c r="D57" s="143" t="s">
        <v>585</v>
      </c>
      <c r="E57" s="143" t="s">
        <v>89</v>
      </c>
      <c r="F57" s="1" t="s">
        <v>694</v>
      </c>
      <c r="G57" s="1" t="s">
        <v>695</v>
      </c>
      <c r="H57" s="9">
        <v>0</v>
      </c>
      <c r="I57" s="9">
        <v>0</v>
      </c>
      <c r="J57" s="9">
        <v>0</v>
      </c>
      <c r="K57" s="9">
        <v>0</v>
      </c>
      <c r="L57" s="147">
        <v>0</v>
      </c>
    </row>
    <row r="58" spans="1:12" x14ac:dyDescent="0.2">
      <c r="A58" s="149">
        <v>37500</v>
      </c>
      <c r="B58" s="1" t="s">
        <v>693</v>
      </c>
      <c r="C58" s="1" t="s">
        <v>693</v>
      </c>
      <c r="D58" s="143" t="s">
        <v>612</v>
      </c>
      <c r="E58" s="143" t="s">
        <v>89</v>
      </c>
      <c r="F58" s="1" t="s">
        <v>694</v>
      </c>
      <c r="G58" s="1" t="s">
        <v>695</v>
      </c>
      <c r="H58" s="9">
        <v>0</v>
      </c>
      <c r="I58" s="9">
        <v>0</v>
      </c>
      <c r="J58" s="9">
        <v>0</v>
      </c>
      <c r="K58" s="9">
        <v>0</v>
      </c>
      <c r="L58" s="147">
        <v>0</v>
      </c>
    </row>
    <row r="59" spans="1:12" x14ac:dyDescent="0.2">
      <c r="A59" s="149">
        <v>37500</v>
      </c>
      <c r="B59" s="1" t="s">
        <v>693</v>
      </c>
      <c r="C59" s="1" t="s">
        <v>693</v>
      </c>
      <c r="D59" s="143" t="s">
        <v>622</v>
      </c>
      <c r="E59" s="143" t="s">
        <v>89</v>
      </c>
      <c r="F59" s="1" t="s">
        <v>694</v>
      </c>
      <c r="G59" s="1" t="s">
        <v>695</v>
      </c>
      <c r="H59" s="9">
        <v>0</v>
      </c>
      <c r="I59" s="9">
        <v>0</v>
      </c>
      <c r="J59" s="9">
        <v>0</v>
      </c>
      <c r="K59" s="9">
        <v>0</v>
      </c>
      <c r="L59" s="147">
        <v>0</v>
      </c>
    </row>
    <row r="60" spans="1:12" x14ac:dyDescent="0.2">
      <c r="A60" s="149">
        <v>37600</v>
      </c>
      <c r="B60" s="1" t="s">
        <v>693</v>
      </c>
      <c r="C60" s="1" t="s">
        <v>693</v>
      </c>
      <c r="D60" s="143" t="s">
        <v>369</v>
      </c>
      <c r="E60" s="143" t="s">
        <v>89</v>
      </c>
      <c r="F60" s="1" t="s">
        <v>694</v>
      </c>
      <c r="G60" s="1" t="s">
        <v>695</v>
      </c>
      <c r="H60" s="9">
        <v>0</v>
      </c>
      <c r="I60" s="9">
        <v>0</v>
      </c>
      <c r="J60" s="9">
        <v>0</v>
      </c>
      <c r="K60" s="9">
        <v>0</v>
      </c>
      <c r="L60" s="147">
        <v>0</v>
      </c>
    </row>
    <row r="61" spans="1:12" x14ac:dyDescent="0.2">
      <c r="A61" s="149">
        <v>37600</v>
      </c>
      <c r="B61" s="1" t="s">
        <v>693</v>
      </c>
      <c r="C61" s="1" t="s">
        <v>693</v>
      </c>
      <c r="D61" s="143" t="s">
        <v>430</v>
      </c>
      <c r="E61" s="143" t="s">
        <v>89</v>
      </c>
      <c r="F61" s="1" t="s">
        <v>694</v>
      </c>
      <c r="G61" s="1" t="s">
        <v>695</v>
      </c>
      <c r="H61" s="9">
        <v>177498.99</v>
      </c>
      <c r="I61" s="9">
        <v>444.66</v>
      </c>
      <c r="J61" s="9">
        <v>0</v>
      </c>
      <c r="K61" s="9">
        <v>0</v>
      </c>
      <c r="L61" s="147">
        <v>177943.65</v>
      </c>
    </row>
    <row r="62" spans="1:12" x14ac:dyDescent="0.2">
      <c r="A62" s="149">
        <v>37600</v>
      </c>
      <c r="B62" s="1" t="s">
        <v>693</v>
      </c>
      <c r="C62" s="1" t="s">
        <v>693</v>
      </c>
      <c r="D62" s="143" t="s">
        <v>483</v>
      </c>
      <c r="E62" s="143" t="s">
        <v>89</v>
      </c>
      <c r="F62" s="1" t="s">
        <v>694</v>
      </c>
      <c r="G62" s="1" t="s">
        <v>695</v>
      </c>
      <c r="H62" s="9">
        <v>594726.80000000005</v>
      </c>
      <c r="I62" s="9">
        <v>1707.13</v>
      </c>
      <c r="J62" s="9">
        <v>0</v>
      </c>
      <c r="K62" s="9">
        <v>0</v>
      </c>
      <c r="L62" s="147">
        <v>596433.93000000005</v>
      </c>
    </row>
    <row r="63" spans="1:12" x14ac:dyDescent="0.2">
      <c r="A63" s="149">
        <v>37600</v>
      </c>
      <c r="B63" s="1" t="s">
        <v>693</v>
      </c>
      <c r="C63" s="1" t="s">
        <v>693</v>
      </c>
      <c r="D63" s="143" t="s">
        <v>313</v>
      </c>
      <c r="E63" s="143" t="s">
        <v>89</v>
      </c>
      <c r="F63" s="1" t="s">
        <v>694</v>
      </c>
      <c r="G63" s="1" t="s">
        <v>695</v>
      </c>
      <c r="H63" s="9">
        <v>836632.28</v>
      </c>
      <c r="I63" s="9">
        <v>1802.5</v>
      </c>
      <c r="J63" s="9">
        <v>0</v>
      </c>
      <c r="K63" s="9">
        <v>0</v>
      </c>
      <c r="L63" s="147">
        <v>838434.78</v>
      </c>
    </row>
    <row r="64" spans="1:12" x14ac:dyDescent="0.2">
      <c r="A64" s="149">
        <v>37600</v>
      </c>
      <c r="B64" s="1" t="s">
        <v>693</v>
      </c>
      <c r="C64" s="1" t="s">
        <v>693</v>
      </c>
      <c r="D64" s="143" t="s">
        <v>623</v>
      </c>
      <c r="E64" s="143" t="s">
        <v>89</v>
      </c>
      <c r="F64" s="1" t="s">
        <v>694</v>
      </c>
      <c r="G64" s="1" t="s">
        <v>695</v>
      </c>
      <c r="H64" s="9">
        <v>894276.98</v>
      </c>
      <c r="I64" s="9">
        <v>17375.580000000002</v>
      </c>
      <c r="J64" s="9">
        <v>0</v>
      </c>
      <c r="K64" s="9">
        <v>0</v>
      </c>
      <c r="L64" s="147">
        <v>911652.56</v>
      </c>
    </row>
    <row r="65" spans="1:12" x14ac:dyDescent="0.2">
      <c r="A65" s="149">
        <v>37600</v>
      </c>
      <c r="B65" s="1" t="s">
        <v>693</v>
      </c>
      <c r="C65" s="1" t="s">
        <v>693</v>
      </c>
      <c r="D65" s="143" t="s">
        <v>516</v>
      </c>
      <c r="E65" s="143" t="s">
        <v>89</v>
      </c>
      <c r="F65" s="1" t="s">
        <v>694</v>
      </c>
      <c r="G65" s="1" t="s">
        <v>695</v>
      </c>
      <c r="H65" s="9">
        <v>961402.38</v>
      </c>
      <c r="I65" s="9">
        <v>2387.7800000000002</v>
      </c>
      <c r="J65" s="9">
        <v>0</v>
      </c>
      <c r="K65" s="9">
        <v>0</v>
      </c>
      <c r="L65" s="147">
        <v>963790.16</v>
      </c>
    </row>
    <row r="66" spans="1:12" x14ac:dyDescent="0.2">
      <c r="A66" s="149">
        <v>37600</v>
      </c>
      <c r="B66" s="1" t="s">
        <v>693</v>
      </c>
      <c r="C66" s="1" t="s">
        <v>693</v>
      </c>
      <c r="D66" s="143" t="s">
        <v>376</v>
      </c>
      <c r="E66" s="143" t="s">
        <v>89</v>
      </c>
      <c r="F66" s="1" t="s">
        <v>694</v>
      </c>
      <c r="G66" s="1" t="s">
        <v>695</v>
      </c>
      <c r="H66" s="9">
        <v>1666859.28</v>
      </c>
      <c r="I66" s="9">
        <v>4295.82</v>
      </c>
      <c r="J66" s="9">
        <v>0</v>
      </c>
      <c r="K66" s="9">
        <v>0</v>
      </c>
      <c r="L66" s="147">
        <v>1671155.1</v>
      </c>
    </row>
    <row r="67" spans="1:12" x14ac:dyDescent="0.2">
      <c r="A67" s="149">
        <v>37600</v>
      </c>
      <c r="B67" s="1" t="s">
        <v>693</v>
      </c>
      <c r="C67" s="1" t="s">
        <v>693</v>
      </c>
      <c r="D67" s="143" t="s">
        <v>553</v>
      </c>
      <c r="E67" s="143" t="s">
        <v>89</v>
      </c>
      <c r="F67" s="1" t="s">
        <v>694</v>
      </c>
      <c r="G67" s="1" t="s">
        <v>695</v>
      </c>
      <c r="H67" s="9">
        <v>1886328.36</v>
      </c>
      <c r="I67" s="9">
        <v>13005.54</v>
      </c>
      <c r="J67" s="9">
        <v>0</v>
      </c>
      <c r="K67" s="9">
        <v>0</v>
      </c>
      <c r="L67" s="147">
        <v>1899333.9</v>
      </c>
    </row>
    <row r="68" spans="1:12" x14ac:dyDescent="0.2">
      <c r="A68" s="149">
        <v>37600</v>
      </c>
      <c r="B68" s="1" t="s">
        <v>693</v>
      </c>
      <c r="C68" s="1" t="s">
        <v>693</v>
      </c>
      <c r="D68" s="143" t="s">
        <v>456</v>
      </c>
      <c r="E68" s="143" t="s">
        <v>89</v>
      </c>
      <c r="F68" s="1" t="s">
        <v>694</v>
      </c>
      <c r="G68" s="1" t="s">
        <v>695</v>
      </c>
      <c r="H68" s="9">
        <v>2709896.52</v>
      </c>
      <c r="I68" s="9">
        <v>8231.86</v>
      </c>
      <c r="J68" s="9">
        <v>0</v>
      </c>
      <c r="K68" s="9">
        <v>0</v>
      </c>
      <c r="L68" s="147">
        <v>2718128.38</v>
      </c>
    </row>
    <row r="69" spans="1:12" x14ac:dyDescent="0.2">
      <c r="A69" s="149">
        <v>37600</v>
      </c>
      <c r="B69" s="1" t="s">
        <v>693</v>
      </c>
      <c r="C69" s="1" t="s">
        <v>693</v>
      </c>
      <c r="D69" s="143" t="s">
        <v>404</v>
      </c>
      <c r="E69" s="143" t="s">
        <v>89</v>
      </c>
      <c r="F69" s="1" t="s">
        <v>694</v>
      </c>
      <c r="G69" s="1" t="s">
        <v>695</v>
      </c>
      <c r="H69" s="9">
        <v>2987360.26</v>
      </c>
      <c r="I69" s="9">
        <v>9591.6200000000008</v>
      </c>
      <c r="J69" s="9">
        <v>-16869.29</v>
      </c>
      <c r="K69" s="9">
        <v>0</v>
      </c>
      <c r="L69" s="147">
        <v>2980082.59</v>
      </c>
    </row>
    <row r="70" spans="1:12" x14ac:dyDescent="0.2">
      <c r="A70" s="149">
        <v>37600</v>
      </c>
      <c r="B70" s="1" t="s">
        <v>693</v>
      </c>
      <c r="C70" s="1" t="s">
        <v>693</v>
      </c>
      <c r="D70" s="143" t="s">
        <v>253</v>
      </c>
      <c r="E70" s="143" t="s">
        <v>89</v>
      </c>
      <c r="F70" s="1" t="s">
        <v>694</v>
      </c>
      <c r="G70" s="1" t="s">
        <v>695</v>
      </c>
      <c r="H70" s="9">
        <v>4199762.59</v>
      </c>
      <c r="I70" s="9">
        <v>10777.63</v>
      </c>
      <c r="J70" s="9">
        <v>-79120.13</v>
      </c>
      <c r="K70" s="9">
        <v>0</v>
      </c>
      <c r="L70" s="147">
        <v>4131420.09</v>
      </c>
    </row>
    <row r="71" spans="1:12" x14ac:dyDescent="0.2">
      <c r="A71" s="149">
        <v>37600</v>
      </c>
      <c r="B71" s="1" t="s">
        <v>693</v>
      </c>
      <c r="C71" s="1" t="s">
        <v>693</v>
      </c>
      <c r="D71" s="143" t="s">
        <v>586</v>
      </c>
      <c r="E71" s="143" t="s">
        <v>89</v>
      </c>
      <c r="F71" s="1" t="s">
        <v>694</v>
      </c>
      <c r="G71" s="1" t="s">
        <v>695</v>
      </c>
      <c r="H71" s="9">
        <v>6011350.9500000002</v>
      </c>
      <c r="I71" s="9">
        <v>23771.02</v>
      </c>
      <c r="J71" s="9">
        <v>0</v>
      </c>
      <c r="K71" s="9">
        <v>0</v>
      </c>
      <c r="L71" s="147">
        <v>6035121.9699999997</v>
      </c>
    </row>
    <row r="72" spans="1:12" x14ac:dyDescent="0.2">
      <c r="A72" s="149">
        <v>37600</v>
      </c>
      <c r="B72" s="1" t="s">
        <v>693</v>
      </c>
      <c r="C72" s="1" t="s">
        <v>693</v>
      </c>
      <c r="D72" s="143" t="s">
        <v>282</v>
      </c>
      <c r="E72" s="143" t="s">
        <v>89</v>
      </c>
      <c r="F72" s="1" t="s">
        <v>694</v>
      </c>
      <c r="G72" s="1" t="s">
        <v>695</v>
      </c>
      <c r="H72" s="9">
        <v>10110458.75</v>
      </c>
      <c r="I72" s="9">
        <v>33349.269999999997</v>
      </c>
      <c r="J72" s="9">
        <v>0</v>
      </c>
      <c r="K72" s="9">
        <v>0</v>
      </c>
      <c r="L72" s="147">
        <v>10143808.02</v>
      </c>
    </row>
    <row r="73" spans="1:12" x14ac:dyDescent="0.2">
      <c r="A73" s="149">
        <v>37600</v>
      </c>
      <c r="B73" s="1" t="s">
        <v>693</v>
      </c>
      <c r="C73" s="1" t="s">
        <v>693</v>
      </c>
      <c r="D73" s="143" t="s">
        <v>221</v>
      </c>
      <c r="E73" s="143" t="s">
        <v>89</v>
      </c>
      <c r="F73" s="1" t="s">
        <v>694</v>
      </c>
      <c r="G73" s="1" t="s">
        <v>695</v>
      </c>
      <c r="H73" s="9">
        <v>10560044.57</v>
      </c>
      <c r="I73" s="9">
        <v>31291.45</v>
      </c>
      <c r="J73" s="9">
        <v>-116373.25</v>
      </c>
      <c r="K73" s="9">
        <v>0</v>
      </c>
      <c r="L73" s="147">
        <v>10474962.77</v>
      </c>
    </row>
    <row r="74" spans="1:12" x14ac:dyDescent="0.2">
      <c r="A74" s="149">
        <v>37600</v>
      </c>
      <c r="B74" s="1" t="s">
        <v>693</v>
      </c>
      <c r="C74" s="1" t="s">
        <v>693</v>
      </c>
      <c r="D74" s="143" t="s">
        <v>191</v>
      </c>
      <c r="E74" s="143" t="s">
        <v>89</v>
      </c>
      <c r="F74" s="1" t="s">
        <v>694</v>
      </c>
      <c r="G74" s="1" t="s">
        <v>695</v>
      </c>
      <c r="H74" s="9">
        <v>15207399.16</v>
      </c>
      <c r="I74" s="9">
        <v>26085.38</v>
      </c>
      <c r="J74" s="9">
        <v>-174262.53</v>
      </c>
      <c r="K74" s="9">
        <v>0</v>
      </c>
      <c r="L74" s="147">
        <v>15059222.01</v>
      </c>
    </row>
    <row r="75" spans="1:12" x14ac:dyDescent="0.2">
      <c r="A75" s="149">
        <v>37600</v>
      </c>
      <c r="B75" s="1" t="s">
        <v>693</v>
      </c>
      <c r="C75" s="1" t="s">
        <v>693</v>
      </c>
      <c r="D75" s="143" t="s">
        <v>342</v>
      </c>
      <c r="E75" s="143" t="s">
        <v>89</v>
      </c>
      <c r="F75" s="1" t="s">
        <v>694</v>
      </c>
      <c r="G75" s="1" t="s">
        <v>695</v>
      </c>
      <c r="H75" s="9">
        <v>15737355.550000001</v>
      </c>
      <c r="I75" s="9">
        <v>42930.42</v>
      </c>
      <c r="J75" s="9">
        <v>-274886.40999999997</v>
      </c>
      <c r="K75" s="9">
        <v>0</v>
      </c>
      <c r="L75" s="147">
        <v>15505399.560000001</v>
      </c>
    </row>
    <row r="76" spans="1:12" x14ac:dyDescent="0.2">
      <c r="A76" s="149">
        <v>37602</v>
      </c>
      <c r="B76" s="1" t="s">
        <v>693</v>
      </c>
      <c r="C76" s="1" t="s">
        <v>693</v>
      </c>
      <c r="D76" s="143" t="s">
        <v>370</v>
      </c>
      <c r="E76" s="143" t="s">
        <v>89</v>
      </c>
      <c r="F76" s="1" t="s">
        <v>694</v>
      </c>
      <c r="G76" s="1" t="s">
        <v>695</v>
      </c>
      <c r="H76" s="9">
        <v>0</v>
      </c>
      <c r="I76" s="9">
        <v>0</v>
      </c>
      <c r="J76" s="9">
        <v>0</v>
      </c>
      <c r="K76" s="9">
        <v>0</v>
      </c>
      <c r="L76" s="147">
        <v>0</v>
      </c>
    </row>
    <row r="77" spans="1:12" x14ac:dyDescent="0.2">
      <c r="A77" s="149">
        <v>37602</v>
      </c>
      <c r="B77" s="1" t="s">
        <v>693</v>
      </c>
      <c r="C77" s="1" t="s">
        <v>693</v>
      </c>
      <c r="D77" s="143" t="s">
        <v>223</v>
      </c>
      <c r="E77" s="143" t="s">
        <v>89</v>
      </c>
      <c r="F77" s="1" t="s">
        <v>694</v>
      </c>
      <c r="G77" s="1" t="s">
        <v>695</v>
      </c>
      <c r="H77" s="9">
        <v>0</v>
      </c>
      <c r="I77" s="9">
        <v>0</v>
      </c>
      <c r="J77" s="9">
        <v>0</v>
      </c>
      <c r="K77" s="9">
        <v>0</v>
      </c>
      <c r="L77" s="147">
        <v>0</v>
      </c>
    </row>
    <row r="78" spans="1:12" x14ac:dyDescent="0.2">
      <c r="A78" s="149">
        <v>37602</v>
      </c>
      <c r="B78" s="1" t="s">
        <v>693</v>
      </c>
      <c r="C78" s="1" t="s">
        <v>693</v>
      </c>
      <c r="D78" s="143" t="s">
        <v>315</v>
      </c>
      <c r="E78" s="143" t="s">
        <v>89</v>
      </c>
      <c r="F78" s="1" t="s">
        <v>694</v>
      </c>
      <c r="G78" s="1" t="s">
        <v>695</v>
      </c>
      <c r="H78" s="9">
        <v>0</v>
      </c>
      <c r="I78" s="9">
        <v>0</v>
      </c>
      <c r="J78" s="9">
        <v>0</v>
      </c>
      <c r="K78" s="9">
        <v>0</v>
      </c>
      <c r="L78" s="147">
        <v>0</v>
      </c>
    </row>
    <row r="79" spans="1:12" x14ac:dyDescent="0.2">
      <c r="A79" s="149">
        <v>37602</v>
      </c>
      <c r="B79" s="1" t="s">
        <v>693</v>
      </c>
      <c r="C79" s="1" t="s">
        <v>693</v>
      </c>
      <c r="D79" s="143" t="s">
        <v>344</v>
      </c>
      <c r="E79" s="143" t="s">
        <v>89</v>
      </c>
      <c r="F79" s="1" t="s">
        <v>694</v>
      </c>
      <c r="G79" s="1" t="s">
        <v>695</v>
      </c>
      <c r="H79" s="9">
        <v>0</v>
      </c>
      <c r="I79" s="9">
        <v>0</v>
      </c>
      <c r="J79" s="9">
        <v>0</v>
      </c>
      <c r="K79" s="9">
        <v>0</v>
      </c>
      <c r="L79" s="147">
        <v>0</v>
      </c>
    </row>
    <row r="80" spans="1:12" x14ac:dyDescent="0.2">
      <c r="A80" s="149">
        <v>37602</v>
      </c>
      <c r="B80" s="1" t="s">
        <v>693</v>
      </c>
      <c r="C80" s="1" t="s">
        <v>693</v>
      </c>
      <c r="D80" s="143" t="s">
        <v>458</v>
      </c>
      <c r="E80" s="143" t="s">
        <v>89</v>
      </c>
      <c r="F80" s="1" t="s">
        <v>694</v>
      </c>
      <c r="G80" s="1" t="s">
        <v>695</v>
      </c>
      <c r="H80" s="9">
        <v>0</v>
      </c>
      <c r="I80" s="9">
        <v>0</v>
      </c>
      <c r="J80" s="9">
        <v>0</v>
      </c>
      <c r="K80" s="9">
        <v>0</v>
      </c>
      <c r="L80" s="147">
        <v>0</v>
      </c>
    </row>
    <row r="81" spans="1:12" x14ac:dyDescent="0.2">
      <c r="A81" s="149">
        <v>37602</v>
      </c>
      <c r="B81" s="1" t="s">
        <v>693</v>
      </c>
      <c r="C81" s="1" t="s">
        <v>693</v>
      </c>
      <c r="D81" s="143" t="s">
        <v>224</v>
      </c>
      <c r="E81" s="143" t="s">
        <v>89</v>
      </c>
      <c r="F81" s="1" t="s">
        <v>694</v>
      </c>
      <c r="G81" s="1" t="s">
        <v>695</v>
      </c>
      <c r="H81" s="9">
        <v>0</v>
      </c>
      <c r="I81" s="9">
        <v>0</v>
      </c>
      <c r="J81" s="9">
        <v>0</v>
      </c>
      <c r="K81" s="9">
        <v>0</v>
      </c>
      <c r="L81" s="147">
        <v>0</v>
      </c>
    </row>
    <row r="82" spans="1:12" x14ac:dyDescent="0.2">
      <c r="A82" s="149">
        <v>37602</v>
      </c>
      <c r="B82" s="1" t="s">
        <v>693</v>
      </c>
      <c r="C82" s="1" t="s">
        <v>693</v>
      </c>
      <c r="D82" s="143" t="s">
        <v>256</v>
      </c>
      <c r="E82" s="143" t="s">
        <v>89</v>
      </c>
      <c r="F82" s="1" t="s">
        <v>694</v>
      </c>
      <c r="G82" s="1" t="s">
        <v>695</v>
      </c>
      <c r="H82" s="9">
        <v>0</v>
      </c>
      <c r="I82" s="9">
        <v>0</v>
      </c>
      <c r="J82" s="9">
        <v>0</v>
      </c>
      <c r="K82" s="9">
        <v>0</v>
      </c>
      <c r="L82" s="147">
        <v>0</v>
      </c>
    </row>
    <row r="83" spans="1:12" x14ac:dyDescent="0.2">
      <c r="A83" s="149">
        <v>37602</v>
      </c>
      <c r="B83" s="1" t="s">
        <v>693</v>
      </c>
      <c r="C83" s="1" t="s">
        <v>693</v>
      </c>
      <c r="D83" s="143" t="s">
        <v>345</v>
      </c>
      <c r="E83" s="143" t="s">
        <v>89</v>
      </c>
      <c r="F83" s="1" t="s">
        <v>694</v>
      </c>
      <c r="G83" s="1" t="s">
        <v>695</v>
      </c>
      <c r="H83" s="9">
        <v>0</v>
      </c>
      <c r="I83" s="9">
        <v>0</v>
      </c>
      <c r="J83" s="9">
        <v>0</v>
      </c>
      <c r="K83" s="9">
        <v>0</v>
      </c>
      <c r="L83" s="147">
        <v>0</v>
      </c>
    </row>
    <row r="84" spans="1:12" x14ac:dyDescent="0.2">
      <c r="A84" s="149">
        <v>37602</v>
      </c>
      <c r="B84" s="1" t="s">
        <v>693</v>
      </c>
      <c r="C84" s="1" t="s">
        <v>693</v>
      </c>
      <c r="D84" s="143" t="s">
        <v>378</v>
      </c>
      <c r="E84" s="143" t="s">
        <v>89</v>
      </c>
      <c r="F84" s="1" t="s">
        <v>694</v>
      </c>
      <c r="G84" s="1" t="s">
        <v>695</v>
      </c>
      <c r="H84" s="9">
        <v>0</v>
      </c>
      <c r="I84" s="9">
        <v>0</v>
      </c>
      <c r="J84" s="9">
        <v>0</v>
      </c>
      <c r="K84" s="9">
        <v>0</v>
      </c>
      <c r="L84" s="147">
        <v>0</v>
      </c>
    </row>
    <row r="85" spans="1:12" x14ac:dyDescent="0.2">
      <c r="A85" s="149">
        <v>37602</v>
      </c>
      <c r="B85" s="1" t="s">
        <v>693</v>
      </c>
      <c r="C85" s="1" t="s">
        <v>693</v>
      </c>
      <c r="D85" s="143" t="s">
        <v>459</v>
      </c>
      <c r="E85" s="143" t="s">
        <v>89</v>
      </c>
      <c r="F85" s="1" t="s">
        <v>694</v>
      </c>
      <c r="G85" s="1" t="s">
        <v>695</v>
      </c>
      <c r="H85" s="9">
        <v>0</v>
      </c>
      <c r="I85" s="9">
        <v>0</v>
      </c>
      <c r="J85" s="9">
        <v>0</v>
      </c>
      <c r="K85" s="9">
        <v>0</v>
      </c>
      <c r="L85" s="147">
        <v>0</v>
      </c>
    </row>
    <row r="86" spans="1:12" x14ac:dyDescent="0.2">
      <c r="A86" s="149">
        <v>37602</v>
      </c>
      <c r="B86" s="1" t="s">
        <v>693</v>
      </c>
      <c r="C86" s="1" t="s">
        <v>693</v>
      </c>
      <c r="D86" s="143" t="s">
        <v>589</v>
      </c>
      <c r="E86" s="143" t="s">
        <v>89</v>
      </c>
      <c r="F86" s="1" t="s">
        <v>694</v>
      </c>
      <c r="G86" s="1" t="s">
        <v>695</v>
      </c>
      <c r="H86" s="9">
        <v>0</v>
      </c>
      <c r="I86" s="9">
        <v>0</v>
      </c>
      <c r="J86" s="9">
        <v>0</v>
      </c>
      <c r="K86" s="9">
        <v>0</v>
      </c>
      <c r="L86" s="147">
        <v>0</v>
      </c>
    </row>
    <row r="87" spans="1:12" x14ac:dyDescent="0.2">
      <c r="A87" s="149">
        <v>37602</v>
      </c>
      <c r="B87" s="1" t="s">
        <v>693</v>
      </c>
      <c r="C87" s="1" t="s">
        <v>693</v>
      </c>
      <c r="D87" s="143" t="s">
        <v>285</v>
      </c>
      <c r="E87" s="143" t="s">
        <v>89</v>
      </c>
      <c r="F87" s="1" t="s">
        <v>694</v>
      </c>
      <c r="G87" s="1" t="s">
        <v>695</v>
      </c>
      <c r="H87" s="9">
        <v>24.04</v>
      </c>
      <c r="I87" s="9">
        <v>0</v>
      </c>
      <c r="J87" s="9">
        <v>0</v>
      </c>
      <c r="K87" s="9">
        <v>0</v>
      </c>
      <c r="L87" s="147">
        <v>24.04</v>
      </c>
    </row>
    <row r="88" spans="1:12" x14ac:dyDescent="0.2">
      <c r="A88" s="149">
        <v>37602</v>
      </c>
      <c r="B88" s="1" t="s">
        <v>693</v>
      </c>
      <c r="C88" s="1" t="s">
        <v>693</v>
      </c>
      <c r="D88" s="143" t="s">
        <v>555</v>
      </c>
      <c r="E88" s="143" t="s">
        <v>89</v>
      </c>
      <c r="F88" s="1" t="s">
        <v>694</v>
      </c>
      <c r="G88" s="1" t="s">
        <v>695</v>
      </c>
      <c r="H88" s="9">
        <v>34.200000000000003</v>
      </c>
      <c r="I88" s="9">
        <v>0</v>
      </c>
      <c r="J88" s="9">
        <v>0</v>
      </c>
      <c r="K88" s="9">
        <v>0</v>
      </c>
      <c r="L88" s="147">
        <v>34.200000000000003</v>
      </c>
    </row>
    <row r="89" spans="1:12" x14ac:dyDescent="0.2">
      <c r="A89" s="149">
        <v>37602</v>
      </c>
      <c r="B89" s="1" t="s">
        <v>693</v>
      </c>
      <c r="C89" s="1" t="s">
        <v>693</v>
      </c>
      <c r="D89" s="143" t="s">
        <v>284</v>
      </c>
      <c r="E89" s="143" t="s">
        <v>89</v>
      </c>
      <c r="F89" s="1" t="s">
        <v>694</v>
      </c>
      <c r="G89" s="1" t="s">
        <v>695</v>
      </c>
      <c r="H89" s="9">
        <v>51.18</v>
      </c>
      <c r="I89" s="9">
        <v>0</v>
      </c>
      <c r="J89" s="9">
        <v>0</v>
      </c>
      <c r="K89" s="9">
        <v>0</v>
      </c>
      <c r="L89" s="147">
        <v>51.18</v>
      </c>
    </row>
    <row r="90" spans="1:12" x14ac:dyDescent="0.2">
      <c r="A90" s="149">
        <v>37602</v>
      </c>
      <c r="B90" s="1" t="s">
        <v>693</v>
      </c>
      <c r="C90" s="1" t="s">
        <v>693</v>
      </c>
      <c r="D90" s="143" t="s">
        <v>519</v>
      </c>
      <c r="E90" s="143" t="s">
        <v>89</v>
      </c>
      <c r="F90" s="1" t="s">
        <v>694</v>
      </c>
      <c r="G90" s="1" t="s">
        <v>695</v>
      </c>
      <c r="H90" s="9">
        <v>89.05</v>
      </c>
      <c r="I90" s="9">
        <v>0</v>
      </c>
      <c r="J90" s="9">
        <v>0</v>
      </c>
      <c r="K90" s="9">
        <v>0</v>
      </c>
      <c r="L90" s="147">
        <v>89.05</v>
      </c>
    </row>
    <row r="91" spans="1:12" x14ac:dyDescent="0.2">
      <c r="A91" s="149">
        <v>37602</v>
      </c>
      <c r="B91" s="1" t="s">
        <v>693</v>
      </c>
      <c r="C91" s="1" t="s">
        <v>693</v>
      </c>
      <c r="D91" s="143" t="s">
        <v>486</v>
      </c>
      <c r="E91" s="143" t="s">
        <v>89</v>
      </c>
      <c r="F91" s="1" t="s">
        <v>694</v>
      </c>
      <c r="G91" s="1" t="s">
        <v>695</v>
      </c>
      <c r="H91" s="9">
        <v>399.1</v>
      </c>
      <c r="I91" s="9">
        <v>0</v>
      </c>
      <c r="J91" s="9">
        <v>0</v>
      </c>
      <c r="K91" s="9">
        <v>0</v>
      </c>
      <c r="L91" s="147">
        <v>399.1</v>
      </c>
    </row>
    <row r="92" spans="1:12" x14ac:dyDescent="0.2">
      <c r="A92" s="149">
        <v>37602</v>
      </c>
      <c r="B92" s="1" t="s">
        <v>693</v>
      </c>
      <c r="C92" s="1" t="s">
        <v>693</v>
      </c>
      <c r="D92" s="143" t="s">
        <v>518</v>
      </c>
      <c r="E92" s="143" t="s">
        <v>89</v>
      </c>
      <c r="F92" s="1" t="s">
        <v>694</v>
      </c>
      <c r="G92" s="1" t="s">
        <v>695</v>
      </c>
      <c r="H92" s="9">
        <v>500.11</v>
      </c>
      <c r="I92" s="9">
        <v>0</v>
      </c>
      <c r="J92" s="9">
        <v>0</v>
      </c>
      <c r="K92" s="9">
        <v>0</v>
      </c>
      <c r="L92" s="147">
        <v>500.11</v>
      </c>
    </row>
    <row r="93" spans="1:12" x14ac:dyDescent="0.2">
      <c r="A93" s="149">
        <v>37602</v>
      </c>
      <c r="B93" s="1" t="s">
        <v>693</v>
      </c>
      <c r="C93" s="1" t="s">
        <v>693</v>
      </c>
      <c r="D93" s="143" t="s">
        <v>193</v>
      </c>
      <c r="E93" s="143" t="s">
        <v>89</v>
      </c>
      <c r="F93" s="1" t="s">
        <v>694</v>
      </c>
      <c r="G93" s="1" t="s">
        <v>695</v>
      </c>
      <c r="H93" s="9">
        <v>884.04</v>
      </c>
      <c r="I93" s="9">
        <v>0</v>
      </c>
      <c r="J93" s="9">
        <v>0</v>
      </c>
      <c r="K93" s="9">
        <v>0</v>
      </c>
      <c r="L93" s="147">
        <v>884.04</v>
      </c>
    </row>
    <row r="94" spans="1:12" x14ac:dyDescent="0.2">
      <c r="A94" s="149">
        <v>37602</v>
      </c>
      <c r="B94" s="1" t="s">
        <v>693</v>
      </c>
      <c r="C94" s="1" t="s">
        <v>693</v>
      </c>
      <c r="D94" s="143" t="s">
        <v>485</v>
      </c>
      <c r="E94" s="143" t="s">
        <v>89</v>
      </c>
      <c r="F94" s="1" t="s">
        <v>694</v>
      </c>
      <c r="G94" s="1" t="s">
        <v>695</v>
      </c>
      <c r="H94" s="9">
        <v>1408.6</v>
      </c>
      <c r="I94" s="9">
        <v>0</v>
      </c>
      <c r="J94" s="9">
        <v>0</v>
      </c>
      <c r="K94" s="9">
        <v>0</v>
      </c>
      <c r="L94" s="147">
        <v>1408.6</v>
      </c>
    </row>
    <row r="95" spans="1:12" x14ac:dyDescent="0.2">
      <c r="A95" s="149">
        <v>37602</v>
      </c>
      <c r="B95" s="1" t="s">
        <v>693</v>
      </c>
      <c r="C95" s="1" t="s">
        <v>693</v>
      </c>
      <c r="D95" s="143" t="s">
        <v>255</v>
      </c>
      <c r="E95" s="143" t="s">
        <v>89</v>
      </c>
      <c r="F95" s="1" t="s">
        <v>694</v>
      </c>
      <c r="G95" s="1" t="s">
        <v>695</v>
      </c>
      <c r="H95" s="9">
        <v>1432.83</v>
      </c>
      <c r="I95" s="9">
        <v>0</v>
      </c>
      <c r="J95" s="9">
        <v>0</v>
      </c>
      <c r="K95" s="9">
        <v>0</v>
      </c>
      <c r="L95" s="147">
        <v>1432.83</v>
      </c>
    </row>
    <row r="96" spans="1:12" x14ac:dyDescent="0.2">
      <c r="A96" s="149">
        <v>37602</v>
      </c>
      <c r="B96" s="1" t="s">
        <v>693</v>
      </c>
      <c r="C96" s="1" t="s">
        <v>693</v>
      </c>
      <c r="D96" s="143" t="s">
        <v>588</v>
      </c>
      <c r="E96" s="143" t="s">
        <v>89</v>
      </c>
      <c r="F96" s="1" t="s">
        <v>694</v>
      </c>
      <c r="G96" s="1" t="s">
        <v>695</v>
      </c>
      <c r="H96" s="9">
        <v>2472.17</v>
      </c>
      <c r="I96" s="9">
        <v>0</v>
      </c>
      <c r="J96" s="9">
        <v>0</v>
      </c>
      <c r="K96" s="9">
        <v>0</v>
      </c>
      <c r="L96" s="147">
        <v>2472.17</v>
      </c>
    </row>
    <row r="97" spans="1:12" x14ac:dyDescent="0.2">
      <c r="A97" s="149">
        <v>37602</v>
      </c>
      <c r="B97" s="1" t="s">
        <v>693</v>
      </c>
      <c r="C97" s="1" t="s">
        <v>693</v>
      </c>
      <c r="D97" s="143" t="s">
        <v>431</v>
      </c>
      <c r="E97" s="143" t="s">
        <v>89</v>
      </c>
      <c r="F97" s="1" t="s">
        <v>694</v>
      </c>
      <c r="G97" s="1" t="s">
        <v>695</v>
      </c>
      <c r="H97" s="9">
        <v>127820.3</v>
      </c>
      <c r="I97" s="9">
        <v>495.27</v>
      </c>
      <c r="J97" s="9">
        <v>0</v>
      </c>
      <c r="K97" s="9">
        <v>0</v>
      </c>
      <c r="L97" s="147">
        <v>128315.57</v>
      </c>
    </row>
    <row r="98" spans="1:12" x14ac:dyDescent="0.2">
      <c r="A98" s="149">
        <v>37602</v>
      </c>
      <c r="B98" s="1" t="s">
        <v>693</v>
      </c>
      <c r="C98" s="1" t="s">
        <v>693</v>
      </c>
      <c r="D98" s="143" t="s">
        <v>314</v>
      </c>
      <c r="E98" s="143" t="s">
        <v>89</v>
      </c>
      <c r="F98" s="1" t="s">
        <v>694</v>
      </c>
      <c r="G98" s="1" t="s">
        <v>695</v>
      </c>
      <c r="H98" s="9">
        <v>387754.48</v>
      </c>
      <c r="I98" s="9">
        <v>2237.4299999999998</v>
      </c>
      <c r="J98" s="9">
        <v>0</v>
      </c>
      <c r="K98" s="9">
        <v>0</v>
      </c>
      <c r="L98" s="147">
        <v>389991.91</v>
      </c>
    </row>
    <row r="99" spans="1:12" x14ac:dyDescent="0.2">
      <c r="A99" s="149">
        <v>37602</v>
      </c>
      <c r="B99" s="1" t="s">
        <v>693</v>
      </c>
      <c r="C99" s="1" t="s">
        <v>693</v>
      </c>
      <c r="D99" s="143" t="s">
        <v>377</v>
      </c>
      <c r="E99" s="143" t="s">
        <v>89</v>
      </c>
      <c r="F99" s="1" t="s">
        <v>694</v>
      </c>
      <c r="G99" s="1" t="s">
        <v>695</v>
      </c>
      <c r="H99" s="9">
        <v>603289.82999999996</v>
      </c>
      <c r="I99" s="9">
        <v>4349.1000000000004</v>
      </c>
      <c r="J99" s="9">
        <v>0</v>
      </c>
      <c r="K99" s="9">
        <v>0</v>
      </c>
      <c r="L99" s="147">
        <v>607638.93000000005</v>
      </c>
    </row>
    <row r="100" spans="1:12" x14ac:dyDescent="0.2">
      <c r="A100" s="149">
        <v>37602</v>
      </c>
      <c r="B100" s="1" t="s">
        <v>693</v>
      </c>
      <c r="C100" s="1" t="s">
        <v>693</v>
      </c>
      <c r="D100" s="143" t="s">
        <v>405</v>
      </c>
      <c r="E100" s="143" t="s">
        <v>89</v>
      </c>
      <c r="F100" s="1" t="s">
        <v>694</v>
      </c>
      <c r="G100" s="1" t="s">
        <v>695</v>
      </c>
      <c r="H100" s="9">
        <v>750996.59</v>
      </c>
      <c r="I100" s="9">
        <v>3480.72</v>
      </c>
      <c r="J100" s="9">
        <v>0</v>
      </c>
      <c r="K100" s="9">
        <v>0</v>
      </c>
      <c r="L100" s="147">
        <v>754477.31</v>
      </c>
    </row>
    <row r="101" spans="1:12" x14ac:dyDescent="0.2">
      <c r="A101" s="149">
        <v>37602</v>
      </c>
      <c r="B101" s="1" t="s">
        <v>693</v>
      </c>
      <c r="C101" s="1" t="s">
        <v>693</v>
      </c>
      <c r="D101" s="143" t="s">
        <v>484</v>
      </c>
      <c r="E101" s="143" t="s">
        <v>89</v>
      </c>
      <c r="F101" s="1" t="s">
        <v>694</v>
      </c>
      <c r="G101" s="1" t="s">
        <v>695</v>
      </c>
      <c r="H101" s="9">
        <v>937727.16</v>
      </c>
      <c r="I101" s="9">
        <v>5474.58</v>
      </c>
      <c r="J101" s="9">
        <v>0</v>
      </c>
      <c r="K101" s="9">
        <v>0</v>
      </c>
      <c r="L101" s="147">
        <v>943201.74</v>
      </c>
    </row>
    <row r="102" spans="1:12" x14ac:dyDescent="0.2">
      <c r="A102" s="149">
        <v>37602</v>
      </c>
      <c r="B102" s="1" t="s">
        <v>693</v>
      </c>
      <c r="C102" s="1" t="s">
        <v>693</v>
      </c>
      <c r="D102" s="143" t="s">
        <v>517</v>
      </c>
      <c r="E102" s="143" t="s">
        <v>89</v>
      </c>
      <c r="F102" s="1" t="s">
        <v>694</v>
      </c>
      <c r="G102" s="1" t="s">
        <v>695</v>
      </c>
      <c r="H102" s="9">
        <v>1342346.49</v>
      </c>
      <c r="I102" s="9">
        <v>4542.21</v>
      </c>
      <c r="J102" s="9">
        <v>0</v>
      </c>
      <c r="K102" s="9">
        <v>0</v>
      </c>
      <c r="L102" s="147">
        <v>1346888.7</v>
      </c>
    </row>
    <row r="103" spans="1:12" x14ac:dyDescent="0.2">
      <c r="A103" s="149">
        <v>37602</v>
      </c>
      <c r="B103" s="1" t="s">
        <v>693</v>
      </c>
      <c r="C103" s="1" t="s">
        <v>693</v>
      </c>
      <c r="D103" s="143" t="s">
        <v>254</v>
      </c>
      <c r="E103" s="143" t="s">
        <v>89</v>
      </c>
      <c r="F103" s="1" t="s">
        <v>694</v>
      </c>
      <c r="G103" s="1" t="s">
        <v>695</v>
      </c>
      <c r="H103" s="9">
        <v>2023378.92</v>
      </c>
      <c r="I103" s="9">
        <v>9571.35</v>
      </c>
      <c r="J103" s="9">
        <v>0</v>
      </c>
      <c r="K103" s="9">
        <v>0</v>
      </c>
      <c r="L103" s="147">
        <v>2032950.27</v>
      </c>
    </row>
    <row r="104" spans="1:12" x14ac:dyDescent="0.2">
      <c r="A104" s="149">
        <v>37602</v>
      </c>
      <c r="B104" s="1" t="s">
        <v>693</v>
      </c>
      <c r="C104" s="1" t="s">
        <v>693</v>
      </c>
      <c r="D104" s="143" t="s">
        <v>283</v>
      </c>
      <c r="E104" s="143" t="s">
        <v>89</v>
      </c>
      <c r="F104" s="1" t="s">
        <v>694</v>
      </c>
      <c r="G104" s="1" t="s">
        <v>695</v>
      </c>
      <c r="H104" s="9">
        <v>2127669.86</v>
      </c>
      <c r="I104" s="9">
        <v>9541.98</v>
      </c>
      <c r="J104" s="9">
        <v>0</v>
      </c>
      <c r="K104" s="9">
        <v>0</v>
      </c>
      <c r="L104" s="147">
        <v>2137211.84</v>
      </c>
    </row>
    <row r="105" spans="1:12" x14ac:dyDescent="0.2">
      <c r="A105" s="149">
        <v>37602</v>
      </c>
      <c r="B105" s="1" t="s">
        <v>693</v>
      </c>
      <c r="C105" s="1" t="s">
        <v>693</v>
      </c>
      <c r="D105" s="143" t="s">
        <v>554</v>
      </c>
      <c r="E105" s="143" t="s">
        <v>89</v>
      </c>
      <c r="F105" s="1" t="s">
        <v>694</v>
      </c>
      <c r="G105" s="1" t="s">
        <v>695</v>
      </c>
      <c r="H105" s="9">
        <v>2185603.4</v>
      </c>
      <c r="I105" s="9">
        <v>9694.5300000000007</v>
      </c>
      <c r="J105" s="9">
        <v>0</v>
      </c>
      <c r="K105" s="9">
        <v>0</v>
      </c>
      <c r="L105" s="147">
        <v>2195297.9300000002</v>
      </c>
    </row>
    <row r="106" spans="1:12" x14ac:dyDescent="0.2">
      <c r="A106" s="149">
        <v>37602</v>
      </c>
      <c r="B106" s="1" t="s">
        <v>693</v>
      </c>
      <c r="C106" s="1" t="s">
        <v>693</v>
      </c>
      <c r="D106" s="143" t="s">
        <v>587</v>
      </c>
      <c r="E106" s="143" t="s">
        <v>89</v>
      </c>
      <c r="F106" s="1" t="s">
        <v>694</v>
      </c>
      <c r="G106" s="1" t="s">
        <v>695</v>
      </c>
      <c r="H106" s="9">
        <v>2492345.67</v>
      </c>
      <c r="I106" s="9">
        <v>17750.71</v>
      </c>
      <c r="J106" s="9">
        <v>0</v>
      </c>
      <c r="K106" s="9">
        <v>0</v>
      </c>
      <c r="L106" s="147">
        <v>2510096.38</v>
      </c>
    </row>
    <row r="107" spans="1:12" x14ac:dyDescent="0.2">
      <c r="A107" s="149">
        <v>37602</v>
      </c>
      <c r="B107" s="1" t="s">
        <v>693</v>
      </c>
      <c r="C107" s="1" t="s">
        <v>693</v>
      </c>
      <c r="D107" s="143" t="s">
        <v>192</v>
      </c>
      <c r="E107" s="143" t="s">
        <v>89</v>
      </c>
      <c r="F107" s="1" t="s">
        <v>694</v>
      </c>
      <c r="G107" s="1" t="s">
        <v>695</v>
      </c>
      <c r="H107" s="9">
        <v>2906536.71</v>
      </c>
      <c r="I107" s="9">
        <v>19697.18</v>
      </c>
      <c r="J107" s="9">
        <v>-32286.62</v>
      </c>
      <c r="K107" s="9">
        <v>0</v>
      </c>
      <c r="L107" s="147">
        <v>2893947.27</v>
      </c>
    </row>
    <row r="108" spans="1:12" x14ac:dyDescent="0.2">
      <c r="A108" s="149">
        <v>37602</v>
      </c>
      <c r="B108" s="1" t="s">
        <v>693</v>
      </c>
      <c r="C108" s="1" t="s">
        <v>693</v>
      </c>
      <c r="D108" s="143" t="s">
        <v>343</v>
      </c>
      <c r="E108" s="143" t="s">
        <v>89</v>
      </c>
      <c r="F108" s="1" t="s">
        <v>694</v>
      </c>
      <c r="G108" s="1" t="s">
        <v>695</v>
      </c>
      <c r="H108" s="9">
        <v>3108573.56</v>
      </c>
      <c r="I108" s="9">
        <v>15187.23</v>
      </c>
      <c r="J108" s="9">
        <v>0</v>
      </c>
      <c r="K108" s="9">
        <v>0</v>
      </c>
      <c r="L108" s="147">
        <v>3123760.79</v>
      </c>
    </row>
    <row r="109" spans="1:12" x14ac:dyDescent="0.2">
      <c r="A109" s="149">
        <v>37602</v>
      </c>
      <c r="B109" s="1" t="s">
        <v>693</v>
      </c>
      <c r="C109" s="1" t="s">
        <v>693</v>
      </c>
      <c r="D109" s="143" t="s">
        <v>457</v>
      </c>
      <c r="E109" s="143" t="s">
        <v>89</v>
      </c>
      <c r="F109" s="1" t="s">
        <v>694</v>
      </c>
      <c r="G109" s="1" t="s">
        <v>695</v>
      </c>
      <c r="H109" s="9">
        <v>3503128.24</v>
      </c>
      <c r="I109" s="9">
        <v>17897.310000000001</v>
      </c>
      <c r="J109" s="9">
        <v>0</v>
      </c>
      <c r="K109" s="9">
        <v>0</v>
      </c>
      <c r="L109" s="147">
        <v>3521025.55</v>
      </c>
    </row>
    <row r="110" spans="1:12" x14ac:dyDescent="0.2">
      <c r="A110" s="149">
        <v>37602</v>
      </c>
      <c r="B110" s="1" t="s">
        <v>693</v>
      </c>
      <c r="C110" s="1" t="s">
        <v>693</v>
      </c>
      <c r="D110" s="143" t="s">
        <v>222</v>
      </c>
      <c r="E110" s="143" t="s">
        <v>89</v>
      </c>
      <c r="F110" s="1" t="s">
        <v>694</v>
      </c>
      <c r="G110" s="1" t="s">
        <v>695</v>
      </c>
      <c r="H110" s="9">
        <v>3684941.66</v>
      </c>
      <c r="I110" s="9">
        <v>22407.33</v>
      </c>
      <c r="J110" s="9">
        <v>-2162.66</v>
      </c>
      <c r="K110" s="9">
        <v>0</v>
      </c>
      <c r="L110" s="147">
        <v>3705186.33</v>
      </c>
    </row>
    <row r="111" spans="1:12" x14ac:dyDescent="0.2">
      <c r="A111" s="149">
        <v>37800</v>
      </c>
      <c r="B111" s="1" t="s">
        <v>693</v>
      </c>
      <c r="C111" s="1" t="s">
        <v>693</v>
      </c>
      <c r="D111" s="143" t="s">
        <v>194</v>
      </c>
      <c r="E111" s="143" t="s">
        <v>89</v>
      </c>
      <c r="F111" s="1" t="s">
        <v>694</v>
      </c>
      <c r="G111" s="1" t="s">
        <v>695</v>
      </c>
      <c r="H111" s="9">
        <v>-54554.86</v>
      </c>
      <c r="I111" s="9">
        <v>91.47</v>
      </c>
      <c r="J111" s="9">
        <v>0</v>
      </c>
      <c r="K111" s="9">
        <v>0</v>
      </c>
      <c r="L111" s="147">
        <v>-54463.39</v>
      </c>
    </row>
    <row r="112" spans="1:12" x14ac:dyDescent="0.2">
      <c r="A112" s="149">
        <v>37800</v>
      </c>
      <c r="B112" s="1" t="s">
        <v>693</v>
      </c>
      <c r="C112" s="1" t="s">
        <v>693</v>
      </c>
      <c r="D112" s="143" t="s">
        <v>371</v>
      </c>
      <c r="E112" s="143" t="s">
        <v>89</v>
      </c>
      <c r="F112" s="1" t="s">
        <v>694</v>
      </c>
      <c r="G112" s="1" t="s">
        <v>695</v>
      </c>
      <c r="H112" s="9">
        <v>0</v>
      </c>
      <c r="I112" s="9">
        <v>0</v>
      </c>
      <c r="J112" s="9">
        <v>0</v>
      </c>
      <c r="K112" s="9">
        <v>0</v>
      </c>
      <c r="L112" s="147">
        <v>0</v>
      </c>
    </row>
    <row r="113" spans="1:12" x14ac:dyDescent="0.2">
      <c r="A113" s="149">
        <v>37800</v>
      </c>
      <c r="B113" s="1" t="s">
        <v>693</v>
      </c>
      <c r="C113" s="1" t="s">
        <v>693</v>
      </c>
      <c r="D113" s="143" t="s">
        <v>487</v>
      </c>
      <c r="E113" s="143" t="s">
        <v>89</v>
      </c>
      <c r="F113" s="1" t="s">
        <v>694</v>
      </c>
      <c r="G113" s="1" t="s">
        <v>695</v>
      </c>
      <c r="H113" s="9">
        <v>52.58</v>
      </c>
      <c r="I113" s="9">
        <v>0.5</v>
      </c>
      <c r="J113" s="9">
        <v>0</v>
      </c>
      <c r="K113" s="9">
        <v>0</v>
      </c>
      <c r="L113" s="147">
        <v>53.08</v>
      </c>
    </row>
    <row r="114" spans="1:12" x14ac:dyDescent="0.2">
      <c r="A114" s="149">
        <v>37800</v>
      </c>
      <c r="B114" s="1" t="s">
        <v>693</v>
      </c>
      <c r="C114" s="1" t="s">
        <v>693</v>
      </c>
      <c r="D114" s="143" t="s">
        <v>432</v>
      </c>
      <c r="E114" s="143" t="s">
        <v>89</v>
      </c>
      <c r="F114" s="1" t="s">
        <v>694</v>
      </c>
      <c r="G114" s="1" t="s">
        <v>695</v>
      </c>
      <c r="H114" s="9">
        <v>690.65</v>
      </c>
      <c r="I114" s="9">
        <v>5.82</v>
      </c>
      <c r="J114" s="9">
        <v>0</v>
      </c>
      <c r="K114" s="9">
        <v>0</v>
      </c>
      <c r="L114" s="147">
        <v>696.47</v>
      </c>
    </row>
    <row r="115" spans="1:12" x14ac:dyDescent="0.2">
      <c r="A115" s="149">
        <v>37800</v>
      </c>
      <c r="B115" s="1" t="s">
        <v>693</v>
      </c>
      <c r="C115" s="1" t="s">
        <v>693</v>
      </c>
      <c r="D115" s="143" t="s">
        <v>316</v>
      </c>
      <c r="E115" s="143" t="s">
        <v>89</v>
      </c>
      <c r="F115" s="1" t="s">
        <v>694</v>
      </c>
      <c r="G115" s="1" t="s">
        <v>695</v>
      </c>
      <c r="H115" s="9">
        <v>2290.42</v>
      </c>
      <c r="I115" s="9">
        <v>12.68</v>
      </c>
      <c r="J115" s="9">
        <v>0</v>
      </c>
      <c r="K115" s="9">
        <v>0</v>
      </c>
      <c r="L115" s="147">
        <v>2303.1</v>
      </c>
    </row>
    <row r="116" spans="1:12" x14ac:dyDescent="0.2">
      <c r="A116" s="149">
        <v>37800</v>
      </c>
      <c r="B116" s="1" t="s">
        <v>693</v>
      </c>
      <c r="C116" s="1" t="s">
        <v>693</v>
      </c>
      <c r="D116" s="143" t="s">
        <v>406</v>
      </c>
      <c r="E116" s="143" t="s">
        <v>89</v>
      </c>
      <c r="F116" s="1" t="s">
        <v>694</v>
      </c>
      <c r="G116" s="1" t="s">
        <v>695</v>
      </c>
      <c r="H116" s="9">
        <v>3041.85</v>
      </c>
      <c r="I116" s="9">
        <v>28.75</v>
      </c>
      <c r="J116" s="9">
        <v>0</v>
      </c>
      <c r="K116" s="9">
        <v>0</v>
      </c>
      <c r="L116" s="147">
        <v>3070.6</v>
      </c>
    </row>
    <row r="117" spans="1:12" x14ac:dyDescent="0.2">
      <c r="A117" s="149">
        <v>37800</v>
      </c>
      <c r="B117" s="1" t="s">
        <v>693</v>
      </c>
      <c r="C117" s="1" t="s">
        <v>693</v>
      </c>
      <c r="D117" s="143" t="s">
        <v>520</v>
      </c>
      <c r="E117" s="143" t="s">
        <v>89</v>
      </c>
      <c r="F117" s="1" t="s">
        <v>694</v>
      </c>
      <c r="G117" s="1" t="s">
        <v>695</v>
      </c>
      <c r="H117" s="9">
        <v>3625.77</v>
      </c>
      <c r="I117" s="9">
        <v>31.41</v>
      </c>
      <c r="J117" s="9">
        <v>0</v>
      </c>
      <c r="K117" s="9">
        <v>0</v>
      </c>
      <c r="L117" s="147">
        <v>3657.18</v>
      </c>
    </row>
    <row r="118" spans="1:12" x14ac:dyDescent="0.2">
      <c r="A118" s="149">
        <v>37800</v>
      </c>
      <c r="B118" s="1" t="s">
        <v>693</v>
      </c>
      <c r="C118" s="1" t="s">
        <v>693</v>
      </c>
      <c r="D118" s="143" t="s">
        <v>379</v>
      </c>
      <c r="E118" s="143" t="s">
        <v>89</v>
      </c>
      <c r="F118" s="1" t="s">
        <v>694</v>
      </c>
      <c r="G118" s="1" t="s">
        <v>695</v>
      </c>
      <c r="H118" s="9">
        <v>3703.95</v>
      </c>
      <c r="I118" s="9">
        <v>31.85</v>
      </c>
      <c r="J118" s="9">
        <v>0</v>
      </c>
      <c r="K118" s="9">
        <v>0</v>
      </c>
      <c r="L118" s="147">
        <v>3735.8</v>
      </c>
    </row>
    <row r="119" spans="1:12" x14ac:dyDescent="0.2">
      <c r="A119" s="149">
        <v>37800</v>
      </c>
      <c r="B119" s="1" t="s">
        <v>693</v>
      </c>
      <c r="C119" s="1" t="s">
        <v>693</v>
      </c>
      <c r="D119" s="143" t="s">
        <v>672</v>
      </c>
      <c r="E119" s="143" t="s">
        <v>89</v>
      </c>
      <c r="F119" s="1" t="s">
        <v>694</v>
      </c>
      <c r="G119" s="1" t="s">
        <v>695</v>
      </c>
      <c r="H119" s="9">
        <v>3683.16</v>
      </c>
      <c r="I119" s="9">
        <v>133.41999999999999</v>
      </c>
      <c r="J119" s="9">
        <v>0</v>
      </c>
      <c r="K119" s="9">
        <v>0</v>
      </c>
      <c r="L119" s="147">
        <v>3816.58</v>
      </c>
    </row>
    <row r="120" spans="1:12" x14ac:dyDescent="0.2">
      <c r="A120" s="149">
        <v>37800</v>
      </c>
      <c r="B120" s="1" t="s">
        <v>693</v>
      </c>
      <c r="C120" s="1" t="s">
        <v>693</v>
      </c>
      <c r="D120" s="143" t="s">
        <v>257</v>
      </c>
      <c r="E120" s="143" t="s">
        <v>89</v>
      </c>
      <c r="F120" s="1" t="s">
        <v>694</v>
      </c>
      <c r="G120" s="1" t="s">
        <v>695</v>
      </c>
      <c r="H120" s="9">
        <v>4481.38</v>
      </c>
      <c r="I120" s="9">
        <v>34.380000000000003</v>
      </c>
      <c r="J120" s="9">
        <v>0</v>
      </c>
      <c r="K120" s="9">
        <v>0</v>
      </c>
      <c r="L120" s="147">
        <v>4515.76</v>
      </c>
    </row>
    <row r="121" spans="1:12" x14ac:dyDescent="0.2">
      <c r="A121" s="149">
        <v>37800</v>
      </c>
      <c r="B121" s="1" t="s">
        <v>693</v>
      </c>
      <c r="C121" s="1" t="s">
        <v>693</v>
      </c>
      <c r="D121" s="143" t="s">
        <v>556</v>
      </c>
      <c r="E121" s="143" t="s">
        <v>89</v>
      </c>
      <c r="F121" s="1" t="s">
        <v>694</v>
      </c>
      <c r="G121" s="1" t="s">
        <v>695</v>
      </c>
      <c r="H121" s="9">
        <v>4915.41</v>
      </c>
      <c r="I121" s="9">
        <v>43.64</v>
      </c>
      <c r="J121" s="9">
        <v>0</v>
      </c>
      <c r="K121" s="9">
        <v>0</v>
      </c>
      <c r="L121" s="147">
        <v>4959.05</v>
      </c>
    </row>
    <row r="122" spans="1:12" x14ac:dyDescent="0.2">
      <c r="A122" s="149">
        <v>37800</v>
      </c>
      <c r="B122" s="1" t="s">
        <v>693</v>
      </c>
      <c r="C122" s="1" t="s">
        <v>693</v>
      </c>
      <c r="D122" s="143" t="s">
        <v>460</v>
      </c>
      <c r="E122" s="143" t="s">
        <v>89</v>
      </c>
      <c r="F122" s="1" t="s">
        <v>694</v>
      </c>
      <c r="G122" s="1" t="s">
        <v>695</v>
      </c>
      <c r="H122" s="9">
        <v>6654.21</v>
      </c>
      <c r="I122" s="9">
        <v>112.95</v>
      </c>
      <c r="J122" s="9">
        <v>0</v>
      </c>
      <c r="K122" s="9">
        <v>0</v>
      </c>
      <c r="L122" s="147">
        <v>6767.16</v>
      </c>
    </row>
    <row r="123" spans="1:12" x14ac:dyDescent="0.2">
      <c r="A123" s="149">
        <v>37800</v>
      </c>
      <c r="B123" s="1" t="s">
        <v>693</v>
      </c>
      <c r="C123" s="1" t="s">
        <v>693</v>
      </c>
      <c r="D123" s="143" t="s">
        <v>590</v>
      </c>
      <c r="E123" s="143" t="s">
        <v>89</v>
      </c>
      <c r="F123" s="1" t="s">
        <v>694</v>
      </c>
      <c r="G123" s="1" t="s">
        <v>695</v>
      </c>
      <c r="H123" s="9">
        <v>10281.459999999999</v>
      </c>
      <c r="I123" s="9">
        <v>74.38</v>
      </c>
      <c r="J123" s="9">
        <v>0</v>
      </c>
      <c r="K123" s="9">
        <v>0</v>
      </c>
      <c r="L123" s="147">
        <v>10355.84</v>
      </c>
    </row>
    <row r="124" spans="1:12" x14ac:dyDescent="0.2">
      <c r="A124" s="149">
        <v>37800</v>
      </c>
      <c r="B124" s="1" t="s">
        <v>693</v>
      </c>
      <c r="C124" s="1" t="s">
        <v>693</v>
      </c>
      <c r="D124" s="143" t="s">
        <v>225</v>
      </c>
      <c r="E124" s="143" t="s">
        <v>89</v>
      </c>
      <c r="F124" s="1" t="s">
        <v>694</v>
      </c>
      <c r="G124" s="1" t="s">
        <v>695</v>
      </c>
      <c r="H124" s="9">
        <v>10492.67</v>
      </c>
      <c r="I124" s="9">
        <v>248.13</v>
      </c>
      <c r="J124" s="9">
        <v>0</v>
      </c>
      <c r="K124" s="9">
        <v>0</v>
      </c>
      <c r="L124" s="147">
        <v>10740.8</v>
      </c>
    </row>
    <row r="125" spans="1:12" x14ac:dyDescent="0.2">
      <c r="A125" s="149">
        <v>37800</v>
      </c>
      <c r="B125" s="1" t="s">
        <v>693</v>
      </c>
      <c r="C125" s="1" t="s">
        <v>693</v>
      </c>
      <c r="D125" s="143" t="s">
        <v>286</v>
      </c>
      <c r="E125" s="143" t="s">
        <v>89</v>
      </c>
      <c r="F125" s="1" t="s">
        <v>694</v>
      </c>
      <c r="G125" s="1" t="s">
        <v>695</v>
      </c>
      <c r="H125" s="9">
        <v>11672.24</v>
      </c>
      <c r="I125" s="9">
        <v>139.13999999999999</v>
      </c>
      <c r="J125" s="9">
        <v>0</v>
      </c>
      <c r="K125" s="9">
        <v>0</v>
      </c>
      <c r="L125" s="147">
        <v>11811.38</v>
      </c>
    </row>
    <row r="126" spans="1:12" x14ac:dyDescent="0.2">
      <c r="A126" s="149">
        <v>37800</v>
      </c>
      <c r="B126" s="1" t="s">
        <v>693</v>
      </c>
      <c r="C126" s="1" t="s">
        <v>693</v>
      </c>
      <c r="D126" s="143" t="s">
        <v>346</v>
      </c>
      <c r="E126" s="143" t="s">
        <v>89</v>
      </c>
      <c r="F126" s="1" t="s">
        <v>694</v>
      </c>
      <c r="G126" s="1" t="s">
        <v>695</v>
      </c>
      <c r="H126" s="9">
        <v>37630.33</v>
      </c>
      <c r="I126" s="9">
        <v>366.52</v>
      </c>
      <c r="J126" s="9">
        <v>0</v>
      </c>
      <c r="K126" s="9">
        <v>0</v>
      </c>
      <c r="L126" s="147">
        <v>37996.85</v>
      </c>
    </row>
    <row r="127" spans="1:12" x14ac:dyDescent="0.2">
      <c r="A127" s="149">
        <v>37900</v>
      </c>
      <c r="B127" s="1" t="s">
        <v>693</v>
      </c>
      <c r="C127" s="1" t="s">
        <v>693</v>
      </c>
      <c r="D127" s="143" t="s">
        <v>380</v>
      </c>
      <c r="E127" s="143" t="s">
        <v>89</v>
      </c>
      <c r="F127" s="1" t="s">
        <v>694</v>
      </c>
      <c r="G127" s="1" t="s">
        <v>695</v>
      </c>
      <c r="H127" s="9">
        <v>-27721.91</v>
      </c>
      <c r="I127" s="9">
        <v>200.17</v>
      </c>
      <c r="J127" s="9">
        <v>0</v>
      </c>
      <c r="K127" s="9">
        <v>0</v>
      </c>
      <c r="L127" s="147">
        <v>-27521.74</v>
      </c>
    </row>
    <row r="128" spans="1:12" x14ac:dyDescent="0.2">
      <c r="A128" s="149">
        <v>37900</v>
      </c>
      <c r="B128" s="1" t="s">
        <v>693</v>
      </c>
      <c r="C128" s="1" t="s">
        <v>693</v>
      </c>
      <c r="D128" s="143" t="s">
        <v>407</v>
      </c>
      <c r="E128" s="143" t="s">
        <v>89</v>
      </c>
      <c r="F128" s="1" t="s">
        <v>694</v>
      </c>
      <c r="G128" s="1" t="s">
        <v>695</v>
      </c>
      <c r="H128" s="9">
        <v>1230.6500000000001</v>
      </c>
      <c r="I128" s="9">
        <v>19.05</v>
      </c>
      <c r="J128" s="9">
        <v>0</v>
      </c>
      <c r="K128" s="9">
        <v>0</v>
      </c>
      <c r="L128" s="147">
        <v>1249.7</v>
      </c>
    </row>
    <row r="129" spans="1:12" x14ac:dyDescent="0.2">
      <c r="A129" s="149">
        <v>37900</v>
      </c>
      <c r="B129" s="1" t="s">
        <v>693</v>
      </c>
      <c r="C129" s="1" t="s">
        <v>693</v>
      </c>
      <c r="D129" s="143" t="s">
        <v>433</v>
      </c>
      <c r="E129" s="143" t="s">
        <v>89</v>
      </c>
      <c r="F129" s="1" t="s">
        <v>694</v>
      </c>
      <c r="G129" s="1" t="s">
        <v>695</v>
      </c>
      <c r="H129" s="9">
        <v>1450.8</v>
      </c>
      <c r="I129" s="9">
        <v>9.77</v>
      </c>
      <c r="J129" s="9">
        <v>0</v>
      </c>
      <c r="K129" s="9">
        <v>0</v>
      </c>
      <c r="L129" s="147">
        <v>1460.57</v>
      </c>
    </row>
    <row r="130" spans="1:12" x14ac:dyDescent="0.2">
      <c r="A130" s="149">
        <v>37900</v>
      </c>
      <c r="B130" s="1" t="s">
        <v>693</v>
      </c>
      <c r="C130" s="1" t="s">
        <v>693</v>
      </c>
      <c r="D130" s="143" t="s">
        <v>591</v>
      </c>
      <c r="E130" s="143" t="s">
        <v>89</v>
      </c>
      <c r="F130" s="1" t="s">
        <v>694</v>
      </c>
      <c r="G130" s="1" t="s">
        <v>695</v>
      </c>
      <c r="H130" s="9">
        <v>5182.84</v>
      </c>
      <c r="I130" s="9">
        <v>45</v>
      </c>
      <c r="J130" s="9">
        <v>0</v>
      </c>
      <c r="K130" s="9">
        <v>0</v>
      </c>
      <c r="L130" s="147">
        <v>5227.84</v>
      </c>
    </row>
    <row r="131" spans="1:12" x14ac:dyDescent="0.2">
      <c r="A131" s="149">
        <v>37900</v>
      </c>
      <c r="B131" s="1" t="s">
        <v>693</v>
      </c>
      <c r="C131" s="1" t="s">
        <v>693</v>
      </c>
      <c r="D131" s="143" t="s">
        <v>558</v>
      </c>
      <c r="E131" s="143" t="s">
        <v>89</v>
      </c>
      <c r="F131" s="1" t="s">
        <v>694</v>
      </c>
      <c r="G131" s="1" t="s">
        <v>695</v>
      </c>
      <c r="H131" s="9">
        <v>11966.63</v>
      </c>
      <c r="I131" s="9">
        <v>93.66</v>
      </c>
      <c r="J131" s="9">
        <v>0</v>
      </c>
      <c r="K131" s="9">
        <v>0</v>
      </c>
      <c r="L131" s="147">
        <v>12060.29</v>
      </c>
    </row>
    <row r="132" spans="1:12" x14ac:dyDescent="0.2">
      <c r="A132" s="149">
        <v>37900</v>
      </c>
      <c r="B132" s="1" t="s">
        <v>693</v>
      </c>
      <c r="C132" s="1" t="s">
        <v>693</v>
      </c>
      <c r="D132" s="143" t="s">
        <v>522</v>
      </c>
      <c r="E132" s="143" t="s">
        <v>89</v>
      </c>
      <c r="F132" s="1" t="s">
        <v>694</v>
      </c>
      <c r="G132" s="1" t="s">
        <v>695</v>
      </c>
      <c r="H132" s="9">
        <v>12927.11</v>
      </c>
      <c r="I132" s="9">
        <v>209.08</v>
      </c>
      <c r="J132" s="9">
        <v>0</v>
      </c>
      <c r="K132" s="9">
        <v>0</v>
      </c>
      <c r="L132" s="147">
        <v>13136.19</v>
      </c>
    </row>
    <row r="133" spans="1:12" x14ac:dyDescent="0.2">
      <c r="A133" s="149">
        <v>37900</v>
      </c>
      <c r="B133" s="1" t="s">
        <v>693</v>
      </c>
      <c r="C133" s="1" t="s">
        <v>693</v>
      </c>
      <c r="D133" s="143" t="s">
        <v>317</v>
      </c>
      <c r="E133" s="143" t="s">
        <v>89</v>
      </c>
      <c r="F133" s="1" t="s">
        <v>694</v>
      </c>
      <c r="G133" s="1" t="s">
        <v>695</v>
      </c>
      <c r="H133" s="9">
        <v>15867.86</v>
      </c>
      <c r="I133" s="9">
        <v>92.23</v>
      </c>
      <c r="J133" s="9">
        <v>0</v>
      </c>
      <c r="K133" s="9">
        <v>0</v>
      </c>
      <c r="L133" s="147">
        <v>15960.09</v>
      </c>
    </row>
    <row r="134" spans="1:12" x14ac:dyDescent="0.2">
      <c r="A134" s="149">
        <v>37900</v>
      </c>
      <c r="B134" s="1" t="s">
        <v>693</v>
      </c>
      <c r="C134" s="1" t="s">
        <v>693</v>
      </c>
      <c r="D134" s="143" t="s">
        <v>258</v>
      </c>
      <c r="E134" s="143" t="s">
        <v>89</v>
      </c>
      <c r="F134" s="1" t="s">
        <v>694</v>
      </c>
      <c r="G134" s="1" t="s">
        <v>695</v>
      </c>
      <c r="H134" s="9">
        <v>24387.35</v>
      </c>
      <c r="I134" s="9">
        <v>363.45</v>
      </c>
      <c r="J134" s="9">
        <v>-5882.36</v>
      </c>
      <c r="K134" s="9">
        <v>0</v>
      </c>
      <c r="L134" s="147">
        <v>18868.439999999999</v>
      </c>
    </row>
    <row r="135" spans="1:12" x14ac:dyDescent="0.2">
      <c r="A135" s="149">
        <v>37900</v>
      </c>
      <c r="B135" s="1" t="s">
        <v>693</v>
      </c>
      <c r="C135" s="1" t="s">
        <v>693</v>
      </c>
      <c r="D135" s="143" t="s">
        <v>461</v>
      </c>
      <c r="E135" s="143" t="s">
        <v>89</v>
      </c>
      <c r="F135" s="1" t="s">
        <v>694</v>
      </c>
      <c r="G135" s="1" t="s">
        <v>695</v>
      </c>
      <c r="H135" s="9">
        <v>25669.82</v>
      </c>
      <c r="I135" s="9">
        <v>284.43</v>
      </c>
      <c r="J135" s="9">
        <v>0</v>
      </c>
      <c r="K135" s="9">
        <v>0</v>
      </c>
      <c r="L135" s="147">
        <v>25954.25</v>
      </c>
    </row>
    <row r="136" spans="1:12" x14ac:dyDescent="0.2">
      <c r="A136" s="149">
        <v>37900</v>
      </c>
      <c r="B136" s="1" t="s">
        <v>693</v>
      </c>
      <c r="C136" s="1" t="s">
        <v>693</v>
      </c>
      <c r="D136" s="143" t="s">
        <v>195</v>
      </c>
      <c r="E136" s="143" t="s">
        <v>89</v>
      </c>
      <c r="F136" s="1" t="s">
        <v>694</v>
      </c>
      <c r="G136" s="1" t="s">
        <v>695</v>
      </c>
      <c r="H136" s="9">
        <v>28716.92</v>
      </c>
      <c r="I136" s="9">
        <v>143.22</v>
      </c>
      <c r="J136" s="9">
        <v>0</v>
      </c>
      <c r="K136" s="9">
        <v>0</v>
      </c>
      <c r="L136" s="147">
        <v>28860.14</v>
      </c>
    </row>
    <row r="137" spans="1:12" x14ac:dyDescent="0.2">
      <c r="A137" s="149">
        <v>37900</v>
      </c>
      <c r="B137" s="1" t="s">
        <v>693</v>
      </c>
      <c r="C137" s="1" t="s">
        <v>693</v>
      </c>
      <c r="D137" s="143" t="s">
        <v>488</v>
      </c>
      <c r="E137" s="143" t="s">
        <v>89</v>
      </c>
      <c r="F137" s="1" t="s">
        <v>694</v>
      </c>
      <c r="G137" s="1" t="s">
        <v>695</v>
      </c>
      <c r="H137" s="9">
        <v>29312.79</v>
      </c>
      <c r="I137" s="9">
        <v>260.66000000000003</v>
      </c>
      <c r="J137" s="9">
        <v>0</v>
      </c>
      <c r="K137" s="9">
        <v>0</v>
      </c>
      <c r="L137" s="147">
        <v>29573.45</v>
      </c>
    </row>
    <row r="138" spans="1:12" x14ac:dyDescent="0.2">
      <c r="A138" s="149">
        <v>37900</v>
      </c>
      <c r="B138" s="1" t="s">
        <v>693</v>
      </c>
      <c r="C138" s="1" t="s">
        <v>693</v>
      </c>
      <c r="D138" s="143" t="s">
        <v>226</v>
      </c>
      <c r="E138" s="143" t="s">
        <v>89</v>
      </c>
      <c r="F138" s="1" t="s">
        <v>694</v>
      </c>
      <c r="G138" s="1" t="s">
        <v>695</v>
      </c>
      <c r="H138" s="9">
        <v>31778.28</v>
      </c>
      <c r="I138" s="9">
        <v>198.91</v>
      </c>
      <c r="J138" s="9">
        <v>0</v>
      </c>
      <c r="K138" s="9">
        <v>0</v>
      </c>
      <c r="L138" s="147">
        <v>31977.19</v>
      </c>
    </row>
    <row r="139" spans="1:12" x14ac:dyDescent="0.2">
      <c r="A139" s="149">
        <v>37900</v>
      </c>
      <c r="B139" s="1" t="s">
        <v>693</v>
      </c>
      <c r="C139" s="1" t="s">
        <v>693</v>
      </c>
      <c r="D139" s="143" t="s">
        <v>347</v>
      </c>
      <c r="E139" s="143" t="s">
        <v>89</v>
      </c>
      <c r="F139" s="1" t="s">
        <v>694</v>
      </c>
      <c r="G139" s="1" t="s">
        <v>695</v>
      </c>
      <c r="H139" s="9">
        <v>36171.730000000003</v>
      </c>
      <c r="I139" s="9">
        <v>352.16</v>
      </c>
      <c r="J139" s="9">
        <v>0</v>
      </c>
      <c r="K139" s="9">
        <v>0</v>
      </c>
      <c r="L139" s="147">
        <v>36523.89</v>
      </c>
    </row>
    <row r="140" spans="1:12" x14ac:dyDescent="0.2">
      <c r="A140" s="149">
        <v>37900</v>
      </c>
      <c r="B140" s="1" t="s">
        <v>693</v>
      </c>
      <c r="C140" s="1" t="s">
        <v>693</v>
      </c>
      <c r="D140" s="143" t="s">
        <v>287</v>
      </c>
      <c r="E140" s="143" t="s">
        <v>89</v>
      </c>
      <c r="F140" s="1" t="s">
        <v>694</v>
      </c>
      <c r="G140" s="1" t="s">
        <v>695</v>
      </c>
      <c r="H140" s="9">
        <v>37594.03</v>
      </c>
      <c r="I140" s="9">
        <v>184.73</v>
      </c>
      <c r="J140" s="9">
        <v>0</v>
      </c>
      <c r="K140" s="9">
        <v>0</v>
      </c>
      <c r="L140" s="147">
        <v>37778.76</v>
      </c>
    </row>
    <row r="141" spans="1:12" x14ac:dyDescent="0.2">
      <c r="A141" s="149">
        <v>37900</v>
      </c>
      <c r="B141" s="1" t="s">
        <v>693</v>
      </c>
      <c r="C141" s="1" t="s">
        <v>693</v>
      </c>
      <c r="D141" s="143" t="s">
        <v>624</v>
      </c>
      <c r="E141" s="143" t="s">
        <v>89</v>
      </c>
      <c r="F141" s="1" t="s">
        <v>694</v>
      </c>
      <c r="G141" s="1" t="s">
        <v>695</v>
      </c>
      <c r="H141" s="9">
        <v>56494.05</v>
      </c>
      <c r="I141" s="9">
        <v>1233.53</v>
      </c>
      <c r="J141" s="9">
        <v>0</v>
      </c>
      <c r="K141" s="9">
        <v>0</v>
      </c>
      <c r="L141" s="147">
        <v>57727.58</v>
      </c>
    </row>
    <row r="142" spans="1:12" x14ac:dyDescent="0.2">
      <c r="A142" s="149">
        <v>38000</v>
      </c>
      <c r="B142" s="1" t="s">
        <v>693</v>
      </c>
      <c r="C142" s="1" t="s">
        <v>693</v>
      </c>
      <c r="D142" s="143" t="s">
        <v>489</v>
      </c>
      <c r="E142" s="143" t="s">
        <v>89</v>
      </c>
      <c r="F142" s="1" t="s">
        <v>694</v>
      </c>
      <c r="G142" s="1" t="s">
        <v>695</v>
      </c>
      <c r="H142" s="9">
        <v>19051.240000000002</v>
      </c>
      <c r="I142" s="9">
        <v>-16.87</v>
      </c>
      <c r="J142" s="9">
        <v>0</v>
      </c>
      <c r="K142" s="9">
        <v>0</v>
      </c>
      <c r="L142" s="147">
        <v>19034.37</v>
      </c>
    </row>
    <row r="143" spans="1:12" x14ac:dyDescent="0.2">
      <c r="A143" s="149">
        <v>38000</v>
      </c>
      <c r="B143" s="1" t="s">
        <v>693</v>
      </c>
      <c r="C143" s="1" t="s">
        <v>693</v>
      </c>
      <c r="D143" s="143" t="s">
        <v>524</v>
      </c>
      <c r="E143" s="143" t="s">
        <v>89</v>
      </c>
      <c r="F143" s="1" t="s">
        <v>694</v>
      </c>
      <c r="G143" s="1" t="s">
        <v>695</v>
      </c>
      <c r="H143" s="9">
        <v>86332.18</v>
      </c>
      <c r="I143" s="9">
        <v>-167.32</v>
      </c>
      <c r="J143" s="9">
        <v>-59455.55</v>
      </c>
      <c r="K143" s="9">
        <v>0</v>
      </c>
      <c r="L143" s="147">
        <v>26709.31</v>
      </c>
    </row>
    <row r="144" spans="1:12" x14ac:dyDescent="0.2">
      <c r="A144" s="149">
        <v>38000</v>
      </c>
      <c r="B144" s="1" t="s">
        <v>693</v>
      </c>
      <c r="C144" s="1" t="s">
        <v>693</v>
      </c>
      <c r="D144" s="143" t="s">
        <v>560</v>
      </c>
      <c r="E144" s="143" t="s">
        <v>89</v>
      </c>
      <c r="F144" s="1" t="s">
        <v>694</v>
      </c>
      <c r="G144" s="1" t="s">
        <v>695</v>
      </c>
      <c r="H144" s="9">
        <v>86102.75</v>
      </c>
      <c r="I144" s="9">
        <v>-74.17</v>
      </c>
      <c r="J144" s="9">
        <v>0</v>
      </c>
      <c r="K144" s="9">
        <v>0</v>
      </c>
      <c r="L144" s="147">
        <v>86028.58</v>
      </c>
    </row>
    <row r="145" spans="1:12" x14ac:dyDescent="0.2">
      <c r="A145" s="149">
        <v>38000</v>
      </c>
      <c r="B145" s="1" t="s">
        <v>693</v>
      </c>
      <c r="C145" s="1" t="s">
        <v>693</v>
      </c>
      <c r="D145" s="143" t="s">
        <v>434</v>
      </c>
      <c r="E145" s="143" t="s">
        <v>89</v>
      </c>
      <c r="F145" s="1" t="s">
        <v>694</v>
      </c>
      <c r="G145" s="1" t="s">
        <v>695</v>
      </c>
      <c r="H145" s="9">
        <v>97876.19</v>
      </c>
      <c r="I145" s="9">
        <v>-42.62</v>
      </c>
      <c r="J145" s="9">
        <v>0</v>
      </c>
      <c r="K145" s="9">
        <v>0</v>
      </c>
      <c r="L145" s="147">
        <v>97833.57</v>
      </c>
    </row>
    <row r="146" spans="1:12" x14ac:dyDescent="0.2">
      <c r="A146" s="149">
        <v>38000</v>
      </c>
      <c r="B146" s="1" t="s">
        <v>693</v>
      </c>
      <c r="C146" s="1" t="s">
        <v>693</v>
      </c>
      <c r="D146" s="143" t="s">
        <v>592</v>
      </c>
      <c r="E146" s="143" t="s">
        <v>89</v>
      </c>
      <c r="F146" s="1" t="s">
        <v>694</v>
      </c>
      <c r="G146" s="1" t="s">
        <v>695</v>
      </c>
      <c r="H146" s="9">
        <v>118775.74</v>
      </c>
      <c r="I146" s="9">
        <v>-153</v>
      </c>
      <c r="J146" s="9">
        <v>0</v>
      </c>
      <c r="K146" s="9">
        <v>0</v>
      </c>
      <c r="L146" s="147">
        <v>118622.74</v>
      </c>
    </row>
    <row r="147" spans="1:12" x14ac:dyDescent="0.2">
      <c r="A147" s="149">
        <v>38000</v>
      </c>
      <c r="B147" s="1" t="s">
        <v>693</v>
      </c>
      <c r="C147" s="1" t="s">
        <v>693</v>
      </c>
      <c r="D147" s="143" t="s">
        <v>462</v>
      </c>
      <c r="E147" s="143" t="s">
        <v>89</v>
      </c>
      <c r="F147" s="1" t="s">
        <v>694</v>
      </c>
      <c r="G147" s="1" t="s">
        <v>695</v>
      </c>
      <c r="H147" s="9">
        <v>292463.49</v>
      </c>
      <c r="I147" s="9">
        <v>-166.92</v>
      </c>
      <c r="J147" s="9">
        <v>-9589.75</v>
      </c>
      <c r="K147" s="9">
        <v>0</v>
      </c>
      <c r="L147" s="147">
        <v>282706.82</v>
      </c>
    </row>
    <row r="148" spans="1:12" x14ac:dyDescent="0.2">
      <c r="A148" s="149">
        <v>38000</v>
      </c>
      <c r="B148" s="1" t="s">
        <v>693</v>
      </c>
      <c r="C148" s="1" t="s">
        <v>693</v>
      </c>
      <c r="D148" s="143" t="s">
        <v>318</v>
      </c>
      <c r="E148" s="143" t="s">
        <v>89</v>
      </c>
      <c r="F148" s="1" t="s">
        <v>694</v>
      </c>
      <c r="G148" s="1" t="s">
        <v>695</v>
      </c>
      <c r="H148" s="9">
        <v>309738.8</v>
      </c>
      <c r="I148" s="9">
        <v>-151.09</v>
      </c>
      <c r="J148" s="9">
        <v>0</v>
      </c>
      <c r="K148" s="9">
        <v>0</v>
      </c>
      <c r="L148" s="147">
        <v>309587.71000000002</v>
      </c>
    </row>
    <row r="149" spans="1:12" x14ac:dyDescent="0.2">
      <c r="A149" s="149">
        <v>38000</v>
      </c>
      <c r="B149" s="1" t="s">
        <v>693</v>
      </c>
      <c r="C149" s="1" t="s">
        <v>693</v>
      </c>
      <c r="D149" s="143" t="s">
        <v>381</v>
      </c>
      <c r="E149" s="143" t="s">
        <v>89</v>
      </c>
      <c r="F149" s="1" t="s">
        <v>694</v>
      </c>
      <c r="G149" s="1" t="s">
        <v>695</v>
      </c>
      <c r="H149" s="9">
        <v>555528.13</v>
      </c>
      <c r="I149" s="9">
        <v>-319.61</v>
      </c>
      <c r="J149" s="9">
        <v>0</v>
      </c>
      <c r="K149" s="9">
        <v>0</v>
      </c>
      <c r="L149" s="147">
        <v>555208.52</v>
      </c>
    </row>
    <row r="150" spans="1:12" x14ac:dyDescent="0.2">
      <c r="A150" s="149">
        <v>38000</v>
      </c>
      <c r="B150" s="1" t="s">
        <v>693</v>
      </c>
      <c r="C150" s="1" t="s">
        <v>693</v>
      </c>
      <c r="D150" s="143" t="s">
        <v>408</v>
      </c>
      <c r="E150" s="143" t="s">
        <v>89</v>
      </c>
      <c r="F150" s="1" t="s">
        <v>694</v>
      </c>
      <c r="G150" s="1" t="s">
        <v>695</v>
      </c>
      <c r="H150" s="9">
        <v>960325.42</v>
      </c>
      <c r="I150" s="9">
        <v>-576.78</v>
      </c>
      <c r="J150" s="9">
        <v>0</v>
      </c>
      <c r="K150" s="9">
        <v>0</v>
      </c>
      <c r="L150" s="147">
        <v>959748.64</v>
      </c>
    </row>
    <row r="151" spans="1:12" x14ac:dyDescent="0.2">
      <c r="A151" s="149">
        <v>38000</v>
      </c>
      <c r="B151" s="1" t="s">
        <v>693</v>
      </c>
      <c r="C151" s="1" t="s">
        <v>693</v>
      </c>
      <c r="D151" s="143" t="s">
        <v>259</v>
      </c>
      <c r="E151" s="143" t="s">
        <v>89</v>
      </c>
      <c r="F151" s="1" t="s">
        <v>694</v>
      </c>
      <c r="G151" s="1" t="s">
        <v>695</v>
      </c>
      <c r="H151" s="9">
        <v>1258860.3899999999</v>
      </c>
      <c r="I151" s="9">
        <v>-744.7</v>
      </c>
      <c r="J151" s="9">
        <v>-75350.539999999994</v>
      </c>
      <c r="K151" s="9">
        <v>0</v>
      </c>
      <c r="L151" s="147">
        <v>1182765.1499999999</v>
      </c>
    </row>
    <row r="152" spans="1:12" x14ac:dyDescent="0.2">
      <c r="A152" s="149">
        <v>38000</v>
      </c>
      <c r="B152" s="1" t="s">
        <v>693</v>
      </c>
      <c r="C152" s="1" t="s">
        <v>693</v>
      </c>
      <c r="D152" s="143" t="s">
        <v>348</v>
      </c>
      <c r="E152" s="143" t="s">
        <v>89</v>
      </c>
      <c r="F152" s="1" t="s">
        <v>694</v>
      </c>
      <c r="G152" s="1" t="s">
        <v>695</v>
      </c>
      <c r="H152" s="9">
        <v>2410022.94</v>
      </c>
      <c r="I152" s="9">
        <v>-1220.56</v>
      </c>
      <c r="J152" s="9">
        <v>-23462.54</v>
      </c>
      <c r="K152" s="9">
        <v>0</v>
      </c>
      <c r="L152" s="147">
        <v>2385339.84</v>
      </c>
    </row>
    <row r="153" spans="1:12" x14ac:dyDescent="0.2">
      <c r="A153" s="149">
        <v>38000</v>
      </c>
      <c r="B153" s="1" t="s">
        <v>693</v>
      </c>
      <c r="C153" s="1" t="s">
        <v>693</v>
      </c>
      <c r="D153" s="143" t="s">
        <v>288</v>
      </c>
      <c r="E153" s="143" t="s">
        <v>89</v>
      </c>
      <c r="F153" s="1" t="s">
        <v>694</v>
      </c>
      <c r="G153" s="1" t="s">
        <v>695</v>
      </c>
      <c r="H153" s="9">
        <v>4423228.6399999997</v>
      </c>
      <c r="I153" s="9">
        <v>-4270.42</v>
      </c>
      <c r="J153" s="9">
        <v>-46044.74</v>
      </c>
      <c r="K153" s="9">
        <v>0</v>
      </c>
      <c r="L153" s="147">
        <v>4372913.4800000004</v>
      </c>
    </row>
    <row r="154" spans="1:12" x14ac:dyDescent="0.2">
      <c r="A154" s="149">
        <v>38000</v>
      </c>
      <c r="B154" s="1" t="s">
        <v>693</v>
      </c>
      <c r="C154" s="1" t="s">
        <v>693</v>
      </c>
      <c r="D154" s="143" t="s">
        <v>227</v>
      </c>
      <c r="E154" s="143" t="s">
        <v>89</v>
      </c>
      <c r="F154" s="1" t="s">
        <v>694</v>
      </c>
      <c r="G154" s="1" t="s">
        <v>695</v>
      </c>
      <c r="H154" s="9">
        <v>4664182.18</v>
      </c>
      <c r="I154" s="9">
        <v>-3234.7</v>
      </c>
      <c r="J154" s="9">
        <v>-74686.880000000005</v>
      </c>
      <c r="K154" s="9">
        <v>0</v>
      </c>
      <c r="L154" s="147">
        <v>4586260.5999999996</v>
      </c>
    </row>
    <row r="155" spans="1:12" x14ac:dyDescent="0.2">
      <c r="A155" s="149">
        <v>38000</v>
      </c>
      <c r="B155" s="1" t="s">
        <v>693</v>
      </c>
      <c r="C155" s="1" t="s">
        <v>693</v>
      </c>
      <c r="D155" s="143" t="s">
        <v>196</v>
      </c>
      <c r="E155" s="143" t="s">
        <v>89</v>
      </c>
      <c r="F155" s="1" t="s">
        <v>694</v>
      </c>
      <c r="G155" s="1" t="s">
        <v>695</v>
      </c>
      <c r="H155" s="9">
        <v>6273542.0099999998</v>
      </c>
      <c r="I155" s="9">
        <v>-2779.22</v>
      </c>
      <c r="J155" s="9">
        <v>-469760.05</v>
      </c>
      <c r="K155" s="9">
        <v>0</v>
      </c>
      <c r="L155" s="147">
        <v>5801002.7400000002</v>
      </c>
    </row>
    <row r="156" spans="1:12" x14ac:dyDescent="0.2">
      <c r="A156" s="149">
        <v>38002</v>
      </c>
      <c r="B156" s="1" t="s">
        <v>693</v>
      </c>
      <c r="C156" s="1" t="s">
        <v>693</v>
      </c>
      <c r="D156" s="143" t="s">
        <v>435</v>
      </c>
      <c r="E156" s="143" t="s">
        <v>89</v>
      </c>
      <c r="F156" s="1" t="s">
        <v>694</v>
      </c>
      <c r="G156" s="1" t="s">
        <v>695</v>
      </c>
      <c r="H156" s="9">
        <v>108761.58</v>
      </c>
      <c r="I156" s="9">
        <v>309.3</v>
      </c>
      <c r="J156" s="9">
        <v>0</v>
      </c>
      <c r="K156" s="9">
        <v>0</v>
      </c>
      <c r="L156" s="147">
        <v>109070.88</v>
      </c>
    </row>
    <row r="157" spans="1:12" x14ac:dyDescent="0.2">
      <c r="A157" s="149">
        <v>38002</v>
      </c>
      <c r="B157" s="1" t="s">
        <v>693</v>
      </c>
      <c r="C157" s="1" t="s">
        <v>693</v>
      </c>
      <c r="D157" s="143" t="s">
        <v>319</v>
      </c>
      <c r="E157" s="143" t="s">
        <v>89</v>
      </c>
      <c r="F157" s="1" t="s">
        <v>694</v>
      </c>
      <c r="G157" s="1" t="s">
        <v>695</v>
      </c>
      <c r="H157" s="9">
        <v>802500.34</v>
      </c>
      <c r="I157" s="9">
        <v>2867.69</v>
      </c>
      <c r="J157" s="9">
        <v>0</v>
      </c>
      <c r="K157" s="9">
        <v>0</v>
      </c>
      <c r="L157" s="147">
        <v>805368.03</v>
      </c>
    </row>
    <row r="158" spans="1:12" x14ac:dyDescent="0.2">
      <c r="A158" s="149">
        <v>38002</v>
      </c>
      <c r="B158" s="1" t="s">
        <v>693</v>
      </c>
      <c r="C158" s="1" t="s">
        <v>693</v>
      </c>
      <c r="D158" s="143" t="s">
        <v>382</v>
      </c>
      <c r="E158" s="143" t="s">
        <v>89</v>
      </c>
      <c r="F158" s="1" t="s">
        <v>694</v>
      </c>
      <c r="G158" s="1" t="s">
        <v>695</v>
      </c>
      <c r="H158" s="9">
        <v>900744.19</v>
      </c>
      <c r="I158" s="9">
        <v>3587.14</v>
      </c>
      <c r="J158" s="9">
        <v>0</v>
      </c>
      <c r="K158" s="9">
        <v>0</v>
      </c>
      <c r="L158" s="147">
        <v>904331.33</v>
      </c>
    </row>
    <row r="159" spans="1:12" x14ac:dyDescent="0.2">
      <c r="A159" s="149">
        <v>38002</v>
      </c>
      <c r="B159" s="1" t="s">
        <v>693</v>
      </c>
      <c r="C159" s="1" t="s">
        <v>693</v>
      </c>
      <c r="D159" s="143" t="s">
        <v>409</v>
      </c>
      <c r="E159" s="143" t="s">
        <v>89</v>
      </c>
      <c r="F159" s="1" t="s">
        <v>694</v>
      </c>
      <c r="G159" s="1" t="s">
        <v>695</v>
      </c>
      <c r="H159" s="9">
        <v>1231732.2</v>
      </c>
      <c r="I159" s="9">
        <v>4453.8</v>
      </c>
      <c r="J159" s="9">
        <v>0</v>
      </c>
      <c r="K159" s="9">
        <v>0</v>
      </c>
      <c r="L159" s="147">
        <v>1236186</v>
      </c>
    </row>
    <row r="160" spans="1:12" x14ac:dyDescent="0.2">
      <c r="A160" s="149">
        <v>38002</v>
      </c>
      <c r="B160" s="1" t="s">
        <v>693</v>
      </c>
      <c r="C160" s="1" t="s">
        <v>693</v>
      </c>
      <c r="D160" s="143" t="s">
        <v>490</v>
      </c>
      <c r="E160" s="143" t="s">
        <v>89</v>
      </c>
      <c r="F160" s="1" t="s">
        <v>694</v>
      </c>
      <c r="G160" s="1" t="s">
        <v>695</v>
      </c>
      <c r="H160" s="9">
        <v>1236683.6000000001</v>
      </c>
      <c r="I160" s="9">
        <v>5146.7299999999996</v>
      </c>
      <c r="J160" s="9">
        <v>0</v>
      </c>
      <c r="K160" s="9">
        <v>0</v>
      </c>
      <c r="L160" s="147">
        <v>1241830.33</v>
      </c>
    </row>
    <row r="161" spans="1:12" x14ac:dyDescent="0.2">
      <c r="A161" s="149">
        <v>38002</v>
      </c>
      <c r="B161" s="1" t="s">
        <v>693</v>
      </c>
      <c r="C161" s="1" t="s">
        <v>693</v>
      </c>
      <c r="D161" s="143" t="s">
        <v>525</v>
      </c>
      <c r="E161" s="143" t="s">
        <v>89</v>
      </c>
      <c r="F161" s="1" t="s">
        <v>694</v>
      </c>
      <c r="G161" s="1" t="s">
        <v>695</v>
      </c>
      <c r="H161" s="9">
        <v>1598593.24</v>
      </c>
      <c r="I161" s="9">
        <v>7053.71</v>
      </c>
      <c r="J161" s="9">
        <v>-78122.8</v>
      </c>
      <c r="K161" s="9">
        <v>0</v>
      </c>
      <c r="L161" s="147">
        <v>1527524.15</v>
      </c>
    </row>
    <row r="162" spans="1:12" x14ac:dyDescent="0.2">
      <c r="A162" s="149">
        <v>38002</v>
      </c>
      <c r="B162" s="1" t="s">
        <v>693</v>
      </c>
      <c r="C162" s="1" t="s">
        <v>693</v>
      </c>
      <c r="D162" s="143" t="s">
        <v>593</v>
      </c>
      <c r="E162" s="143" t="s">
        <v>89</v>
      </c>
      <c r="F162" s="1" t="s">
        <v>694</v>
      </c>
      <c r="G162" s="1" t="s">
        <v>695</v>
      </c>
      <c r="H162" s="9">
        <v>1901980.94</v>
      </c>
      <c r="I162" s="9">
        <v>11488.14</v>
      </c>
      <c r="J162" s="9">
        <v>0</v>
      </c>
      <c r="K162" s="9">
        <v>0</v>
      </c>
      <c r="L162" s="147">
        <v>1913469.08</v>
      </c>
    </row>
    <row r="163" spans="1:12" x14ac:dyDescent="0.2">
      <c r="A163" s="149">
        <v>38002</v>
      </c>
      <c r="B163" s="1" t="s">
        <v>693</v>
      </c>
      <c r="C163" s="1" t="s">
        <v>693</v>
      </c>
      <c r="D163" s="143" t="s">
        <v>561</v>
      </c>
      <c r="E163" s="143" t="s">
        <v>89</v>
      </c>
      <c r="F163" s="1" t="s">
        <v>694</v>
      </c>
      <c r="G163" s="1" t="s">
        <v>695</v>
      </c>
      <c r="H163" s="9">
        <v>3390046.37</v>
      </c>
      <c r="I163" s="9">
        <v>13793.33</v>
      </c>
      <c r="J163" s="9">
        <v>-57061.48</v>
      </c>
      <c r="K163" s="9">
        <v>0</v>
      </c>
      <c r="L163" s="147">
        <v>3346778.22</v>
      </c>
    </row>
    <row r="164" spans="1:12" x14ac:dyDescent="0.2">
      <c r="A164" s="149">
        <v>38002</v>
      </c>
      <c r="B164" s="1" t="s">
        <v>693</v>
      </c>
      <c r="C164" s="1" t="s">
        <v>693</v>
      </c>
      <c r="D164" s="143" t="s">
        <v>260</v>
      </c>
      <c r="E164" s="143" t="s">
        <v>89</v>
      </c>
      <c r="F164" s="1" t="s">
        <v>694</v>
      </c>
      <c r="G164" s="1" t="s">
        <v>695</v>
      </c>
      <c r="H164" s="9">
        <v>3896781.38</v>
      </c>
      <c r="I164" s="9">
        <v>13251.3</v>
      </c>
      <c r="J164" s="9">
        <v>-102406.13</v>
      </c>
      <c r="K164" s="9">
        <v>0</v>
      </c>
      <c r="L164" s="147">
        <v>3807626.55</v>
      </c>
    </row>
    <row r="165" spans="1:12" x14ac:dyDescent="0.2">
      <c r="A165" s="149">
        <v>38002</v>
      </c>
      <c r="B165" s="1" t="s">
        <v>693</v>
      </c>
      <c r="C165" s="1" t="s">
        <v>693</v>
      </c>
      <c r="D165" s="143" t="s">
        <v>349</v>
      </c>
      <c r="E165" s="143" t="s">
        <v>89</v>
      </c>
      <c r="F165" s="1" t="s">
        <v>694</v>
      </c>
      <c r="G165" s="1" t="s">
        <v>695</v>
      </c>
      <c r="H165" s="9">
        <v>4677300.5599999996</v>
      </c>
      <c r="I165" s="9">
        <v>19489.75</v>
      </c>
      <c r="J165" s="9">
        <v>-75569.13</v>
      </c>
      <c r="K165" s="9">
        <v>0</v>
      </c>
      <c r="L165" s="147">
        <v>4621221.18</v>
      </c>
    </row>
    <row r="166" spans="1:12" x14ac:dyDescent="0.2">
      <c r="A166" s="149">
        <v>38002</v>
      </c>
      <c r="B166" s="1" t="s">
        <v>693</v>
      </c>
      <c r="C166" s="1" t="s">
        <v>693</v>
      </c>
      <c r="D166" s="143" t="s">
        <v>463</v>
      </c>
      <c r="E166" s="143" t="s">
        <v>89</v>
      </c>
      <c r="F166" s="1" t="s">
        <v>694</v>
      </c>
      <c r="G166" s="1" t="s">
        <v>695</v>
      </c>
      <c r="H166" s="9">
        <v>4747169.84</v>
      </c>
      <c r="I166" s="9">
        <v>19154.46</v>
      </c>
      <c r="J166" s="9">
        <v>-20464.04</v>
      </c>
      <c r="K166" s="9">
        <v>0</v>
      </c>
      <c r="L166" s="147">
        <v>4745860.26</v>
      </c>
    </row>
    <row r="167" spans="1:12" x14ac:dyDescent="0.2">
      <c r="A167" s="149">
        <v>38002</v>
      </c>
      <c r="B167" s="1" t="s">
        <v>693</v>
      </c>
      <c r="C167" s="1" t="s">
        <v>693</v>
      </c>
      <c r="D167" s="143" t="s">
        <v>289</v>
      </c>
      <c r="E167" s="143" t="s">
        <v>89</v>
      </c>
      <c r="F167" s="1" t="s">
        <v>694</v>
      </c>
      <c r="G167" s="1" t="s">
        <v>695</v>
      </c>
      <c r="H167" s="9">
        <v>5105012.75</v>
      </c>
      <c r="I167" s="9">
        <v>17274.37</v>
      </c>
      <c r="J167" s="9">
        <v>-91883.49</v>
      </c>
      <c r="K167" s="9">
        <v>0</v>
      </c>
      <c r="L167" s="147">
        <v>5030403.63</v>
      </c>
    </row>
    <row r="168" spans="1:12" x14ac:dyDescent="0.2">
      <c r="A168" s="149">
        <v>38002</v>
      </c>
      <c r="B168" s="1" t="s">
        <v>693</v>
      </c>
      <c r="C168" s="1" t="s">
        <v>693</v>
      </c>
      <c r="D168" s="143" t="s">
        <v>228</v>
      </c>
      <c r="E168" s="143" t="s">
        <v>89</v>
      </c>
      <c r="F168" s="1" t="s">
        <v>694</v>
      </c>
      <c r="G168" s="1" t="s">
        <v>695</v>
      </c>
      <c r="H168" s="9">
        <v>6460677.2400000002</v>
      </c>
      <c r="I168" s="9">
        <v>27634.1</v>
      </c>
      <c r="J168" s="9">
        <v>-38001.53</v>
      </c>
      <c r="K168" s="9">
        <v>0</v>
      </c>
      <c r="L168" s="147">
        <v>6450309.8099999996</v>
      </c>
    </row>
    <row r="169" spans="1:12" x14ac:dyDescent="0.2">
      <c r="A169" s="149">
        <v>38002</v>
      </c>
      <c r="B169" s="1" t="s">
        <v>693</v>
      </c>
      <c r="C169" s="1" t="s">
        <v>693</v>
      </c>
      <c r="D169" s="143" t="s">
        <v>197</v>
      </c>
      <c r="E169" s="143" t="s">
        <v>89</v>
      </c>
      <c r="F169" s="1" t="s">
        <v>694</v>
      </c>
      <c r="G169" s="1" t="s">
        <v>695</v>
      </c>
      <c r="H169" s="9">
        <v>6783220.4199999999</v>
      </c>
      <c r="I169" s="9">
        <v>29688.34</v>
      </c>
      <c r="J169" s="9">
        <v>-118351.52</v>
      </c>
      <c r="K169" s="9">
        <v>0</v>
      </c>
      <c r="L169" s="147">
        <v>6694557.2400000002</v>
      </c>
    </row>
    <row r="170" spans="1:12" x14ac:dyDescent="0.2">
      <c r="A170" s="149">
        <v>38100</v>
      </c>
      <c r="B170" s="1" t="s">
        <v>693</v>
      </c>
      <c r="C170" s="1" t="s">
        <v>693</v>
      </c>
      <c r="D170" s="143" t="s">
        <v>526</v>
      </c>
      <c r="E170" s="143" t="s">
        <v>89</v>
      </c>
      <c r="F170" s="1" t="s">
        <v>694</v>
      </c>
      <c r="G170" s="1" t="s">
        <v>695</v>
      </c>
      <c r="H170" s="9">
        <v>-21490.080000000002</v>
      </c>
      <c r="I170" s="9">
        <v>88.65</v>
      </c>
      <c r="J170" s="9">
        <v>0</v>
      </c>
      <c r="K170" s="9">
        <v>0</v>
      </c>
      <c r="L170" s="147">
        <v>-21401.43</v>
      </c>
    </row>
    <row r="171" spans="1:12" x14ac:dyDescent="0.2">
      <c r="A171" s="149">
        <v>38100</v>
      </c>
      <c r="B171" s="1" t="s">
        <v>693</v>
      </c>
      <c r="C171" s="1" t="s">
        <v>693</v>
      </c>
      <c r="D171" s="143" t="s">
        <v>562</v>
      </c>
      <c r="E171" s="143" t="s">
        <v>89</v>
      </c>
      <c r="F171" s="1" t="s">
        <v>694</v>
      </c>
      <c r="G171" s="1" t="s">
        <v>695</v>
      </c>
      <c r="H171" s="9">
        <v>1106.1199999999999</v>
      </c>
      <c r="I171" s="9">
        <v>45.93</v>
      </c>
      <c r="J171" s="9">
        <v>0</v>
      </c>
      <c r="K171" s="9">
        <v>0</v>
      </c>
      <c r="L171" s="147">
        <v>1152.05</v>
      </c>
    </row>
    <row r="172" spans="1:12" x14ac:dyDescent="0.2">
      <c r="A172" s="149">
        <v>38100</v>
      </c>
      <c r="B172" s="1" t="s">
        <v>693</v>
      </c>
      <c r="C172" s="1" t="s">
        <v>693</v>
      </c>
      <c r="D172" s="143" t="s">
        <v>625</v>
      </c>
      <c r="E172" s="143" t="s">
        <v>89</v>
      </c>
      <c r="F172" s="1" t="s">
        <v>694</v>
      </c>
      <c r="G172" s="1" t="s">
        <v>695</v>
      </c>
      <c r="H172" s="9">
        <v>274124.75</v>
      </c>
      <c r="I172" s="9">
        <v>11328.58</v>
      </c>
      <c r="J172" s="9">
        <v>0</v>
      </c>
      <c r="K172" s="9">
        <v>0</v>
      </c>
      <c r="L172" s="147">
        <v>285453.33</v>
      </c>
    </row>
    <row r="173" spans="1:12" x14ac:dyDescent="0.2">
      <c r="A173" s="149">
        <v>38200</v>
      </c>
      <c r="B173" s="1" t="s">
        <v>693</v>
      </c>
      <c r="C173" s="1" t="s">
        <v>693</v>
      </c>
      <c r="D173" s="143" t="s">
        <v>436</v>
      </c>
      <c r="E173" s="143" t="s">
        <v>89</v>
      </c>
      <c r="F173" s="1" t="s">
        <v>694</v>
      </c>
      <c r="G173" s="1" t="s">
        <v>695</v>
      </c>
      <c r="H173" s="9">
        <v>7636.23</v>
      </c>
      <c r="I173" s="9">
        <v>19.61</v>
      </c>
      <c r="J173" s="9">
        <v>0</v>
      </c>
      <c r="K173" s="9">
        <v>0</v>
      </c>
      <c r="L173" s="147">
        <v>7655.84</v>
      </c>
    </row>
    <row r="174" spans="1:12" x14ac:dyDescent="0.2">
      <c r="A174" s="149">
        <v>38200</v>
      </c>
      <c r="B174" s="1" t="s">
        <v>693</v>
      </c>
      <c r="C174" s="1" t="s">
        <v>693</v>
      </c>
      <c r="D174" s="143" t="s">
        <v>320</v>
      </c>
      <c r="E174" s="143" t="s">
        <v>89</v>
      </c>
      <c r="F174" s="1" t="s">
        <v>694</v>
      </c>
      <c r="G174" s="1" t="s">
        <v>695</v>
      </c>
      <c r="H174" s="9">
        <v>54603.75</v>
      </c>
      <c r="I174" s="9">
        <v>216.2</v>
      </c>
      <c r="J174" s="9">
        <v>0</v>
      </c>
      <c r="K174" s="9">
        <v>0</v>
      </c>
      <c r="L174" s="147">
        <v>54819.95</v>
      </c>
    </row>
    <row r="175" spans="1:12" x14ac:dyDescent="0.2">
      <c r="A175" s="149">
        <v>38200</v>
      </c>
      <c r="B175" s="1" t="s">
        <v>693</v>
      </c>
      <c r="C175" s="1" t="s">
        <v>693</v>
      </c>
      <c r="D175" s="143" t="s">
        <v>383</v>
      </c>
      <c r="E175" s="143" t="s">
        <v>89</v>
      </c>
      <c r="F175" s="1" t="s">
        <v>694</v>
      </c>
      <c r="G175" s="1" t="s">
        <v>695</v>
      </c>
      <c r="H175" s="9">
        <v>57867.74</v>
      </c>
      <c r="I175" s="9">
        <v>197.2</v>
      </c>
      <c r="J175" s="9">
        <v>0</v>
      </c>
      <c r="K175" s="9">
        <v>0</v>
      </c>
      <c r="L175" s="147">
        <v>58064.94</v>
      </c>
    </row>
    <row r="176" spans="1:12" x14ac:dyDescent="0.2">
      <c r="A176" s="149">
        <v>38200</v>
      </c>
      <c r="B176" s="1" t="s">
        <v>693</v>
      </c>
      <c r="C176" s="1" t="s">
        <v>693</v>
      </c>
      <c r="D176" s="143" t="s">
        <v>410</v>
      </c>
      <c r="E176" s="143" t="s">
        <v>89</v>
      </c>
      <c r="F176" s="1" t="s">
        <v>694</v>
      </c>
      <c r="G176" s="1" t="s">
        <v>695</v>
      </c>
      <c r="H176" s="9">
        <v>84365.24</v>
      </c>
      <c r="I176" s="9">
        <v>306.48</v>
      </c>
      <c r="J176" s="9">
        <v>0</v>
      </c>
      <c r="K176" s="9">
        <v>0</v>
      </c>
      <c r="L176" s="147">
        <v>84671.72</v>
      </c>
    </row>
    <row r="177" spans="1:12" x14ac:dyDescent="0.2">
      <c r="A177" s="149">
        <v>38200</v>
      </c>
      <c r="B177" s="1" t="s">
        <v>693</v>
      </c>
      <c r="C177" s="1" t="s">
        <v>693</v>
      </c>
      <c r="D177" s="143" t="s">
        <v>491</v>
      </c>
      <c r="E177" s="143" t="s">
        <v>89</v>
      </c>
      <c r="F177" s="1" t="s">
        <v>694</v>
      </c>
      <c r="G177" s="1" t="s">
        <v>695</v>
      </c>
      <c r="H177" s="9">
        <v>116178.05</v>
      </c>
      <c r="I177" s="9">
        <v>467.61</v>
      </c>
      <c r="J177" s="9">
        <v>0</v>
      </c>
      <c r="K177" s="9">
        <v>0</v>
      </c>
      <c r="L177" s="147">
        <v>116645.66</v>
      </c>
    </row>
    <row r="178" spans="1:12" x14ac:dyDescent="0.2">
      <c r="A178" s="149">
        <v>38200</v>
      </c>
      <c r="B178" s="1" t="s">
        <v>693</v>
      </c>
      <c r="C178" s="1" t="s">
        <v>693</v>
      </c>
      <c r="D178" s="143" t="s">
        <v>594</v>
      </c>
      <c r="E178" s="143" t="s">
        <v>89</v>
      </c>
      <c r="F178" s="1" t="s">
        <v>694</v>
      </c>
      <c r="G178" s="1" t="s">
        <v>695</v>
      </c>
      <c r="H178" s="9">
        <v>123272</v>
      </c>
      <c r="I178" s="9">
        <v>900.63</v>
      </c>
      <c r="J178" s="9">
        <v>-3574.14</v>
      </c>
      <c r="K178" s="9">
        <v>0</v>
      </c>
      <c r="L178" s="147">
        <v>120598.49</v>
      </c>
    </row>
    <row r="179" spans="1:12" x14ac:dyDescent="0.2">
      <c r="A179" s="149">
        <v>38200</v>
      </c>
      <c r="B179" s="1" t="s">
        <v>693</v>
      </c>
      <c r="C179" s="1" t="s">
        <v>693</v>
      </c>
      <c r="D179" s="143" t="s">
        <v>527</v>
      </c>
      <c r="E179" s="143" t="s">
        <v>89</v>
      </c>
      <c r="F179" s="1" t="s">
        <v>694</v>
      </c>
      <c r="G179" s="1" t="s">
        <v>695</v>
      </c>
      <c r="H179" s="9">
        <v>160505.32999999999</v>
      </c>
      <c r="I179" s="9">
        <v>743.62</v>
      </c>
      <c r="J179" s="9">
        <v>-8627.83</v>
      </c>
      <c r="K179" s="9">
        <v>0</v>
      </c>
      <c r="L179" s="147">
        <v>152621.12</v>
      </c>
    </row>
    <row r="180" spans="1:12" x14ac:dyDescent="0.2">
      <c r="A180" s="149">
        <v>38200</v>
      </c>
      <c r="B180" s="1" t="s">
        <v>693</v>
      </c>
      <c r="C180" s="1" t="s">
        <v>693</v>
      </c>
      <c r="D180" s="143" t="s">
        <v>350</v>
      </c>
      <c r="E180" s="143" t="s">
        <v>89</v>
      </c>
      <c r="F180" s="1" t="s">
        <v>694</v>
      </c>
      <c r="G180" s="1" t="s">
        <v>695</v>
      </c>
      <c r="H180" s="9">
        <v>283697.42</v>
      </c>
      <c r="I180" s="9">
        <v>1327.22</v>
      </c>
      <c r="J180" s="9">
        <v>-2115.6</v>
      </c>
      <c r="K180" s="9">
        <v>0</v>
      </c>
      <c r="L180" s="147">
        <v>282909.03999999998</v>
      </c>
    </row>
    <row r="181" spans="1:12" x14ac:dyDescent="0.2">
      <c r="A181" s="149">
        <v>38200</v>
      </c>
      <c r="B181" s="1" t="s">
        <v>693</v>
      </c>
      <c r="C181" s="1" t="s">
        <v>693</v>
      </c>
      <c r="D181" s="143" t="s">
        <v>464</v>
      </c>
      <c r="E181" s="143" t="s">
        <v>89</v>
      </c>
      <c r="F181" s="1" t="s">
        <v>694</v>
      </c>
      <c r="G181" s="1" t="s">
        <v>695</v>
      </c>
      <c r="H181" s="9">
        <v>298386.03000000003</v>
      </c>
      <c r="I181" s="9">
        <v>1481.24</v>
      </c>
      <c r="J181" s="9">
        <v>-3929.24</v>
      </c>
      <c r="K181" s="9">
        <v>0</v>
      </c>
      <c r="L181" s="147">
        <v>295938.03000000003</v>
      </c>
    </row>
    <row r="182" spans="1:12" x14ac:dyDescent="0.2">
      <c r="A182" s="149">
        <v>38200</v>
      </c>
      <c r="B182" s="1" t="s">
        <v>693</v>
      </c>
      <c r="C182" s="1" t="s">
        <v>693</v>
      </c>
      <c r="D182" s="143" t="s">
        <v>261</v>
      </c>
      <c r="E182" s="143" t="s">
        <v>89</v>
      </c>
      <c r="F182" s="1" t="s">
        <v>694</v>
      </c>
      <c r="G182" s="1" t="s">
        <v>695</v>
      </c>
      <c r="H182" s="9">
        <v>343453.7</v>
      </c>
      <c r="I182" s="9">
        <v>980.64</v>
      </c>
      <c r="J182" s="9">
        <v>-8803.7099999999991</v>
      </c>
      <c r="K182" s="9">
        <v>0</v>
      </c>
      <c r="L182" s="147">
        <v>335630.63</v>
      </c>
    </row>
    <row r="183" spans="1:12" x14ac:dyDescent="0.2">
      <c r="A183" s="149">
        <v>38200</v>
      </c>
      <c r="B183" s="1" t="s">
        <v>693</v>
      </c>
      <c r="C183" s="1" t="s">
        <v>693</v>
      </c>
      <c r="D183" s="143" t="s">
        <v>564</v>
      </c>
      <c r="E183" s="143" t="s">
        <v>89</v>
      </c>
      <c r="F183" s="1" t="s">
        <v>694</v>
      </c>
      <c r="G183" s="1" t="s">
        <v>695</v>
      </c>
      <c r="H183" s="9">
        <v>359470.79</v>
      </c>
      <c r="I183" s="9">
        <v>1930.29</v>
      </c>
      <c r="J183" s="9">
        <v>-6099.72</v>
      </c>
      <c r="K183" s="9">
        <v>0</v>
      </c>
      <c r="L183" s="147">
        <v>355301.36</v>
      </c>
    </row>
    <row r="184" spans="1:12" x14ac:dyDescent="0.2">
      <c r="A184" s="149">
        <v>38200</v>
      </c>
      <c r="B184" s="1" t="s">
        <v>693</v>
      </c>
      <c r="C184" s="1" t="s">
        <v>693</v>
      </c>
      <c r="D184" s="143" t="s">
        <v>198</v>
      </c>
      <c r="E184" s="143" t="s">
        <v>89</v>
      </c>
      <c r="F184" s="1" t="s">
        <v>694</v>
      </c>
      <c r="G184" s="1" t="s">
        <v>695</v>
      </c>
      <c r="H184" s="9">
        <v>462204.98</v>
      </c>
      <c r="I184" s="9">
        <v>2111.23</v>
      </c>
      <c r="J184" s="9">
        <v>-67064.63</v>
      </c>
      <c r="K184" s="9">
        <v>0</v>
      </c>
      <c r="L184" s="147">
        <v>397251.58</v>
      </c>
    </row>
    <row r="185" spans="1:12" x14ac:dyDescent="0.2">
      <c r="A185" s="149">
        <v>38200</v>
      </c>
      <c r="B185" s="1" t="s">
        <v>693</v>
      </c>
      <c r="C185" s="1" t="s">
        <v>693</v>
      </c>
      <c r="D185" s="143" t="s">
        <v>229</v>
      </c>
      <c r="E185" s="143" t="s">
        <v>89</v>
      </c>
      <c r="F185" s="1" t="s">
        <v>694</v>
      </c>
      <c r="G185" s="1" t="s">
        <v>695</v>
      </c>
      <c r="H185" s="9">
        <v>726040.13</v>
      </c>
      <c r="I185" s="9">
        <v>3155.57</v>
      </c>
      <c r="J185" s="9">
        <v>-3534.25</v>
      </c>
      <c r="K185" s="9">
        <v>0</v>
      </c>
      <c r="L185" s="147">
        <v>725661.45</v>
      </c>
    </row>
    <row r="186" spans="1:12" x14ac:dyDescent="0.2">
      <c r="A186" s="149">
        <v>38200</v>
      </c>
      <c r="B186" s="1" t="s">
        <v>693</v>
      </c>
      <c r="C186" s="1" t="s">
        <v>693</v>
      </c>
      <c r="D186" s="143" t="s">
        <v>290</v>
      </c>
      <c r="E186" s="143" t="s">
        <v>89</v>
      </c>
      <c r="F186" s="1" t="s">
        <v>694</v>
      </c>
      <c r="G186" s="1" t="s">
        <v>695</v>
      </c>
      <c r="H186" s="9">
        <v>784707.19</v>
      </c>
      <c r="I186" s="9">
        <v>2447.85</v>
      </c>
      <c r="J186" s="9">
        <v>-18271.47</v>
      </c>
      <c r="K186" s="9">
        <v>0</v>
      </c>
      <c r="L186" s="147">
        <v>768883.57</v>
      </c>
    </row>
    <row r="187" spans="1:12" x14ac:dyDescent="0.2">
      <c r="A187" s="149">
        <v>38300</v>
      </c>
      <c r="B187" s="1" t="s">
        <v>693</v>
      </c>
      <c r="C187" s="1" t="s">
        <v>693</v>
      </c>
      <c r="D187" s="143" t="s">
        <v>321</v>
      </c>
      <c r="E187" s="143" t="s">
        <v>89</v>
      </c>
      <c r="F187" s="1" t="s">
        <v>694</v>
      </c>
      <c r="G187" s="1" t="s">
        <v>695</v>
      </c>
      <c r="H187" s="9">
        <v>-926.43</v>
      </c>
      <c r="I187" s="9">
        <v>0</v>
      </c>
      <c r="J187" s="9">
        <v>0</v>
      </c>
      <c r="K187" s="9">
        <v>0</v>
      </c>
      <c r="L187" s="147">
        <v>-926.43</v>
      </c>
    </row>
    <row r="188" spans="1:12" x14ac:dyDescent="0.2">
      <c r="A188" s="149">
        <v>38300</v>
      </c>
      <c r="B188" s="1" t="s">
        <v>693</v>
      </c>
      <c r="C188" s="1" t="s">
        <v>693</v>
      </c>
      <c r="D188" s="143" t="s">
        <v>230</v>
      </c>
      <c r="E188" s="143" t="s">
        <v>89</v>
      </c>
      <c r="F188" s="1" t="s">
        <v>694</v>
      </c>
      <c r="G188" s="1" t="s">
        <v>695</v>
      </c>
      <c r="H188" s="9">
        <v>-577.75</v>
      </c>
      <c r="I188" s="9">
        <v>0</v>
      </c>
      <c r="J188" s="9">
        <v>0</v>
      </c>
      <c r="K188" s="9">
        <v>0</v>
      </c>
      <c r="L188" s="147">
        <v>-577.75</v>
      </c>
    </row>
    <row r="189" spans="1:12" x14ac:dyDescent="0.2">
      <c r="A189" s="149">
        <v>38300</v>
      </c>
      <c r="B189" s="1" t="s">
        <v>693</v>
      </c>
      <c r="C189" s="1" t="s">
        <v>693</v>
      </c>
      <c r="D189" s="143" t="s">
        <v>262</v>
      </c>
      <c r="E189" s="143" t="s">
        <v>89</v>
      </c>
      <c r="F189" s="1" t="s">
        <v>694</v>
      </c>
      <c r="G189" s="1" t="s">
        <v>695</v>
      </c>
      <c r="H189" s="9">
        <v>-534.92999999999995</v>
      </c>
      <c r="I189" s="9">
        <v>0</v>
      </c>
      <c r="J189" s="9">
        <v>0</v>
      </c>
      <c r="K189" s="9">
        <v>0</v>
      </c>
      <c r="L189" s="147">
        <v>-534.92999999999995</v>
      </c>
    </row>
    <row r="190" spans="1:12" x14ac:dyDescent="0.2">
      <c r="A190" s="149">
        <v>38300</v>
      </c>
      <c r="B190" s="1" t="s">
        <v>693</v>
      </c>
      <c r="C190" s="1" t="s">
        <v>693</v>
      </c>
      <c r="D190" s="143" t="s">
        <v>465</v>
      </c>
      <c r="E190" s="143" t="s">
        <v>89</v>
      </c>
      <c r="F190" s="1" t="s">
        <v>694</v>
      </c>
      <c r="G190" s="1" t="s">
        <v>695</v>
      </c>
      <c r="H190" s="9">
        <v>-84.58</v>
      </c>
      <c r="I190" s="9">
        <v>0</v>
      </c>
      <c r="J190" s="9">
        <v>0</v>
      </c>
      <c r="K190" s="9">
        <v>0</v>
      </c>
      <c r="L190" s="147">
        <v>-84.58</v>
      </c>
    </row>
    <row r="191" spans="1:12" x14ac:dyDescent="0.2">
      <c r="A191" s="149">
        <v>38300</v>
      </c>
      <c r="B191" s="1" t="s">
        <v>693</v>
      </c>
      <c r="C191" s="1" t="s">
        <v>693</v>
      </c>
      <c r="D191" s="143" t="s">
        <v>565</v>
      </c>
      <c r="E191" s="143" t="s">
        <v>89</v>
      </c>
      <c r="F191" s="1" t="s">
        <v>694</v>
      </c>
      <c r="G191" s="1" t="s">
        <v>695</v>
      </c>
      <c r="H191" s="9">
        <v>-49.87</v>
      </c>
      <c r="I191" s="9">
        <v>0</v>
      </c>
      <c r="J191" s="9">
        <v>0</v>
      </c>
      <c r="K191" s="9">
        <v>0</v>
      </c>
      <c r="L191" s="147">
        <v>-49.87</v>
      </c>
    </row>
    <row r="192" spans="1:12" x14ac:dyDescent="0.2">
      <c r="A192" s="149">
        <v>38300</v>
      </c>
      <c r="B192" s="1" t="s">
        <v>693</v>
      </c>
      <c r="C192" s="1" t="s">
        <v>693</v>
      </c>
      <c r="D192" s="143" t="s">
        <v>595</v>
      </c>
      <c r="E192" s="143" t="s">
        <v>89</v>
      </c>
      <c r="F192" s="1" t="s">
        <v>694</v>
      </c>
      <c r="G192" s="1" t="s">
        <v>695</v>
      </c>
      <c r="H192" s="9">
        <v>-19.350000000000001</v>
      </c>
      <c r="I192" s="9">
        <v>0</v>
      </c>
      <c r="J192" s="9">
        <v>0</v>
      </c>
      <c r="K192" s="9">
        <v>0</v>
      </c>
      <c r="L192" s="147">
        <v>-19.350000000000001</v>
      </c>
    </row>
    <row r="193" spans="1:12" x14ac:dyDescent="0.2">
      <c r="A193" s="149">
        <v>38300</v>
      </c>
      <c r="B193" s="1" t="s">
        <v>693</v>
      </c>
      <c r="C193" s="1" t="s">
        <v>693</v>
      </c>
      <c r="D193" s="143" t="s">
        <v>199</v>
      </c>
      <c r="E193" s="143" t="s">
        <v>89</v>
      </c>
      <c r="F193" s="1" t="s">
        <v>694</v>
      </c>
      <c r="G193" s="1" t="s">
        <v>695</v>
      </c>
      <c r="H193" s="9">
        <v>0</v>
      </c>
      <c r="I193" s="9">
        <v>0</v>
      </c>
      <c r="J193" s="9">
        <v>0</v>
      </c>
      <c r="K193" s="9">
        <v>0</v>
      </c>
      <c r="L193" s="147">
        <v>0</v>
      </c>
    </row>
    <row r="194" spans="1:12" x14ac:dyDescent="0.2">
      <c r="A194" s="149">
        <v>38300</v>
      </c>
      <c r="B194" s="1" t="s">
        <v>693</v>
      </c>
      <c r="C194" s="1" t="s">
        <v>693</v>
      </c>
      <c r="D194" s="143" t="s">
        <v>291</v>
      </c>
      <c r="E194" s="143" t="s">
        <v>89</v>
      </c>
      <c r="F194" s="1" t="s">
        <v>694</v>
      </c>
      <c r="G194" s="1" t="s">
        <v>695</v>
      </c>
      <c r="H194" s="9">
        <v>0</v>
      </c>
      <c r="I194" s="9">
        <v>0</v>
      </c>
      <c r="J194" s="9">
        <v>0</v>
      </c>
      <c r="K194" s="9">
        <v>0</v>
      </c>
      <c r="L194" s="147">
        <v>0</v>
      </c>
    </row>
    <row r="195" spans="1:12" x14ac:dyDescent="0.2">
      <c r="A195" s="149">
        <v>38300</v>
      </c>
      <c r="B195" s="1" t="s">
        <v>693</v>
      </c>
      <c r="C195" s="1" t="s">
        <v>693</v>
      </c>
      <c r="D195" s="143" t="s">
        <v>351</v>
      </c>
      <c r="E195" s="143" t="s">
        <v>89</v>
      </c>
      <c r="F195" s="1" t="s">
        <v>694</v>
      </c>
      <c r="G195" s="1" t="s">
        <v>695</v>
      </c>
      <c r="H195" s="9">
        <v>0</v>
      </c>
      <c r="I195" s="9">
        <v>0</v>
      </c>
      <c r="J195" s="9">
        <v>0</v>
      </c>
      <c r="K195" s="9">
        <v>0</v>
      </c>
      <c r="L195" s="147">
        <v>0</v>
      </c>
    </row>
    <row r="196" spans="1:12" x14ac:dyDescent="0.2">
      <c r="A196" s="149">
        <v>38300</v>
      </c>
      <c r="B196" s="1" t="s">
        <v>693</v>
      </c>
      <c r="C196" s="1" t="s">
        <v>693</v>
      </c>
      <c r="D196" s="143" t="s">
        <v>384</v>
      </c>
      <c r="E196" s="143" t="s">
        <v>89</v>
      </c>
      <c r="F196" s="1" t="s">
        <v>694</v>
      </c>
      <c r="G196" s="1" t="s">
        <v>695</v>
      </c>
      <c r="H196" s="9">
        <v>0</v>
      </c>
      <c r="I196" s="9">
        <v>0</v>
      </c>
      <c r="J196" s="9">
        <v>0</v>
      </c>
      <c r="K196" s="9">
        <v>0</v>
      </c>
      <c r="L196" s="147">
        <v>0</v>
      </c>
    </row>
    <row r="197" spans="1:12" x14ac:dyDescent="0.2">
      <c r="A197" s="149">
        <v>38300</v>
      </c>
      <c r="B197" s="1" t="s">
        <v>693</v>
      </c>
      <c r="C197" s="1" t="s">
        <v>693</v>
      </c>
      <c r="D197" s="143" t="s">
        <v>411</v>
      </c>
      <c r="E197" s="143" t="s">
        <v>89</v>
      </c>
      <c r="F197" s="1" t="s">
        <v>694</v>
      </c>
      <c r="G197" s="1" t="s">
        <v>695</v>
      </c>
      <c r="H197" s="9">
        <v>0</v>
      </c>
      <c r="I197" s="9">
        <v>0</v>
      </c>
      <c r="J197" s="9">
        <v>0</v>
      </c>
      <c r="K197" s="9">
        <v>0</v>
      </c>
      <c r="L197" s="147">
        <v>0</v>
      </c>
    </row>
    <row r="198" spans="1:12" x14ac:dyDescent="0.2">
      <c r="A198" s="149">
        <v>38300</v>
      </c>
      <c r="B198" s="1" t="s">
        <v>693</v>
      </c>
      <c r="C198" s="1" t="s">
        <v>693</v>
      </c>
      <c r="D198" s="143" t="s">
        <v>437</v>
      </c>
      <c r="E198" s="143" t="s">
        <v>89</v>
      </c>
      <c r="F198" s="1" t="s">
        <v>694</v>
      </c>
      <c r="G198" s="1" t="s">
        <v>695</v>
      </c>
      <c r="H198" s="9">
        <v>0</v>
      </c>
      <c r="I198" s="9">
        <v>0</v>
      </c>
      <c r="J198" s="9">
        <v>0</v>
      </c>
      <c r="K198" s="9">
        <v>0</v>
      </c>
      <c r="L198" s="147">
        <v>0</v>
      </c>
    </row>
    <row r="199" spans="1:12" x14ac:dyDescent="0.2">
      <c r="A199" s="149">
        <v>38300</v>
      </c>
      <c r="B199" s="1" t="s">
        <v>693</v>
      </c>
      <c r="C199" s="1" t="s">
        <v>693</v>
      </c>
      <c r="D199" s="143" t="s">
        <v>492</v>
      </c>
      <c r="E199" s="143" t="s">
        <v>89</v>
      </c>
      <c r="F199" s="1" t="s">
        <v>694</v>
      </c>
      <c r="G199" s="1" t="s">
        <v>695</v>
      </c>
      <c r="H199" s="9">
        <v>0</v>
      </c>
      <c r="I199" s="9">
        <v>0</v>
      </c>
      <c r="J199" s="9">
        <v>0</v>
      </c>
      <c r="K199" s="9">
        <v>0</v>
      </c>
      <c r="L199" s="147">
        <v>0</v>
      </c>
    </row>
    <row r="200" spans="1:12" x14ac:dyDescent="0.2">
      <c r="A200" s="149">
        <v>38300</v>
      </c>
      <c r="B200" s="1" t="s">
        <v>693</v>
      </c>
      <c r="C200" s="1" t="s">
        <v>693</v>
      </c>
      <c r="D200" s="143" t="s">
        <v>528</v>
      </c>
      <c r="E200" s="143" t="s">
        <v>89</v>
      </c>
      <c r="F200" s="1" t="s">
        <v>694</v>
      </c>
      <c r="G200" s="1" t="s">
        <v>695</v>
      </c>
      <c r="H200" s="9">
        <v>0</v>
      </c>
      <c r="I200" s="9">
        <v>0</v>
      </c>
      <c r="J200" s="9">
        <v>0</v>
      </c>
      <c r="K200" s="9">
        <v>0</v>
      </c>
      <c r="L200" s="147">
        <v>0</v>
      </c>
    </row>
    <row r="201" spans="1:12" x14ac:dyDescent="0.2">
      <c r="A201" s="149">
        <v>38300</v>
      </c>
      <c r="B201" s="1" t="s">
        <v>693</v>
      </c>
      <c r="C201" s="1" t="s">
        <v>693</v>
      </c>
      <c r="D201" s="143" t="s">
        <v>626</v>
      </c>
      <c r="E201" s="143" t="s">
        <v>89</v>
      </c>
      <c r="F201" s="1" t="s">
        <v>694</v>
      </c>
      <c r="G201" s="1" t="s">
        <v>695</v>
      </c>
      <c r="H201" s="9">
        <v>0</v>
      </c>
      <c r="I201" s="9">
        <v>0</v>
      </c>
      <c r="J201" s="9">
        <v>0</v>
      </c>
      <c r="K201" s="9">
        <v>0</v>
      </c>
      <c r="L201" s="147">
        <v>0</v>
      </c>
    </row>
    <row r="202" spans="1:12" x14ac:dyDescent="0.2">
      <c r="A202" s="149">
        <v>38400</v>
      </c>
      <c r="B202" s="1" t="s">
        <v>693</v>
      </c>
      <c r="C202" s="1" t="s">
        <v>693</v>
      </c>
      <c r="D202" s="143" t="s">
        <v>438</v>
      </c>
      <c r="E202" s="143" t="s">
        <v>89</v>
      </c>
      <c r="F202" s="1" t="s">
        <v>694</v>
      </c>
      <c r="G202" s="1" t="s">
        <v>695</v>
      </c>
      <c r="H202" s="9">
        <v>2328.41</v>
      </c>
      <c r="I202" s="9">
        <v>6.87</v>
      </c>
      <c r="J202" s="9">
        <v>0</v>
      </c>
      <c r="K202" s="9">
        <v>0</v>
      </c>
      <c r="L202" s="147">
        <v>2335.2800000000002</v>
      </c>
    </row>
    <row r="203" spans="1:12" x14ac:dyDescent="0.2">
      <c r="A203" s="149">
        <v>38400</v>
      </c>
      <c r="B203" s="1" t="s">
        <v>693</v>
      </c>
      <c r="C203" s="1" t="s">
        <v>693</v>
      </c>
      <c r="D203" s="143" t="s">
        <v>200</v>
      </c>
      <c r="E203" s="143" t="s">
        <v>89</v>
      </c>
      <c r="F203" s="1" t="s">
        <v>694</v>
      </c>
      <c r="G203" s="1" t="s">
        <v>695</v>
      </c>
      <c r="H203" s="9">
        <v>77579.679999999993</v>
      </c>
      <c r="I203" s="9">
        <v>886.93</v>
      </c>
      <c r="J203" s="9">
        <v>-67064.62</v>
      </c>
      <c r="K203" s="9">
        <v>0</v>
      </c>
      <c r="L203" s="147">
        <v>11401.99</v>
      </c>
    </row>
    <row r="204" spans="1:12" x14ac:dyDescent="0.2">
      <c r="A204" s="149">
        <v>38400</v>
      </c>
      <c r="B204" s="1" t="s">
        <v>693</v>
      </c>
      <c r="C204" s="1" t="s">
        <v>693</v>
      </c>
      <c r="D204" s="143" t="s">
        <v>385</v>
      </c>
      <c r="E204" s="143" t="s">
        <v>89</v>
      </c>
      <c r="F204" s="1" t="s">
        <v>694</v>
      </c>
      <c r="G204" s="1" t="s">
        <v>695</v>
      </c>
      <c r="H204" s="9">
        <v>18542.59</v>
      </c>
      <c r="I204" s="9">
        <v>80.77</v>
      </c>
      <c r="J204" s="9">
        <v>0</v>
      </c>
      <c r="K204" s="9">
        <v>0</v>
      </c>
      <c r="L204" s="147">
        <v>18623.36</v>
      </c>
    </row>
    <row r="205" spans="1:12" x14ac:dyDescent="0.2">
      <c r="A205" s="149">
        <v>38400</v>
      </c>
      <c r="B205" s="1" t="s">
        <v>693</v>
      </c>
      <c r="C205" s="1" t="s">
        <v>693</v>
      </c>
      <c r="D205" s="143" t="s">
        <v>322</v>
      </c>
      <c r="E205" s="143" t="s">
        <v>89</v>
      </c>
      <c r="F205" s="1" t="s">
        <v>694</v>
      </c>
      <c r="G205" s="1" t="s">
        <v>695</v>
      </c>
      <c r="H205" s="9">
        <v>20924.150000000001</v>
      </c>
      <c r="I205" s="9">
        <v>93.87</v>
      </c>
      <c r="J205" s="9">
        <v>0</v>
      </c>
      <c r="K205" s="9">
        <v>0</v>
      </c>
      <c r="L205" s="147">
        <v>21018.02</v>
      </c>
    </row>
    <row r="206" spans="1:12" x14ac:dyDescent="0.2">
      <c r="A206" s="149">
        <v>38400</v>
      </c>
      <c r="B206" s="1" t="s">
        <v>693</v>
      </c>
      <c r="C206" s="1" t="s">
        <v>693</v>
      </c>
      <c r="D206" s="143" t="s">
        <v>412</v>
      </c>
      <c r="E206" s="143" t="s">
        <v>89</v>
      </c>
      <c r="F206" s="1" t="s">
        <v>694</v>
      </c>
      <c r="G206" s="1" t="s">
        <v>695</v>
      </c>
      <c r="H206" s="9">
        <v>22399.46</v>
      </c>
      <c r="I206" s="9">
        <v>119.59</v>
      </c>
      <c r="J206" s="9">
        <v>0</v>
      </c>
      <c r="K206" s="9">
        <v>0</v>
      </c>
      <c r="L206" s="147">
        <v>22519.05</v>
      </c>
    </row>
    <row r="207" spans="1:12" x14ac:dyDescent="0.2">
      <c r="A207" s="149">
        <v>38400</v>
      </c>
      <c r="B207" s="1" t="s">
        <v>693</v>
      </c>
      <c r="C207" s="1" t="s">
        <v>693</v>
      </c>
      <c r="D207" s="143" t="s">
        <v>493</v>
      </c>
      <c r="E207" s="143" t="s">
        <v>89</v>
      </c>
      <c r="F207" s="1" t="s">
        <v>694</v>
      </c>
      <c r="G207" s="1" t="s">
        <v>695</v>
      </c>
      <c r="H207" s="9">
        <v>43328.04</v>
      </c>
      <c r="I207" s="9">
        <v>179.75</v>
      </c>
      <c r="J207" s="9">
        <v>0</v>
      </c>
      <c r="K207" s="9">
        <v>0</v>
      </c>
      <c r="L207" s="147">
        <v>43507.79</v>
      </c>
    </row>
    <row r="208" spans="1:12" x14ac:dyDescent="0.2">
      <c r="A208" s="149">
        <v>38400</v>
      </c>
      <c r="B208" s="1" t="s">
        <v>693</v>
      </c>
      <c r="C208" s="1" t="s">
        <v>693</v>
      </c>
      <c r="D208" s="143" t="s">
        <v>596</v>
      </c>
      <c r="E208" s="143" t="s">
        <v>89</v>
      </c>
      <c r="F208" s="1" t="s">
        <v>694</v>
      </c>
      <c r="G208" s="1" t="s">
        <v>695</v>
      </c>
      <c r="H208" s="9">
        <v>50306.080000000002</v>
      </c>
      <c r="I208" s="9">
        <v>413.21</v>
      </c>
      <c r="J208" s="9">
        <v>0</v>
      </c>
      <c r="K208" s="9">
        <v>0</v>
      </c>
      <c r="L208" s="147">
        <v>50719.29</v>
      </c>
    </row>
    <row r="209" spans="1:12" x14ac:dyDescent="0.2">
      <c r="A209" s="149">
        <v>38400</v>
      </c>
      <c r="B209" s="1" t="s">
        <v>693</v>
      </c>
      <c r="C209" s="1" t="s">
        <v>693</v>
      </c>
      <c r="D209" s="143" t="s">
        <v>263</v>
      </c>
      <c r="E209" s="143" t="s">
        <v>89</v>
      </c>
      <c r="F209" s="1" t="s">
        <v>694</v>
      </c>
      <c r="G209" s="1" t="s">
        <v>695</v>
      </c>
      <c r="H209" s="9">
        <v>82666.399999999994</v>
      </c>
      <c r="I209" s="9">
        <v>340.21</v>
      </c>
      <c r="J209" s="9">
        <v>-8852.3799999999992</v>
      </c>
      <c r="K209" s="9">
        <v>0</v>
      </c>
      <c r="L209" s="147">
        <v>74154.23</v>
      </c>
    </row>
    <row r="210" spans="1:12" x14ac:dyDescent="0.2">
      <c r="A210" s="149">
        <v>38400</v>
      </c>
      <c r="B210" s="1" t="s">
        <v>693</v>
      </c>
      <c r="C210" s="1" t="s">
        <v>693</v>
      </c>
      <c r="D210" s="143" t="s">
        <v>529</v>
      </c>
      <c r="E210" s="143" t="s">
        <v>89</v>
      </c>
      <c r="F210" s="1" t="s">
        <v>694</v>
      </c>
      <c r="G210" s="1" t="s">
        <v>695</v>
      </c>
      <c r="H210" s="9">
        <v>91747</v>
      </c>
      <c r="I210" s="9">
        <v>375.13</v>
      </c>
      <c r="J210" s="9">
        <v>0</v>
      </c>
      <c r="K210" s="9">
        <v>0</v>
      </c>
      <c r="L210" s="147">
        <v>92122.13</v>
      </c>
    </row>
    <row r="211" spans="1:12" x14ac:dyDescent="0.2">
      <c r="A211" s="149">
        <v>38400</v>
      </c>
      <c r="B211" s="1" t="s">
        <v>693</v>
      </c>
      <c r="C211" s="1" t="s">
        <v>693</v>
      </c>
      <c r="D211" s="143" t="s">
        <v>352</v>
      </c>
      <c r="E211" s="143" t="s">
        <v>89</v>
      </c>
      <c r="F211" s="1" t="s">
        <v>694</v>
      </c>
      <c r="G211" s="1" t="s">
        <v>695</v>
      </c>
      <c r="H211" s="9">
        <v>97857.7</v>
      </c>
      <c r="I211" s="9">
        <v>564.53</v>
      </c>
      <c r="J211" s="9">
        <v>-1178.71</v>
      </c>
      <c r="K211" s="9">
        <v>0</v>
      </c>
      <c r="L211" s="147">
        <v>97243.520000000004</v>
      </c>
    </row>
    <row r="212" spans="1:12" x14ac:dyDescent="0.2">
      <c r="A212" s="149">
        <v>38400</v>
      </c>
      <c r="B212" s="1" t="s">
        <v>693</v>
      </c>
      <c r="C212" s="1" t="s">
        <v>693</v>
      </c>
      <c r="D212" s="143" t="s">
        <v>466</v>
      </c>
      <c r="E212" s="143" t="s">
        <v>89</v>
      </c>
      <c r="F212" s="1" t="s">
        <v>694</v>
      </c>
      <c r="G212" s="1" t="s">
        <v>695</v>
      </c>
      <c r="H212" s="9">
        <v>132808.78</v>
      </c>
      <c r="I212" s="9">
        <v>650.66999999999996</v>
      </c>
      <c r="J212" s="9">
        <v>0</v>
      </c>
      <c r="K212" s="9">
        <v>0</v>
      </c>
      <c r="L212" s="147">
        <v>133459.45000000001</v>
      </c>
    </row>
    <row r="213" spans="1:12" x14ac:dyDescent="0.2">
      <c r="A213" s="149">
        <v>38400</v>
      </c>
      <c r="B213" s="1" t="s">
        <v>693</v>
      </c>
      <c r="C213" s="1" t="s">
        <v>693</v>
      </c>
      <c r="D213" s="143" t="s">
        <v>566</v>
      </c>
      <c r="E213" s="143" t="s">
        <v>89</v>
      </c>
      <c r="F213" s="1" t="s">
        <v>694</v>
      </c>
      <c r="G213" s="1" t="s">
        <v>695</v>
      </c>
      <c r="H213" s="9">
        <v>165347.24</v>
      </c>
      <c r="I213" s="9">
        <v>829.89</v>
      </c>
      <c r="J213" s="9">
        <v>0</v>
      </c>
      <c r="K213" s="9">
        <v>0</v>
      </c>
      <c r="L213" s="147">
        <v>166177.13</v>
      </c>
    </row>
    <row r="214" spans="1:12" x14ac:dyDescent="0.2">
      <c r="A214" s="149">
        <v>38400</v>
      </c>
      <c r="B214" s="1" t="s">
        <v>693</v>
      </c>
      <c r="C214" s="1" t="s">
        <v>693</v>
      </c>
      <c r="D214" s="143" t="s">
        <v>292</v>
      </c>
      <c r="E214" s="143" t="s">
        <v>89</v>
      </c>
      <c r="F214" s="1" t="s">
        <v>694</v>
      </c>
      <c r="G214" s="1" t="s">
        <v>695</v>
      </c>
      <c r="H214" s="9">
        <v>260308.21</v>
      </c>
      <c r="I214" s="9">
        <v>929.33</v>
      </c>
      <c r="J214" s="9">
        <v>0</v>
      </c>
      <c r="K214" s="9">
        <v>0</v>
      </c>
      <c r="L214" s="147">
        <v>261237.54</v>
      </c>
    </row>
    <row r="215" spans="1:12" x14ac:dyDescent="0.2">
      <c r="A215" s="149">
        <v>38400</v>
      </c>
      <c r="B215" s="1" t="s">
        <v>693</v>
      </c>
      <c r="C215" s="1" t="s">
        <v>693</v>
      </c>
      <c r="D215" s="143" t="s">
        <v>231</v>
      </c>
      <c r="E215" s="143" t="s">
        <v>89</v>
      </c>
      <c r="F215" s="1" t="s">
        <v>694</v>
      </c>
      <c r="G215" s="1" t="s">
        <v>695</v>
      </c>
      <c r="H215" s="9">
        <v>298139.03000000003</v>
      </c>
      <c r="I215" s="9">
        <v>1244.4000000000001</v>
      </c>
      <c r="J215" s="9">
        <v>-3534.24</v>
      </c>
      <c r="K215" s="9">
        <v>0</v>
      </c>
      <c r="L215" s="147">
        <v>295849.19</v>
      </c>
    </row>
    <row r="216" spans="1:12" x14ac:dyDescent="0.2">
      <c r="A216" s="149">
        <v>38500</v>
      </c>
      <c r="B216" s="1" t="s">
        <v>693</v>
      </c>
      <c r="C216" s="1" t="s">
        <v>693</v>
      </c>
      <c r="D216" s="143" t="s">
        <v>201</v>
      </c>
      <c r="E216" s="143" t="s">
        <v>89</v>
      </c>
      <c r="F216" s="1" t="s">
        <v>694</v>
      </c>
      <c r="G216" s="1" t="s">
        <v>695</v>
      </c>
      <c r="H216" s="9">
        <v>-208.24</v>
      </c>
      <c r="I216" s="9">
        <v>0</v>
      </c>
      <c r="J216" s="9">
        <v>-384.92</v>
      </c>
      <c r="K216" s="9">
        <v>0</v>
      </c>
      <c r="L216" s="147">
        <v>-593.16</v>
      </c>
    </row>
    <row r="217" spans="1:12" x14ac:dyDescent="0.2">
      <c r="A217" s="149">
        <v>38500</v>
      </c>
      <c r="B217" s="1" t="s">
        <v>693</v>
      </c>
      <c r="C217" s="1" t="s">
        <v>693</v>
      </c>
      <c r="D217" s="143" t="s">
        <v>264</v>
      </c>
      <c r="E217" s="143" t="s">
        <v>89</v>
      </c>
      <c r="F217" s="1" t="s">
        <v>694</v>
      </c>
      <c r="G217" s="1" t="s">
        <v>695</v>
      </c>
      <c r="H217" s="9">
        <v>-439.89</v>
      </c>
      <c r="I217" s="9">
        <v>0</v>
      </c>
      <c r="J217" s="9">
        <v>-60.23</v>
      </c>
      <c r="K217" s="9">
        <v>0</v>
      </c>
      <c r="L217" s="147">
        <v>-500.12</v>
      </c>
    </row>
    <row r="218" spans="1:12" x14ac:dyDescent="0.2">
      <c r="A218" s="149">
        <v>38500</v>
      </c>
      <c r="B218" s="1" t="s">
        <v>693</v>
      </c>
      <c r="C218" s="1" t="s">
        <v>693</v>
      </c>
      <c r="D218" s="143" t="s">
        <v>232</v>
      </c>
      <c r="E218" s="143" t="s">
        <v>89</v>
      </c>
      <c r="F218" s="1" t="s">
        <v>694</v>
      </c>
      <c r="G218" s="1" t="s">
        <v>695</v>
      </c>
      <c r="H218" s="9">
        <v>-135.38</v>
      </c>
      <c r="I218" s="9">
        <v>0</v>
      </c>
      <c r="J218" s="9">
        <v>-122.67</v>
      </c>
      <c r="K218" s="9">
        <v>0</v>
      </c>
      <c r="L218" s="147">
        <v>-258.05</v>
      </c>
    </row>
    <row r="219" spans="1:12" x14ac:dyDescent="0.2">
      <c r="A219" s="149">
        <v>38500</v>
      </c>
      <c r="B219" s="1" t="s">
        <v>693</v>
      </c>
      <c r="C219" s="1" t="s">
        <v>693</v>
      </c>
      <c r="D219" s="143" t="s">
        <v>293</v>
      </c>
      <c r="E219" s="143" t="s">
        <v>89</v>
      </c>
      <c r="F219" s="1" t="s">
        <v>694</v>
      </c>
      <c r="G219" s="1" t="s">
        <v>695</v>
      </c>
      <c r="H219" s="9">
        <v>-107.89</v>
      </c>
      <c r="I219" s="9">
        <v>0</v>
      </c>
      <c r="J219" s="9">
        <v>0</v>
      </c>
      <c r="K219" s="9">
        <v>0</v>
      </c>
      <c r="L219" s="147">
        <v>-107.89</v>
      </c>
    </row>
    <row r="220" spans="1:12" x14ac:dyDescent="0.2">
      <c r="A220" s="149">
        <v>38500</v>
      </c>
      <c r="B220" s="1" t="s">
        <v>693</v>
      </c>
      <c r="C220" s="1" t="s">
        <v>693</v>
      </c>
      <c r="D220" s="143" t="s">
        <v>467</v>
      </c>
      <c r="E220" s="143" t="s">
        <v>89</v>
      </c>
      <c r="F220" s="1" t="s">
        <v>694</v>
      </c>
      <c r="G220" s="1" t="s">
        <v>695</v>
      </c>
      <c r="H220" s="9">
        <v>-80.12</v>
      </c>
      <c r="I220" s="9">
        <v>0</v>
      </c>
      <c r="J220" s="9">
        <v>0</v>
      </c>
      <c r="K220" s="9">
        <v>0</v>
      </c>
      <c r="L220" s="147">
        <v>-80.12</v>
      </c>
    </row>
    <row r="221" spans="1:12" x14ac:dyDescent="0.2">
      <c r="A221" s="149">
        <v>38500</v>
      </c>
      <c r="B221" s="1" t="s">
        <v>693</v>
      </c>
      <c r="C221" s="1" t="s">
        <v>693</v>
      </c>
      <c r="D221" s="143" t="s">
        <v>413</v>
      </c>
      <c r="E221" s="143" t="s">
        <v>89</v>
      </c>
      <c r="F221" s="1" t="s">
        <v>694</v>
      </c>
      <c r="G221" s="1" t="s">
        <v>695</v>
      </c>
      <c r="H221" s="9">
        <v>-51.36</v>
      </c>
      <c r="I221" s="9">
        <v>0</v>
      </c>
      <c r="J221" s="9">
        <v>0</v>
      </c>
      <c r="K221" s="9">
        <v>0</v>
      </c>
      <c r="L221" s="147">
        <v>-51.36</v>
      </c>
    </row>
    <row r="222" spans="1:12" x14ac:dyDescent="0.2">
      <c r="A222" s="149">
        <v>38500</v>
      </c>
      <c r="B222" s="1" t="s">
        <v>693</v>
      </c>
      <c r="C222" s="1" t="s">
        <v>693</v>
      </c>
      <c r="D222" s="143" t="s">
        <v>353</v>
      </c>
      <c r="E222" s="143" t="s">
        <v>89</v>
      </c>
      <c r="F222" s="1" t="s">
        <v>694</v>
      </c>
      <c r="G222" s="1" t="s">
        <v>695</v>
      </c>
      <c r="H222" s="9">
        <v>-47.8</v>
      </c>
      <c r="I222" s="9">
        <v>0</v>
      </c>
      <c r="J222" s="9">
        <v>0</v>
      </c>
      <c r="K222" s="9">
        <v>0</v>
      </c>
      <c r="L222" s="147">
        <v>-47.8</v>
      </c>
    </row>
    <row r="223" spans="1:12" x14ac:dyDescent="0.2">
      <c r="A223" s="149">
        <v>38500</v>
      </c>
      <c r="B223" s="1" t="s">
        <v>693</v>
      </c>
      <c r="C223" s="1" t="s">
        <v>693</v>
      </c>
      <c r="D223" s="143" t="s">
        <v>323</v>
      </c>
      <c r="E223" s="143" t="s">
        <v>89</v>
      </c>
      <c r="F223" s="1" t="s">
        <v>694</v>
      </c>
      <c r="G223" s="1" t="s">
        <v>695</v>
      </c>
      <c r="H223" s="9">
        <v>-23.09</v>
      </c>
      <c r="I223" s="9">
        <v>0</v>
      </c>
      <c r="J223" s="9">
        <v>0</v>
      </c>
      <c r="K223" s="9">
        <v>0</v>
      </c>
      <c r="L223" s="147">
        <v>-23.09</v>
      </c>
    </row>
    <row r="224" spans="1:12" x14ac:dyDescent="0.2">
      <c r="A224" s="149">
        <v>38500</v>
      </c>
      <c r="B224" s="1" t="s">
        <v>693</v>
      </c>
      <c r="C224" s="1" t="s">
        <v>693</v>
      </c>
      <c r="D224" s="143" t="s">
        <v>386</v>
      </c>
      <c r="E224" s="143" t="s">
        <v>89</v>
      </c>
      <c r="F224" s="1" t="s">
        <v>694</v>
      </c>
      <c r="G224" s="1" t="s">
        <v>695</v>
      </c>
      <c r="H224" s="9">
        <v>0</v>
      </c>
      <c r="I224" s="9">
        <v>0</v>
      </c>
      <c r="J224" s="9">
        <v>0</v>
      </c>
      <c r="K224" s="9">
        <v>0</v>
      </c>
      <c r="L224" s="147">
        <v>0</v>
      </c>
    </row>
    <row r="225" spans="1:12" x14ac:dyDescent="0.2">
      <c r="A225" s="149">
        <v>38500</v>
      </c>
      <c r="B225" s="1" t="s">
        <v>693</v>
      </c>
      <c r="C225" s="1" t="s">
        <v>693</v>
      </c>
      <c r="D225" s="143" t="s">
        <v>439</v>
      </c>
      <c r="E225" s="143" t="s">
        <v>89</v>
      </c>
      <c r="F225" s="1" t="s">
        <v>694</v>
      </c>
      <c r="G225" s="1" t="s">
        <v>695</v>
      </c>
      <c r="H225" s="9">
        <v>0</v>
      </c>
      <c r="I225" s="9">
        <v>0</v>
      </c>
      <c r="J225" s="9">
        <v>0</v>
      </c>
      <c r="K225" s="9">
        <v>0</v>
      </c>
      <c r="L225" s="147">
        <v>0</v>
      </c>
    </row>
    <row r="226" spans="1:12" x14ac:dyDescent="0.2">
      <c r="A226" s="149">
        <v>38500</v>
      </c>
      <c r="B226" s="1" t="s">
        <v>693</v>
      </c>
      <c r="C226" s="1" t="s">
        <v>693</v>
      </c>
      <c r="D226" s="143" t="s">
        <v>494</v>
      </c>
      <c r="E226" s="143" t="s">
        <v>89</v>
      </c>
      <c r="F226" s="1" t="s">
        <v>694</v>
      </c>
      <c r="G226" s="1" t="s">
        <v>695</v>
      </c>
      <c r="H226" s="9">
        <v>0</v>
      </c>
      <c r="I226" s="9">
        <v>0</v>
      </c>
      <c r="J226" s="9">
        <v>0</v>
      </c>
      <c r="K226" s="9">
        <v>0</v>
      </c>
      <c r="L226" s="147">
        <v>0</v>
      </c>
    </row>
    <row r="227" spans="1:12" x14ac:dyDescent="0.2">
      <c r="A227" s="149">
        <v>38500</v>
      </c>
      <c r="B227" s="1" t="s">
        <v>693</v>
      </c>
      <c r="C227" s="1" t="s">
        <v>693</v>
      </c>
      <c r="D227" s="143" t="s">
        <v>530</v>
      </c>
      <c r="E227" s="143" t="s">
        <v>89</v>
      </c>
      <c r="F227" s="1" t="s">
        <v>694</v>
      </c>
      <c r="G227" s="1" t="s">
        <v>695</v>
      </c>
      <c r="H227" s="9">
        <v>0</v>
      </c>
      <c r="I227" s="9">
        <v>0</v>
      </c>
      <c r="J227" s="9">
        <v>0</v>
      </c>
      <c r="K227" s="9">
        <v>0</v>
      </c>
      <c r="L227" s="147">
        <v>0</v>
      </c>
    </row>
    <row r="228" spans="1:12" x14ac:dyDescent="0.2">
      <c r="A228" s="149">
        <v>38500</v>
      </c>
      <c r="B228" s="1" t="s">
        <v>693</v>
      </c>
      <c r="C228" s="1" t="s">
        <v>693</v>
      </c>
      <c r="D228" s="143" t="s">
        <v>567</v>
      </c>
      <c r="E228" s="143" t="s">
        <v>89</v>
      </c>
      <c r="F228" s="1" t="s">
        <v>694</v>
      </c>
      <c r="G228" s="1" t="s">
        <v>695</v>
      </c>
      <c r="H228" s="9">
        <v>0</v>
      </c>
      <c r="I228" s="9">
        <v>0</v>
      </c>
      <c r="J228" s="9">
        <v>0</v>
      </c>
      <c r="K228" s="9">
        <v>0</v>
      </c>
      <c r="L228" s="147">
        <v>0</v>
      </c>
    </row>
    <row r="229" spans="1:12" x14ac:dyDescent="0.2">
      <c r="A229" s="149">
        <v>38500</v>
      </c>
      <c r="B229" s="1" t="s">
        <v>693</v>
      </c>
      <c r="C229" s="1" t="s">
        <v>693</v>
      </c>
      <c r="D229" s="143" t="s">
        <v>597</v>
      </c>
      <c r="E229" s="143" t="s">
        <v>89</v>
      </c>
      <c r="F229" s="1" t="s">
        <v>694</v>
      </c>
      <c r="G229" s="1" t="s">
        <v>695</v>
      </c>
      <c r="H229" s="9">
        <v>0</v>
      </c>
      <c r="I229" s="9">
        <v>0</v>
      </c>
      <c r="J229" s="9">
        <v>0</v>
      </c>
      <c r="K229" s="9">
        <v>0</v>
      </c>
      <c r="L229" s="147">
        <v>0</v>
      </c>
    </row>
    <row r="230" spans="1:12" x14ac:dyDescent="0.2">
      <c r="A230" s="149">
        <v>38500</v>
      </c>
      <c r="B230" s="1" t="s">
        <v>693</v>
      </c>
      <c r="C230" s="1" t="s">
        <v>693</v>
      </c>
      <c r="D230" s="143" t="s">
        <v>627</v>
      </c>
      <c r="E230" s="143" t="s">
        <v>89</v>
      </c>
      <c r="F230" s="1" t="s">
        <v>694</v>
      </c>
      <c r="G230" s="1" t="s">
        <v>695</v>
      </c>
      <c r="H230" s="9">
        <v>0</v>
      </c>
      <c r="I230" s="9">
        <v>0</v>
      </c>
      <c r="J230" s="9">
        <v>0</v>
      </c>
      <c r="K230" s="9">
        <v>0</v>
      </c>
      <c r="L230" s="147">
        <v>0</v>
      </c>
    </row>
    <row r="231" spans="1:12" x14ac:dyDescent="0.2">
      <c r="A231" s="149">
        <v>38700</v>
      </c>
      <c r="B231" s="1" t="s">
        <v>693</v>
      </c>
      <c r="C231" s="1" t="s">
        <v>693</v>
      </c>
      <c r="D231" s="143" t="s">
        <v>202</v>
      </c>
      <c r="E231" s="143" t="s">
        <v>89</v>
      </c>
      <c r="F231" s="1" t="s">
        <v>694</v>
      </c>
      <c r="G231" s="1" t="s">
        <v>695</v>
      </c>
      <c r="H231" s="9">
        <v>0</v>
      </c>
      <c r="I231" s="9">
        <v>0</v>
      </c>
      <c r="J231" s="9">
        <v>0</v>
      </c>
      <c r="K231" s="9">
        <v>0</v>
      </c>
      <c r="L231" s="147">
        <v>0</v>
      </c>
    </row>
    <row r="232" spans="1:12" x14ac:dyDescent="0.2">
      <c r="A232" s="149">
        <v>38700</v>
      </c>
      <c r="B232" s="1" t="s">
        <v>693</v>
      </c>
      <c r="C232" s="1" t="s">
        <v>693</v>
      </c>
      <c r="D232" s="143" t="s">
        <v>233</v>
      </c>
      <c r="E232" s="143" t="s">
        <v>89</v>
      </c>
      <c r="F232" s="1" t="s">
        <v>694</v>
      </c>
      <c r="G232" s="1" t="s">
        <v>695</v>
      </c>
      <c r="H232" s="9">
        <v>0</v>
      </c>
      <c r="I232" s="9">
        <v>0</v>
      </c>
      <c r="J232" s="9">
        <v>0</v>
      </c>
      <c r="K232" s="9">
        <v>0</v>
      </c>
      <c r="L232" s="147">
        <v>0</v>
      </c>
    </row>
    <row r="233" spans="1:12" x14ac:dyDescent="0.2">
      <c r="A233" s="149">
        <v>38700</v>
      </c>
      <c r="B233" s="1" t="s">
        <v>693</v>
      </c>
      <c r="C233" s="1" t="s">
        <v>693</v>
      </c>
      <c r="D233" s="143" t="s">
        <v>265</v>
      </c>
      <c r="E233" s="143" t="s">
        <v>89</v>
      </c>
      <c r="F233" s="1" t="s">
        <v>694</v>
      </c>
      <c r="G233" s="1" t="s">
        <v>695</v>
      </c>
      <c r="H233" s="9">
        <v>0</v>
      </c>
      <c r="I233" s="9">
        <v>0</v>
      </c>
      <c r="J233" s="9">
        <v>0</v>
      </c>
      <c r="K233" s="9">
        <v>0</v>
      </c>
      <c r="L233" s="147">
        <v>0</v>
      </c>
    </row>
    <row r="234" spans="1:12" x14ac:dyDescent="0.2">
      <c r="A234" s="149">
        <v>38700</v>
      </c>
      <c r="B234" s="1" t="s">
        <v>693</v>
      </c>
      <c r="C234" s="1" t="s">
        <v>693</v>
      </c>
      <c r="D234" s="143" t="s">
        <v>294</v>
      </c>
      <c r="E234" s="143" t="s">
        <v>89</v>
      </c>
      <c r="F234" s="1" t="s">
        <v>694</v>
      </c>
      <c r="G234" s="1" t="s">
        <v>695</v>
      </c>
      <c r="H234" s="9">
        <v>0</v>
      </c>
      <c r="I234" s="9">
        <v>0</v>
      </c>
      <c r="J234" s="9">
        <v>0</v>
      </c>
      <c r="K234" s="9">
        <v>0</v>
      </c>
      <c r="L234" s="147">
        <v>0</v>
      </c>
    </row>
    <row r="235" spans="1:12" x14ac:dyDescent="0.2">
      <c r="A235" s="149">
        <v>38700</v>
      </c>
      <c r="B235" s="1" t="s">
        <v>693</v>
      </c>
      <c r="C235" s="1" t="s">
        <v>693</v>
      </c>
      <c r="D235" s="143" t="s">
        <v>324</v>
      </c>
      <c r="E235" s="143" t="s">
        <v>89</v>
      </c>
      <c r="F235" s="1" t="s">
        <v>694</v>
      </c>
      <c r="G235" s="1" t="s">
        <v>695</v>
      </c>
      <c r="H235" s="9">
        <v>0</v>
      </c>
      <c r="I235" s="9">
        <v>0</v>
      </c>
      <c r="J235" s="9">
        <v>0</v>
      </c>
      <c r="K235" s="9">
        <v>0</v>
      </c>
      <c r="L235" s="147">
        <v>0</v>
      </c>
    </row>
    <row r="236" spans="1:12" x14ac:dyDescent="0.2">
      <c r="A236" s="149">
        <v>38700</v>
      </c>
      <c r="B236" s="1" t="s">
        <v>693</v>
      </c>
      <c r="C236" s="1" t="s">
        <v>693</v>
      </c>
      <c r="D236" s="143" t="s">
        <v>354</v>
      </c>
      <c r="E236" s="143" t="s">
        <v>89</v>
      </c>
      <c r="F236" s="1" t="s">
        <v>694</v>
      </c>
      <c r="G236" s="1" t="s">
        <v>695</v>
      </c>
      <c r="H236" s="9">
        <v>0</v>
      </c>
      <c r="I236" s="9">
        <v>0</v>
      </c>
      <c r="J236" s="9">
        <v>0</v>
      </c>
      <c r="K236" s="9">
        <v>0</v>
      </c>
      <c r="L236" s="147">
        <v>0</v>
      </c>
    </row>
    <row r="237" spans="1:12" x14ac:dyDescent="0.2">
      <c r="A237" s="149">
        <v>38700</v>
      </c>
      <c r="B237" s="1" t="s">
        <v>693</v>
      </c>
      <c r="C237" s="1" t="s">
        <v>693</v>
      </c>
      <c r="D237" s="143" t="s">
        <v>387</v>
      </c>
      <c r="E237" s="143" t="s">
        <v>89</v>
      </c>
      <c r="F237" s="1" t="s">
        <v>694</v>
      </c>
      <c r="G237" s="1" t="s">
        <v>695</v>
      </c>
      <c r="H237" s="9">
        <v>0</v>
      </c>
      <c r="I237" s="9">
        <v>0</v>
      </c>
      <c r="J237" s="9">
        <v>0</v>
      </c>
      <c r="K237" s="9">
        <v>0</v>
      </c>
      <c r="L237" s="147">
        <v>0</v>
      </c>
    </row>
    <row r="238" spans="1:12" x14ac:dyDescent="0.2">
      <c r="A238" s="149">
        <v>38700</v>
      </c>
      <c r="B238" s="1" t="s">
        <v>693</v>
      </c>
      <c r="C238" s="1" t="s">
        <v>693</v>
      </c>
      <c r="D238" s="143" t="s">
        <v>414</v>
      </c>
      <c r="E238" s="143" t="s">
        <v>89</v>
      </c>
      <c r="F238" s="1" t="s">
        <v>694</v>
      </c>
      <c r="G238" s="1" t="s">
        <v>695</v>
      </c>
      <c r="H238" s="9">
        <v>0</v>
      </c>
      <c r="I238" s="9">
        <v>0</v>
      </c>
      <c r="J238" s="9">
        <v>0</v>
      </c>
      <c r="K238" s="9">
        <v>0</v>
      </c>
      <c r="L238" s="147">
        <v>0</v>
      </c>
    </row>
    <row r="239" spans="1:12" x14ac:dyDescent="0.2">
      <c r="A239" s="149">
        <v>38700</v>
      </c>
      <c r="B239" s="1" t="s">
        <v>693</v>
      </c>
      <c r="C239" s="1" t="s">
        <v>693</v>
      </c>
      <c r="D239" s="143" t="s">
        <v>440</v>
      </c>
      <c r="E239" s="143" t="s">
        <v>89</v>
      </c>
      <c r="F239" s="1" t="s">
        <v>694</v>
      </c>
      <c r="G239" s="1" t="s">
        <v>695</v>
      </c>
      <c r="H239" s="9">
        <v>0</v>
      </c>
      <c r="I239" s="9">
        <v>0</v>
      </c>
      <c r="J239" s="9">
        <v>0</v>
      </c>
      <c r="K239" s="9">
        <v>0</v>
      </c>
      <c r="L239" s="147">
        <v>0</v>
      </c>
    </row>
    <row r="240" spans="1:12" x14ac:dyDescent="0.2">
      <c r="A240" s="149">
        <v>38700</v>
      </c>
      <c r="B240" s="1" t="s">
        <v>693</v>
      </c>
      <c r="C240" s="1" t="s">
        <v>693</v>
      </c>
      <c r="D240" s="143" t="s">
        <v>468</v>
      </c>
      <c r="E240" s="143" t="s">
        <v>89</v>
      </c>
      <c r="F240" s="1" t="s">
        <v>694</v>
      </c>
      <c r="G240" s="1" t="s">
        <v>695</v>
      </c>
      <c r="H240" s="9">
        <v>0</v>
      </c>
      <c r="I240" s="9">
        <v>0</v>
      </c>
      <c r="J240" s="9">
        <v>0</v>
      </c>
      <c r="K240" s="9">
        <v>0</v>
      </c>
      <c r="L240" s="147">
        <v>0</v>
      </c>
    </row>
    <row r="241" spans="1:12" x14ac:dyDescent="0.2">
      <c r="A241" s="149">
        <v>38700</v>
      </c>
      <c r="B241" s="1" t="s">
        <v>693</v>
      </c>
      <c r="C241" s="1" t="s">
        <v>693</v>
      </c>
      <c r="D241" s="143" t="s">
        <v>495</v>
      </c>
      <c r="E241" s="143" t="s">
        <v>89</v>
      </c>
      <c r="F241" s="1" t="s">
        <v>694</v>
      </c>
      <c r="G241" s="1" t="s">
        <v>695</v>
      </c>
      <c r="H241" s="9">
        <v>0</v>
      </c>
      <c r="I241" s="9">
        <v>0</v>
      </c>
      <c r="J241" s="9">
        <v>0</v>
      </c>
      <c r="K241" s="9">
        <v>0</v>
      </c>
      <c r="L241" s="147">
        <v>0</v>
      </c>
    </row>
    <row r="242" spans="1:12" x14ac:dyDescent="0.2">
      <c r="A242" s="149">
        <v>38700</v>
      </c>
      <c r="B242" s="1" t="s">
        <v>693</v>
      </c>
      <c r="C242" s="1" t="s">
        <v>693</v>
      </c>
      <c r="D242" s="143" t="s">
        <v>531</v>
      </c>
      <c r="E242" s="143" t="s">
        <v>89</v>
      </c>
      <c r="F242" s="1" t="s">
        <v>694</v>
      </c>
      <c r="G242" s="1" t="s">
        <v>695</v>
      </c>
      <c r="H242" s="9">
        <v>0</v>
      </c>
      <c r="I242" s="9">
        <v>0</v>
      </c>
      <c r="J242" s="9">
        <v>0</v>
      </c>
      <c r="K242" s="9">
        <v>0</v>
      </c>
      <c r="L242" s="147">
        <v>0</v>
      </c>
    </row>
    <row r="243" spans="1:12" x14ac:dyDescent="0.2">
      <c r="A243" s="149">
        <v>38700</v>
      </c>
      <c r="B243" s="1" t="s">
        <v>693</v>
      </c>
      <c r="C243" s="1" t="s">
        <v>693</v>
      </c>
      <c r="D243" s="143" t="s">
        <v>568</v>
      </c>
      <c r="E243" s="143" t="s">
        <v>89</v>
      </c>
      <c r="F243" s="1" t="s">
        <v>694</v>
      </c>
      <c r="G243" s="1" t="s">
        <v>695</v>
      </c>
      <c r="H243" s="9">
        <v>0</v>
      </c>
      <c r="I243" s="9">
        <v>0</v>
      </c>
      <c r="J243" s="9">
        <v>0</v>
      </c>
      <c r="K243" s="9">
        <v>0</v>
      </c>
      <c r="L243" s="147">
        <v>0</v>
      </c>
    </row>
    <row r="244" spans="1:12" x14ac:dyDescent="0.2">
      <c r="A244" s="149">
        <v>38700</v>
      </c>
      <c r="B244" s="1" t="s">
        <v>693</v>
      </c>
      <c r="C244" s="1" t="s">
        <v>693</v>
      </c>
      <c r="D244" s="143" t="s">
        <v>598</v>
      </c>
      <c r="E244" s="143" t="s">
        <v>89</v>
      </c>
      <c r="F244" s="1" t="s">
        <v>694</v>
      </c>
      <c r="G244" s="1" t="s">
        <v>695</v>
      </c>
      <c r="H244" s="9">
        <v>0</v>
      </c>
      <c r="I244" s="9">
        <v>0</v>
      </c>
      <c r="J244" s="9">
        <v>0</v>
      </c>
      <c r="K244" s="9">
        <v>0</v>
      </c>
      <c r="L244" s="147">
        <v>0</v>
      </c>
    </row>
    <row r="245" spans="1:12" x14ac:dyDescent="0.2">
      <c r="A245" s="149">
        <v>38700</v>
      </c>
      <c r="B245" s="1" t="s">
        <v>693</v>
      </c>
      <c r="C245" s="1" t="s">
        <v>693</v>
      </c>
      <c r="D245" s="143" t="s">
        <v>630</v>
      </c>
      <c r="E245" s="143" t="s">
        <v>89</v>
      </c>
      <c r="F245" s="1" t="s">
        <v>694</v>
      </c>
      <c r="G245" s="1" t="s">
        <v>695</v>
      </c>
      <c r="H245" s="9">
        <v>0</v>
      </c>
      <c r="I245" s="9">
        <v>0</v>
      </c>
      <c r="J245" s="9">
        <v>0</v>
      </c>
      <c r="K245" s="9">
        <v>0</v>
      </c>
      <c r="L245" s="147">
        <v>0</v>
      </c>
    </row>
    <row r="246" spans="1:12" x14ac:dyDescent="0.2">
      <c r="A246" s="149">
        <v>39000</v>
      </c>
      <c r="B246" s="1" t="s">
        <v>693</v>
      </c>
      <c r="C246" s="1" t="s">
        <v>693</v>
      </c>
      <c r="D246" s="143" t="s">
        <v>203</v>
      </c>
      <c r="E246" s="143" t="s">
        <v>89</v>
      </c>
      <c r="F246" s="1" t="s">
        <v>694</v>
      </c>
      <c r="G246" s="1" t="s">
        <v>695</v>
      </c>
      <c r="H246" s="9">
        <v>0</v>
      </c>
      <c r="I246" s="9">
        <v>0</v>
      </c>
      <c r="J246" s="9">
        <v>0</v>
      </c>
      <c r="K246" s="9">
        <v>0</v>
      </c>
      <c r="L246" s="147">
        <v>0</v>
      </c>
    </row>
    <row r="247" spans="1:12" x14ac:dyDescent="0.2">
      <c r="A247" s="149">
        <v>39000</v>
      </c>
      <c r="B247" s="1" t="s">
        <v>693</v>
      </c>
      <c r="C247" s="1" t="s">
        <v>693</v>
      </c>
      <c r="D247" s="143" t="s">
        <v>325</v>
      </c>
      <c r="E247" s="143" t="s">
        <v>89</v>
      </c>
      <c r="F247" s="1" t="s">
        <v>694</v>
      </c>
      <c r="G247" s="1" t="s">
        <v>695</v>
      </c>
      <c r="H247" s="9">
        <v>0</v>
      </c>
      <c r="I247" s="9">
        <v>0</v>
      </c>
      <c r="J247" s="9">
        <v>0</v>
      </c>
      <c r="K247" s="9">
        <v>0</v>
      </c>
      <c r="L247" s="147">
        <v>0</v>
      </c>
    </row>
    <row r="248" spans="1:12" x14ac:dyDescent="0.2">
      <c r="A248" s="149">
        <v>39000</v>
      </c>
      <c r="B248" s="1" t="s">
        <v>693</v>
      </c>
      <c r="C248" s="1" t="s">
        <v>693</v>
      </c>
      <c r="D248" s="143" t="s">
        <v>355</v>
      </c>
      <c r="E248" s="143" t="s">
        <v>89</v>
      </c>
      <c r="F248" s="1" t="s">
        <v>694</v>
      </c>
      <c r="G248" s="1" t="s">
        <v>695</v>
      </c>
      <c r="H248" s="9">
        <v>0</v>
      </c>
      <c r="I248" s="9">
        <v>0</v>
      </c>
      <c r="J248" s="9">
        <v>0</v>
      </c>
      <c r="K248" s="9">
        <v>0</v>
      </c>
      <c r="L248" s="147">
        <v>0</v>
      </c>
    </row>
    <row r="249" spans="1:12" x14ac:dyDescent="0.2">
      <c r="A249" s="149">
        <v>39000</v>
      </c>
      <c r="B249" s="1" t="s">
        <v>693</v>
      </c>
      <c r="C249" s="1" t="s">
        <v>693</v>
      </c>
      <c r="D249" s="143" t="s">
        <v>496</v>
      </c>
      <c r="E249" s="143" t="s">
        <v>89</v>
      </c>
      <c r="F249" s="1" t="s">
        <v>694</v>
      </c>
      <c r="G249" s="1" t="s">
        <v>695</v>
      </c>
      <c r="H249" s="9">
        <v>0</v>
      </c>
      <c r="I249" s="9">
        <v>0</v>
      </c>
      <c r="J249" s="9">
        <v>0</v>
      </c>
      <c r="K249" s="9">
        <v>0</v>
      </c>
      <c r="L249" s="147">
        <v>0</v>
      </c>
    </row>
    <row r="250" spans="1:12" x14ac:dyDescent="0.2">
      <c r="A250" s="149">
        <v>39000</v>
      </c>
      <c r="B250" s="1" t="s">
        <v>693</v>
      </c>
      <c r="C250" s="1" t="s">
        <v>693</v>
      </c>
      <c r="D250" s="143" t="s">
        <v>532</v>
      </c>
      <c r="E250" s="143" t="s">
        <v>89</v>
      </c>
      <c r="F250" s="1" t="s">
        <v>694</v>
      </c>
      <c r="G250" s="1" t="s">
        <v>695</v>
      </c>
      <c r="H250" s="9">
        <v>0</v>
      </c>
      <c r="I250" s="9">
        <v>0</v>
      </c>
      <c r="J250" s="9">
        <v>0</v>
      </c>
      <c r="K250" s="9">
        <v>0</v>
      </c>
      <c r="L250" s="147">
        <v>0</v>
      </c>
    </row>
    <row r="251" spans="1:12" x14ac:dyDescent="0.2">
      <c r="A251" s="149">
        <v>39000</v>
      </c>
      <c r="B251" s="1" t="s">
        <v>693</v>
      </c>
      <c r="C251" s="1" t="s">
        <v>693</v>
      </c>
      <c r="D251" s="143" t="s">
        <v>569</v>
      </c>
      <c r="E251" s="143" t="s">
        <v>89</v>
      </c>
      <c r="F251" s="1" t="s">
        <v>694</v>
      </c>
      <c r="G251" s="1" t="s">
        <v>695</v>
      </c>
      <c r="H251" s="9">
        <v>0</v>
      </c>
      <c r="I251" s="9">
        <v>0</v>
      </c>
      <c r="J251" s="9">
        <v>0</v>
      </c>
      <c r="K251" s="9">
        <v>0</v>
      </c>
      <c r="L251" s="147">
        <v>0</v>
      </c>
    </row>
    <row r="252" spans="1:12" x14ac:dyDescent="0.2">
      <c r="A252" s="149">
        <v>39100</v>
      </c>
      <c r="B252" s="1" t="s">
        <v>693</v>
      </c>
      <c r="C252" s="1" t="s">
        <v>693</v>
      </c>
      <c r="D252" s="143" t="s">
        <v>205</v>
      </c>
      <c r="E252" s="143" t="s">
        <v>89</v>
      </c>
      <c r="F252" s="1" t="s">
        <v>694</v>
      </c>
      <c r="G252" s="1" t="s">
        <v>695</v>
      </c>
      <c r="H252" s="9">
        <v>0</v>
      </c>
      <c r="I252" s="9">
        <v>0</v>
      </c>
      <c r="J252" s="9">
        <v>0</v>
      </c>
      <c r="K252" s="9">
        <v>0</v>
      </c>
      <c r="L252" s="147">
        <v>0</v>
      </c>
    </row>
    <row r="253" spans="1:12" x14ac:dyDescent="0.2">
      <c r="A253" s="149">
        <v>39100</v>
      </c>
      <c r="B253" s="1" t="s">
        <v>693</v>
      </c>
      <c r="C253" s="1" t="s">
        <v>693</v>
      </c>
      <c r="D253" s="143" t="s">
        <v>234</v>
      </c>
      <c r="E253" s="143" t="s">
        <v>89</v>
      </c>
      <c r="F253" s="1" t="s">
        <v>694</v>
      </c>
      <c r="G253" s="1" t="s">
        <v>695</v>
      </c>
      <c r="H253" s="9">
        <v>0</v>
      </c>
      <c r="I253" s="9">
        <v>0</v>
      </c>
      <c r="J253" s="9">
        <v>0</v>
      </c>
      <c r="K253" s="9">
        <v>0</v>
      </c>
      <c r="L253" s="147">
        <v>0</v>
      </c>
    </row>
    <row r="254" spans="1:12" x14ac:dyDescent="0.2">
      <c r="A254" s="149">
        <v>39100</v>
      </c>
      <c r="B254" s="1" t="s">
        <v>693</v>
      </c>
      <c r="C254" s="1" t="s">
        <v>693</v>
      </c>
      <c r="D254" s="143" t="s">
        <v>266</v>
      </c>
      <c r="E254" s="143" t="s">
        <v>89</v>
      </c>
      <c r="F254" s="1" t="s">
        <v>694</v>
      </c>
      <c r="G254" s="1" t="s">
        <v>695</v>
      </c>
      <c r="H254" s="9">
        <v>0</v>
      </c>
      <c r="I254" s="9">
        <v>0</v>
      </c>
      <c r="J254" s="9">
        <v>0</v>
      </c>
      <c r="K254" s="9">
        <v>0</v>
      </c>
      <c r="L254" s="147">
        <v>0</v>
      </c>
    </row>
    <row r="255" spans="1:12" x14ac:dyDescent="0.2">
      <c r="A255" s="149">
        <v>39100</v>
      </c>
      <c r="B255" s="1" t="s">
        <v>693</v>
      </c>
      <c r="C255" s="1" t="s">
        <v>693</v>
      </c>
      <c r="D255" s="143" t="s">
        <v>296</v>
      </c>
      <c r="E255" s="143" t="s">
        <v>89</v>
      </c>
      <c r="F255" s="1" t="s">
        <v>694</v>
      </c>
      <c r="G255" s="1" t="s">
        <v>695</v>
      </c>
      <c r="H255" s="9">
        <v>0</v>
      </c>
      <c r="I255" s="9">
        <v>0</v>
      </c>
      <c r="J255" s="9">
        <v>0</v>
      </c>
      <c r="K255" s="9">
        <v>0</v>
      </c>
      <c r="L255" s="147">
        <v>0</v>
      </c>
    </row>
    <row r="256" spans="1:12" x14ac:dyDescent="0.2">
      <c r="A256" s="149">
        <v>39100</v>
      </c>
      <c r="B256" s="1" t="s">
        <v>693</v>
      </c>
      <c r="C256" s="1" t="s">
        <v>693</v>
      </c>
      <c r="D256" s="143" t="s">
        <v>326</v>
      </c>
      <c r="E256" s="143" t="s">
        <v>89</v>
      </c>
      <c r="F256" s="1" t="s">
        <v>694</v>
      </c>
      <c r="G256" s="1" t="s">
        <v>695</v>
      </c>
      <c r="H256" s="9">
        <v>0</v>
      </c>
      <c r="I256" s="9">
        <v>0</v>
      </c>
      <c r="J256" s="9">
        <v>0</v>
      </c>
      <c r="K256" s="9">
        <v>0</v>
      </c>
      <c r="L256" s="147">
        <v>0</v>
      </c>
    </row>
    <row r="257" spans="1:12" x14ac:dyDescent="0.2">
      <c r="A257" s="149">
        <v>39100</v>
      </c>
      <c r="B257" s="1" t="s">
        <v>693</v>
      </c>
      <c r="C257" s="1" t="s">
        <v>693</v>
      </c>
      <c r="D257" s="143" t="s">
        <v>356</v>
      </c>
      <c r="E257" s="143" t="s">
        <v>89</v>
      </c>
      <c r="F257" s="1" t="s">
        <v>694</v>
      </c>
      <c r="G257" s="1" t="s">
        <v>695</v>
      </c>
      <c r="H257" s="9">
        <v>0</v>
      </c>
      <c r="I257" s="9">
        <v>0</v>
      </c>
      <c r="J257" s="9">
        <v>0</v>
      </c>
      <c r="K257" s="9">
        <v>0</v>
      </c>
      <c r="L257" s="147">
        <v>0</v>
      </c>
    </row>
    <row r="258" spans="1:12" x14ac:dyDescent="0.2">
      <c r="A258" s="149">
        <v>39100</v>
      </c>
      <c r="B258" s="1" t="s">
        <v>693</v>
      </c>
      <c r="C258" s="1" t="s">
        <v>693</v>
      </c>
      <c r="D258" s="143" t="s">
        <v>388</v>
      </c>
      <c r="E258" s="143" t="s">
        <v>89</v>
      </c>
      <c r="F258" s="1" t="s">
        <v>694</v>
      </c>
      <c r="G258" s="1" t="s">
        <v>695</v>
      </c>
      <c r="H258" s="9">
        <v>0</v>
      </c>
      <c r="I258" s="9">
        <v>0</v>
      </c>
      <c r="J258" s="9">
        <v>0</v>
      </c>
      <c r="K258" s="9">
        <v>0</v>
      </c>
      <c r="L258" s="147">
        <v>0</v>
      </c>
    </row>
    <row r="259" spans="1:12" x14ac:dyDescent="0.2">
      <c r="A259" s="149">
        <v>39100</v>
      </c>
      <c r="B259" s="1" t="s">
        <v>693</v>
      </c>
      <c r="C259" s="1" t="s">
        <v>693</v>
      </c>
      <c r="D259" s="143" t="s">
        <v>416</v>
      </c>
      <c r="E259" s="143" t="s">
        <v>89</v>
      </c>
      <c r="F259" s="1" t="s">
        <v>694</v>
      </c>
      <c r="G259" s="1" t="s">
        <v>695</v>
      </c>
      <c r="H259" s="9">
        <v>0</v>
      </c>
      <c r="I259" s="9">
        <v>0</v>
      </c>
      <c r="J259" s="9">
        <v>0</v>
      </c>
      <c r="K259" s="9">
        <v>0</v>
      </c>
      <c r="L259" s="147">
        <v>0</v>
      </c>
    </row>
    <row r="260" spans="1:12" x14ac:dyDescent="0.2">
      <c r="A260" s="149">
        <v>39100</v>
      </c>
      <c r="B260" s="1" t="s">
        <v>693</v>
      </c>
      <c r="C260" s="1" t="s">
        <v>693</v>
      </c>
      <c r="D260" s="143" t="s">
        <v>442</v>
      </c>
      <c r="E260" s="143" t="s">
        <v>89</v>
      </c>
      <c r="F260" s="1" t="s">
        <v>694</v>
      </c>
      <c r="G260" s="1" t="s">
        <v>695</v>
      </c>
      <c r="H260" s="9">
        <v>0</v>
      </c>
      <c r="I260" s="9">
        <v>0</v>
      </c>
      <c r="J260" s="9">
        <v>0</v>
      </c>
      <c r="K260" s="9">
        <v>0</v>
      </c>
      <c r="L260" s="147">
        <v>0</v>
      </c>
    </row>
    <row r="261" spans="1:12" x14ac:dyDescent="0.2">
      <c r="A261" s="149">
        <v>39100</v>
      </c>
      <c r="B261" s="1" t="s">
        <v>693</v>
      </c>
      <c r="C261" s="1" t="s">
        <v>693</v>
      </c>
      <c r="D261" s="143" t="s">
        <v>469</v>
      </c>
      <c r="E261" s="143" t="s">
        <v>89</v>
      </c>
      <c r="F261" s="1" t="s">
        <v>694</v>
      </c>
      <c r="G261" s="1" t="s">
        <v>695</v>
      </c>
      <c r="H261" s="9">
        <v>0</v>
      </c>
      <c r="I261" s="9">
        <v>0</v>
      </c>
      <c r="J261" s="9">
        <v>0</v>
      </c>
      <c r="K261" s="9">
        <v>0</v>
      </c>
      <c r="L261" s="147">
        <v>0</v>
      </c>
    </row>
    <row r="262" spans="1:12" x14ac:dyDescent="0.2">
      <c r="A262" s="149">
        <v>39100</v>
      </c>
      <c r="B262" s="1" t="s">
        <v>693</v>
      </c>
      <c r="C262" s="1" t="s">
        <v>693</v>
      </c>
      <c r="D262" s="143" t="s">
        <v>498</v>
      </c>
      <c r="E262" s="143" t="s">
        <v>89</v>
      </c>
      <c r="F262" s="1" t="s">
        <v>694</v>
      </c>
      <c r="G262" s="1" t="s">
        <v>695</v>
      </c>
      <c r="H262" s="9">
        <v>0</v>
      </c>
      <c r="I262" s="9">
        <v>0</v>
      </c>
      <c r="J262" s="9">
        <v>0</v>
      </c>
      <c r="K262" s="9">
        <v>0</v>
      </c>
      <c r="L262" s="147">
        <v>0</v>
      </c>
    </row>
    <row r="263" spans="1:12" x14ac:dyDescent="0.2">
      <c r="A263" s="149">
        <v>39100</v>
      </c>
      <c r="B263" s="1" t="s">
        <v>693</v>
      </c>
      <c r="C263" s="1" t="s">
        <v>693</v>
      </c>
      <c r="D263" s="143" t="s">
        <v>533</v>
      </c>
      <c r="E263" s="143" t="s">
        <v>89</v>
      </c>
      <c r="F263" s="1" t="s">
        <v>694</v>
      </c>
      <c r="G263" s="1" t="s">
        <v>695</v>
      </c>
      <c r="H263" s="9">
        <v>0</v>
      </c>
      <c r="I263" s="9">
        <v>0</v>
      </c>
      <c r="J263" s="9">
        <v>0</v>
      </c>
      <c r="K263" s="9">
        <v>0</v>
      </c>
      <c r="L263" s="147">
        <v>0</v>
      </c>
    </row>
    <row r="264" spans="1:12" x14ac:dyDescent="0.2">
      <c r="A264" s="149">
        <v>39100</v>
      </c>
      <c r="B264" s="1" t="s">
        <v>693</v>
      </c>
      <c r="C264" s="1" t="s">
        <v>693</v>
      </c>
      <c r="D264" s="143" t="s">
        <v>570</v>
      </c>
      <c r="E264" s="143" t="s">
        <v>89</v>
      </c>
      <c r="F264" s="1" t="s">
        <v>694</v>
      </c>
      <c r="G264" s="1" t="s">
        <v>695</v>
      </c>
      <c r="H264" s="9">
        <v>0</v>
      </c>
      <c r="I264" s="9">
        <v>0</v>
      </c>
      <c r="J264" s="9">
        <v>0</v>
      </c>
      <c r="K264" s="9">
        <v>0</v>
      </c>
      <c r="L264" s="147">
        <v>0</v>
      </c>
    </row>
    <row r="265" spans="1:12" x14ac:dyDescent="0.2">
      <c r="A265" s="149">
        <v>39100</v>
      </c>
      <c r="B265" s="1" t="s">
        <v>693</v>
      </c>
      <c r="C265" s="1" t="s">
        <v>693</v>
      </c>
      <c r="D265" s="143" t="s">
        <v>599</v>
      </c>
      <c r="E265" s="143" t="s">
        <v>89</v>
      </c>
      <c r="F265" s="1" t="s">
        <v>694</v>
      </c>
      <c r="G265" s="1" t="s">
        <v>695</v>
      </c>
      <c r="H265" s="9">
        <v>0</v>
      </c>
      <c r="I265" s="9">
        <v>0</v>
      </c>
      <c r="J265" s="9">
        <v>0</v>
      </c>
      <c r="K265" s="9">
        <v>0</v>
      </c>
      <c r="L265" s="147">
        <v>0</v>
      </c>
    </row>
    <row r="266" spans="1:12" x14ac:dyDescent="0.2">
      <c r="A266" s="149">
        <v>39100</v>
      </c>
      <c r="B266" s="1" t="s">
        <v>693</v>
      </c>
      <c r="C266" s="1" t="s">
        <v>693</v>
      </c>
      <c r="D266" s="143" t="s">
        <v>613</v>
      </c>
      <c r="E266" s="143" t="s">
        <v>89</v>
      </c>
      <c r="F266" s="1" t="s">
        <v>694</v>
      </c>
      <c r="G266" s="1" t="s">
        <v>695</v>
      </c>
      <c r="H266" s="9">
        <v>0</v>
      </c>
      <c r="I266" s="9">
        <v>0</v>
      </c>
      <c r="J266" s="9">
        <v>0</v>
      </c>
      <c r="K266" s="9">
        <v>0</v>
      </c>
      <c r="L266" s="147">
        <v>0</v>
      </c>
    </row>
    <row r="267" spans="1:12" x14ac:dyDescent="0.2">
      <c r="A267" s="149">
        <v>39100</v>
      </c>
      <c r="B267" s="1" t="s">
        <v>693</v>
      </c>
      <c r="C267" s="1" t="s">
        <v>693</v>
      </c>
      <c r="D267" s="143" t="s">
        <v>632</v>
      </c>
      <c r="E267" s="143" t="s">
        <v>89</v>
      </c>
      <c r="F267" s="1" t="s">
        <v>694</v>
      </c>
      <c r="G267" s="1" t="s">
        <v>695</v>
      </c>
      <c r="H267" s="9">
        <v>0</v>
      </c>
      <c r="I267" s="9">
        <v>0</v>
      </c>
      <c r="J267" s="9">
        <v>0</v>
      </c>
      <c r="K267" s="9">
        <v>0</v>
      </c>
      <c r="L267" s="147">
        <v>0</v>
      </c>
    </row>
    <row r="268" spans="1:12" x14ac:dyDescent="0.2">
      <c r="A268" s="149">
        <v>39101</v>
      </c>
      <c r="B268" s="1" t="s">
        <v>693</v>
      </c>
      <c r="C268" s="1" t="s">
        <v>693</v>
      </c>
      <c r="D268" s="143" t="s">
        <v>206</v>
      </c>
      <c r="E268" s="143" t="s">
        <v>89</v>
      </c>
      <c r="F268" s="1" t="s">
        <v>694</v>
      </c>
      <c r="G268" s="1" t="s">
        <v>695</v>
      </c>
      <c r="H268" s="9">
        <v>0</v>
      </c>
      <c r="I268" s="9">
        <v>0</v>
      </c>
      <c r="J268" s="9">
        <v>0</v>
      </c>
      <c r="K268" s="9">
        <v>0</v>
      </c>
      <c r="L268" s="147">
        <v>0</v>
      </c>
    </row>
    <row r="269" spans="1:12" x14ac:dyDescent="0.2">
      <c r="A269" s="149">
        <v>39101</v>
      </c>
      <c r="B269" s="1" t="s">
        <v>693</v>
      </c>
      <c r="C269" s="1" t="s">
        <v>693</v>
      </c>
      <c r="D269" s="143" t="s">
        <v>235</v>
      </c>
      <c r="E269" s="143" t="s">
        <v>89</v>
      </c>
      <c r="F269" s="1" t="s">
        <v>694</v>
      </c>
      <c r="G269" s="1" t="s">
        <v>695</v>
      </c>
      <c r="H269" s="9">
        <v>0</v>
      </c>
      <c r="I269" s="9">
        <v>0</v>
      </c>
      <c r="J269" s="9">
        <v>0</v>
      </c>
      <c r="K269" s="9">
        <v>0</v>
      </c>
      <c r="L269" s="147">
        <v>0</v>
      </c>
    </row>
    <row r="270" spans="1:12" x14ac:dyDescent="0.2">
      <c r="A270" s="149">
        <v>39101</v>
      </c>
      <c r="B270" s="1" t="s">
        <v>693</v>
      </c>
      <c r="C270" s="1" t="s">
        <v>693</v>
      </c>
      <c r="D270" s="143" t="s">
        <v>267</v>
      </c>
      <c r="E270" s="143" t="s">
        <v>89</v>
      </c>
      <c r="F270" s="1" t="s">
        <v>694</v>
      </c>
      <c r="G270" s="1" t="s">
        <v>695</v>
      </c>
      <c r="H270" s="9">
        <v>0</v>
      </c>
      <c r="I270" s="9">
        <v>0</v>
      </c>
      <c r="J270" s="9">
        <v>0</v>
      </c>
      <c r="K270" s="9">
        <v>0</v>
      </c>
      <c r="L270" s="147">
        <v>0</v>
      </c>
    </row>
    <row r="271" spans="1:12" x14ac:dyDescent="0.2">
      <c r="A271" s="149">
        <v>39101</v>
      </c>
      <c r="B271" s="1" t="s">
        <v>693</v>
      </c>
      <c r="C271" s="1" t="s">
        <v>693</v>
      </c>
      <c r="D271" s="143" t="s">
        <v>297</v>
      </c>
      <c r="E271" s="143" t="s">
        <v>89</v>
      </c>
      <c r="F271" s="1" t="s">
        <v>694</v>
      </c>
      <c r="G271" s="1" t="s">
        <v>695</v>
      </c>
      <c r="H271" s="9">
        <v>0</v>
      </c>
      <c r="I271" s="9">
        <v>0</v>
      </c>
      <c r="J271" s="9">
        <v>0</v>
      </c>
      <c r="K271" s="9">
        <v>0</v>
      </c>
      <c r="L271" s="147">
        <v>0</v>
      </c>
    </row>
    <row r="272" spans="1:12" x14ac:dyDescent="0.2">
      <c r="A272" s="149">
        <v>39101</v>
      </c>
      <c r="B272" s="1" t="s">
        <v>693</v>
      </c>
      <c r="C272" s="1" t="s">
        <v>693</v>
      </c>
      <c r="D272" s="143" t="s">
        <v>327</v>
      </c>
      <c r="E272" s="143" t="s">
        <v>89</v>
      </c>
      <c r="F272" s="1" t="s">
        <v>694</v>
      </c>
      <c r="G272" s="1" t="s">
        <v>695</v>
      </c>
      <c r="H272" s="9">
        <v>0</v>
      </c>
      <c r="I272" s="9">
        <v>0</v>
      </c>
      <c r="J272" s="9">
        <v>0</v>
      </c>
      <c r="K272" s="9">
        <v>0</v>
      </c>
      <c r="L272" s="147">
        <v>0</v>
      </c>
    </row>
    <row r="273" spans="1:12" x14ac:dyDescent="0.2">
      <c r="A273" s="149">
        <v>39101</v>
      </c>
      <c r="B273" s="1" t="s">
        <v>693</v>
      </c>
      <c r="C273" s="1" t="s">
        <v>693</v>
      </c>
      <c r="D273" s="143" t="s">
        <v>357</v>
      </c>
      <c r="E273" s="143" t="s">
        <v>89</v>
      </c>
      <c r="F273" s="1" t="s">
        <v>694</v>
      </c>
      <c r="G273" s="1" t="s">
        <v>695</v>
      </c>
      <c r="H273" s="9">
        <v>0</v>
      </c>
      <c r="I273" s="9">
        <v>0</v>
      </c>
      <c r="J273" s="9">
        <v>0</v>
      </c>
      <c r="K273" s="9">
        <v>0</v>
      </c>
      <c r="L273" s="147">
        <v>0</v>
      </c>
    </row>
    <row r="274" spans="1:12" x14ac:dyDescent="0.2">
      <c r="A274" s="149">
        <v>39101</v>
      </c>
      <c r="B274" s="1" t="s">
        <v>693</v>
      </c>
      <c r="C274" s="1" t="s">
        <v>693</v>
      </c>
      <c r="D274" s="143" t="s">
        <v>389</v>
      </c>
      <c r="E274" s="143" t="s">
        <v>89</v>
      </c>
      <c r="F274" s="1" t="s">
        <v>694</v>
      </c>
      <c r="G274" s="1" t="s">
        <v>695</v>
      </c>
      <c r="H274" s="9">
        <v>0</v>
      </c>
      <c r="I274" s="9">
        <v>0</v>
      </c>
      <c r="J274" s="9">
        <v>0</v>
      </c>
      <c r="K274" s="9">
        <v>0</v>
      </c>
      <c r="L274" s="147">
        <v>0</v>
      </c>
    </row>
    <row r="275" spans="1:12" x14ac:dyDescent="0.2">
      <c r="A275" s="149">
        <v>39101</v>
      </c>
      <c r="B275" s="1" t="s">
        <v>693</v>
      </c>
      <c r="C275" s="1" t="s">
        <v>693</v>
      </c>
      <c r="D275" s="143" t="s">
        <v>417</v>
      </c>
      <c r="E275" s="143" t="s">
        <v>89</v>
      </c>
      <c r="F275" s="1" t="s">
        <v>694</v>
      </c>
      <c r="G275" s="1" t="s">
        <v>695</v>
      </c>
      <c r="H275" s="9">
        <v>0</v>
      </c>
      <c r="I275" s="9">
        <v>0</v>
      </c>
      <c r="J275" s="9">
        <v>0</v>
      </c>
      <c r="K275" s="9">
        <v>0</v>
      </c>
      <c r="L275" s="147">
        <v>0</v>
      </c>
    </row>
    <row r="276" spans="1:12" x14ac:dyDescent="0.2">
      <c r="A276" s="149">
        <v>39101</v>
      </c>
      <c r="B276" s="1" t="s">
        <v>693</v>
      </c>
      <c r="C276" s="1" t="s">
        <v>693</v>
      </c>
      <c r="D276" s="143" t="s">
        <v>443</v>
      </c>
      <c r="E276" s="143" t="s">
        <v>89</v>
      </c>
      <c r="F276" s="1" t="s">
        <v>694</v>
      </c>
      <c r="G276" s="1" t="s">
        <v>695</v>
      </c>
      <c r="H276" s="9">
        <v>0</v>
      </c>
      <c r="I276" s="9">
        <v>0</v>
      </c>
      <c r="J276" s="9">
        <v>0</v>
      </c>
      <c r="K276" s="9">
        <v>0</v>
      </c>
      <c r="L276" s="147">
        <v>0</v>
      </c>
    </row>
    <row r="277" spans="1:12" x14ac:dyDescent="0.2">
      <c r="A277" s="149">
        <v>39101</v>
      </c>
      <c r="B277" s="1" t="s">
        <v>693</v>
      </c>
      <c r="C277" s="1" t="s">
        <v>693</v>
      </c>
      <c r="D277" s="143" t="s">
        <v>470</v>
      </c>
      <c r="E277" s="143" t="s">
        <v>89</v>
      </c>
      <c r="F277" s="1" t="s">
        <v>694</v>
      </c>
      <c r="G277" s="1" t="s">
        <v>695</v>
      </c>
      <c r="H277" s="9">
        <v>0</v>
      </c>
      <c r="I277" s="9">
        <v>0</v>
      </c>
      <c r="J277" s="9">
        <v>0</v>
      </c>
      <c r="K277" s="9">
        <v>0</v>
      </c>
      <c r="L277" s="147">
        <v>0</v>
      </c>
    </row>
    <row r="278" spans="1:12" x14ac:dyDescent="0.2">
      <c r="A278" s="149">
        <v>39101</v>
      </c>
      <c r="B278" s="1" t="s">
        <v>693</v>
      </c>
      <c r="C278" s="1" t="s">
        <v>693</v>
      </c>
      <c r="D278" s="143" t="s">
        <v>499</v>
      </c>
      <c r="E278" s="143" t="s">
        <v>89</v>
      </c>
      <c r="F278" s="1" t="s">
        <v>694</v>
      </c>
      <c r="G278" s="1" t="s">
        <v>695</v>
      </c>
      <c r="H278" s="9">
        <v>0</v>
      </c>
      <c r="I278" s="9">
        <v>0</v>
      </c>
      <c r="J278" s="9">
        <v>0</v>
      </c>
      <c r="K278" s="9">
        <v>0</v>
      </c>
      <c r="L278" s="147">
        <v>0</v>
      </c>
    </row>
    <row r="279" spans="1:12" x14ac:dyDescent="0.2">
      <c r="A279" s="149">
        <v>39101</v>
      </c>
      <c r="B279" s="1" t="s">
        <v>693</v>
      </c>
      <c r="C279" s="1" t="s">
        <v>693</v>
      </c>
      <c r="D279" s="143" t="s">
        <v>534</v>
      </c>
      <c r="E279" s="143" t="s">
        <v>89</v>
      </c>
      <c r="F279" s="1" t="s">
        <v>694</v>
      </c>
      <c r="G279" s="1" t="s">
        <v>695</v>
      </c>
      <c r="H279" s="9">
        <v>0</v>
      </c>
      <c r="I279" s="9">
        <v>0</v>
      </c>
      <c r="J279" s="9">
        <v>0</v>
      </c>
      <c r="K279" s="9">
        <v>0</v>
      </c>
      <c r="L279" s="147">
        <v>0</v>
      </c>
    </row>
    <row r="280" spans="1:12" x14ac:dyDescent="0.2">
      <c r="A280" s="149">
        <v>39101</v>
      </c>
      <c r="B280" s="1" t="s">
        <v>693</v>
      </c>
      <c r="C280" s="1" t="s">
        <v>693</v>
      </c>
      <c r="D280" s="143" t="s">
        <v>571</v>
      </c>
      <c r="E280" s="143" t="s">
        <v>89</v>
      </c>
      <c r="F280" s="1" t="s">
        <v>694</v>
      </c>
      <c r="G280" s="1" t="s">
        <v>695</v>
      </c>
      <c r="H280" s="9">
        <v>0</v>
      </c>
      <c r="I280" s="9">
        <v>0</v>
      </c>
      <c r="J280" s="9">
        <v>0</v>
      </c>
      <c r="K280" s="9">
        <v>0</v>
      </c>
      <c r="L280" s="147">
        <v>0</v>
      </c>
    </row>
    <row r="281" spans="1:12" x14ac:dyDescent="0.2">
      <c r="A281" s="149">
        <v>39101</v>
      </c>
      <c r="B281" s="1" t="s">
        <v>693</v>
      </c>
      <c r="C281" s="1" t="s">
        <v>693</v>
      </c>
      <c r="D281" s="143" t="s">
        <v>600</v>
      </c>
      <c r="E281" s="143" t="s">
        <v>89</v>
      </c>
      <c r="F281" s="1" t="s">
        <v>694</v>
      </c>
      <c r="G281" s="1" t="s">
        <v>695</v>
      </c>
      <c r="H281" s="9">
        <v>0</v>
      </c>
      <c r="I281" s="9">
        <v>0</v>
      </c>
      <c r="J281" s="9">
        <v>0</v>
      </c>
      <c r="K281" s="9">
        <v>0</v>
      </c>
      <c r="L281" s="147">
        <v>0</v>
      </c>
    </row>
    <row r="282" spans="1:12" x14ac:dyDescent="0.2">
      <c r="A282" s="149">
        <v>39101</v>
      </c>
      <c r="B282" s="1" t="s">
        <v>693</v>
      </c>
      <c r="C282" s="1" t="s">
        <v>693</v>
      </c>
      <c r="D282" s="143" t="s">
        <v>614</v>
      </c>
      <c r="E282" s="143" t="s">
        <v>89</v>
      </c>
      <c r="F282" s="1" t="s">
        <v>694</v>
      </c>
      <c r="G282" s="1" t="s">
        <v>695</v>
      </c>
      <c r="H282" s="9">
        <v>0</v>
      </c>
      <c r="I282" s="9">
        <v>0</v>
      </c>
      <c r="J282" s="9">
        <v>0</v>
      </c>
      <c r="K282" s="9">
        <v>0</v>
      </c>
      <c r="L282" s="147">
        <v>0</v>
      </c>
    </row>
    <row r="283" spans="1:12" x14ac:dyDescent="0.2">
      <c r="A283" s="149">
        <v>39101</v>
      </c>
      <c r="B283" s="1" t="s">
        <v>693</v>
      </c>
      <c r="C283" s="1" t="s">
        <v>693</v>
      </c>
      <c r="D283" s="143" t="s">
        <v>633</v>
      </c>
      <c r="E283" s="143" t="s">
        <v>89</v>
      </c>
      <c r="F283" s="1" t="s">
        <v>694</v>
      </c>
      <c r="G283" s="1" t="s">
        <v>695</v>
      </c>
      <c r="H283" s="9">
        <v>0</v>
      </c>
      <c r="I283" s="9">
        <v>0</v>
      </c>
      <c r="J283" s="9">
        <v>0</v>
      </c>
      <c r="K283" s="9">
        <v>0</v>
      </c>
      <c r="L283" s="147">
        <v>0</v>
      </c>
    </row>
    <row r="284" spans="1:12" x14ac:dyDescent="0.2">
      <c r="A284" s="149">
        <v>39102</v>
      </c>
      <c r="B284" s="1" t="s">
        <v>693</v>
      </c>
      <c r="C284" s="1" t="s">
        <v>693</v>
      </c>
      <c r="D284" s="143" t="s">
        <v>207</v>
      </c>
      <c r="E284" s="143" t="s">
        <v>89</v>
      </c>
      <c r="F284" s="1" t="s">
        <v>694</v>
      </c>
      <c r="G284" s="1" t="s">
        <v>695</v>
      </c>
      <c r="H284" s="9">
        <v>0</v>
      </c>
      <c r="I284" s="9">
        <v>0</v>
      </c>
      <c r="J284" s="9">
        <v>0</v>
      </c>
      <c r="K284" s="9">
        <v>0</v>
      </c>
      <c r="L284" s="147">
        <v>0</v>
      </c>
    </row>
    <row r="285" spans="1:12" x14ac:dyDescent="0.2">
      <c r="A285" s="149">
        <v>39102</v>
      </c>
      <c r="B285" s="1" t="s">
        <v>693</v>
      </c>
      <c r="C285" s="1" t="s">
        <v>693</v>
      </c>
      <c r="D285" s="143" t="s">
        <v>236</v>
      </c>
      <c r="E285" s="143" t="s">
        <v>89</v>
      </c>
      <c r="F285" s="1" t="s">
        <v>694</v>
      </c>
      <c r="G285" s="1" t="s">
        <v>695</v>
      </c>
      <c r="H285" s="9">
        <v>0</v>
      </c>
      <c r="I285" s="9">
        <v>0</v>
      </c>
      <c r="J285" s="9">
        <v>0</v>
      </c>
      <c r="K285" s="9">
        <v>0</v>
      </c>
      <c r="L285" s="147">
        <v>0</v>
      </c>
    </row>
    <row r="286" spans="1:12" x14ac:dyDescent="0.2">
      <c r="A286" s="149">
        <v>39102</v>
      </c>
      <c r="B286" s="1" t="s">
        <v>693</v>
      </c>
      <c r="C286" s="1" t="s">
        <v>693</v>
      </c>
      <c r="D286" s="143" t="s">
        <v>268</v>
      </c>
      <c r="E286" s="143" t="s">
        <v>89</v>
      </c>
      <c r="F286" s="1" t="s">
        <v>694</v>
      </c>
      <c r="G286" s="1" t="s">
        <v>695</v>
      </c>
      <c r="H286" s="9">
        <v>0</v>
      </c>
      <c r="I286" s="9">
        <v>0</v>
      </c>
      <c r="J286" s="9">
        <v>0</v>
      </c>
      <c r="K286" s="9">
        <v>0</v>
      </c>
      <c r="L286" s="147">
        <v>0</v>
      </c>
    </row>
    <row r="287" spans="1:12" x14ac:dyDescent="0.2">
      <c r="A287" s="149">
        <v>39102</v>
      </c>
      <c r="B287" s="1" t="s">
        <v>693</v>
      </c>
      <c r="C287" s="1" t="s">
        <v>693</v>
      </c>
      <c r="D287" s="143" t="s">
        <v>298</v>
      </c>
      <c r="E287" s="143" t="s">
        <v>89</v>
      </c>
      <c r="F287" s="1" t="s">
        <v>694</v>
      </c>
      <c r="G287" s="1" t="s">
        <v>695</v>
      </c>
      <c r="H287" s="9">
        <v>0</v>
      </c>
      <c r="I287" s="9">
        <v>0</v>
      </c>
      <c r="J287" s="9">
        <v>0</v>
      </c>
      <c r="K287" s="9">
        <v>0</v>
      </c>
      <c r="L287" s="147">
        <v>0</v>
      </c>
    </row>
    <row r="288" spans="1:12" x14ac:dyDescent="0.2">
      <c r="A288" s="149">
        <v>39102</v>
      </c>
      <c r="B288" s="1" t="s">
        <v>693</v>
      </c>
      <c r="C288" s="1" t="s">
        <v>693</v>
      </c>
      <c r="D288" s="143" t="s">
        <v>328</v>
      </c>
      <c r="E288" s="143" t="s">
        <v>89</v>
      </c>
      <c r="F288" s="1" t="s">
        <v>694</v>
      </c>
      <c r="G288" s="1" t="s">
        <v>695</v>
      </c>
      <c r="H288" s="9">
        <v>0</v>
      </c>
      <c r="I288" s="9">
        <v>0</v>
      </c>
      <c r="J288" s="9">
        <v>0</v>
      </c>
      <c r="K288" s="9">
        <v>0</v>
      </c>
      <c r="L288" s="147">
        <v>0</v>
      </c>
    </row>
    <row r="289" spans="1:12" x14ac:dyDescent="0.2">
      <c r="A289" s="149">
        <v>39102</v>
      </c>
      <c r="B289" s="1" t="s">
        <v>693</v>
      </c>
      <c r="C289" s="1" t="s">
        <v>693</v>
      </c>
      <c r="D289" s="143" t="s">
        <v>358</v>
      </c>
      <c r="E289" s="143" t="s">
        <v>89</v>
      </c>
      <c r="F289" s="1" t="s">
        <v>694</v>
      </c>
      <c r="G289" s="1" t="s">
        <v>695</v>
      </c>
      <c r="H289" s="9">
        <v>0</v>
      </c>
      <c r="I289" s="9">
        <v>0</v>
      </c>
      <c r="J289" s="9">
        <v>0</v>
      </c>
      <c r="K289" s="9">
        <v>0</v>
      </c>
      <c r="L289" s="147">
        <v>0</v>
      </c>
    </row>
    <row r="290" spans="1:12" x14ac:dyDescent="0.2">
      <c r="A290" s="149">
        <v>39102</v>
      </c>
      <c r="B290" s="1" t="s">
        <v>693</v>
      </c>
      <c r="C290" s="1" t="s">
        <v>693</v>
      </c>
      <c r="D290" s="143" t="s">
        <v>390</v>
      </c>
      <c r="E290" s="143" t="s">
        <v>89</v>
      </c>
      <c r="F290" s="1" t="s">
        <v>694</v>
      </c>
      <c r="G290" s="1" t="s">
        <v>695</v>
      </c>
      <c r="H290" s="9">
        <v>0</v>
      </c>
      <c r="I290" s="9">
        <v>0</v>
      </c>
      <c r="J290" s="9">
        <v>0</v>
      </c>
      <c r="K290" s="9">
        <v>0</v>
      </c>
      <c r="L290" s="147">
        <v>0</v>
      </c>
    </row>
    <row r="291" spans="1:12" x14ac:dyDescent="0.2">
      <c r="A291" s="149">
        <v>39102</v>
      </c>
      <c r="B291" s="1" t="s">
        <v>693</v>
      </c>
      <c r="C291" s="1" t="s">
        <v>693</v>
      </c>
      <c r="D291" s="143" t="s">
        <v>418</v>
      </c>
      <c r="E291" s="143" t="s">
        <v>89</v>
      </c>
      <c r="F291" s="1" t="s">
        <v>694</v>
      </c>
      <c r="G291" s="1" t="s">
        <v>695</v>
      </c>
      <c r="H291" s="9">
        <v>0</v>
      </c>
      <c r="I291" s="9">
        <v>0</v>
      </c>
      <c r="J291" s="9">
        <v>0</v>
      </c>
      <c r="K291" s="9">
        <v>0</v>
      </c>
      <c r="L291" s="147">
        <v>0</v>
      </c>
    </row>
    <row r="292" spans="1:12" x14ac:dyDescent="0.2">
      <c r="A292" s="149">
        <v>39102</v>
      </c>
      <c r="B292" s="1" t="s">
        <v>693</v>
      </c>
      <c r="C292" s="1" t="s">
        <v>693</v>
      </c>
      <c r="D292" s="143" t="s">
        <v>444</v>
      </c>
      <c r="E292" s="143" t="s">
        <v>89</v>
      </c>
      <c r="F292" s="1" t="s">
        <v>694</v>
      </c>
      <c r="G292" s="1" t="s">
        <v>695</v>
      </c>
      <c r="H292" s="9">
        <v>0</v>
      </c>
      <c r="I292" s="9">
        <v>0</v>
      </c>
      <c r="J292" s="9">
        <v>0</v>
      </c>
      <c r="K292" s="9">
        <v>0</v>
      </c>
      <c r="L292" s="147">
        <v>0</v>
      </c>
    </row>
    <row r="293" spans="1:12" x14ac:dyDescent="0.2">
      <c r="A293" s="149">
        <v>39102</v>
      </c>
      <c r="B293" s="1" t="s">
        <v>693</v>
      </c>
      <c r="C293" s="1" t="s">
        <v>693</v>
      </c>
      <c r="D293" s="143" t="s">
        <v>471</v>
      </c>
      <c r="E293" s="143" t="s">
        <v>89</v>
      </c>
      <c r="F293" s="1" t="s">
        <v>694</v>
      </c>
      <c r="G293" s="1" t="s">
        <v>695</v>
      </c>
      <c r="H293" s="9">
        <v>0</v>
      </c>
      <c r="I293" s="9">
        <v>0</v>
      </c>
      <c r="J293" s="9">
        <v>0</v>
      </c>
      <c r="K293" s="9">
        <v>0</v>
      </c>
      <c r="L293" s="147">
        <v>0</v>
      </c>
    </row>
    <row r="294" spans="1:12" x14ac:dyDescent="0.2">
      <c r="A294" s="149">
        <v>39102</v>
      </c>
      <c r="B294" s="1" t="s">
        <v>693</v>
      </c>
      <c r="C294" s="1" t="s">
        <v>693</v>
      </c>
      <c r="D294" s="143" t="s">
        <v>500</v>
      </c>
      <c r="E294" s="143" t="s">
        <v>89</v>
      </c>
      <c r="F294" s="1" t="s">
        <v>694</v>
      </c>
      <c r="G294" s="1" t="s">
        <v>695</v>
      </c>
      <c r="H294" s="9">
        <v>0</v>
      </c>
      <c r="I294" s="9">
        <v>0</v>
      </c>
      <c r="J294" s="9">
        <v>0</v>
      </c>
      <c r="K294" s="9">
        <v>0</v>
      </c>
      <c r="L294" s="147">
        <v>0</v>
      </c>
    </row>
    <row r="295" spans="1:12" x14ac:dyDescent="0.2">
      <c r="A295" s="149">
        <v>39102</v>
      </c>
      <c r="B295" s="1" t="s">
        <v>693</v>
      </c>
      <c r="C295" s="1" t="s">
        <v>693</v>
      </c>
      <c r="D295" s="143" t="s">
        <v>535</v>
      </c>
      <c r="E295" s="143" t="s">
        <v>89</v>
      </c>
      <c r="F295" s="1" t="s">
        <v>694</v>
      </c>
      <c r="G295" s="1" t="s">
        <v>695</v>
      </c>
      <c r="H295" s="9">
        <v>0</v>
      </c>
      <c r="I295" s="9">
        <v>0</v>
      </c>
      <c r="J295" s="9">
        <v>0</v>
      </c>
      <c r="K295" s="9">
        <v>0</v>
      </c>
      <c r="L295" s="147">
        <v>0</v>
      </c>
    </row>
    <row r="296" spans="1:12" x14ac:dyDescent="0.2">
      <c r="A296" s="149">
        <v>39102</v>
      </c>
      <c r="B296" s="1" t="s">
        <v>693</v>
      </c>
      <c r="C296" s="1" t="s">
        <v>693</v>
      </c>
      <c r="D296" s="143" t="s">
        <v>572</v>
      </c>
      <c r="E296" s="143" t="s">
        <v>89</v>
      </c>
      <c r="F296" s="1" t="s">
        <v>694</v>
      </c>
      <c r="G296" s="1" t="s">
        <v>695</v>
      </c>
      <c r="H296" s="9">
        <v>0</v>
      </c>
      <c r="I296" s="9">
        <v>0</v>
      </c>
      <c r="J296" s="9">
        <v>0</v>
      </c>
      <c r="K296" s="9">
        <v>0</v>
      </c>
      <c r="L296" s="147">
        <v>0</v>
      </c>
    </row>
    <row r="297" spans="1:12" x14ac:dyDescent="0.2">
      <c r="A297" s="149">
        <v>39102</v>
      </c>
      <c r="B297" s="1" t="s">
        <v>693</v>
      </c>
      <c r="C297" s="1" t="s">
        <v>693</v>
      </c>
      <c r="D297" s="143" t="s">
        <v>601</v>
      </c>
      <c r="E297" s="143" t="s">
        <v>89</v>
      </c>
      <c r="F297" s="1" t="s">
        <v>694</v>
      </c>
      <c r="G297" s="1" t="s">
        <v>695</v>
      </c>
      <c r="H297" s="9">
        <v>0</v>
      </c>
      <c r="I297" s="9">
        <v>0</v>
      </c>
      <c r="J297" s="9">
        <v>0</v>
      </c>
      <c r="K297" s="9">
        <v>0</v>
      </c>
      <c r="L297" s="147">
        <v>0</v>
      </c>
    </row>
    <row r="298" spans="1:12" x14ac:dyDescent="0.2">
      <c r="A298" s="149">
        <v>39102</v>
      </c>
      <c r="B298" s="1" t="s">
        <v>693</v>
      </c>
      <c r="C298" s="1" t="s">
        <v>693</v>
      </c>
      <c r="D298" s="143" t="s">
        <v>615</v>
      </c>
      <c r="E298" s="143" t="s">
        <v>89</v>
      </c>
      <c r="F298" s="1" t="s">
        <v>694</v>
      </c>
      <c r="G298" s="1" t="s">
        <v>695</v>
      </c>
      <c r="H298" s="9">
        <v>0</v>
      </c>
      <c r="I298" s="9">
        <v>0</v>
      </c>
      <c r="J298" s="9">
        <v>0</v>
      </c>
      <c r="K298" s="9">
        <v>0</v>
      </c>
      <c r="L298" s="147">
        <v>0</v>
      </c>
    </row>
    <row r="299" spans="1:12" x14ac:dyDescent="0.2">
      <c r="A299" s="149">
        <v>39102</v>
      </c>
      <c r="B299" s="1" t="s">
        <v>693</v>
      </c>
      <c r="C299" s="1" t="s">
        <v>693</v>
      </c>
      <c r="D299" s="143" t="s">
        <v>634</v>
      </c>
      <c r="E299" s="143" t="s">
        <v>89</v>
      </c>
      <c r="F299" s="1" t="s">
        <v>694</v>
      </c>
      <c r="G299" s="1" t="s">
        <v>695</v>
      </c>
      <c r="H299" s="9">
        <v>0</v>
      </c>
      <c r="I299" s="9">
        <v>0</v>
      </c>
      <c r="J299" s="9">
        <v>0</v>
      </c>
      <c r="K299" s="9">
        <v>0</v>
      </c>
      <c r="L299" s="147">
        <v>0</v>
      </c>
    </row>
    <row r="300" spans="1:12" x14ac:dyDescent="0.2">
      <c r="A300" s="149">
        <v>39201</v>
      </c>
      <c r="B300" s="1" t="s">
        <v>693</v>
      </c>
      <c r="C300" s="1" t="s">
        <v>693</v>
      </c>
      <c r="D300" s="143" t="s">
        <v>269</v>
      </c>
      <c r="E300" s="143" t="s">
        <v>89</v>
      </c>
      <c r="F300" s="1" t="s">
        <v>694</v>
      </c>
      <c r="G300" s="1" t="s">
        <v>695</v>
      </c>
      <c r="H300" s="9">
        <v>-105.75</v>
      </c>
      <c r="I300" s="9">
        <v>0</v>
      </c>
      <c r="J300" s="9">
        <v>0</v>
      </c>
      <c r="K300" s="9">
        <v>0</v>
      </c>
      <c r="L300" s="147">
        <v>-105.75</v>
      </c>
    </row>
    <row r="301" spans="1:12" x14ac:dyDescent="0.2">
      <c r="A301" s="149">
        <v>39201</v>
      </c>
      <c r="B301" s="1" t="s">
        <v>693</v>
      </c>
      <c r="C301" s="1" t="s">
        <v>693</v>
      </c>
      <c r="D301" s="143" t="s">
        <v>237</v>
      </c>
      <c r="E301" s="143" t="s">
        <v>89</v>
      </c>
      <c r="F301" s="1" t="s">
        <v>694</v>
      </c>
      <c r="G301" s="1" t="s">
        <v>695</v>
      </c>
      <c r="H301" s="9">
        <v>0</v>
      </c>
      <c r="I301" s="9">
        <v>0</v>
      </c>
      <c r="J301" s="9">
        <v>0</v>
      </c>
      <c r="K301" s="9">
        <v>0</v>
      </c>
      <c r="L301" s="147">
        <v>0</v>
      </c>
    </row>
    <row r="302" spans="1:12" x14ac:dyDescent="0.2">
      <c r="A302" s="149">
        <v>39201</v>
      </c>
      <c r="B302" s="1" t="s">
        <v>693</v>
      </c>
      <c r="C302" s="1" t="s">
        <v>693</v>
      </c>
      <c r="D302" s="143" t="s">
        <v>391</v>
      </c>
      <c r="E302" s="143" t="s">
        <v>89</v>
      </c>
      <c r="F302" s="1" t="s">
        <v>694</v>
      </c>
      <c r="G302" s="1" t="s">
        <v>695</v>
      </c>
      <c r="H302" s="9">
        <v>0</v>
      </c>
      <c r="I302" s="9">
        <v>0</v>
      </c>
      <c r="J302" s="9">
        <v>0</v>
      </c>
      <c r="K302" s="9">
        <v>0</v>
      </c>
      <c r="L302" s="147">
        <v>0</v>
      </c>
    </row>
    <row r="303" spans="1:12" x14ac:dyDescent="0.2">
      <c r="A303" s="149">
        <v>39201</v>
      </c>
      <c r="B303" s="1" t="s">
        <v>693</v>
      </c>
      <c r="C303" s="1" t="s">
        <v>693</v>
      </c>
      <c r="D303" s="143" t="s">
        <v>419</v>
      </c>
      <c r="E303" s="143" t="s">
        <v>89</v>
      </c>
      <c r="F303" s="1" t="s">
        <v>694</v>
      </c>
      <c r="G303" s="1" t="s">
        <v>695</v>
      </c>
      <c r="H303" s="9">
        <v>0</v>
      </c>
      <c r="I303" s="9">
        <v>0</v>
      </c>
      <c r="J303" s="9">
        <v>0</v>
      </c>
      <c r="K303" s="9">
        <v>0</v>
      </c>
      <c r="L303" s="147">
        <v>0</v>
      </c>
    </row>
    <row r="304" spans="1:12" x14ac:dyDescent="0.2">
      <c r="A304" s="149">
        <v>39201</v>
      </c>
      <c r="B304" s="1" t="s">
        <v>693</v>
      </c>
      <c r="C304" s="1" t="s">
        <v>693</v>
      </c>
      <c r="D304" s="143" t="s">
        <v>445</v>
      </c>
      <c r="E304" s="143" t="s">
        <v>89</v>
      </c>
      <c r="F304" s="1" t="s">
        <v>694</v>
      </c>
      <c r="G304" s="1" t="s">
        <v>695</v>
      </c>
      <c r="H304" s="9">
        <v>0</v>
      </c>
      <c r="I304" s="9">
        <v>0</v>
      </c>
      <c r="J304" s="9">
        <v>0</v>
      </c>
      <c r="K304" s="9">
        <v>0</v>
      </c>
      <c r="L304" s="147">
        <v>0</v>
      </c>
    </row>
    <row r="305" spans="1:12" x14ac:dyDescent="0.2">
      <c r="A305" s="149">
        <v>39201</v>
      </c>
      <c r="B305" s="1" t="s">
        <v>693</v>
      </c>
      <c r="C305" s="1" t="s">
        <v>693</v>
      </c>
      <c r="D305" s="143" t="s">
        <v>537</v>
      </c>
      <c r="E305" s="143" t="s">
        <v>89</v>
      </c>
      <c r="F305" s="1" t="s">
        <v>694</v>
      </c>
      <c r="G305" s="1" t="s">
        <v>695</v>
      </c>
      <c r="H305" s="9">
        <v>0</v>
      </c>
      <c r="I305" s="9">
        <v>0</v>
      </c>
      <c r="J305" s="9">
        <v>0</v>
      </c>
      <c r="K305" s="9">
        <v>0</v>
      </c>
      <c r="L305" s="147">
        <v>0</v>
      </c>
    </row>
    <row r="306" spans="1:12" x14ac:dyDescent="0.2">
      <c r="A306" s="149">
        <v>39201</v>
      </c>
      <c r="B306" s="1" t="s">
        <v>693</v>
      </c>
      <c r="C306" s="1" t="s">
        <v>693</v>
      </c>
      <c r="D306" s="143" t="s">
        <v>574</v>
      </c>
      <c r="E306" s="143" t="s">
        <v>89</v>
      </c>
      <c r="F306" s="1" t="s">
        <v>694</v>
      </c>
      <c r="G306" s="1" t="s">
        <v>695</v>
      </c>
      <c r="H306" s="9">
        <v>0</v>
      </c>
      <c r="I306" s="9">
        <v>0</v>
      </c>
      <c r="J306" s="9">
        <v>0</v>
      </c>
      <c r="K306" s="9">
        <v>0</v>
      </c>
      <c r="L306" s="147">
        <v>0</v>
      </c>
    </row>
    <row r="307" spans="1:12" x14ac:dyDescent="0.2">
      <c r="A307" s="149">
        <v>39201</v>
      </c>
      <c r="B307" s="1" t="s">
        <v>693</v>
      </c>
      <c r="C307" s="1" t="s">
        <v>693</v>
      </c>
      <c r="D307" s="143" t="s">
        <v>602</v>
      </c>
      <c r="E307" s="143" t="s">
        <v>89</v>
      </c>
      <c r="F307" s="1" t="s">
        <v>694</v>
      </c>
      <c r="G307" s="1" t="s">
        <v>695</v>
      </c>
      <c r="H307" s="9">
        <v>0</v>
      </c>
      <c r="I307" s="9">
        <v>0</v>
      </c>
      <c r="J307" s="9">
        <v>0</v>
      </c>
      <c r="K307" s="9">
        <v>0</v>
      </c>
      <c r="L307" s="147">
        <v>0</v>
      </c>
    </row>
    <row r="308" spans="1:12" x14ac:dyDescent="0.2">
      <c r="A308" s="149">
        <v>39201</v>
      </c>
      <c r="B308" s="1" t="s">
        <v>693</v>
      </c>
      <c r="C308" s="1" t="s">
        <v>693</v>
      </c>
      <c r="D308" s="143" t="s">
        <v>635</v>
      </c>
      <c r="E308" s="143" t="s">
        <v>89</v>
      </c>
      <c r="F308" s="1" t="s">
        <v>694</v>
      </c>
      <c r="G308" s="1" t="s">
        <v>695</v>
      </c>
      <c r="H308" s="9">
        <v>10.33</v>
      </c>
      <c r="I308" s="9">
        <v>0</v>
      </c>
      <c r="J308" s="9">
        <v>0</v>
      </c>
      <c r="K308" s="9">
        <v>0</v>
      </c>
      <c r="L308" s="147">
        <v>10.33</v>
      </c>
    </row>
    <row r="309" spans="1:12" x14ac:dyDescent="0.2">
      <c r="A309" s="149">
        <v>39201</v>
      </c>
      <c r="B309" s="1" t="s">
        <v>693</v>
      </c>
      <c r="C309" s="1" t="s">
        <v>693</v>
      </c>
      <c r="D309" s="143" t="s">
        <v>501</v>
      </c>
      <c r="E309" s="143" t="s">
        <v>89</v>
      </c>
      <c r="F309" s="1" t="s">
        <v>694</v>
      </c>
      <c r="G309" s="1" t="s">
        <v>695</v>
      </c>
      <c r="H309" s="9">
        <v>72.7</v>
      </c>
      <c r="I309" s="9">
        <v>0</v>
      </c>
      <c r="J309" s="9">
        <v>0</v>
      </c>
      <c r="K309" s="9">
        <v>0</v>
      </c>
      <c r="L309" s="147">
        <v>72.7</v>
      </c>
    </row>
    <row r="310" spans="1:12" x14ac:dyDescent="0.2">
      <c r="A310" s="149">
        <v>39201</v>
      </c>
      <c r="B310" s="1" t="s">
        <v>693</v>
      </c>
      <c r="C310" s="1" t="s">
        <v>693</v>
      </c>
      <c r="D310" s="143" t="s">
        <v>329</v>
      </c>
      <c r="E310" s="143" t="s">
        <v>89</v>
      </c>
      <c r="F310" s="1" t="s">
        <v>694</v>
      </c>
      <c r="G310" s="1" t="s">
        <v>695</v>
      </c>
      <c r="H310" s="9">
        <v>116.3</v>
      </c>
      <c r="I310" s="9">
        <v>0</v>
      </c>
      <c r="J310" s="9">
        <v>0</v>
      </c>
      <c r="K310" s="9">
        <v>0</v>
      </c>
      <c r="L310" s="147">
        <v>116.3</v>
      </c>
    </row>
    <row r="311" spans="1:12" x14ac:dyDescent="0.2">
      <c r="A311" s="149">
        <v>39201</v>
      </c>
      <c r="B311" s="1" t="s">
        <v>693</v>
      </c>
      <c r="C311" s="1" t="s">
        <v>693</v>
      </c>
      <c r="D311" s="143" t="s">
        <v>472</v>
      </c>
      <c r="E311" s="143" t="s">
        <v>89</v>
      </c>
      <c r="F311" s="1" t="s">
        <v>694</v>
      </c>
      <c r="G311" s="1" t="s">
        <v>695</v>
      </c>
      <c r="H311" s="9">
        <v>358.57</v>
      </c>
      <c r="I311" s="9">
        <v>0</v>
      </c>
      <c r="J311" s="9">
        <v>0</v>
      </c>
      <c r="K311" s="9">
        <v>0</v>
      </c>
      <c r="L311" s="147">
        <v>358.57</v>
      </c>
    </row>
    <row r="312" spans="1:12" x14ac:dyDescent="0.2">
      <c r="A312" s="149">
        <v>39201</v>
      </c>
      <c r="B312" s="1" t="s">
        <v>693</v>
      </c>
      <c r="C312" s="1" t="s">
        <v>693</v>
      </c>
      <c r="D312" s="143" t="s">
        <v>359</v>
      </c>
      <c r="E312" s="143" t="s">
        <v>89</v>
      </c>
      <c r="F312" s="1" t="s">
        <v>694</v>
      </c>
      <c r="G312" s="1" t="s">
        <v>695</v>
      </c>
      <c r="H312" s="9">
        <v>742.24</v>
      </c>
      <c r="I312" s="9">
        <v>0</v>
      </c>
      <c r="J312" s="9">
        <v>0</v>
      </c>
      <c r="K312" s="9">
        <v>0</v>
      </c>
      <c r="L312" s="147">
        <v>742.24</v>
      </c>
    </row>
    <row r="313" spans="1:12" x14ac:dyDescent="0.2">
      <c r="A313" s="149">
        <v>39201</v>
      </c>
      <c r="B313" s="1" t="s">
        <v>693</v>
      </c>
      <c r="C313" s="1" t="s">
        <v>693</v>
      </c>
      <c r="D313" s="143" t="s">
        <v>299</v>
      </c>
      <c r="E313" s="143" t="s">
        <v>89</v>
      </c>
      <c r="F313" s="1" t="s">
        <v>694</v>
      </c>
      <c r="G313" s="1" t="s">
        <v>695</v>
      </c>
      <c r="H313" s="9">
        <v>934.23</v>
      </c>
      <c r="I313" s="9">
        <v>0</v>
      </c>
      <c r="J313" s="9">
        <v>0</v>
      </c>
      <c r="K313" s="9">
        <v>0</v>
      </c>
      <c r="L313" s="147">
        <v>934.23</v>
      </c>
    </row>
    <row r="314" spans="1:12" x14ac:dyDescent="0.2">
      <c r="A314" s="149">
        <v>39201</v>
      </c>
      <c r="B314" s="1" t="s">
        <v>693</v>
      </c>
      <c r="C314" s="1" t="s">
        <v>693</v>
      </c>
      <c r="D314" s="143" t="s">
        <v>208</v>
      </c>
      <c r="E314" s="143" t="s">
        <v>89</v>
      </c>
      <c r="F314" s="1" t="s">
        <v>694</v>
      </c>
      <c r="G314" s="1" t="s">
        <v>695</v>
      </c>
      <c r="H314" s="9">
        <v>1986.35</v>
      </c>
      <c r="I314" s="9">
        <v>0</v>
      </c>
      <c r="J314" s="9">
        <v>0</v>
      </c>
      <c r="K314" s="9">
        <v>0</v>
      </c>
      <c r="L314" s="147">
        <v>1986.35</v>
      </c>
    </row>
    <row r="315" spans="1:12" x14ac:dyDescent="0.2">
      <c r="A315" s="149">
        <v>39202</v>
      </c>
      <c r="B315" s="1" t="s">
        <v>693</v>
      </c>
      <c r="C315" s="1" t="s">
        <v>693</v>
      </c>
      <c r="D315" s="143" t="s">
        <v>473</v>
      </c>
      <c r="E315" s="143" t="s">
        <v>89</v>
      </c>
      <c r="F315" s="1" t="s">
        <v>694</v>
      </c>
      <c r="G315" s="1" t="s">
        <v>695</v>
      </c>
      <c r="H315" s="9">
        <v>-105.75</v>
      </c>
      <c r="I315" s="9">
        <v>0</v>
      </c>
      <c r="J315" s="9">
        <v>0</v>
      </c>
      <c r="K315" s="9">
        <v>0</v>
      </c>
      <c r="L315" s="147">
        <v>-105.75</v>
      </c>
    </row>
    <row r="316" spans="1:12" x14ac:dyDescent="0.2">
      <c r="A316" s="149">
        <v>39202</v>
      </c>
      <c r="B316" s="1" t="s">
        <v>693</v>
      </c>
      <c r="C316" s="1" t="s">
        <v>693</v>
      </c>
      <c r="D316" s="143" t="s">
        <v>209</v>
      </c>
      <c r="E316" s="143" t="s">
        <v>89</v>
      </c>
      <c r="F316" s="1" t="s">
        <v>694</v>
      </c>
      <c r="G316" s="1" t="s">
        <v>695</v>
      </c>
      <c r="H316" s="9">
        <v>0</v>
      </c>
      <c r="I316" s="9">
        <v>0</v>
      </c>
      <c r="J316" s="9">
        <v>0</v>
      </c>
      <c r="K316" s="9">
        <v>0</v>
      </c>
      <c r="L316" s="147">
        <v>0</v>
      </c>
    </row>
    <row r="317" spans="1:12" x14ac:dyDescent="0.2">
      <c r="A317" s="149">
        <v>39202</v>
      </c>
      <c r="B317" s="1" t="s">
        <v>693</v>
      </c>
      <c r="C317" s="1" t="s">
        <v>693</v>
      </c>
      <c r="D317" s="143" t="s">
        <v>238</v>
      </c>
      <c r="E317" s="143" t="s">
        <v>89</v>
      </c>
      <c r="F317" s="1" t="s">
        <v>694</v>
      </c>
      <c r="G317" s="1" t="s">
        <v>695</v>
      </c>
      <c r="H317" s="9">
        <v>0</v>
      </c>
      <c r="I317" s="9">
        <v>0</v>
      </c>
      <c r="J317" s="9">
        <v>0</v>
      </c>
      <c r="K317" s="9">
        <v>0</v>
      </c>
      <c r="L317" s="147">
        <v>0</v>
      </c>
    </row>
    <row r="318" spans="1:12" x14ac:dyDescent="0.2">
      <c r="A318" s="149">
        <v>39202</v>
      </c>
      <c r="B318" s="1" t="s">
        <v>693</v>
      </c>
      <c r="C318" s="1" t="s">
        <v>693</v>
      </c>
      <c r="D318" s="143" t="s">
        <v>300</v>
      </c>
      <c r="E318" s="143" t="s">
        <v>89</v>
      </c>
      <c r="F318" s="1" t="s">
        <v>694</v>
      </c>
      <c r="G318" s="1" t="s">
        <v>695</v>
      </c>
      <c r="H318" s="9">
        <v>0</v>
      </c>
      <c r="I318" s="9">
        <v>0</v>
      </c>
      <c r="J318" s="9">
        <v>0</v>
      </c>
      <c r="K318" s="9">
        <v>0</v>
      </c>
      <c r="L318" s="147">
        <v>0</v>
      </c>
    </row>
    <row r="319" spans="1:12" x14ac:dyDescent="0.2">
      <c r="A319" s="149">
        <v>39202</v>
      </c>
      <c r="B319" s="1" t="s">
        <v>693</v>
      </c>
      <c r="C319" s="1" t="s">
        <v>693</v>
      </c>
      <c r="D319" s="143" t="s">
        <v>330</v>
      </c>
      <c r="E319" s="143" t="s">
        <v>89</v>
      </c>
      <c r="F319" s="1" t="s">
        <v>694</v>
      </c>
      <c r="G319" s="1" t="s">
        <v>695</v>
      </c>
      <c r="H319" s="9">
        <v>0</v>
      </c>
      <c r="I319" s="9">
        <v>0</v>
      </c>
      <c r="J319" s="9">
        <v>0</v>
      </c>
      <c r="K319" s="9">
        <v>0</v>
      </c>
      <c r="L319" s="147">
        <v>0</v>
      </c>
    </row>
    <row r="320" spans="1:12" x14ac:dyDescent="0.2">
      <c r="A320" s="149">
        <v>39202</v>
      </c>
      <c r="B320" s="1" t="s">
        <v>693</v>
      </c>
      <c r="C320" s="1" t="s">
        <v>693</v>
      </c>
      <c r="D320" s="143" t="s">
        <v>360</v>
      </c>
      <c r="E320" s="143" t="s">
        <v>89</v>
      </c>
      <c r="F320" s="1" t="s">
        <v>694</v>
      </c>
      <c r="G320" s="1" t="s">
        <v>695</v>
      </c>
      <c r="H320" s="9">
        <v>0</v>
      </c>
      <c r="I320" s="9">
        <v>0</v>
      </c>
      <c r="J320" s="9">
        <v>0</v>
      </c>
      <c r="K320" s="9">
        <v>0</v>
      </c>
      <c r="L320" s="147">
        <v>0</v>
      </c>
    </row>
    <row r="321" spans="1:12" x14ac:dyDescent="0.2">
      <c r="A321" s="149">
        <v>39202</v>
      </c>
      <c r="B321" s="1" t="s">
        <v>693</v>
      </c>
      <c r="C321" s="1" t="s">
        <v>693</v>
      </c>
      <c r="D321" s="143" t="s">
        <v>420</v>
      </c>
      <c r="E321" s="143" t="s">
        <v>89</v>
      </c>
      <c r="F321" s="1" t="s">
        <v>694</v>
      </c>
      <c r="G321" s="1" t="s">
        <v>695</v>
      </c>
      <c r="H321" s="9">
        <v>0</v>
      </c>
      <c r="I321" s="9">
        <v>0</v>
      </c>
      <c r="J321" s="9">
        <v>0</v>
      </c>
      <c r="K321" s="9">
        <v>0</v>
      </c>
      <c r="L321" s="147">
        <v>0</v>
      </c>
    </row>
    <row r="322" spans="1:12" x14ac:dyDescent="0.2">
      <c r="A322" s="149">
        <v>39202</v>
      </c>
      <c r="B322" s="1" t="s">
        <v>693</v>
      </c>
      <c r="C322" s="1" t="s">
        <v>693</v>
      </c>
      <c r="D322" s="143" t="s">
        <v>446</v>
      </c>
      <c r="E322" s="143" t="s">
        <v>89</v>
      </c>
      <c r="F322" s="1" t="s">
        <v>694</v>
      </c>
      <c r="G322" s="1" t="s">
        <v>695</v>
      </c>
      <c r="H322" s="9">
        <v>0</v>
      </c>
      <c r="I322" s="9">
        <v>0</v>
      </c>
      <c r="J322" s="9">
        <v>0</v>
      </c>
      <c r="K322" s="9">
        <v>0</v>
      </c>
      <c r="L322" s="147">
        <v>0</v>
      </c>
    </row>
    <row r="323" spans="1:12" x14ac:dyDescent="0.2">
      <c r="A323" s="149">
        <v>39202</v>
      </c>
      <c r="B323" s="1" t="s">
        <v>693</v>
      </c>
      <c r="C323" s="1" t="s">
        <v>693</v>
      </c>
      <c r="D323" s="143" t="s">
        <v>502</v>
      </c>
      <c r="E323" s="143" t="s">
        <v>89</v>
      </c>
      <c r="F323" s="1" t="s">
        <v>694</v>
      </c>
      <c r="G323" s="1" t="s">
        <v>695</v>
      </c>
      <c r="H323" s="9">
        <v>0</v>
      </c>
      <c r="I323" s="9">
        <v>0</v>
      </c>
      <c r="J323" s="9">
        <v>0</v>
      </c>
      <c r="K323" s="9">
        <v>0</v>
      </c>
      <c r="L323" s="147">
        <v>0</v>
      </c>
    </row>
    <row r="324" spans="1:12" x14ac:dyDescent="0.2">
      <c r="A324" s="149">
        <v>39202</v>
      </c>
      <c r="B324" s="1" t="s">
        <v>693</v>
      </c>
      <c r="C324" s="1" t="s">
        <v>693</v>
      </c>
      <c r="D324" s="143" t="s">
        <v>538</v>
      </c>
      <c r="E324" s="143" t="s">
        <v>89</v>
      </c>
      <c r="F324" s="1" t="s">
        <v>694</v>
      </c>
      <c r="G324" s="1" t="s">
        <v>695</v>
      </c>
      <c r="H324" s="9">
        <v>0</v>
      </c>
      <c r="I324" s="9">
        <v>0</v>
      </c>
      <c r="J324" s="9">
        <v>0</v>
      </c>
      <c r="K324" s="9">
        <v>0</v>
      </c>
      <c r="L324" s="147">
        <v>0</v>
      </c>
    </row>
    <row r="325" spans="1:12" x14ac:dyDescent="0.2">
      <c r="A325" s="149">
        <v>39202</v>
      </c>
      <c r="B325" s="1" t="s">
        <v>693</v>
      </c>
      <c r="C325" s="1" t="s">
        <v>693</v>
      </c>
      <c r="D325" s="143" t="s">
        <v>575</v>
      </c>
      <c r="E325" s="143" t="s">
        <v>89</v>
      </c>
      <c r="F325" s="1" t="s">
        <v>694</v>
      </c>
      <c r="G325" s="1" t="s">
        <v>695</v>
      </c>
      <c r="H325" s="9">
        <v>0</v>
      </c>
      <c r="I325" s="9">
        <v>0</v>
      </c>
      <c r="J325" s="9">
        <v>0</v>
      </c>
      <c r="K325" s="9">
        <v>0</v>
      </c>
      <c r="L325" s="147">
        <v>0</v>
      </c>
    </row>
    <row r="326" spans="1:12" x14ac:dyDescent="0.2">
      <c r="A326" s="149">
        <v>39202</v>
      </c>
      <c r="B326" s="1" t="s">
        <v>693</v>
      </c>
      <c r="C326" s="1" t="s">
        <v>693</v>
      </c>
      <c r="D326" s="143" t="s">
        <v>603</v>
      </c>
      <c r="E326" s="143" t="s">
        <v>89</v>
      </c>
      <c r="F326" s="1" t="s">
        <v>694</v>
      </c>
      <c r="G326" s="1" t="s">
        <v>695</v>
      </c>
      <c r="H326" s="9">
        <v>0</v>
      </c>
      <c r="I326" s="9">
        <v>0</v>
      </c>
      <c r="J326" s="9">
        <v>0</v>
      </c>
      <c r="K326" s="9">
        <v>0</v>
      </c>
      <c r="L326" s="147">
        <v>0</v>
      </c>
    </row>
    <row r="327" spans="1:12" x14ac:dyDescent="0.2">
      <c r="A327" s="149">
        <v>39202</v>
      </c>
      <c r="B327" s="1" t="s">
        <v>693</v>
      </c>
      <c r="C327" s="1" t="s">
        <v>693</v>
      </c>
      <c r="D327" s="143" t="s">
        <v>636</v>
      </c>
      <c r="E327" s="143" t="s">
        <v>89</v>
      </c>
      <c r="F327" s="1" t="s">
        <v>694</v>
      </c>
      <c r="G327" s="1" t="s">
        <v>695</v>
      </c>
      <c r="H327" s="9">
        <v>0</v>
      </c>
      <c r="I327" s="9">
        <v>0</v>
      </c>
      <c r="J327" s="9">
        <v>0</v>
      </c>
      <c r="K327" s="9">
        <v>0</v>
      </c>
      <c r="L327" s="147">
        <v>0</v>
      </c>
    </row>
    <row r="328" spans="1:12" x14ac:dyDescent="0.2">
      <c r="A328" s="149">
        <v>39202</v>
      </c>
      <c r="B328" s="1" t="s">
        <v>693</v>
      </c>
      <c r="C328" s="1" t="s">
        <v>693</v>
      </c>
      <c r="D328" s="143" t="s">
        <v>270</v>
      </c>
      <c r="E328" s="143" t="s">
        <v>89</v>
      </c>
      <c r="F328" s="1" t="s">
        <v>694</v>
      </c>
      <c r="G328" s="1" t="s">
        <v>695</v>
      </c>
      <c r="H328" s="9">
        <v>87.22</v>
      </c>
      <c r="I328" s="9">
        <v>0</v>
      </c>
      <c r="J328" s="9">
        <v>0</v>
      </c>
      <c r="K328" s="9">
        <v>0</v>
      </c>
      <c r="L328" s="147">
        <v>87.22</v>
      </c>
    </row>
    <row r="329" spans="1:12" x14ac:dyDescent="0.2">
      <c r="A329" s="149">
        <v>39202</v>
      </c>
      <c r="B329" s="1" t="s">
        <v>693</v>
      </c>
      <c r="C329" s="1" t="s">
        <v>693</v>
      </c>
      <c r="D329" s="143" t="s">
        <v>392</v>
      </c>
      <c r="E329" s="143" t="s">
        <v>89</v>
      </c>
      <c r="F329" s="1" t="s">
        <v>694</v>
      </c>
      <c r="G329" s="1" t="s">
        <v>695</v>
      </c>
      <c r="H329" s="9">
        <v>88.29</v>
      </c>
      <c r="I329" s="9">
        <v>0</v>
      </c>
      <c r="J329" s="9">
        <v>0</v>
      </c>
      <c r="K329" s="9">
        <v>0</v>
      </c>
      <c r="L329" s="147">
        <v>88.29</v>
      </c>
    </row>
    <row r="330" spans="1:12" x14ac:dyDescent="0.2">
      <c r="A330" s="149">
        <v>39203</v>
      </c>
      <c r="B330" s="1" t="s">
        <v>693</v>
      </c>
      <c r="C330" s="1" t="s">
        <v>693</v>
      </c>
      <c r="D330" s="143" t="s">
        <v>637</v>
      </c>
      <c r="E330" s="143" t="s">
        <v>89</v>
      </c>
      <c r="F330" s="1" t="s">
        <v>694</v>
      </c>
      <c r="G330" s="1" t="s">
        <v>695</v>
      </c>
      <c r="H330" s="9">
        <v>0</v>
      </c>
      <c r="I330" s="9">
        <v>0</v>
      </c>
      <c r="J330" s="9">
        <v>0</v>
      </c>
      <c r="K330" s="9">
        <v>0</v>
      </c>
      <c r="L330" s="147">
        <v>0</v>
      </c>
    </row>
    <row r="331" spans="1:12" x14ac:dyDescent="0.2">
      <c r="A331" s="149">
        <v>39204</v>
      </c>
      <c r="B331" s="1" t="s">
        <v>693</v>
      </c>
      <c r="C331" s="1" t="s">
        <v>693</v>
      </c>
      <c r="D331" s="143" t="s">
        <v>210</v>
      </c>
      <c r="E331" s="143" t="s">
        <v>89</v>
      </c>
      <c r="F331" s="1" t="s">
        <v>694</v>
      </c>
      <c r="G331" s="1" t="s">
        <v>695</v>
      </c>
      <c r="H331" s="9">
        <v>0</v>
      </c>
      <c r="I331" s="9">
        <v>0</v>
      </c>
      <c r="J331" s="9">
        <v>0</v>
      </c>
      <c r="K331" s="9">
        <v>0</v>
      </c>
      <c r="L331" s="147">
        <v>0</v>
      </c>
    </row>
    <row r="332" spans="1:12" x14ac:dyDescent="0.2">
      <c r="A332" s="149">
        <v>39204</v>
      </c>
      <c r="B332" s="1" t="s">
        <v>693</v>
      </c>
      <c r="C332" s="1" t="s">
        <v>693</v>
      </c>
      <c r="D332" s="143" t="s">
        <v>239</v>
      </c>
      <c r="E332" s="143" t="s">
        <v>89</v>
      </c>
      <c r="F332" s="1" t="s">
        <v>694</v>
      </c>
      <c r="G332" s="1" t="s">
        <v>695</v>
      </c>
      <c r="H332" s="9">
        <v>0</v>
      </c>
      <c r="I332" s="9">
        <v>0</v>
      </c>
      <c r="J332" s="9">
        <v>0</v>
      </c>
      <c r="K332" s="9">
        <v>0</v>
      </c>
      <c r="L332" s="147">
        <v>0</v>
      </c>
    </row>
    <row r="333" spans="1:12" x14ac:dyDescent="0.2">
      <c r="A333" s="149">
        <v>39204</v>
      </c>
      <c r="B333" s="1" t="s">
        <v>693</v>
      </c>
      <c r="C333" s="1" t="s">
        <v>693</v>
      </c>
      <c r="D333" s="143" t="s">
        <v>271</v>
      </c>
      <c r="E333" s="143" t="s">
        <v>89</v>
      </c>
      <c r="F333" s="1" t="s">
        <v>694</v>
      </c>
      <c r="G333" s="1" t="s">
        <v>695</v>
      </c>
      <c r="H333" s="9">
        <v>0</v>
      </c>
      <c r="I333" s="9">
        <v>0</v>
      </c>
      <c r="J333" s="9">
        <v>0</v>
      </c>
      <c r="K333" s="9">
        <v>0</v>
      </c>
      <c r="L333" s="147">
        <v>0</v>
      </c>
    </row>
    <row r="334" spans="1:12" x14ac:dyDescent="0.2">
      <c r="A334" s="149">
        <v>39204</v>
      </c>
      <c r="B334" s="1" t="s">
        <v>693</v>
      </c>
      <c r="C334" s="1" t="s">
        <v>693</v>
      </c>
      <c r="D334" s="143" t="s">
        <v>301</v>
      </c>
      <c r="E334" s="143" t="s">
        <v>89</v>
      </c>
      <c r="F334" s="1" t="s">
        <v>694</v>
      </c>
      <c r="G334" s="1" t="s">
        <v>695</v>
      </c>
      <c r="H334" s="9">
        <v>0</v>
      </c>
      <c r="I334" s="9">
        <v>0</v>
      </c>
      <c r="J334" s="9">
        <v>0</v>
      </c>
      <c r="K334" s="9">
        <v>0</v>
      </c>
      <c r="L334" s="147">
        <v>0</v>
      </c>
    </row>
    <row r="335" spans="1:12" x14ac:dyDescent="0.2">
      <c r="A335" s="149">
        <v>39204</v>
      </c>
      <c r="B335" s="1" t="s">
        <v>693</v>
      </c>
      <c r="C335" s="1" t="s">
        <v>693</v>
      </c>
      <c r="D335" s="143" t="s">
        <v>331</v>
      </c>
      <c r="E335" s="143" t="s">
        <v>89</v>
      </c>
      <c r="F335" s="1" t="s">
        <v>694</v>
      </c>
      <c r="G335" s="1" t="s">
        <v>695</v>
      </c>
      <c r="H335" s="9">
        <v>0</v>
      </c>
      <c r="I335" s="9">
        <v>0</v>
      </c>
      <c r="J335" s="9">
        <v>0</v>
      </c>
      <c r="K335" s="9">
        <v>0</v>
      </c>
      <c r="L335" s="147">
        <v>0</v>
      </c>
    </row>
    <row r="336" spans="1:12" x14ac:dyDescent="0.2">
      <c r="A336" s="149">
        <v>39204</v>
      </c>
      <c r="B336" s="1" t="s">
        <v>693</v>
      </c>
      <c r="C336" s="1" t="s">
        <v>693</v>
      </c>
      <c r="D336" s="143" t="s">
        <v>361</v>
      </c>
      <c r="E336" s="143" t="s">
        <v>89</v>
      </c>
      <c r="F336" s="1" t="s">
        <v>694</v>
      </c>
      <c r="G336" s="1" t="s">
        <v>695</v>
      </c>
      <c r="H336" s="9">
        <v>0</v>
      </c>
      <c r="I336" s="9">
        <v>0</v>
      </c>
      <c r="J336" s="9">
        <v>0</v>
      </c>
      <c r="K336" s="9">
        <v>0</v>
      </c>
      <c r="L336" s="147">
        <v>0</v>
      </c>
    </row>
    <row r="337" spans="1:12" x14ac:dyDescent="0.2">
      <c r="A337" s="149">
        <v>39204</v>
      </c>
      <c r="B337" s="1" t="s">
        <v>693</v>
      </c>
      <c r="C337" s="1" t="s">
        <v>693</v>
      </c>
      <c r="D337" s="143" t="s">
        <v>393</v>
      </c>
      <c r="E337" s="143" t="s">
        <v>89</v>
      </c>
      <c r="F337" s="1" t="s">
        <v>694</v>
      </c>
      <c r="G337" s="1" t="s">
        <v>695</v>
      </c>
      <c r="H337" s="9">
        <v>0</v>
      </c>
      <c r="I337" s="9">
        <v>0</v>
      </c>
      <c r="J337" s="9">
        <v>0</v>
      </c>
      <c r="K337" s="9">
        <v>0</v>
      </c>
      <c r="L337" s="147">
        <v>0</v>
      </c>
    </row>
    <row r="338" spans="1:12" x14ac:dyDescent="0.2">
      <c r="A338" s="149">
        <v>39204</v>
      </c>
      <c r="B338" s="1" t="s">
        <v>693</v>
      </c>
      <c r="C338" s="1" t="s">
        <v>693</v>
      </c>
      <c r="D338" s="143" t="s">
        <v>421</v>
      </c>
      <c r="E338" s="143" t="s">
        <v>89</v>
      </c>
      <c r="F338" s="1" t="s">
        <v>694</v>
      </c>
      <c r="G338" s="1" t="s">
        <v>695</v>
      </c>
      <c r="H338" s="9">
        <v>0</v>
      </c>
      <c r="I338" s="9">
        <v>0</v>
      </c>
      <c r="J338" s="9">
        <v>0</v>
      </c>
      <c r="K338" s="9">
        <v>0</v>
      </c>
      <c r="L338" s="147">
        <v>0</v>
      </c>
    </row>
    <row r="339" spans="1:12" x14ac:dyDescent="0.2">
      <c r="A339" s="149">
        <v>39204</v>
      </c>
      <c r="B339" s="1" t="s">
        <v>693</v>
      </c>
      <c r="C339" s="1" t="s">
        <v>693</v>
      </c>
      <c r="D339" s="143" t="s">
        <v>447</v>
      </c>
      <c r="E339" s="143" t="s">
        <v>89</v>
      </c>
      <c r="F339" s="1" t="s">
        <v>694</v>
      </c>
      <c r="G339" s="1" t="s">
        <v>695</v>
      </c>
      <c r="H339" s="9">
        <v>0</v>
      </c>
      <c r="I339" s="9">
        <v>0</v>
      </c>
      <c r="J339" s="9">
        <v>0</v>
      </c>
      <c r="K339" s="9">
        <v>0</v>
      </c>
      <c r="L339" s="147">
        <v>0</v>
      </c>
    </row>
    <row r="340" spans="1:12" x14ac:dyDescent="0.2">
      <c r="A340" s="149">
        <v>39204</v>
      </c>
      <c r="B340" s="1" t="s">
        <v>693</v>
      </c>
      <c r="C340" s="1" t="s">
        <v>693</v>
      </c>
      <c r="D340" s="143" t="s">
        <v>474</v>
      </c>
      <c r="E340" s="143" t="s">
        <v>89</v>
      </c>
      <c r="F340" s="1" t="s">
        <v>694</v>
      </c>
      <c r="G340" s="1" t="s">
        <v>695</v>
      </c>
      <c r="H340" s="9">
        <v>0</v>
      </c>
      <c r="I340" s="9">
        <v>0</v>
      </c>
      <c r="J340" s="9">
        <v>0</v>
      </c>
      <c r="K340" s="9">
        <v>0</v>
      </c>
      <c r="L340" s="147">
        <v>0</v>
      </c>
    </row>
    <row r="341" spans="1:12" x14ac:dyDescent="0.2">
      <c r="A341" s="149">
        <v>39204</v>
      </c>
      <c r="B341" s="1" t="s">
        <v>693</v>
      </c>
      <c r="C341" s="1" t="s">
        <v>693</v>
      </c>
      <c r="D341" s="143" t="s">
        <v>503</v>
      </c>
      <c r="E341" s="143" t="s">
        <v>89</v>
      </c>
      <c r="F341" s="1" t="s">
        <v>694</v>
      </c>
      <c r="G341" s="1" t="s">
        <v>695</v>
      </c>
      <c r="H341" s="9">
        <v>0</v>
      </c>
      <c r="I341" s="9">
        <v>0</v>
      </c>
      <c r="J341" s="9">
        <v>0</v>
      </c>
      <c r="K341" s="9">
        <v>0</v>
      </c>
      <c r="L341" s="147">
        <v>0</v>
      </c>
    </row>
    <row r="342" spans="1:12" x14ac:dyDescent="0.2">
      <c r="A342" s="149">
        <v>39204</v>
      </c>
      <c r="B342" s="1" t="s">
        <v>693</v>
      </c>
      <c r="C342" s="1" t="s">
        <v>693</v>
      </c>
      <c r="D342" s="143" t="s">
        <v>539</v>
      </c>
      <c r="E342" s="143" t="s">
        <v>89</v>
      </c>
      <c r="F342" s="1" t="s">
        <v>694</v>
      </c>
      <c r="G342" s="1" t="s">
        <v>695</v>
      </c>
      <c r="H342" s="9">
        <v>0</v>
      </c>
      <c r="I342" s="9">
        <v>0</v>
      </c>
      <c r="J342" s="9">
        <v>0</v>
      </c>
      <c r="K342" s="9">
        <v>0</v>
      </c>
      <c r="L342" s="147">
        <v>0</v>
      </c>
    </row>
    <row r="343" spans="1:12" x14ac:dyDescent="0.2">
      <c r="A343" s="149">
        <v>39204</v>
      </c>
      <c r="B343" s="1" t="s">
        <v>693</v>
      </c>
      <c r="C343" s="1" t="s">
        <v>693</v>
      </c>
      <c r="D343" s="143" t="s">
        <v>576</v>
      </c>
      <c r="E343" s="143" t="s">
        <v>89</v>
      </c>
      <c r="F343" s="1" t="s">
        <v>694</v>
      </c>
      <c r="G343" s="1" t="s">
        <v>695</v>
      </c>
      <c r="H343" s="9">
        <v>0</v>
      </c>
      <c r="I343" s="9">
        <v>0</v>
      </c>
      <c r="J343" s="9">
        <v>0</v>
      </c>
      <c r="K343" s="9">
        <v>0</v>
      </c>
      <c r="L343" s="147">
        <v>0</v>
      </c>
    </row>
    <row r="344" spans="1:12" x14ac:dyDescent="0.2">
      <c r="A344" s="149">
        <v>39204</v>
      </c>
      <c r="B344" s="1" t="s">
        <v>693</v>
      </c>
      <c r="C344" s="1" t="s">
        <v>693</v>
      </c>
      <c r="D344" s="143" t="s">
        <v>604</v>
      </c>
      <c r="E344" s="143" t="s">
        <v>89</v>
      </c>
      <c r="F344" s="1" t="s">
        <v>694</v>
      </c>
      <c r="G344" s="1" t="s">
        <v>695</v>
      </c>
      <c r="H344" s="9">
        <v>0</v>
      </c>
      <c r="I344" s="9">
        <v>0</v>
      </c>
      <c r="J344" s="9">
        <v>0</v>
      </c>
      <c r="K344" s="9">
        <v>0</v>
      </c>
      <c r="L344" s="147">
        <v>0</v>
      </c>
    </row>
    <row r="345" spans="1:12" x14ac:dyDescent="0.2">
      <c r="A345" s="149">
        <v>39204</v>
      </c>
      <c r="B345" s="1" t="s">
        <v>693</v>
      </c>
      <c r="C345" s="1" t="s">
        <v>693</v>
      </c>
      <c r="D345" s="143" t="s">
        <v>638</v>
      </c>
      <c r="E345" s="143" t="s">
        <v>89</v>
      </c>
      <c r="F345" s="1" t="s">
        <v>694</v>
      </c>
      <c r="G345" s="1" t="s">
        <v>695</v>
      </c>
      <c r="H345" s="9">
        <v>0</v>
      </c>
      <c r="I345" s="9">
        <v>0</v>
      </c>
      <c r="J345" s="9">
        <v>0</v>
      </c>
      <c r="K345" s="9">
        <v>0</v>
      </c>
      <c r="L345" s="147">
        <v>0</v>
      </c>
    </row>
    <row r="346" spans="1:12" x14ac:dyDescent="0.2">
      <c r="A346" s="149">
        <v>39205</v>
      </c>
      <c r="B346" s="1" t="s">
        <v>693</v>
      </c>
      <c r="C346" s="1" t="s">
        <v>693</v>
      </c>
      <c r="D346" s="143" t="s">
        <v>211</v>
      </c>
      <c r="E346" s="143" t="s">
        <v>89</v>
      </c>
      <c r="F346" s="1" t="s">
        <v>694</v>
      </c>
      <c r="G346" s="1" t="s">
        <v>695</v>
      </c>
      <c r="H346" s="9">
        <v>0</v>
      </c>
      <c r="I346" s="9">
        <v>0</v>
      </c>
      <c r="J346" s="9">
        <v>0</v>
      </c>
      <c r="K346" s="9">
        <v>0</v>
      </c>
      <c r="L346" s="147">
        <v>0</v>
      </c>
    </row>
    <row r="347" spans="1:12" x14ac:dyDescent="0.2">
      <c r="A347" s="149">
        <v>39205</v>
      </c>
      <c r="B347" s="1" t="s">
        <v>693</v>
      </c>
      <c r="C347" s="1" t="s">
        <v>693</v>
      </c>
      <c r="D347" s="143" t="s">
        <v>240</v>
      </c>
      <c r="E347" s="143" t="s">
        <v>89</v>
      </c>
      <c r="F347" s="1" t="s">
        <v>694</v>
      </c>
      <c r="G347" s="1" t="s">
        <v>695</v>
      </c>
      <c r="H347" s="9">
        <v>0</v>
      </c>
      <c r="I347" s="9">
        <v>0</v>
      </c>
      <c r="J347" s="9">
        <v>0</v>
      </c>
      <c r="K347" s="9">
        <v>0</v>
      </c>
      <c r="L347" s="147">
        <v>0</v>
      </c>
    </row>
    <row r="348" spans="1:12" x14ac:dyDescent="0.2">
      <c r="A348" s="149">
        <v>39205</v>
      </c>
      <c r="B348" s="1" t="s">
        <v>693</v>
      </c>
      <c r="C348" s="1" t="s">
        <v>693</v>
      </c>
      <c r="D348" s="143" t="s">
        <v>272</v>
      </c>
      <c r="E348" s="143" t="s">
        <v>89</v>
      </c>
      <c r="F348" s="1" t="s">
        <v>694</v>
      </c>
      <c r="G348" s="1" t="s">
        <v>695</v>
      </c>
      <c r="H348" s="9">
        <v>0</v>
      </c>
      <c r="I348" s="9">
        <v>0</v>
      </c>
      <c r="J348" s="9">
        <v>0</v>
      </c>
      <c r="K348" s="9">
        <v>0</v>
      </c>
      <c r="L348" s="147">
        <v>0</v>
      </c>
    </row>
    <row r="349" spans="1:12" x14ac:dyDescent="0.2">
      <c r="A349" s="149">
        <v>39205</v>
      </c>
      <c r="B349" s="1" t="s">
        <v>693</v>
      </c>
      <c r="C349" s="1" t="s">
        <v>693</v>
      </c>
      <c r="D349" s="143" t="s">
        <v>302</v>
      </c>
      <c r="E349" s="143" t="s">
        <v>89</v>
      </c>
      <c r="F349" s="1" t="s">
        <v>694</v>
      </c>
      <c r="G349" s="1" t="s">
        <v>695</v>
      </c>
      <c r="H349" s="9">
        <v>0</v>
      </c>
      <c r="I349" s="9">
        <v>0</v>
      </c>
      <c r="J349" s="9">
        <v>0</v>
      </c>
      <c r="K349" s="9">
        <v>0</v>
      </c>
      <c r="L349" s="147">
        <v>0</v>
      </c>
    </row>
    <row r="350" spans="1:12" x14ac:dyDescent="0.2">
      <c r="A350" s="149">
        <v>39205</v>
      </c>
      <c r="B350" s="1" t="s">
        <v>693</v>
      </c>
      <c r="C350" s="1" t="s">
        <v>693</v>
      </c>
      <c r="D350" s="143" t="s">
        <v>332</v>
      </c>
      <c r="E350" s="143" t="s">
        <v>89</v>
      </c>
      <c r="F350" s="1" t="s">
        <v>694</v>
      </c>
      <c r="G350" s="1" t="s">
        <v>695</v>
      </c>
      <c r="H350" s="9">
        <v>0</v>
      </c>
      <c r="I350" s="9">
        <v>0</v>
      </c>
      <c r="J350" s="9">
        <v>0</v>
      </c>
      <c r="K350" s="9">
        <v>0</v>
      </c>
      <c r="L350" s="147">
        <v>0</v>
      </c>
    </row>
    <row r="351" spans="1:12" x14ac:dyDescent="0.2">
      <c r="A351" s="149">
        <v>39205</v>
      </c>
      <c r="B351" s="1" t="s">
        <v>693</v>
      </c>
      <c r="C351" s="1" t="s">
        <v>693</v>
      </c>
      <c r="D351" s="143" t="s">
        <v>362</v>
      </c>
      <c r="E351" s="143" t="s">
        <v>89</v>
      </c>
      <c r="F351" s="1" t="s">
        <v>694</v>
      </c>
      <c r="G351" s="1" t="s">
        <v>695</v>
      </c>
      <c r="H351" s="9">
        <v>0</v>
      </c>
      <c r="I351" s="9">
        <v>0</v>
      </c>
      <c r="J351" s="9">
        <v>0</v>
      </c>
      <c r="K351" s="9">
        <v>0</v>
      </c>
      <c r="L351" s="147">
        <v>0</v>
      </c>
    </row>
    <row r="352" spans="1:12" x14ac:dyDescent="0.2">
      <c r="A352" s="149">
        <v>39205</v>
      </c>
      <c r="B352" s="1" t="s">
        <v>693</v>
      </c>
      <c r="C352" s="1" t="s">
        <v>693</v>
      </c>
      <c r="D352" s="143" t="s">
        <v>394</v>
      </c>
      <c r="E352" s="143" t="s">
        <v>89</v>
      </c>
      <c r="F352" s="1" t="s">
        <v>694</v>
      </c>
      <c r="G352" s="1" t="s">
        <v>695</v>
      </c>
      <c r="H352" s="9">
        <v>0</v>
      </c>
      <c r="I352" s="9">
        <v>0</v>
      </c>
      <c r="J352" s="9">
        <v>0</v>
      </c>
      <c r="K352" s="9">
        <v>0</v>
      </c>
      <c r="L352" s="147">
        <v>0</v>
      </c>
    </row>
    <row r="353" spans="1:12" x14ac:dyDescent="0.2">
      <c r="A353" s="149">
        <v>39205</v>
      </c>
      <c r="B353" s="1" t="s">
        <v>693</v>
      </c>
      <c r="C353" s="1" t="s">
        <v>693</v>
      </c>
      <c r="D353" s="143" t="s">
        <v>422</v>
      </c>
      <c r="E353" s="143" t="s">
        <v>89</v>
      </c>
      <c r="F353" s="1" t="s">
        <v>694</v>
      </c>
      <c r="G353" s="1" t="s">
        <v>695</v>
      </c>
      <c r="H353" s="9">
        <v>0</v>
      </c>
      <c r="I353" s="9">
        <v>0</v>
      </c>
      <c r="J353" s="9">
        <v>0</v>
      </c>
      <c r="K353" s="9">
        <v>0</v>
      </c>
      <c r="L353" s="147">
        <v>0</v>
      </c>
    </row>
    <row r="354" spans="1:12" x14ac:dyDescent="0.2">
      <c r="A354" s="149">
        <v>39205</v>
      </c>
      <c r="B354" s="1" t="s">
        <v>693</v>
      </c>
      <c r="C354" s="1" t="s">
        <v>693</v>
      </c>
      <c r="D354" s="143" t="s">
        <v>504</v>
      </c>
      <c r="E354" s="143" t="s">
        <v>89</v>
      </c>
      <c r="F354" s="1" t="s">
        <v>694</v>
      </c>
      <c r="G354" s="1" t="s">
        <v>695</v>
      </c>
      <c r="H354" s="9">
        <v>0</v>
      </c>
      <c r="I354" s="9">
        <v>0</v>
      </c>
      <c r="J354" s="9">
        <v>0</v>
      </c>
      <c r="K354" s="9">
        <v>0</v>
      </c>
      <c r="L354" s="147">
        <v>0</v>
      </c>
    </row>
    <row r="355" spans="1:12" x14ac:dyDescent="0.2">
      <c r="A355" s="149">
        <v>39205</v>
      </c>
      <c r="B355" s="1" t="s">
        <v>693</v>
      </c>
      <c r="C355" s="1" t="s">
        <v>693</v>
      </c>
      <c r="D355" s="143" t="s">
        <v>540</v>
      </c>
      <c r="E355" s="143" t="s">
        <v>89</v>
      </c>
      <c r="F355" s="1" t="s">
        <v>694</v>
      </c>
      <c r="G355" s="1" t="s">
        <v>695</v>
      </c>
      <c r="H355" s="9">
        <v>0</v>
      </c>
      <c r="I355" s="9">
        <v>0</v>
      </c>
      <c r="J355" s="9">
        <v>0</v>
      </c>
      <c r="K355" s="9">
        <v>0</v>
      </c>
      <c r="L355" s="147">
        <v>0</v>
      </c>
    </row>
    <row r="356" spans="1:12" x14ac:dyDescent="0.2">
      <c r="A356" s="149">
        <v>39205</v>
      </c>
      <c r="B356" s="1" t="s">
        <v>693</v>
      </c>
      <c r="C356" s="1" t="s">
        <v>693</v>
      </c>
      <c r="D356" s="143" t="s">
        <v>577</v>
      </c>
      <c r="E356" s="143" t="s">
        <v>89</v>
      </c>
      <c r="F356" s="1" t="s">
        <v>694</v>
      </c>
      <c r="G356" s="1" t="s">
        <v>695</v>
      </c>
      <c r="H356" s="9">
        <v>0</v>
      </c>
      <c r="I356" s="9">
        <v>0</v>
      </c>
      <c r="J356" s="9">
        <v>0</v>
      </c>
      <c r="K356" s="9">
        <v>0</v>
      </c>
      <c r="L356" s="147">
        <v>0</v>
      </c>
    </row>
    <row r="357" spans="1:12" x14ac:dyDescent="0.2">
      <c r="A357" s="149">
        <v>39205</v>
      </c>
      <c r="B357" s="1" t="s">
        <v>693</v>
      </c>
      <c r="C357" s="1" t="s">
        <v>693</v>
      </c>
      <c r="D357" s="143" t="s">
        <v>605</v>
      </c>
      <c r="E357" s="143" t="s">
        <v>89</v>
      </c>
      <c r="F357" s="1" t="s">
        <v>694</v>
      </c>
      <c r="G357" s="1" t="s">
        <v>695</v>
      </c>
      <c r="H357" s="9">
        <v>0</v>
      </c>
      <c r="I357" s="9">
        <v>0</v>
      </c>
      <c r="J357" s="9">
        <v>0</v>
      </c>
      <c r="K357" s="9">
        <v>0</v>
      </c>
      <c r="L357" s="147">
        <v>0</v>
      </c>
    </row>
    <row r="358" spans="1:12" x14ac:dyDescent="0.2">
      <c r="A358" s="149">
        <v>39205</v>
      </c>
      <c r="B358" s="1" t="s">
        <v>693</v>
      </c>
      <c r="C358" s="1" t="s">
        <v>693</v>
      </c>
      <c r="D358" s="143" t="s">
        <v>639</v>
      </c>
      <c r="E358" s="143" t="s">
        <v>89</v>
      </c>
      <c r="F358" s="1" t="s">
        <v>694</v>
      </c>
      <c r="G358" s="1" t="s">
        <v>695</v>
      </c>
      <c r="H358" s="9">
        <v>0</v>
      </c>
      <c r="I358" s="9">
        <v>0</v>
      </c>
      <c r="J358" s="9">
        <v>0</v>
      </c>
      <c r="K358" s="9">
        <v>0</v>
      </c>
      <c r="L358" s="147">
        <v>0</v>
      </c>
    </row>
    <row r="359" spans="1:12" x14ac:dyDescent="0.2">
      <c r="A359" s="149">
        <v>39300</v>
      </c>
      <c r="B359" s="1" t="s">
        <v>693</v>
      </c>
      <c r="C359" s="1" t="s">
        <v>693</v>
      </c>
      <c r="D359" s="143" t="s">
        <v>212</v>
      </c>
      <c r="E359" s="143" t="s">
        <v>89</v>
      </c>
      <c r="F359" s="1" t="s">
        <v>694</v>
      </c>
      <c r="G359" s="1" t="s">
        <v>695</v>
      </c>
      <c r="H359" s="9">
        <v>0</v>
      </c>
      <c r="I359" s="9">
        <v>0</v>
      </c>
      <c r="J359" s="9">
        <v>0</v>
      </c>
      <c r="K359" s="9">
        <v>0</v>
      </c>
      <c r="L359" s="147">
        <v>0</v>
      </c>
    </row>
    <row r="360" spans="1:12" x14ac:dyDescent="0.2">
      <c r="A360" s="149">
        <v>39300</v>
      </c>
      <c r="B360" s="1" t="s">
        <v>693</v>
      </c>
      <c r="C360" s="1" t="s">
        <v>693</v>
      </c>
      <c r="D360" s="143" t="s">
        <v>241</v>
      </c>
      <c r="E360" s="143" t="s">
        <v>89</v>
      </c>
      <c r="F360" s="1" t="s">
        <v>694</v>
      </c>
      <c r="G360" s="1" t="s">
        <v>695</v>
      </c>
      <c r="H360" s="9">
        <v>0</v>
      </c>
      <c r="I360" s="9">
        <v>0</v>
      </c>
      <c r="J360" s="9">
        <v>0</v>
      </c>
      <c r="K360" s="9">
        <v>0</v>
      </c>
      <c r="L360" s="147">
        <v>0</v>
      </c>
    </row>
    <row r="361" spans="1:12" x14ac:dyDescent="0.2">
      <c r="A361" s="149">
        <v>39300</v>
      </c>
      <c r="B361" s="1" t="s">
        <v>693</v>
      </c>
      <c r="C361" s="1" t="s">
        <v>693</v>
      </c>
      <c r="D361" s="143" t="s">
        <v>273</v>
      </c>
      <c r="E361" s="143" t="s">
        <v>89</v>
      </c>
      <c r="F361" s="1" t="s">
        <v>694</v>
      </c>
      <c r="G361" s="1" t="s">
        <v>695</v>
      </c>
      <c r="H361" s="9">
        <v>0</v>
      </c>
      <c r="I361" s="9">
        <v>0</v>
      </c>
      <c r="J361" s="9">
        <v>0</v>
      </c>
      <c r="K361" s="9">
        <v>0</v>
      </c>
      <c r="L361" s="147">
        <v>0</v>
      </c>
    </row>
    <row r="362" spans="1:12" x14ac:dyDescent="0.2">
      <c r="A362" s="149">
        <v>39300</v>
      </c>
      <c r="B362" s="1" t="s">
        <v>693</v>
      </c>
      <c r="C362" s="1" t="s">
        <v>693</v>
      </c>
      <c r="D362" s="143" t="s">
        <v>303</v>
      </c>
      <c r="E362" s="143" t="s">
        <v>89</v>
      </c>
      <c r="F362" s="1" t="s">
        <v>694</v>
      </c>
      <c r="G362" s="1" t="s">
        <v>695</v>
      </c>
      <c r="H362" s="9">
        <v>0</v>
      </c>
      <c r="I362" s="9">
        <v>0</v>
      </c>
      <c r="J362" s="9">
        <v>0</v>
      </c>
      <c r="K362" s="9">
        <v>0</v>
      </c>
      <c r="L362" s="147">
        <v>0</v>
      </c>
    </row>
    <row r="363" spans="1:12" x14ac:dyDescent="0.2">
      <c r="A363" s="149">
        <v>39300</v>
      </c>
      <c r="B363" s="1" t="s">
        <v>693</v>
      </c>
      <c r="C363" s="1" t="s">
        <v>693</v>
      </c>
      <c r="D363" s="143" t="s">
        <v>333</v>
      </c>
      <c r="E363" s="143" t="s">
        <v>89</v>
      </c>
      <c r="F363" s="1" t="s">
        <v>694</v>
      </c>
      <c r="G363" s="1" t="s">
        <v>695</v>
      </c>
      <c r="H363" s="9">
        <v>0</v>
      </c>
      <c r="I363" s="9">
        <v>0</v>
      </c>
      <c r="J363" s="9">
        <v>0</v>
      </c>
      <c r="K363" s="9">
        <v>0</v>
      </c>
      <c r="L363" s="147">
        <v>0</v>
      </c>
    </row>
    <row r="364" spans="1:12" x14ac:dyDescent="0.2">
      <c r="A364" s="149">
        <v>39300</v>
      </c>
      <c r="B364" s="1" t="s">
        <v>693</v>
      </c>
      <c r="C364" s="1" t="s">
        <v>693</v>
      </c>
      <c r="D364" s="143" t="s">
        <v>363</v>
      </c>
      <c r="E364" s="143" t="s">
        <v>89</v>
      </c>
      <c r="F364" s="1" t="s">
        <v>694</v>
      </c>
      <c r="G364" s="1" t="s">
        <v>695</v>
      </c>
      <c r="H364" s="9">
        <v>0</v>
      </c>
      <c r="I364" s="9">
        <v>0</v>
      </c>
      <c r="J364" s="9">
        <v>0</v>
      </c>
      <c r="K364" s="9">
        <v>0</v>
      </c>
      <c r="L364" s="147">
        <v>0</v>
      </c>
    </row>
    <row r="365" spans="1:12" x14ac:dyDescent="0.2">
      <c r="A365" s="149">
        <v>39300</v>
      </c>
      <c r="B365" s="1" t="s">
        <v>693</v>
      </c>
      <c r="C365" s="1" t="s">
        <v>693</v>
      </c>
      <c r="D365" s="143" t="s">
        <v>395</v>
      </c>
      <c r="E365" s="143" t="s">
        <v>89</v>
      </c>
      <c r="F365" s="1" t="s">
        <v>694</v>
      </c>
      <c r="G365" s="1" t="s">
        <v>695</v>
      </c>
      <c r="H365" s="9">
        <v>0</v>
      </c>
      <c r="I365" s="9">
        <v>0</v>
      </c>
      <c r="J365" s="9">
        <v>0</v>
      </c>
      <c r="K365" s="9">
        <v>0</v>
      </c>
      <c r="L365" s="147">
        <v>0</v>
      </c>
    </row>
    <row r="366" spans="1:12" x14ac:dyDescent="0.2">
      <c r="A366" s="149">
        <v>39300</v>
      </c>
      <c r="B366" s="1" t="s">
        <v>693</v>
      </c>
      <c r="C366" s="1" t="s">
        <v>693</v>
      </c>
      <c r="D366" s="143" t="s">
        <v>668</v>
      </c>
      <c r="E366" s="143" t="s">
        <v>89</v>
      </c>
      <c r="F366" s="1" t="s">
        <v>694</v>
      </c>
      <c r="G366" s="1" t="s">
        <v>695</v>
      </c>
      <c r="H366" s="9">
        <v>0</v>
      </c>
      <c r="I366" s="9">
        <v>0</v>
      </c>
      <c r="J366" s="9">
        <v>0</v>
      </c>
      <c r="K366" s="9">
        <v>0</v>
      </c>
      <c r="L366" s="147">
        <v>0</v>
      </c>
    </row>
    <row r="367" spans="1:12" x14ac:dyDescent="0.2">
      <c r="A367" s="149">
        <v>39300</v>
      </c>
      <c r="B367" s="1" t="s">
        <v>693</v>
      </c>
      <c r="C367" s="1" t="s">
        <v>693</v>
      </c>
      <c r="D367" s="143" t="s">
        <v>505</v>
      </c>
      <c r="E367" s="143" t="s">
        <v>89</v>
      </c>
      <c r="F367" s="1" t="s">
        <v>694</v>
      </c>
      <c r="G367" s="1" t="s">
        <v>695</v>
      </c>
      <c r="H367" s="9">
        <v>0</v>
      </c>
      <c r="I367" s="9">
        <v>0</v>
      </c>
      <c r="J367" s="9">
        <v>0</v>
      </c>
      <c r="K367" s="9">
        <v>0</v>
      </c>
      <c r="L367" s="147">
        <v>0</v>
      </c>
    </row>
    <row r="368" spans="1:12" x14ac:dyDescent="0.2">
      <c r="A368" s="149">
        <v>39300</v>
      </c>
      <c r="B368" s="1" t="s">
        <v>693</v>
      </c>
      <c r="C368" s="1" t="s">
        <v>693</v>
      </c>
      <c r="D368" s="143" t="s">
        <v>606</v>
      </c>
      <c r="E368" s="143" t="s">
        <v>89</v>
      </c>
      <c r="F368" s="1" t="s">
        <v>694</v>
      </c>
      <c r="G368" s="1" t="s">
        <v>695</v>
      </c>
      <c r="H368" s="9">
        <v>0</v>
      </c>
      <c r="I368" s="9">
        <v>0</v>
      </c>
      <c r="J368" s="9">
        <v>0</v>
      </c>
      <c r="K368" s="9">
        <v>0</v>
      </c>
      <c r="L368" s="147">
        <v>0</v>
      </c>
    </row>
    <row r="369" spans="1:12" x14ac:dyDescent="0.2">
      <c r="A369" s="149">
        <v>39400</v>
      </c>
      <c r="B369" s="1" t="s">
        <v>693</v>
      </c>
      <c r="C369" s="1" t="s">
        <v>693</v>
      </c>
      <c r="D369" s="143" t="s">
        <v>304</v>
      </c>
      <c r="E369" s="143" t="s">
        <v>89</v>
      </c>
      <c r="F369" s="1" t="s">
        <v>694</v>
      </c>
      <c r="G369" s="1" t="s">
        <v>695</v>
      </c>
      <c r="H369" s="9">
        <v>-8991.2199999999993</v>
      </c>
      <c r="I369" s="9">
        <v>0</v>
      </c>
      <c r="J369" s="9">
        <v>0</v>
      </c>
      <c r="K369" s="9">
        <v>0</v>
      </c>
      <c r="L369" s="147">
        <v>-8991.2199999999993</v>
      </c>
    </row>
    <row r="370" spans="1:12" x14ac:dyDescent="0.2">
      <c r="A370" s="149">
        <v>39400</v>
      </c>
      <c r="B370" s="1" t="s">
        <v>693</v>
      </c>
      <c r="C370" s="1" t="s">
        <v>693</v>
      </c>
      <c r="D370" s="143" t="s">
        <v>213</v>
      </c>
      <c r="E370" s="143" t="s">
        <v>89</v>
      </c>
      <c r="F370" s="1" t="s">
        <v>694</v>
      </c>
      <c r="G370" s="1" t="s">
        <v>695</v>
      </c>
      <c r="H370" s="9">
        <v>0</v>
      </c>
      <c r="I370" s="9">
        <v>0</v>
      </c>
      <c r="J370" s="9">
        <v>0</v>
      </c>
      <c r="K370" s="9">
        <v>0</v>
      </c>
      <c r="L370" s="147">
        <v>0</v>
      </c>
    </row>
    <row r="371" spans="1:12" x14ac:dyDescent="0.2">
      <c r="A371" s="149">
        <v>39400</v>
      </c>
      <c r="B371" s="1" t="s">
        <v>693</v>
      </c>
      <c r="C371" s="1" t="s">
        <v>693</v>
      </c>
      <c r="D371" s="143" t="s">
        <v>242</v>
      </c>
      <c r="E371" s="143" t="s">
        <v>89</v>
      </c>
      <c r="F371" s="1" t="s">
        <v>694</v>
      </c>
      <c r="G371" s="1" t="s">
        <v>695</v>
      </c>
      <c r="H371" s="9">
        <v>0</v>
      </c>
      <c r="I371" s="9">
        <v>0</v>
      </c>
      <c r="J371" s="9">
        <v>0</v>
      </c>
      <c r="K371" s="9">
        <v>0</v>
      </c>
      <c r="L371" s="147">
        <v>0</v>
      </c>
    </row>
    <row r="372" spans="1:12" x14ac:dyDescent="0.2">
      <c r="A372" s="149">
        <v>39400</v>
      </c>
      <c r="B372" s="1" t="s">
        <v>693</v>
      </c>
      <c r="C372" s="1" t="s">
        <v>693</v>
      </c>
      <c r="D372" s="143" t="s">
        <v>274</v>
      </c>
      <c r="E372" s="143" t="s">
        <v>89</v>
      </c>
      <c r="F372" s="1" t="s">
        <v>694</v>
      </c>
      <c r="G372" s="1" t="s">
        <v>695</v>
      </c>
      <c r="H372" s="9">
        <v>0</v>
      </c>
      <c r="I372" s="9">
        <v>0</v>
      </c>
      <c r="J372" s="9">
        <v>0</v>
      </c>
      <c r="K372" s="9">
        <v>0</v>
      </c>
      <c r="L372" s="147">
        <v>0</v>
      </c>
    </row>
    <row r="373" spans="1:12" x14ac:dyDescent="0.2">
      <c r="A373" s="149">
        <v>39400</v>
      </c>
      <c r="B373" s="1" t="s">
        <v>693</v>
      </c>
      <c r="C373" s="1" t="s">
        <v>693</v>
      </c>
      <c r="D373" s="143" t="s">
        <v>334</v>
      </c>
      <c r="E373" s="143" t="s">
        <v>89</v>
      </c>
      <c r="F373" s="1" t="s">
        <v>694</v>
      </c>
      <c r="G373" s="1" t="s">
        <v>695</v>
      </c>
      <c r="H373" s="9">
        <v>0</v>
      </c>
      <c r="I373" s="9">
        <v>0</v>
      </c>
      <c r="J373" s="9">
        <v>0</v>
      </c>
      <c r="K373" s="9">
        <v>0</v>
      </c>
      <c r="L373" s="147">
        <v>0</v>
      </c>
    </row>
    <row r="374" spans="1:12" x14ac:dyDescent="0.2">
      <c r="A374" s="149">
        <v>39400</v>
      </c>
      <c r="B374" s="1" t="s">
        <v>693</v>
      </c>
      <c r="C374" s="1" t="s">
        <v>693</v>
      </c>
      <c r="D374" s="143" t="s">
        <v>364</v>
      </c>
      <c r="E374" s="143" t="s">
        <v>89</v>
      </c>
      <c r="F374" s="1" t="s">
        <v>694</v>
      </c>
      <c r="G374" s="1" t="s">
        <v>695</v>
      </c>
      <c r="H374" s="9">
        <v>0</v>
      </c>
      <c r="I374" s="9">
        <v>0</v>
      </c>
      <c r="J374" s="9">
        <v>0</v>
      </c>
      <c r="K374" s="9">
        <v>0</v>
      </c>
      <c r="L374" s="147">
        <v>0</v>
      </c>
    </row>
    <row r="375" spans="1:12" x14ac:dyDescent="0.2">
      <c r="A375" s="149">
        <v>39400</v>
      </c>
      <c r="B375" s="1" t="s">
        <v>693</v>
      </c>
      <c r="C375" s="1" t="s">
        <v>693</v>
      </c>
      <c r="D375" s="143" t="s">
        <v>396</v>
      </c>
      <c r="E375" s="143" t="s">
        <v>89</v>
      </c>
      <c r="F375" s="1" t="s">
        <v>694</v>
      </c>
      <c r="G375" s="1" t="s">
        <v>695</v>
      </c>
      <c r="H375" s="9">
        <v>0</v>
      </c>
      <c r="I375" s="9">
        <v>0</v>
      </c>
      <c r="J375" s="9">
        <v>0</v>
      </c>
      <c r="K375" s="9">
        <v>0</v>
      </c>
      <c r="L375" s="147">
        <v>0</v>
      </c>
    </row>
    <row r="376" spans="1:12" x14ac:dyDescent="0.2">
      <c r="A376" s="149">
        <v>39400</v>
      </c>
      <c r="B376" s="1" t="s">
        <v>693</v>
      </c>
      <c r="C376" s="1" t="s">
        <v>693</v>
      </c>
      <c r="D376" s="143" t="s">
        <v>423</v>
      </c>
      <c r="E376" s="143" t="s">
        <v>89</v>
      </c>
      <c r="F376" s="1" t="s">
        <v>694</v>
      </c>
      <c r="G376" s="1" t="s">
        <v>695</v>
      </c>
      <c r="H376" s="9">
        <v>0</v>
      </c>
      <c r="I376" s="9">
        <v>0</v>
      </c>
      <c r="J376" s="9">
        <v>0</v>
      </c>
      <c r="K376" s="9">
        <v>0</v>
      </c>
      <c r="L376" s="147">
        <v>0</v>
      </c>
    </row>
    <row r="377" spans="1:12" x14ac:dyDescent="0.2">
      <c r="A377" s="149">
        <v>39400</v>
      </c>
      <c r="B377" s="1" t="s">
        <v>693</v>
      </c>
      <c r="C377" s="1" t="s">
        <v>693</v>
      </c>
      <c r="D377" s="143" t="s">
        <v>448</v>
      </c>
      <c r="E377" s="143" t="s">
        <v>89</v>
      </c>
      <c r="F377" s="1" t="s">
        <v>694</v>
      </c>
      <c r="G377" s="1" t="s">
        <v>695</v>
      </c>
      <c r="H377" s="9">
        <v>0</v>
      </c>
      <c r="I377" s="9">
        <v>0</v>
      </c>
      <c r="J377" s="9">
        <v>0</v>
      </c>
      <c r="K377" s="9">
        <v>0</v>
      </c>
      <c r="L377" s="147">
        <v>0</v>
      </c>
    </row>
    <row r="378" spans="1:12" x14ac:dyDescent="0.2">
      <c r="A378" s="149">
        <v>39400</v>
      </c>
      <c r="B378" s="1" t="s">
        <v>693</v>
      </c>
      <c r="C378" s="1" t="s">
        <v>693</v>
      </c>
      <c r="D378" s="143" t="s">
        <v>475</v>
      </c>
      <c r="E378" s="143" t="s">
        <v>89</v>
      </c>
      <c r="F378" s="1" t="s">
        <v>694</v>
      </c>
      <c r="G378" s="1" t="s">
        <v>695</v>
      </c>
      <c r="H378" s="9">
        <v>0</v>
      </c>
      <c r="I378" s="9">
        <v>0</v>
      </c>
      <c r="J378" s="9">
        <v>0</v>
      </c>
      <c r="K378" s="9">
        <v>0</v>
      </c>
      <c r="L378" s="147">
        <v>0</v>
      </c>
    </row>
    <row r="379" spans="1:12" x14ac:dyDescent="0.2">
      <c r="A379" s="149">
        <v>39400</v>
      </c>
      <c r="B379" s="1" t="s">
        <v>693</v>
      </c>
      <c r="C379" s="1" t="s">
        <v>693</v>
      </c>
      <c r="D379" s="143" t="s">
        <v>506</v>
      </c>
      <c r="E379" s="143" t="s">
        <v>89</v>
      </c>
      <c r="F379" s="1" t="s">
        <v>694</v>
      </c>
      <c r="G379" s="1" t="s">
        <v>695</v>
      </c>
      <c r="H379" s="9">
        <v>0</v>
      </c>
      <c r="I379" s="9">
        <v>0</v>
      </c>
      <c r="J379" s="9">
        <v>0</v>
      </c>
      <c r="K379" s="9">
        <v>0</v>
      </c>
      <c r="L379" s="147">
        <v>0</v>
      </c>
    </row>
    <row r="380" spans="1:12" x14ac:dyDescent="0.2">
      <c r="A380" s="149">
        <v>39400</v>
      </c>
      <c r="B380" s="1" t="s">
        <v>693</v>
      </c>
      <c r="C380" s="1" t="s">
        <v>693</v>
      </c>
      <c r="D380" s="143" t="s">
        <v>541</v>
      </c>
      <c r="E380" s="143" t="s">
        <v>89</v>
      </c>
      <c r="F380" s="1" t="s">
        <v>694</v>
      </c>
      <c r="G380" s="1" t="s">
        <v>695</v>
      </c>
      <c r="H380" s="9">
        <v>0</v>
      </c>
      <c r="I380" s="9">
        <v>0</v>
      </c>
      <c r="J380" s="9">
        <v>0</v>
      </c>
      <c r="K380" s="9">
        <v>0</v>
      </c>
      <c r="L380" s="147">
        <v>0</v>
      </c>
    </row>
    <row r="381" spans="1:12" x14ac:dyDescent="0.2">
      <c r="A381" s="149">
        <v>39400</v>
      </c>
      <c r="B381" s="1" t="s">
        <v>693</v>
      </c>
      <c r="C381" s="1" t="s">
        <v>693</v>
      </c>
      <c r="D381" s="143" t="s">
        <v>578</v>
      </c>
      <c r="E381" s="143" t="s">
        <v>89</v>
      </c>
      <c r="F381" s="1" t="s">
        <v>694</v>
      </c>
      <c r="G381" s="1" t="s">
        <v>695</v>
      </c>
      <c r="H381" s="9">
        <v>0</v>
      </c>
      <c r="I381" s="9">
        <v>0</v>
      </c>
      <c r="J381" s="9">
        <v>0</v>
      </c>
      <c r="K381" s="9">
        <v>0</v>
      </c>
      <c r="L381" s="147">
        <v>0</v>
      </c>
    </row>
    <row r="382" spans="1:12" x14ac:dyDescent="0.2">
      <c r="A382" s="149">
        <v>39400</v>
      </c>
      <c r="B382" s="1" t="s">
        <v>693</v>
      </c>
      <c r="C382" s="1" t="s">
        <v>693</v>
      </c>
      <c r="D382" s="143" t="s">
        <v>607</v>
      </c>
      <c r="E382" s="143" t="s">
        <v>89</v>
      </c>
      <c r="F382" s="1" t="s">
        <v>694</v>
      </c>
      <c r="G382" s="1" t="s">
        <v>695</v>
      </c>
      <c r="H382" s="9">
        <v>0</v>
      </c>
      <c r="I382" s="9">
        <v>0</v>
      </c>
      <c r="J382" s="9">
        <v>0</v>
      </c>
      <c r="K382" s="9">
        <v>0</v>
      </c>
      <c r="L382" s="147">
        <v>0</v>
      </c>
    </row>
    <row r="383" spans="1:12" x14ac:dyDescent="0.2">
      <c r="A383" s="149">
        <v>39400</v>
      </c>
      <c r="B383" s="1" t="s">
        <v>693</v>
      </c>
      <c r="C383" s="1" t="s">
        <v>693</v>
      </c>
      <c r="D383" s="143" t="s">
        <v>640</v>
      </c>
      <c r="E383" s="143" t="s">
        <v>89</v>
      </c>
      <c r="F383" s="1" t="s">
        <v>694</v>
      </c>
      <c r="G383" s="1" t="s">
        <v>695</v>
      </c>
      <c r="H383" s="9">
        <v>0</v>
      </c>
      <c r="I383" s="9">
        <v>0</v>
      </c>
      <c r="J383" s="9">
        <v>0</v>
      </c>
      <c r="K383" s="9">
        <v>0</v>
      </c>
      <c r="L383" s="147">
        <v>0</v>
      </c>
    </row>
    <row r="384" spans="1:12" x14ac:dyDescent="0.2">
      <c r="A384" s="149">
        <v>39401</v>
      </c>
      <c r="B384" s="1" t="s">
        <v>693</v>
      </c>
      <c r="C384" s="1" t="s">
        <v>693</v>
      </c>
      <c r="D384" s="143" t="s">
        <v>665</v>
      </c>
      <c r="E384" s="143" t="s">
        <v>89</v>
      </c>
      <c r="F384" s="1" t="s">
        <v>694</v>
      </c>
      <c r="G384" s="1" t="s">
        <v>695</v>
      </c>
      <c r="H384" s="9">
        <v>0</v>
      </c>
      <c r="I384" s="9">
        <v>0</v>
      </c>
      <c r="J384" s="9">
        <v>0</v>
      </c>
      <c r="K384" s="9">
        <v>0</v>
      </c>
      <c r="L384" s="147">
        <v>0</v>
      </c>
    </row>
    <row r="385" spans="1:12" x14ac:dyDescent="0.2">
      <c r="A385" s="149">
        <v>39401</v>
      </c>
      <c r="B385" s="1" t="s">
        <v>693</v>
      </c>
      <c r="C385" s="1" t="s">
        <v>693</v>
      </c>
      <c r="D385" s="143" t="s">
        <v>542</v>
      </c>
      <c r="E385" s="143" t="s">
        <v>89</v>
      </c>
      <c r="F385" s="1" t="s">
        <v>694</v>
      </c>
      <c r="G385" s="1" t="s">
        <v>695</v>
      </c>
      <c r="H385" s="9">
        <v>0</v>
      </c>
      <c r="I385" s="9">
        <v>0</v>
      </c>
      <c r="J385" s="9">
        <v>0</v>
      </c>
      <c r="K385" s="9">
        <v>0</v>
      </c>
      <c r="L385" s="147">
        <v>0</v>
      </c>
    </row>
    <row r="386" spans="1:12" x14ac:dyDescent="0.2">
      <c r="A386" s="149">
        <v>39401</v>
      </c>
      <c r="B386" s="1" t="s">
        <v>693</v>
      </c>
      <c r="C386" s="1" t="s">
        <v>693</v>
      </c>
      <c r="D386" s="143" t="s">
        <v>579</v>
      </c>
      <c r="E386" s="143" t="s">
        <v>89</v>
      </c>
      <c r="F386" s="1" t="s">
        <v>694</v>
      </c>
      <c r="G386" s="1" t="s">
        <v>695</v>
      </c>
      <c r="H386" s="9">
        <v>0</v>
      </c>
      <c r="I386" s="9">
        <v>0</v>
      </c>
      <c r="J386" s="9">
        <v>0</v>
      </c>
      <c r="K386" s="9">
        <v>0</v>
      </c>
      <c r="L386" s="147">
        <v>0</v>
      </c>
    </row>
    <row r="387" spans="1:12" x14ac:dyDescent="0.2">
      <c r="A387" s="149">
        <v>39500</v>
      </c>
      <c r="B387" s="1" t="s">
        <v>693</v>
      </c>
      <c r="C387" s="1" t="s">
        <v>693</v>
      </c>
      <c r="D387" s="143" t="s">
        <v>214</v>
      </c>
      <c r="E387" s="143" t="s">
        <v>89</v>
      </c>
      <c r="F387" s="1" t="s">
        <v>694</v>
      </c>
      <c r="G387" s="1" t="s">
        <v>695</v>
      </c>
      <c r="H387" s="9">
        <v>0</v>
      </c>
      <c r="I387" s="9">
        <v>0</v>
      </c>
      <c r="J387" s="9">
        <v>0</v>
      </c>
      <c r="K387" s="9">
        <v>0</v>
      </c>
      <c r="L387" s="147">
        <v>0</v>
      </c>
    </row>
    <row r="388" spans="1:12" x14ac:dyDescent="0.2">
      <c r="A388" s="149">
        <v>39500</v>
      </c>
      <c r="B388" s="1" t="s">
        <v>693</v>
      </c>
      <c r="C388" s="1" t="s">
        <v>693</v>
      </c>
      <c r="D388" s="143" t="s">
        <v>243</v>
      </c>
      <c r="E388" s="143" t="s">
        <v>89</v>
      </c>
      <c r="F388" s="1" t="s">
        <v>694</v>
      </c>
      <c r="G388" s="1" t="s">
        <v>695</v>
      </c>
      <c r="H388" s="9">
        <v>0</v>
      </c>
      <c r="I388" s="9">
        <v>0</v>
      </c>
      <c r="J388" s="9">
        <v>0</v>
      </c>
      <c r="K388" s="9">
        <v>0</v>
      </c>
      <c r="L388" s="147">
        <v>0</v>
      </c>
    </row>
    <row r="389" spans="1:12" x14ac:dyDescent="0.2">
      <c r="A389" s="149">
        <v>39500</v>
      </c>
      <c r="B389" s="1" t="s">
        <v>693</v>
      </c>
      <c r="C389" s="1" t="s">
        <v>693</v>
      </c>
      <c r="D389" s="143" t="s">
        <v>543</v>
      </c>
      <c r="E389" s="143" t="s">
        <v>89</v>
      </c>
      <c r="F389" s="1" t="s">
        <v>694</v>
      </c>
      <c r="G389" s="1" t="s">
        <v>695</v>
      </c>
      <c r="H389" s="9">
        <v>0</v>
      </c>
      <c r="I389" s="9">
        <v>0</v>
      </c>
      <c r="J389" s="9">
        <v>0</v>
      </c>
      <c r="K389" s="9">
        <v>0</v>
      </c>
      <c r="L389" s="147">
        <v>0</v>
      </c>
    </row>
    <row r="390" spans="1:12" x14ac:dyDescent="0.2">
      <c r="A390" s="149">
        <v>39500</v>
      </c>
      <c r="B390" s="1" t="s">
        <v>693</v>
      </c>
      <c r="C390" s="1" t="s">
        <v>693</v>
      </c>
      <c r="D390" s="143" t="s">
        <v>641</v>
      </c>
      <c r="E390" s="143" t="s">
        <v>89</v>
      </c>
      <c r="F390" s="1" t="s">
        <v>694</v>
      </c>
      <c r="G390" s="1" t="s">
        <v>695</v>
      </c>
      <c r="H390" s="9">
        <v>0</v>
      </c>
      <c r="I390" s="9">
        <v>0</v>
      </c>
      <c r="J390" s="9">
        <v>0</v>
      </c>
      <c r="K390" s="9">
        <v>0</v>
      </c>
      <c r="L390" s="147">
        <v>0</v>
      </c>
    </row>
    <row r="391" spans="1:12" x14ac:dyDescent="0.2">
      <c r="A391" s="149">
        <v>39600</v>
      </c>
      <c r="B391" s="1" t="s">
        <v>693</v>
      </c>
      <c r="C391" s="1" t="s">
        <v>693</v>
      </c>
      <c r="D391" s="143" t="s">
        <v>365</v>
      </c>
      <c r="E391" s="143" t="s">
        <v>89</v>
      </c>
      <c r="F391" s="1" t="s">
        <v>694</v>
      </c>
      <c r="G391" s="1" t="s">
        <v>695</v>
      </c>
      <c r="H391" s="9">
        <v>-381.06</v>
      </c>
      <c r="I391" s="9">
        <v>0</v>
      </c>
      <c r="J391" s="9">
        <v>0</v>
      </c>
      <c r="K391" s="9">
        <v>0</v>
      </c>
      <c r="L391" s="147">
        <v>-381.06</v>
      </c>
    </row>
    <row r="392" spans="1:12" x14ac:dyDescent="0.2">
      <c r="A392" s="149">
        <v>39600</v>
      </c>
      <c r="B392" s="1" t="s">
        <v>693</v>
      </c>
      <c r="C392" s="1" t="s">
        <v>693</v>
      </c>
      <c r="D392" s="143" t="s">
        <v>244</v>
      </c>
      <c r="E392" s="143" t="s">
        <v>89</v>
      </c>
      <c r="F392" s="1" t="s">
        <v>694</v>
      </c>
      <c r="G392" s="1" t="s">
        <v>695</v>
      </c>
      <c r="H392" s="9">
        <v>0</v>
      </c>
      <c r="I392" s="9">
        <v>0</v>
      </c>
      <c r="J392" s="9">
        <v>0</v>
      </c>
      <c r="K392" s="9">
        <v>0</v>
      </c>
      <c r="L392" s="147">
        <v>0</v>
      </c>
    </row>
    <row r="393" spans="1:12" x14ac:dyDescent="0.2">
      <c r="A393" s="149">
        <v>39600</v>
      </c>
      <c r="B393" s="1" t="s">
        <v>693</v>
      </c>
      <c r="C393" s="1" t="s">
        <v>693</v>
      </c>
      <c r="D393" s="143" t="s">
        <v>275</v>
      </c>
      <c r="E393" s="143" t="s">
        <v>89</v>
      </c>
      <c r="F393" s="1" t="s">
        <v>694</v>
      </c>
      <c r="G393" s="1" t="s">
        <v>695</v>
      </c>
      <c r="H393" s="9">
        <v>0</v>
      </c>
      <c r="I393" s="9">
        <v>0</v>
      </c>
      <c r="J393" s="9">
        <v>0</v>
      </c>
      <c r="K393" s="9">
        <v>0</v>
      </c>
      <c r="L393" s="147">
        <v>0</v>
      </c>
    </row>
    <row r="394" spans="1:12" x14ac:dyDescent="0.2">
      <c r="A394" s="149">
        <v>39600</v>
      </c>
      <c r="B394" s="1" t="s">
        <v>693</v>
      </c>
      <c r="C394" s="1" t="s">
        <v>693</v>
      </c>
      <c r="D394" s="143" t="s">
        <v>305</v>
      </c>
      <c r="E394" s="143" t="s">
        <v>89</v>
      </c>
      <c r="F394" s="1" t="s">
        <v>694</v>
      </c>
      <c r="G394" s="1" t="s">
        <v>695</v>
      </c>
      <c r="H394" s="9">
        <v>0</v>
      </c>
      <c r="I394" s="9">
        <v>0</v>
      </c>
      <c r="J394" s="9">
        <v>0</v>
      </c>
      <c r="K394" s="9">
        <v>0</v>
      </c>
      <c r="L394" s="147">
        <v>0</v>
      </c>
    </row>
    <row r="395" spans="1:12" x14ac:dyDescent="0.2">
      <c r="A395" s="149">
        <v>39600</v>
      </c>
      <c r="B395" s="1" t="s">
        <v>693</v>
      </c>
      <c r="C395" s="1" t="s">
        <v>693</v>
      </c>
      <c r="D395" s="143" t="s">
        <v>335</v>
      </c>
      <c r="E395" s="143" t="s">
        <v>89</v>
      </c>
      <c r="F395" s="1" t="s">
        <v>694</v>
      </c>
      <c r="G395" s="1" t="s">
        <v>695</v>
      </c>
      <c r="H395" s="9">
        <v>0</v>
      </c>
      <c r="I395" s="9">
        <v>0</v>
      </c>
      <c r="J395" s="9">
        <v>0</v>
      </c>
      <c r="K395" s="9">
        <v>0</v>
      </c>
      <c r="L395" s="147">
        <v>0</v>
      </c>
    </row>
    <row r="396" spans="1:12" x14ac:dyDescent="0.2">
      <c r="A396" s="149">
        <v>39600</v>
      </c>
      <c r="B396" s="1" t="s">
        <v>693</v>
      </c>
      <c r="C396" s="1" t="s">
        <v>693</v>
      </c>
      <c r="D396" s="143" t="s">
        <v>397</v>
      </c>
      <c r="E396" s="143" t="s">
        <v>89</v>
      </c>
      <c r="F396" s="1" t="s">
        <v>694</v>
      </c>
      <c r="G396" s="1" t="s">
        <v>695</v>
      </c>
      <c r="H396" s="9">
        <v>0</v>
      </c>
      <c r="I396" s="9">
        <v>0</v>
      </c>
      <c r="J396" s="9">
        <v>0</v>
      </c>
      <c r="K396" s="9">
        <v>0</v>
      </c>
      <c r="L396" s="147">
        <v>0</v>
      </c>
    </row>
    <row r="397" spans="1:12" x14ac:dyDescent="0.2">
      <c r="A397" s="149">
        <v>39600</v>
      </c>
      <c r="B397" s="1" t="s">
        <v>693</v>
      </c>
      <c r="C397" s="1" t="s">
        <v>693</v>
      </c>
      <c r="D397" s="143" t="s">
        <v>424</v>
      </c>
      <c r="E397" s="143" t="s">
        <v>89</v>
      </c>
      <c r="F397" s="1" t="s">
        <v>694</v>
      </c>
      <c r="G397" s="1" t="s">
        <v>695</v>
      </c>
      <c r="H397" s="9">
        <v>0</v>
      </c>
      <c r="I397" s="9">
        <v>0</v>
      </c>
      <c r="J397" s="9">
        <v>0</v>
      </c>
      <c r="K397" s="9">
        <v>0</v>
      </c>
      <c r="L397" s="147">
        <v>0</v>
      </c>
    </row>
    <row r="398" spans="1:12" x14ac:dyDescent="0.2">
      <c r="A398" s="149">
        <v>39600</v>
      </c>
      <c r="B398" s="1" t="s">
        <v>693</v>
      </c>
      <c r="C398" s="1" t="s">
        <v>693</v>
      </c>
      <c r="D398" s="143" t="s">
        <v>449</v>
      </c>
      <c r="E398" s="143" t="s">
        <v>89</v>
      </c>
      <c r="F398" s="1" t="s">
        <v>694</v>
      </c>
      <c r="G398" s="1" t="s">
        <v>695</v>
      </c>
      <c r="H398" s="9">
        <v>0</v>
      </c>
      <c r="I398" s="9">
        <v>0</v>
      </c>
      <c r="J398" s="9">
        <v>0</v>
      </c>
      <c r="K398" s="9">
        <v>0</v>
      </c>
      <c r="L398" s="147">
        <v>0</v>
      </c>
    </row>
    <row r="399" spans="1:12" x14ac:dyDescent="0.2">
      <c r="A399" s="149">
        <v>39600</v>
      </c>
      <c r="B399" s="1" t="s">
        <v>693</v>
      </c>
      <c r="C399" s="1" t="s">
        <v>693</v>
      </c>
      <c r="D399" s="143" t="s">
        <v>476</v>
      </c>
      <c r="E399" s="143" t="s">
        <v>89</v>
      </c>
      <c r="F399" s="1" t="s">
        <v>694</v>
      </c>
      <c r="G399" s="1" t="s">
        <v>695</v>
      </c>
      <c r="H399" s="9">
        <v>0</v>
      </c>
      <c r="I399" s="9">
        <v>0</v>
      </c>
      <c r="J399" s="9">
        <v>0</v>
      </c>
      <c r="K399" s="9">
        <v>0</v>
      </c>
      <c r="L399" s="147">
        <v>0</v>
      </c>
    </row>
    <row r="400" spans="1:12" x14ac:dyDescent="0.2">
      <c r="A400" s="149">
        <v>39600</v>
      </c>
      <c r="B400" s="1" t="s">
        <v>693</v>
      </c>
      <c r="C400" s="1" t="s">
        <v>693</v>
      </c>
      <c r="D400" s="143" t="s">
        <v>507</v>
      </c>
      <c r="E400" s="143" t="s">
        <v>89</v>
      </c>
      <c r="F400" s="1" t="s">
        <v>694</v>
      </c>
      <c r="G400" s="1" t="s">
        <v>695</v>
      </c>
      <c r="H400" s="9">
        <v>0</v>
      </c>
      <c r="I400" s="9">
        <v>0</v>
      </c>
      <c r="J400" s="9">
        <v>0</v>
      </c>
      <c r="K400" s="9">
        <v>0</v>
      </c>
      <c r="L400" s="147">
        <v>0</v>
      </c>
    </row>
    <row r="401" spans="1:12" x14ac:dyDescent="0.2">
      <c r="A401" s="149">
        <v>39600</v>
      </c>
      <c r="B401" s="1" t="s">
        <v>693</v>
      </c>
      <c r="C401" s="1" t="s">
        <v>693</v>
      </c>
      <c r="D401" s="143" t="s">
        <v>544</v>
      </c>
      <c r="E401" s="143" t="s">
        <v>89</v>
      </c>
      <c r="F401" s="1" t="s">
        <v>694</v>
      </c>
      <c r="G401" s="1" t="s">
        <v>695</v>
      </c>
      <c r="H401" s="9">
        <v>0</v>
      </c>
      <c r="I401" s="9">
        <v>0</v>
      </c>
      <c r="J401" s="9">
        <v>0</v>
      </c>
      <c r="K401" s="9">
        <v>0</v>
      </c>
      <c r="L401" s="147">
        <v>0</v>
      </c>
    </row>
    <row r="402" spans="1:12" x14ac:dyDescent="0.2">
      <c r="A402" s="149">
        <v>39600</v>
      </c>
      <c r="B402" s="1" t="s">
        <v>693</v>
      </c>
      <c r="C402" s="1" t="s">
        <v>693</v>
      </c>
      <c r="D402" s="143" t="s">
        <v>580</v>
      </c>
      <c r="E402" s="143" t="s">
        <v>89</v>
      </c>
      <c r="F402" s="1" t="s">
        <v>694</v>
      </c>
      <c r="G402" s="1" t="s">
        <v>695</v>
      </c>
      <c r="H402" s="9">
        <v>0</v>
      </c>
      <c r="I402" s="9">
        <v>0</v>
      </c>
      <c r="J402" s="9">
        <v>0</v>
      </c>
      <c r="K402" s="9">
        <v>0</v>
      </c>
      <c r="L402" s="147">
        <v>0</v>
      </c>
    </row>
    <row r="403" spans="1:12" x14ac:dyDescent="0.2">
      <c r="A403" s="149">
        <v>39600</v>
      </c>
      <c r="B403" s="1" t="s">
        <v>693</v>
      </c>
      <c r="C403" s="1" t="s">
        <v>693</v>
      </c>
      <c r="D403" s="143" t="s">
        <v>608</v>
      </c>
      <c r="E403" s="143" t="s">
        <v>89</v>
      </c>
      <c r="F403" s="1" t="s">
        <v>694</v>
      </c>
      <c r="G403" s="1" t="s">
        <v>695</v>
      </c>
      <c r="H403" s="9">
        <v>0</v>
      </c>
      <c r="I403" s="9">
        <v>0</v>
      </c>
      <c r="J403" s="9">
        <v>0</v>
      </c>
      <c r="K403" s="9">
        <v>0</v>
      </c>
      <c r="L403" s="147">
        <v>0</v>
      </c>
    </row>
    <row r="404" spans="1:12" x14ac:dyDescent="0.2">
      <c r="A404" s="149">
        <v>39600</v>
      </c>
      <c r="B404" s="1" t="s">
        <v>693</v>
      </c>
      <c r="C404" s="1" t="s">
        <v>693</v>
      </c>
      <c r="D404" s="143" t="s">
        <v>642</v>
      </c>
      <c r="E404" s="143" t="s">
        <v>89</v>
      </c>
      <c r="F404" s="1" t="s">
        <v>694</v>
      </c>
      <c r="G404" s="1" t="s">
        <v>695</v>
      </c>
      <c r="H404" s="9">
        <v>0</v>
      </c>
      <c r="I404" s="9">
        <v>0</v>
      </c>
      <c r="J404" s="9">
        <v>0</v>
      </c>
      <c r="K404" s="9">
        <v>0</v>
      </c>
      <c r="L404" s="147">
        <v>0</v>
      </c>
    </row>
    <row r="405" spans="1:12" x14ac:dyDescent="0.2">
      <c r="A405" s="149">
        <v>39600</v>
      </c>
      <c r="B405" s="1" t="s">
        <v>693</v>
      </c>
      <c r="C405" s="1" t="s">
        <v>693</v>
      </c>
      <c r="D405" s="143" t="s">
        <v>215</v>
      </c>
      <c r="E405" s="143" t="s">
        <v>89</v>
      </c>
      <c r="F405" s="1" t="s">
        <v>694</v>
      </c>
      <c r="G405" s="1" t="s">
        <v>695</v>
      </c>
      <c r="H405" s="9">
        <v>191.61</v>
      </c>
      <c r="I405" s="9">
        <v>0</v>
      </c>
      <c r="J405" s="9">
        <v>0</v>
      </c>
      <c r="K405" s="9">
        <v>0</v>
      </c>
      <c r="L405" s="147">
        <v>191.61</v>
      </c>
    </row>
    <row r="406" spans="1:12" x14ac:dyDescent="0.2">
      <c r="A406" s="149">
        <v>39700</v>
      </c>
      <c r="B406" s="1" t="s">
        <v>693</v>
      </c>
      <c r="C406" s="1" t="s">
        <v>693</v>
      </c>
      <c r="D406" s="143" t="s">
        <v>216</v>
      </c>
      <c r="E406" s="143" t="s">
        <v>89</v>
      </c>
      <c r="F406" s="1" t="s">
        <v>694</v>
      </c>
      <c r="G406" s="1" t="s">
        <v>695</v>
      </c>
      <c r="H406" s="9">
        <v>0</v>
      </c>
      <c r="I406" s="9">
        <v>0</v>
      </c>
      <c r="J406" s="9">
        <v>0</v>
      </c>
      <c r="K406" s="9">
        <v>0</v>
      </c>
      <c r="L406" s="147">
        <v>0</v>
      </c>
    </row>
    <row r="407" spans="1:12" x14ac:dyDescent="0.2">
      <c r="A407" s="149">
        <v>39700</v>
      </c>
      <c r="B407" s="1" t="s">
        <v>693</v>
      </c>
      <c r="C407" s="1" t="s">
        <v>693</v>
      </c>
      <c r="D407" s="143" t="s">
        <v>245</v>
      </c>
      <c r="E407" s="143" t="s">
        <v>89</v>
      </c>
      <c r="F407" s="1" t="s">
        <v>694</v>
      </c>
      <c r="G407" s="1" t="s">
        <v>695</v>
      </c>
      <c r="H407" s="9">
        <v>0</v>
      </c>
      <c r="I407" s="9">
        <v>0</v>
      </c>
      <c r="J407" s="9">
        <v>0</v>
      </c>
      <c r="K407" s="9">
        <v>0</v>
      </c>
      <c r="L407" s="147">
        <v>0</v>
      </c>
    </row>
    <row r="408" spans="1:12" x14ac:dyDescent="0.2">
      <c r="A408" s="149">
        <v>39700</v>
      </c>
      <c r="B408" s="1" t="s">
        <v>693</v>
      </c>
      <c r="C408" s="1" t="s">
        <v>693</v>
      </c>
      <c r="D408" s="143" t="s">
        <v>276</v>
      </c>
      <c r="E408" s="143" t="s">
        <v>89</v>
      </c>
      <c r="F408" s="1" t="s">
        <v>694</v>
      </c>
      <c r="G408" s="1" t="s">
        <v>695</v>
      </c>
      <c r="H408" s="9">
        <v>0</v>
      </c>
      <c r="I408" s="9">
        <v>0</v>
      </c>
      <c r="J408" s="9">
        <v>0</v>
      </c>
      <c r="K408" s="9">
        <v>0</v>
      </c>
      <c r="L408" s="147">
        <v>0</v>
      </c>
    </row>
    <row r="409" spans="1:12" x14ac:dyDescent="0.2">
      <c r="A409" s="149">
        <v>39700</v>
      </c>
      <c r="B409" s="1" t="s">
        <v>693</v>
      </c>
      <c r="C409" s="1" t="s">
        <v>693</v>
      </c>
      <c r="D409" s="143" t="s">
        <v>306</v>
      </c>
      <c r="E409" s="143" t="s">
        <v>89</v>
      </c>
      <c r="F409" s="1" t="s">
        <v>694</v>
      </c>
      <c r="G409" s="1" t="s">
        <v>695</v>
      </c>
      <c r="H409" s="9">
        <v>0</v>
      </c>
      <c r="I409" s="9">
        <v>0</v>
      </c>
      <c r="J409" s="9">
        <v>0</v>
      </c>
      <c r="K409" s="9">
        <v>0</v>
      </c>
      <c r="L409" s="147">
        <v>0</v>
      </c>
    </row>
    <row r="410" spans="1:12" x14ac:dyDescent="0.2">
      <c r="A410" s="149">
        <v>39700</v>
      </c>
      <c r="B410" s="1" t="s">
        <v>693</v>
      </c>
      <c r="C410" s="1" t="s">
        <v>693</v>
      </c>
      <c r="D410" s="143" t="s">
        <v>336</v>
      </c>
      <c r="E410" s="143" t="s">
        <v>89</v>
      </c>
      <c r="F410" s="1" t="s">
        <v>694</v>
      </c>
      <c r="G410" s="1" t="s">
        <v>695</v>
      </c>
      <c r="H410" s="9">
        <v>0</v>
      </c>
      <c r="I410" s="9">
        <v>0</v>
      </c>
      <c r="J410" s="9">
        <v>0</v>
      </c>
      <c r="K410" s="9">
        <v>0</v>
      </c>
      <c r="L410" s="147">
        <v>0</v>
      </c>
    </row>
    <row r="411" spans="1:12" x14ac:dyDescent="0.2">
      <c r="A411" s="149">
        <v>39700</v>
      </c>
      <c r="B411" s="1" t="s">
        <v>693</v>
      </c>
      <c r="C411" s="1" t="s">
        <v>693</v>
      </c>
      <c r="D411" s="143" t="s">
        <v>366</v>
      </c>
      <c r="E411" s="143" t="s">
        <v>89</v>
      </c>
      <c r="F411" s="1" t="s">
        <v>694</v>
      </c>
      <c r="G411" s="1" t="s">
        <v>695</v>
      </c>
      <c r="H411" s="9">
        <v>0</v>
      </c>
      <c r="I411" s="9">
        <v>0</v>
      </c>
      <c r="J411" s="9">
        <v>0</v>
      </c>
      <c r="K411" s="9">
        <v>0</v>
      </c>
      <c r="L411" s="147">
        <v>0</v>
      </c>
    </row>
    <row r="412" spans="1:12" x14ac:dyDescent="0.2">
      <c r="A412" s="149">
        <v>39700</v>
      </c>
      <c r="B412" s="1" t="s">
        <v>693</v>
      </c>
      <c r="C412" s="1" t="s">
        <v>693</v>
      </c>
      <c r="D412" s="143" t="s">
        <v>398</v>
      </c>
      <c r="E412" s="143" t="s">
        <v>89</v>
      </c>
      <c r="F412" s="1" t="s">
        <v>694</v>
      </c>
      <c r="G412" s="1" t="s">
        <v>695</v>
      </c>
      <c r="H412" s="9">
        <v>0</v>
      </c>
      <c r="I412" s="9">
        <v>0</v>
      </c>
      <c r="J412" s="9">
        <v>0</v>
      </c>
      <c r="K412" s="9">
        <v>0</v>
      </c>
      <c r="L412" s="147">
        <v>0</v>
      </c>
    </row>
    <row r="413" spans="1:12" x14ac:dyDescent="0.2">
      <c r="A413" s="149">
        <v>39700</v>
      </c>
      <c r="B413" s="1" t="s">
        <v>693</v>
      </c>
      <c r="C413" s="1" t="s">
        <v>693</v>
      </c>
      <c r="D413" s="143" t="s">
        <v>425</v>
      </c>
      <c r="E413" s="143" t="s">
        <v>89</v>
      </c>
      <c r="F413" s="1" t="s">
        <v>694</v>
      </c>
      <c r="G413" s="1" t="s">
        <v>695</v>
      </c>
      <c r="H413" s="9">
        <v>0</v>
      </c>
      <c r="I413" s="9">
        <v>0</v>
      </c>
      <c r="J413" s="9">
        <v>0</v>
      </c>
      <c r="K413" s="9">
        <v>0</v>
      </c>
      <c r="L413" s="147">
        <v>0</v>
      </c>
    </row>
    <row r="414" spans="1:12" x14ac:dyDescent="0.2">
      <c r="A414" s="149">
        <v>39700</v>
      </c>
      <c r="B414" s="1" t="s">
        <v>693</v>
      </c>
      <c r="C414" s="1" t="s">
        <v>693</v>
      </c>
      <c r="D414" s="143" t="s">
        <v>450</v>
      </c>
      <c r="E414" s="143" t="s">
        <v>89</v>
      </c>
      <c r="F414" s="1" t="s">
        <v>694</v>
      </c>
      <c r="G414" s="1" t="s">
        <v>695</v>
      </c>
      <c r="H414" s="9">
        <v>0</v>
      </c>
      <c r="I414" s="9">
        <v>0</v>
      </c>
      <c r="J414" s="9">
        <v>0</v>
      </c>
      <c r="K414" s="9">
        <v>0</v>
      </c>
      <c r="L414" s="147">
        <v>0</v>
      </c>
    </row>
    <row r="415" spans="1:12" x14ac:dyDescent="0.2">
      <c r="A415" s="149">
        <v>39700</v>
      </c>
      <c r="B415" s="1" t="s">
        <v>693</v>
      </c>
      <c r="C415" s="1" t="s">
        <v>693</v>
      </c>
      <c r="D415" s="143" t="s">
        <v>477</v>
      </c>
      <c r="E415" s="143" t="s">
        <v>89</v>
      </c>
      <c r="F415" s="1" t="s">
        <v>694</v>
      </c>
      <c r="G415" s="1" t="s">
        <v>695</v>
      </c>
      <c r="H415" s="9">
        <v>0</v>
      </c>
      <c r="I415" s="9">
        <v>0</v>
      </c>
      <c r="J415" s="9">
        <v>0</v>
      </c>
      <c r="K415" s="9">
        <v>0</v>
      </c>
      <c r="L415" s="147">
        <v>0</v>
      </c>
    </row>
    <row r="416" spans="1:12" x14ac:dyDescent="0.2">
      <c r="A416" s="149">
        <v>39700</v>
      </c>
      <c r="B416" s="1" t="s">
        <v>693</v>
      </c>
      <c r="C416" s="1" t="s">
        <v>693</v>
      </c>
      <c r="D416" s="143" t="s">
        <v>508</v>
      </c>
      <c r="E416" s="143" t="s">
        <v>89</v>
      </c>
      <c r="F416" s="1" t="s">
        <v>694</v>
      </c>
      <c r="G416" s="1" t="s">
        <v>695</v>
      </c>
      <c r="H416" s="9">
        <v>0</v>
      </c>
      <c r="I416" s="9">
        <v>0</v>
      </c>
      <c r="J416" s="9">
        <v>0</v>
      </c>
      <c r="K416" s="9">
        <v>0</v>
      </c>
      <c r="L416" s="147">
        <v>0</v>
      </c>
    </row>
    <row r="417" spans="1:12" x14ac:dyDescent="0.2">
      <c r="A417" s="149">
        <v>39700</v>
      </c>
      <c r="B417" s="1" t="s">
        <v>693</v>
      </c>
      <c r="C417" s="1" t="s">
        <v>693</v>
      </c>
      <c r="D417" s="143" t="s">
        <v>545</v>
      </c>
      <c r="E417" s="143" t="s">
        <v>89</v>
      </c>
      <c r="F417" s="1" t="s">
        <v>694</v>
      </c>
      <c r="G417" s="1" t="s">
        <v>695</v>
      </c>
      <c r="H417" s="9">
        <v>0</v>
      </c>
      <c r="I417" s="9">
        <v>0</v>
      </c>
      <c r="J417" s="9">
        <v>0</v>
      </c>
      <c r="K417" s="9">
        <v>0</v>
      </c>
      <c r="L417" s="147">
        <v>0</v>
      </c>
    </row>
    <row r="418" spans="1:12" x14ac:dyDescent="0.2">
      <c r="A418" s="149">
        <v>39700</v>
      </c>
      <c r="B418" s="1" t="s">
        <v>693</v>
      </c>
      <c r="C418" s="1" t="s">
        <v>693</v>
      </c>
      <c r="D418" s="143" t="s">
        <v>581</v>
      </c>
      <c r="E418" s="143" t="s">
        <v>89</v>
      </c>
      <c r="F418" s="1" t="s">
        <v>694</v>
      </c>
      <c r="G418" s="1" t="s">
        <v>695</v>
      </c>
      <c r="H418" s="9">
        <v>0</v>
      </c>
      <c r="I418" s="9">
        <v>0</v>
      </c>
      <c r="J418" s="9">
        <v>0</v>
      </c>
      <c r="K418" s="9">
        <v>0</v>
      </c>
      <c r="L418" s="147">
        <v>0</v>
      </c>
    </row>
    <row r="419" spans="1:12" x14ac:dyDescent="0.2">
      <c r="A419" s="149">
        <v>39700</v>
      </c>
      <c r="B419" s="1" t="s">
        <v>693</v>
      </c>
      <c r="C419" s="1" t="s">
        <v>693</v>
      </c>
      <c r="D419" s="143" t="s">
        <v>609</v>
      </c>
      <c r="E419" s="143" t="s">
        <v>89</v>
      </c>
      <c r="F419" s="1" t="s">
        <v>694</v>
      </c>
      <c r="G419" s="1" t="s">
        <v>695</v>
      </c>
      <c r="H419" s="9">
        <v>0</v>
      </c>
      <c r="I419" s="9">
        <v>0</v>
      </c>
      <c r="J419" s="9">
        <v>0</v>
      </c>
      <c r="K419" s="9">
        <v>0</v>
      </c>
      <c r="L419" s="147">
        <v>0</v>
      </c>
    </row>
    <row r="420" spans="1:12" x14ac:dyDescent="0.2">
      <c r="A420" s="149">
        <v>39700</v>
      </c>
      <c r="B420" s="1" t="s">
        <v>693</v>
      </c>
      <c r="C420" s="1" t="s">
        <v>693</v>
      </c>
      <c r="D420" s="143" t="s">
        <v>616</v>
      </c>
      <c r="E420" s="143" t="s">
        <v>89</v>
      </c>
      <c r="F420" s="1" t="s">
        <v>694</v>
      </c>
      <c r="G420" s="1" t="s">
        <v>695</v>
      </c>
      <c r="H420" s="9">
        <v>0</v>
      </c>
      <c r="I420" s="9">
        <v>0</v>
      </c>
      <c r="J420" s="9">
        <v>0</v>
      </c>
      <c r="K420" s="9">
        <v>0</v>
      </c>
      <c r="L420" s="147">
        <v>0</v>
      </c>
    </row>
    <row r="421" spans="1:12" x14ac:dyDescent="0.2">
      <c r="A421" s="149">
        <v>39700</v>
      </c>
      <c r="B421" s="1" t="s">
        <v>693</v>
      </c>
      <c r="C421" s="1" t="s">
        <v>693</v>
      </c>
      <c r="D421" s="143" t="s">
        <v>643</v>
      </c>
      <c r="E421" s="143" t="s">
        <v>89</v>
      </c>
      <c r="F421" s="1" t="s">
        <v>694</v>
      </c>
      <c r="G421" s="1" t="s">
        <v>695</v>
      </c>
      <c r="H421" s="9">
        <v>0</v>
      </c>
      <c r="I421" s="9">
        <v>0</v>
      </c>
      <c r="J421" s="9">
        <v>0</v>
      </c>
      <c r="K421" s="9">
        <v>0</v>
      </c>
      <c r="L421" s="147">
        <v>0</v>
      </c>
    </row>
    <row r="422" spans="1:12" x14ac:dyDescent="0.2">
      <c r="A422" s="149">
        <v>39800</v>
      </c>
      <c r="B422" s="1" t="s">
        <v>693</v>
      </c>
      <c r="C422" s="1" t="s">
        <v>693</v>
      </c>
      <c r="D422" s="143" t="s">
        <v>217</v>
      </c>
      <c r="E422" s="143" t="s">
        <v>89</v>
      </c>
      <c r="F422" s="1" t="s">
        <v>694</v>
      </c>
      <c r="G422" s="1" t="s">
        <v>695</v>
      </c>
      <c r="H422" s="9">
        <v>0</v>
      </c>
      <c r="I422" s="9">
        <v>0</v>
      </c>
      <c r="J422" s="9">
        <v>0</v>
      </c>
      <c r="K422" s="9">
        <v>0</v>
      </c>
      <c r="L422" s="147">
        <v>0</v>
      </c>
    </row>
    <row r="423" spans="1:12" x14ac:dyDescent="0.2">
      <c r="A423" s="149">
        <v>39800</v>
      </c>
      <c r="B423" s="1" t="s">
        <v>693</v>
      </c>
      <c r="C423" s="1" t="s">
        <v>693</v>
      </c>
      <c r="D423" s="143" t="s">
        <v>246</v>
      </c>
      <c r="E423" s="143" t="s">
        <v>89</v>
      </c>
      <c r="F423" s="1" t="s">
        <v>694</v>
      </c>
      <c r="G423" s="1" t="s">
        <v>695</v>
      </c>
      <c r="H423" s="9">
        <v>0</v>
      </c>
      <c r="I423" s="9">
        <v>0</v>
      </c>
      <c r="J423" s="9">
        <v>0</v>
      </c>
      <c r="K423" s="9">
        <v>0</v>
      </c>
      <c r="L423" s="147">
        <v>0</v>
      </c>
    </row>
    <row r="424" spans="1:12" x14ac:dyDescent="0.2">
      <c r="A424" s="149">
        <v>39800</v>
      </c>
      <c r="B424" s="1" t="s">
        <v>693</v>
      </c>
      <c r="C424" s="1" t="s">
        <v>693</v>
      </c>
      <c r="D424" s="143" t="s">
        <v>277</v>
      </c>
      <c r="E424" s="143" t="s">
        <v>89</v>
      </c>
      <c r="F424" s="1" t="s">
        <v>694</v>
      </c>
      <c r="G424" s="1" t="s">
        <v>695</v>
      </c>
      <c r="H424" s="9">
        <v>0</v>
      </c>
      <c r="I424" s="9">
        <v>0</v>
      </c>
      <c r="J424" s="9">
        <v>0</v>
      </c>
      <c r="K424" s="9">
        <v>0</v>
      </c>
      <c r="L424" s="147">
        <v>0</v>
      </c>
    </row>
    <row r="425" spans="1:12" x14ac:dyDescent="0.2">
      <c r="A425" s="149">
        <v>39800</v>
      </c>
      <c r="B425" s="1" t="s">
        <v>693</v>
      </c>
      <c r="C425" s="1" t="s">
        <v>693</v>
      </c>
      <c r="D425" s="143" t="s">
        <v>307</v>
      </c>
      <c r="E425" s="143" t="s">
        <v>89</v>
      </c>
      <c r="F425" s="1" t="s">
        <v>694</v>
      </c>
      <c r="G425" s="1" t="s">
        <v>695</v>
      </c>
      <c r="H425" s="9">
        <v>0</v>
      </c>
      <c r="I425" s="9">
        <v>0</v>
      </c>
      <c r="J425" s="9">
        <v>0</v>
      </c>
      <c r="K425" s="9">
        <v>0</v>
      </c>
      <c r="L425" s="147">
        <v>0</v>
      </c>
    </row>
    <row r="426" spans="1:12" x14ac:dyDescent="0.2">
      <c r="A426" s="149">
        <v>39800</v>
      </c>
      <c r="B426" s="1" t="s">
        <v>693</v>
      </c>
      <c r="C426" s="1" t="s">
        <v>693</v>
      </c>
      <c r="D426" s="143" t="s">
        <v>337</v>
      </c>
      <c r="E426" s="143" t="s">
        <v>89</v>
      </c>
      <c r="F426" s="1" t="s">
        <v>694</v>
      </c>
      <c r="G426" s="1" t="s">
        <v>695</v>
      </c>
      <c r="H426" s="9">
        <v>0</v>
      </c>
      <c r="I426" s="9">
        <v>0</v>
      </c>
      <c r="J426" s="9">
        <v>0</v>
      </c>
      <c r="K426" s="9">
        <v>0</v>
      </c>
      <c r="L426" s="147">
        <v>0</v>
      </c>
    </row>
    <row r="427" spans="1:12" x14ac:dyDescent="0.2">
      <c r="A427" s="149">
        <v>39800</v>
      </c>
      <c r="B427" s="1" t="s">
        <v>693</v>
      </c>
      <c r="C427" s="1" t="s">
        <v>693</v>
      </c>
      <c r="D427" s="143" t="s">
        <v>367</v>
      </c>
      <c r="E427" s="143" t="s">
        <v>89</v>
      </c>
      <c r="F427" s="1" t="s">
        <v>694</v>
      </c>
      <c r="G427" s="1" t="s">
        <v>695</v>
      </c>
      <c r="H427" s="9">
        <v>0</v>
      </c>
      <c r="I427" s="9">
        <v>0</v>
      </c>
      <c r="J427" s="9">
        <v>0</v>
      </c>
      <c r="K427" s="9">
        <v>0</v>
      </c>
      <c r="L427" s="147">
        <v>0</v>
      </c>
    </row>
    <row r="428" spans="1:12" x14ac:dyDescent="0.2">
      <c r="A428" s="149">
        <v>39800</v>
      </c>
      <c r="B428" s="1" t="s">
        <v>693</v>
      </c>
      <c r="C428" s="1" t="s">
        <v>693</v>
      </c>
      <c r="D428" s="143" t="s">
        <v>399</v>
      </c>
      <c r="E428" s="143" t="s">
        <v>89</v>
      </c>
      <c r="F428" s="1" t="s">
        <v>694</v>
      </c>
      <c r="G428" s="1" t="s">
        <v>695</v>
      </c>
      <c r="H428" s="9">
        <v>0</v>
      </c>
      <c r="I428" s="9">
        <v>0</v>
      </c>
      <c r="J428" s="9">
        <v>0</v>
      </c>
      <c r="K428" s="9">
        <v>0</v>
      </c>
      <c r="L428" s="147">
        <v>0</v>
      </c>
    </row>
    <row r="429" spans="1:12" x14ac:dyDescent="0.2">
      <c r="A429" s="149">
        <v>39800</v>
      </c>
      <c r="B429" s="1" t="s">
        <v>693</v>
      </c>
      <c r="C429" s="1" t="s">
        <v>693</v>
      </c>
      <c r="D429" s="143" t="s">
        <v>426</v>
      </c>
      <c r="E429" s="143" t="s">
        <v>89</v>
      </c>
      <c r="F429" s="1" t="s">
        <v>694</v>
      </c>
      <c r="G429" s="1" t="s">
        <v>695</v>
      </c>
      <c r="H429" s="9">
        <v>0</v>
      </c>
      <c r="I429" s="9">
        <v>0</v>
      </c>
      <c r="J429" s="9">
        <v>0</v>
      </c>
      <c r="K429" s="9">
        <v>0</v>
      </c>
      <c r="L429" s="147">
        <v>0</v>
      </c>
    </row>
    <row r="430" spans="1:12" x14ac:dyDescent="0.2">
      <c r="A430" s="149">
        <v>39800</v>
      </c>
      <c r="B430" s="1" t="s">
        <v>693</v>
      </c>
      <c r="C430" s="1" t="s">
        <v>693</v>
      </c>
      <c r="D430" s="143" t="s">
        <v>451</v>
      </c>
      <c r="E430" s="143" t="s">
        <v>89</v>
      </c>
      <c r="F430" s="1" t="s">
        <v>694</v>
      </c>
      <c r="G430" s="1" t="s">
        <v>695</v>
      </c>
      <c r="H430" s="9">
        <v>0</v>
      </c>
      <c r="I430" s="9">
        <v>0</v>
      </c>
      <c r="J430" s="9">
        <v>0</v>
      </c>
      <c r="K430" s="9">
        <v>0</v>
      </c>
      <c r="L430" s="147">
        <v>0</v>
      </c>
    </row>
    <row r="431" spans="1:12" x14ac:dyDescent="0.2">
      <c r="A431" s="149">
        <v>39800</v>
      </c>
      <c r="B431" s="1" t="s">
        <v>693</v>
      </c>
      <c r="C431" s="1" t="s">
        <v>693</v>
      </c>
      <c r="D431" s="143" t="s">
        <v>478</v>
      </c>
      <c r="E431" s="143" t="s">
        <v>89</v>
      </c>
      <c r="F431" s="1" t="s">
        <v>694</v>
      </c>
      <c r="G431" s="1" t="s">
        <v>695</v>
      </c>
      <c r="H431" s="9">
        <v>0</v>
      </c>
      <c r="I431" s="9">
        <v>0</v>
      </c>
      <c r="J431" s="9">
        <v>0</v>
      </c>
      <c r="K431" s="9">
        <v>0</v>
      </c>
      <c r="L431" s="147">
        <v>0</v>
      </c>
    </row>
    <row r="432" spans="1:12" x14ac:dyDescent="0.2">
      <c r="A432" s="149">
        <v>39800</v>
      </c>
      <c r="B432" s="1" t="s">
        <v>693</v>
      </c>
      <c r="C432" s="1" t="s">
        <v>693</v>
      </c>
      <c r="D432" s="143" t="s">
        <v>509</v>
      </c>
      <c r="E432" s="143" t="s">
        <v>89</v>
      </c>
      <c r="F432" s="1" t="s">
        <v>694</v>
      </c>
      <c r="G432" s="1" t="s">
        <v>695</v>
      </c>
      <c r="H432" s="9">
        <v>0</v>
      </c>
      <c r="I432" s="9">
        <v>0</v>
      </c>
      <c r="J432" s="9">
        <v>0</v>
      </c>
      <c r="K432" s="9">
        <v>0</v>
      </c>
      <c r="L432" s="147">
        <v>0</v>
      </c>
    </row>
    <row r="433" spans="1:12" x14ac:dyDescent="0.2">
      <c r="A433" s="149">
        <v>39800</v>
      </c>
      <c r="B433" s="1" t="s">
        <v>693</v>
      </c>
      <c r="C433" s="1" t="s">
        <v>693</v>
      </c>
      <c r="D433" s="143" t="s">
        <v>546</v>
      </c>
      <c r="E433" s="143" t="s">
        <v>89</v>
      </c>
      <c r="F433" s="1" t="s">
        <v>694</v>
      </c>
      <c r="G433" s="1" t="s">
        <v>695</v>
      </c>
      <c r="H433" s="9">
        <v>0</v>
      </c>
      <c r="I433" s="9">
        <v>0</v>
      </c>
      <c r="J433" s="9">
        <v>0</v>
      </c>
      <c r="K433" s="9">
        <v>0</v>
      </c>
      <c r="L433" s="147">
        <v>0</v>
      </c>
    </row>
    <row r="434" spans="1:12" x14ac:dyDescent="0.2">
      <c r="A434" s="149">
        <v>39800</v>
      </c>
      <c r="B434" s="1" t="s">
        <v>693</v>
      </c>
      <c r="C434" s="1" t="s">
        <v>693</v>
      </c>
      <c r="D434" s="143" t="s">
        <v>582</v>
      </c>
      <c r="E434" s="143" t="s">
        <v>89</v>
      </c>
      <c r="F434" s="1" t="s">
        <v>694</v>
      </c>
      <c r="G434" s="1" t="s">
        <v>695</v>
      </c>
      <c r="H434" s="9">
        <v>0</v>
      </c>
      <c r="I434" s="9">
        <v>0</v>
      </c>
      <c r="J434" s="9">
        <v>0</v>
      </c>
      <c r="K434" s="9">
        <v>0</v>
      </c>
      <c r="L434" s="147">
        <v>0</v>
      </c>
    </row>
    <row r="435" spans="1:12" x14ac:dyDescent="0.2">
      <c r="A435" s="149">
        <v>39800</v>
      </c>
      <c r="B435" s="1" t="s">
        <v>693</v>
      </c>
      <c r="C435" s="1" t="s">
        <v>693</v>
      </c>
      <c r="D435" s="143" t="s">
        <v>610</v>
      </c>
      <c r="E435" s="143" t="s">
        <v>89</v>
      </c>
      <c r="F435" s="1" t="s">
        <v>694</v>
      </c>
      <c r="G435" s="1" t="s">
        <v>695</v>
      </c>
      <c r="H435" s="9">
        <v>0</v>
      </c>
      <c r="I435" s="9">
        <v>0</v>
      </c>
      <c r="J435" s="9">
        <v>0</v>
      </c>
      <c r="K435" s="9">
        <v>0</v>
      </c>
      <c r="L435" s="147">
        <v>0</v>
      </c>
    </row>
    <row r="436" spans="1:12" x14ac:dyDescent="0.2">
      <c r="A436" s="149">
        <v>39800</v>
      </c>
      <c r="B436" s="1" t="s">
        <v>693</v>
      </c>
      <c r="C436" s="1" t="s">
        <v>693</v>
      </c>
      <c r="D436" s="143" t="s">
        <v>644</v>
      </c>
      <c r="E436" s="143" t="s">
        <v>89</v>
      </c>
      <c r="F436" s="1" t="s">
        <v>694</v>
      </c>
      <c r="G436" s="1" t="s">
        <v>695</v>
      </c>
      <c r="H436" s="9">
        <v>0</v>
      </c>
      <c r="I436" s="9">
        <v>0</v>
      </c>
      <c r="J436" s="9">
        <v>0</v>
      </c>
      <c r="K436" s="9">
        <v>0</v>
      </c>
      <c r="L436" s="147">
        <v>0</v>
      </c>
    </row>
    <row r="437" spans="1:12" x14ac:dyDescent="0.2">
      <c r="A437" s="149">
        <v>38101</v>
      </c>
      <c r="B437" s="1" t="s">
        <v>693</v>
      </c>
      <c r="C437" s="1" t="s">
        <v>693</v>
      </c>
      <c r="D437" s="143" t="s">
        <v>563</v>
      </c>
      <c r="E437" s="143" t="s">
        <v>89</v>
      </c>
      <c r="F437" s="1" t="s">
        <v>694</v>
      </c>
      <c r="G437" s="1" t="s">
        <v>695</v>
      </c>
      <c r="H437" s="9">
        <v>-15.68</v>
      </c>
      <c r="I437" s="9">
        <v>-0.56000000000000005</v>
      </c>
      <c r="J437" s="9">
        <v>0</v>
      </c>
      <c r="K437" s="9">
        <v>0</v>
      </c>
      <c r="L437" s="147">
        <v>-16.239999999999998</v>
      </c>
    </row>
    <row r="438" spans="1:12" x14ac:dyDescent="0.2">
      <c r="A438" s="149">
        <v>10500</v>
      </c>
      <c r="B438" s="1" t="s">
        <v>693</v>
      </c>
      <c r="C438" s="1" t="s">
        <v>693</v>
      </c>
      <c r="D438" s="143" t="s">
        <v>664</v>
      </c>
      <c r="E438" s="143" t="s">
        <v>89</v>
      </c>
      <c r="F438" s="1" t="s">
        <v>694</v>
      </c>
      <c r="G438" s="1" t="s">
        <v>695</v>
      </c>
      <c r="H438" s="9">
        <v>0</v>
      </c>
      <c r="I438" s="9">
        <v>0</v>
      </c>
      <c r="J438" s="9">
        <v>0</v>
      </c>
      <c r="K438" s="9">
        <v>0</v>
      </c>
      <c r="L438" s="147">
        <v>0</v>
      </c>
    </row>
    <row r="439" spans="1:12" x14ac:dyDescent="0.2">
      <c r="A439" s="149">
        <v>10500</v>
      </c>
      <c r="B439" s="1" t="s">
        <v>693</v>
      </c>
      <c r="C439" s="1" t="s">
        <v>693</v>
      </c>
      <c r="D439" s="143" t="s">
        <v>667</v>
      </c>
      <c r="E439" s="143" t="s">
        <v>89</v>
      </c>
      <c r="F439" s="1" t="s">
        <v>694</v>
      </c>
      <c r="G439" s="1" t="s">
        <v>695</v>
      </c>
      <c r="H439" s="9">
        <v>0</v>
      </c>
      <c r="I439" s="9">
        <v>0</v>
      </c>
      <c r="J439" s="9">
        <v>0</v>
      </c>
      <c r="K439" s="9">
        <v>0</v>
      </c>
      <c r="L439" s="147">
        <v>0</v>
      </c>
    </row>
    <row r="440" spans="1:12" x14ac:dyDescent="0.2">
      <c r="A440" s="149">
        <v>11500</v>
      </c>
      <c r="B440" s="1" t="s">
        <v>693</v>
      </c>
      <c r="C440" s="1" t="s">
        <v>693</v>
      </c>
      <c r="D440" s="143" t="s">
        <v>670</v>
      </c>
      <c r="E440" s="143" t="s">
        <v>89</v>
      </c>
      <c r="F440" s="1" t="s">
        <v>694</v>
      </c>
      <c r="G440" s="1" t="s">
        <v>696</v>
      </c>
      <c r="H440" s="9">
        <v>0</v>
      </c>
      <c r="I440" s="9">
        <v>0</v>
      </c>
      <c r="J440" s="9">
        <v>0</v>
      </c>
      <c r="K440" s="9">
        <v>0</v>
      </c>
      <c r="L440" s="147">
        <v>0</v>
      </c>
    </row>
    <row r="441" spans="1:12" x14ac:dyDescent="0.2">
      <c r="A441" s="149">
        <v>37400</v>
      </c>
      <c r="B441" s="1" t="s">
        <v>693</v>
      </c>
      <c r="C441" s="1" t="s">
        <v>693</v>
      </c>
      <c r="D441" s="143" t="s">
        <v>188</v>
      </c>
      <c r="E441" s="143" t="s">
        <v>89</v>
      </c>
      <c r="F441" s="1" t="s">
        <v>694</v>
      </c>
      <c r="G441" s="1" t="s">
        <v>695</v>
      </c>
      <c r="H441" s="9">
        <v>0</v>
      </c>
      <c r="I441" s="9">
        <v>0</v>
      </c>
      <c r="J441" s="9">
        <v>0</v>
      </c>
      <c r="K441" s="9">
        <v>0</v>
      </c>
      <c r="L441" s="147">
        <v>0</v>
      </c>
    </row>
    <row r="442" spans="1:12" x14ac:dyDescent="0.2">
      <c r="A442" s="149">
        <v>37400</v>
      </c>
      <c r="B442" s="1" t="s">
        <v>693</v>
      </c>
      <c r="C442" s="1" t="s">
        <v>693</v>
      </c>
      <c r="D442" s="143" t="s">
        <v>219</v>
      </c>
      <c r="E442" s="143" t="s">
        <v>89</v>
      </c>
      <c r="F442" s="1" t="s">
        <v>694</v>
      </c>
      <c r="G442" s="1" t="s">
        <v>695</v>
      </c>
      <c r="H442" s="9">
        <v>0</v>
      </c>
      <c r="I442" s="9">
        <v>0</v>
      </c>
      <c r="J442" s="9">
        <v>0</v>
      </c>
      <c r="K442" s="9">
        <v>0</v>
      </c>
      <c r="L442" s="147">
        <v>0</v>
      </c>
    </row>
    <row r="443" spans="1:12" x14ac:dyDescent="0.2">
      <c r="A443" s="149">
        <v>37400</v>
      </c>
      <c r="B443" s="1" t="s">
        <v>693</v>
      </c>
      <c r="C443" s="1" t="s">
        <v>693</v>
      </c>
      <c r="D443" s="143" t="s">
        <v>250</v>
      </c>
      <c r="E443" s="143" t="s">
        <v>89</v>
      </c>
      <c r="F443" s="1" t="s">
        <v>694</v>
      </c>
      <c r="G443" s="1" t="s">
        <v>695</v>
      </c>
      <c r="H443" s="9">
        <v>0</v>
      </c>
      <c r="I443" s="9">
        <v>0</v>
      </c>
      <c r="J443" s="9">
        <v>0</v>
      </c>
      <c r="K443" s="9">
        <v>0</v>
      </c>
      <c r="L443" s="147">
        <v>0</v>
      </c>
    </row>
    <row r="444" spans="1:12" x14ac:dyDescent="0.2">
      <c r="A444" s="149">
        <v>37400</v>
      </c>
      <c r="B444" s="1" t="s">
        <v>693</v>
      </c>
      <c r="C444" s="1" t="s">
        <v>693</v>
      </c>
      <c r="D444" s="143" t="s">
        <v>279</v>
      </c>
      <c r="E444" s="143" t="s">
        <v>89</v>
      </c>
      <c r="F444" s="1" t="s">
        <v>694</v>
      </c>
      <c r="G444" s="1" t="s">
        <v>695</v>
      </c>
      <c r="H444" s="9">
        <v>0</v>
      </c>
      <c r="I444" s="9">
        <v>0</v>
      </c>
      <c r="J444" s="9">
        <v>0</v>
      </c>
      <c r="K444" s="9">
        <v>0</v>
      </c>
      <c r="L444" s="147">
        <v>0</v>
      </c>
    </row>
    <row r="445" spans="1:12" x14ac:dyDescent="0.2">
      <c r="A445" s="149">
        <v>37400</v>
      </c>
      <c r="B445" s="1" t="s">
        <v>693</v>
      </c>
      <c r="C445" s="1" t="s">
        <v>693</v>
      </c>
      <c r="D445" s="143" t="s">
        <v>310</v>
      </c>
      <c r="E445" s="143" t="s">
        <v>89</v>
      </c>
      <c r="F445" s="1" t="s">
        <v>694</v>
      </c>
      <c r="G445" s="1" t="s">
        <v>695</v>
      </c>
      <c r="H445" s="9">
        <v>0</v>
      </c>
      <c r="I445" s="9">
        <v>0</v>
      </c>
      <c r="J445" s="9">
        <v>0</v>
      </c>
      <c r="K445" s="9">
        <v>0</v>
      </c>
      <c r="L445" s="147">
        <v>0</v>
      </c>
    </row>
    <row r="446" spans="1:12" x14ac:dyDescent="0.2">
      <c r="A446" s="149">
        <v>37400</v>
      </c>
      <c r="B446" s="1" t="s">
        <v>693</v>
      </c>
      <c r="C446" s="1" t="s">
        <v>693</v>
      </c>
      <c r="D446" s="143" t="s">
        <v>339</v>
      </c>
      <c r="E446" s="143" t="s">
        <v>89</v>
      </c>
      <c r="F446" s="1" t="s">
        <v>694</v>
      </c>
      <c r="G446" s="1" t="s">
        <v>695</v>
      </c>
      <c r="H446" s="9">
        <v>0</v>
      </c>
      <c r="I446" s="9">
        <v>0</v>
      </c>
      <c r="J446" s="9">
        <v>0</v>
      </c>
      <c r="K446" s="9">
        <v>0</v>
      </c>
      <c r="L446" s="147">
        <v>0</v>
      </c>
    </row>
    <row r="447" spans="1:12" x14ac:dyDescent="0.2">
      <c r="A447" s="149">
        <v>37400</v>
      </c>
      <c r="B447" s="1" t="s">
        <v>693</v>
      </c>
      <c r="C447" s="1" t="s">
        <v>693</v>
      </c>
      <c r="D447" s="143" t="s">
        <v>373</v>
      </c>
      <c r="E447" s="143" t="s">
        <v>89</v>
      </c>
      <c r="F447" s="1" t="s">
        <v>694</v>
      </c>
      <c r="G447" s="1" t="s">
        <v>695</v>
      </c>
      <c r="H447" s="9">
        <v>0</v>
      </c>
      <c r="I447" s="9">
        <v>0</v>
      </c>
      <c r="J447" s="9">
        <v>0</v>
      </c>
      <c r="K447" s="9">
        <v>0</v>
      </c>
      <c r="L447" s="147">
        <v>0</v>
      </c>
    </row>
    <row r="448" spans="1:12" x14ac:dyDescent="0.2">
      <c r="A448" s="149">
        <v>37400</v>
      </c>
      <c r="B448" s="1" t="s">
        <v>693</v>
      </c>
      <c r="C448" s="1" t="s">
        <v>693</v>
      </c>
      <c r="D448" s="143" t="s">
        <v>401</v>
      </c>
      <c r="E448" s="143" t="s">
        <v>89</v>
      </c>
      <c r="F448" s="1" t="s">
        <v>694</v>
      </c>
      <c r="G448" s="1" t="s">
        <v>695</v>
      </c>
      <c r="H448" s="9">
        <v>0</v>
      </c>
      <c r="I448" s="9">
        <v>0</v>
      </c>
      <c r="J448" s="9">
        <v>0</v>
      </c>
      <c r="K448" s="9">
        <v>0</v>
      </c>
      <c r="L448" s="147">
        <v>0</v>
      </c>
    </row>
    <row r="449" spans="1:12" x14ac:dyDescent="0.2">
      <c r="A449" s="149">
        <v>37400</v>
      </c>
      <c r="B449" s="1" t="s">
        <v>693</v>
      </c>
      <c r="C449" s="1" t="s">
        <v>693</v>
      </c>
      <c r="D449" s="143" t="s">
        <v>453</v>
      </c>
      <c r="E449" s="143" t="s">
        <v>89</v>
      </c>
      <c r="F449" s="1" t="s">
        <v>694</v>
      </c>
      <c r="G449" s="1" t="s">
        <v>695</v>
      </c>
      <c r="H449" s="9">
        <v>0</v>
      </c>
      <c r="I449" s="9">
        <v>0</v>
      </c>
      <c r="J449" s="9">
        <v>0</v>
      </c>
      <c r="K449" s="9">
        <v>0</v>
      </c>
      <c r="L449" s="147">
        <v>0</v>
      </c>
    </row>
    <row r="450" spans="1:12" x14ac:dyDescent="0.2">
      <c r="A450" s="149">
        <v>37400</v>
      </c>
      <c r="B450" s="1" t="s">
        <v>693</v>
      </c>
      <c r="C450" s="1" t="s">
        <v>693</v>
      </c>
      <c r="D450" s="143" t="s">
        <v>480</v>
      </c>
      <c r="E450" s="143" t="s">
        <v>89</v>
      </c>
      <c r="F450" s="1" t="s">
        <v>694</v>
      </c>
      <c r="G450" s="1" t="s">
        <v>695</v>
      </c>
      <c r="H450" s="9">
        <v>0</v>
      </c>
      <c r="I450" s="9">
        <v>0</v>
      </c>
      <c r="J450" s="9">
        <v>0</v>
      </c>
      <c r="K450" s="9">
        <v>0</v>
      </c>
      <c r="L450" s="147">
        <v>0</v>
      </c>
    </row>
    <row r="451" spans="1:12" x14ac:dyDescent="0.2">
      <c r="A451" s="149">
        <v>37400</v>
      </c>
      <c r="B451" s="1" t="s">
        <v>693</v>
      </c>
      <c r="C451" s="1" t="s">
        <v>693</v>
      </c>
      <c r="D451" s="143" t="s">
        <v>514</v>
      </c>
      <c r="E451" s="143" t="s">
        <v>89</v>
      </c>
      <c r="F451" s="1" t="s">
        <v>694</v>
      </c>
      <c r="G451" s="1" t="s">
        <v>695</v>
      </c>
      <c r="H451" s="9">
        <v>0</v>
      </c>
      <c r="I451" s="9">
        <v>0</v>
      </c>
      <c r="J451" s="9">
        <v>0</v>
      </c>
      <c r="K451" s="9">
        <v>0</v>
      </c>
      <c r="L451" s="147">
        <v>0</v>
      </c>
    </row>
    <row r="452" spans="1:12" x14ac:dyDescent="0.2">
      <c r="A452" s="149">
        <v>37400</v>
      </c>
      <c r="B452" s="1" t="s">
        <v>693</v>
      </c>
      <c r="C452" s="1" t="s">
        <v>693</v>
      </c>
      <c r="D452" s="143" t="s">
        <v>550</v>
      </c>
      <c r="E452" s="143" t="s">
        <v>89</v>
      </c>
      <c r="F452" s="1" t="s">
        <v>694</v>
      </c>
      <c r="G452" s="1" t="s">
        <v>695</v>
      </c>
      <c r="H452" s="9">
        <v>0</v>
      </c>
      <c r="I452" s="9">
        <v>0</v>
      </c>
      <c r="J452" s="9">
        <v>0</v>
      </c>
      <c r="K452" s="9">
        <v>0</v>
      </c>
      <c r="L452" s="147">
        <v>0</v>
      </c>
    </row>
    <row r="453" spans="1:12" x14ac:dyDescent="0.2">
      <c r="A453" s="149">
        <v>37400</v>
      </c>
      <c r="B453" s="1" t="s">
        <v>693</v>
      </c>
      <c r="C453" s="1" t="s">
        <v>693</v>
      </c>
      <c r="D453" s="143" t="s">
        <v>583</v>
      </c>
      <c r="E453" s="143" t="s">
        <v>89</v>
      </c>
      <c r="F453" s="1" t="s">
        <v>694</v>
      </c>
      <c r="G453" s="1" t="s">
        <v>695</v>
      </c>
      <c r="H453" s="9">
        <v>0</v>
      </c>
      <c r="I453" s="9">
        <v>0</v>
      </c>
      <c r="J453" s="9">
        <v>0</v>
      </c>
      <c r="K453" s="9">
        <v>0</v>
      </c>
      <c r="L453" s="147">
        <v>0</v>
      </c>
    </row>
    <row r="454" spans="1:12" x14ac:dyDescent="0.2">
      <c r="A454" s="149">
        <v>37400</v>
      </c>
      <c r="B454" s="1" t="s">
        <v>693</v>
      </c>
      <c r="C454" s="1" t="s">
        <v>693</v>
      </c>
      <c r="D454" s="143" t="s">
        <v>620</v>
      </c>
      <c r="E454" s="143" t="s">
        <v>89</v>
      </c>
      <c r="F454" s="1" t="s">
        <v>694</v>
      </c>
      <c r="G454" s="1" t="s">
        <v>695</v>
      </c>
      <c r="H454" s="9">
        <v>0</v>
      </c>
      <c r="I454" s="9">
        <v>0</v>
      </c>
      <c r="J454" s="9">
        <v>0</v>
      </c>
      <c r="K454" s="9">
        <v>0</v>
      </c>
      <c r="L454" s="147">
        <v>0</v>
      </c>
    </row>
    <row r="455" spans="1:12" x14ac:dyDescent="0.2">
      <c r="A455" s="149">
        <v>38602</v>
      </c>
      <c r="B455" s="1" t="s">
        <v>693</v>
      </c>
      <c r="C455" s="1" t="s">
        <v>693</v>
      </c>
      <c r="D455" s="143" t="s">
        <v>628</v>
      </c>
      <c r="E455" s="143" t="s">
        <v>89</v>
      </c>
      <c r="F455" s="1" t="s">
        <v>694</v>
      </c>
      <c r="G455" s="1" t="s">
        <v>695</v>
      </c>
      <c r="H455" s="9">
        <v>0</v>
      </c>
      <c r="I455" s="9">
        <v>0</v>
      </c>
      <c r="J455" s="9">
        <v>0</v>
      </c>
      <c r="K455" s="9">
        <v>0</v>
      </c>
      <c r="L455" s="147">
        <v>0</v>
      </c>
    </row>
    <row r="456" spans="1:12" x14ac:dyDescent="0.2">
      <c r="A456" s="149">
        <v>38608</v>
      </c>
      <c r="B456" s="1" t="s">
        <v>693</v>
      </c>
      <c r="C456" s="1" t="s">
        <v>693</v>
      </c>
      <c r="D456" s="143" t="s">
        <v>629</v>
      </c>
      <c r="E456" s="143" t="s">
        <v>89</v>
      </c>
      <c r="F456" s="1" t="s">
        <v>694</v>
      </c>
      <c r="G456" s="1" t="s">
        <v>695</v>
      </c>
      <c r="H456" s="9">
        <v>0</v>
      </c>
      <c r="I456" s="9">
        <v>0</v>
      </c>
      <c r="J456" s="9">
        <v>0</v>
      </c>
      <c r="K456" s="9">
        <v>0</v>
      </c>
      <c r="L456" s="147">
        <v>0</v>
      </c>
    </row>
    <row r="457" spans="1:12" x14ac:dyDescent="0.2">
      <c r="A457" s="149">
        <v>39002</v>
      </c>
      <c r="B457" s="1" t="s">
        <v>693</v>
      </c>
      <c r="C457" s="1" t="s">
        <v>693</v>
      </c>
      <c r="D457" s="143" t="s">
        <v>204</v>
      </c>
      <c r="E457" s="143" t="s">
        <v>89</v>
      </c>
      <c r="F457" s="1" t="s">
        <v>694</v>
      </c>
      <c r="G457" s="1" t="s">
        <v>695</v>
      </c>
      <c r="H457" s="9">
        <v>0</v>
      </c>
      <c r="I457" s="9">
        <v>0</v>
      </c>
      <c r="J457" s="9">
        <v>0</v>
      </c>
      <c r="K457" s="9">
        <v>0</v>
      </c>
      <c r="L457" s="147">
        <v>0</v>
      </c>
    </row>
    <row r="458" spans="1:12" x14ac:dyDescent="0.2">
      <c r="A458" s="149">
        <v>39002</v>
      </c>
      <c r="B458" s="1" t="s">
        <v>693</v>
      </c>
      <c r="C458" s="1" t="s">
        <v>693</v>
      </c>
      <c r="D458" s="143" t="s">
        <v>295</v>
      </c>
      <c r="E458" s="143" t="s">
        <v>89</v>
      </c>
      <c r="F458" s="1" t="s">
        <v>694</v>
      </c>
      <c r="G458" s="1" t="s">
        <v>695</v>
      </c>
      <c r="H458" s="9">
        <v>0</v>
      </c>
      <c r="I458" s="9">
        <v>0</v>
      </c>
      <c r="J458" s="9">
        <v>0</v>
      </c>
      <c r="K458" s="9">
        <v>0</v>
      </c>
      <c r="L458" s="147">
        <v>0</v>
      </c>
    </row>
    <row r="459" spans="1:12" x14ac:dyDescent="0.2">
      <c r="A459" s="149">
        <v>39002</v>
      </c>
      <c r="B459" s="1" t="s">
        <v>693</v>
      </c>
      <c r="C459" s="1" t="s">
        <v>693</v>
      </c>
      <c r="D459" s="143" t="s">
        <v>415</v>
      </c>
      <c r="E459" s="143" t="s">
        <v>89</v>
      </c>
      <c r="F459" s="1" t="s">
        <v>694</v>
      </c>
      <c r="G459" s="1" t="s">
        <v>695</v>
      </c>
      <c r="H459" s="9">
        <v>0</v>
      </c>
      <c r="I459" s="9">
        <v>0</v>
      </c>
      <c r="J459" s="9">
        <v>0</v>
      </c>
      <c r="K459" s="9">
        <v>0</v>
      </c>
      <c r="L459" s="147">
        <v>0</v>
      </c>
    </row>
    <row r="460" spans="1:12" x14ac:dyDescent="0.2">
      <c r="A460" s="149">
        <v>39002</v>
      </c>
      <c r="B460" s="1" t="s">
        <v>693</v>
      </c>
      <c r="C460" s="1" t="s">
        <v>693</v>
      </c>
      <c r="D460" s="143" t="s">
        <v>441</v>
      </c>
      <c r="E460" s="143" t="s">
        <v>89</v>
      </c>
      <c r="F460" s="1" t="s">
        <v>694</v>
      </c>
      <c r="G460" s="1" t="s">
        <v>695</v>
      </c>
      <c r="H460" s="9">
        <v>0</v>
      </c>
      <c r="I460" s="9">
        <v>0</v>
      </c>
      <c r="J460" s="9">
        <v>0</v>
      </c>
      <c r="K460" s="9">
        <v>0</v>
      </c>
      <c r="L460" s="147">
        <v>0</v>
      </c>
    </row>
    <row r="461" spans="1:12" x14ac:dyDescent="0.2">
      <c r="A461" s="149">
        <v>39002</v>
      </c>
      <c r="B461" s="1" t="s">
        <v>693</v>
      </c>
      <c r="C461" s="1" t="s">
        <v>693</v>
      </c>
      <c r="D461" s="143" t="s">
        <v>497</v>
      </c>
      <c r="E461" s="143" t="s">
        <v>89</v>
      </c>
      <c r="F461" s="1" t="s">
        <v>694</v>
      </c>
      <c r="G461" s="1" t="s">
        <v>695</v>
      </c>
      <c r="H461" s="9">
        <v>0</v>
      </c>
      <c r="I461" s="9">
        <v>0</v>
      </c>
      <c r="J461" s="9">
        <v>0</v>
      </c>
      <c r="K461" s="9">
        <v>0</v>
      </c>
      <c r="L461" s="147">
        <v>0</v>
      </c>
    </row>
    <row r="462" spans="1:12" x14ac:dyDescent="0.2">
      <c r="A462" s="149">
        <v>39002</v>
      </c>
      <c r="B462" s="1" t="s">
        <v>693</v>
      </c>
      <c r="C462" s="1" t="s">
        <v>693</v>
      </c>
      <c r="D462" s="143" t="s">
        <v>631</v>
      </c>
      <c r="E462" s="143" t="s">
        <v>89</v>
      </c>
      <c r="F462" s="1" t="s">
        <v>694</v>
      </c>
      <c r="G462" s="1" t="s">
        <v>695</v>
      </c>
      <c r="H462" s="9">
        <v>0</v>
      </c>
      <c r="I462" s="9">
        <v>0</v>
      </c>
      <c r="J462" s="9">
        <v>0</v>
      </c>
      <c r="K462" s="9">
        <v>0</v>
      </c>
      <c r="L462" s="147">
        <v>0</v>
      </c>
    </row>
    <row r="463" spans="1:12" x14ac:dyDescent="0.2">
      <c r="A463" s="149">
        <v>39103</v>
      </c>
      <c r="B463" s="1" t="s">
        <v>693</v>
      </c>
      <c r="C463" s="1" t="s">
        <v>693</v>
      </c>
      <c r="D463" s="143" t="s">
        <v>536</v>
      </c>
      <c r="E463" s="143" t="s">
        <v>89</v>
      </c>
      <c r="F463" s="1" t="s">
        <v>694</v>
      </c>
      <c r="G463" s="1" t="s">
        <v>695</v>
      </c>
      <c r="H463" s="9">
        <v>0</v>
      </c>
      <c r="I463" s="9">
        <v>0</v>
      </c>
      <c r="J463" s="9">
        <v>0</v>
      </c>
      <c r="K463" s="9">
        <v>0</v>
      </c>
      <c r="L463" s="147">
        <v>0</v>
      </c>
    </row>
    <row r="464" spans="1:12" x14ac:dyDescent="0.2">
      <c r="A464" s="149">
        <v>39103</v>
      </c>
      <c r="B464" s="1" t="s">
        <v>693</v>
      </c>
      <c r="C464" s="1" t="s">
        <v>693</v>
      </c>
      <c r="D464" s="143" t="s">
        <v>573</v>
      </c>
      <c r="E464" s="143" t="s">
        <v>89</v>
      </c>
      <c r="F464" s="1" t="s">
        <v>694</v>
      </c>
      <c r="G464" s="1" t="s">
        <v>695</v>
      </c>
      <c r="H464" s="9">
        <v>0</v>
      </c>
      <c r="I464" s="9">
        <v>0</v>
      </c>
      <c r="J464" s="9">
        <v>0</v>
      </c>
      <c r="K464" s="9">
        <v>0</v>
      </c>
      <c r="L464" s="147">
        <v>0</v>
      </c>
    </row>
    <row r="465" spans="1:12" x14ac:dyDescent="0.2">
      <c r="A465" s="149">
        <v>39900</v>
      </c>
      <c r="B465" s="1" t="s">
        <v>693</v>
      </c>
      <c r="C465" s="1" t="s">
        <v>693</v>
      </c>
      <c r="D465" s="143" t="s">
        <v>675</v>
      </c>
      <c r="E465" s="143" t="s">
        <v>89</v>
      </c>
      <c r="F465" s="1" t="s">
        <v>694</v>
      </c>
      <c r="G465" s="1" t="s">
        <v>695</v>
      </c>
      <c r="H465" s="9">
        <v>0</v>
      </c>
      <c r="I465" s="9">
        <v>0</v>
      </c>
      <c r="J465" s="9">
        <v>0</v>
      </c>
      <c r="K465" s="9">
        <v>0</v>
      </c>
      <c r="L465" s="147">
        <v>0</v>
      </c>
    </row>
    <row r="466" spans="1:12" x14ac:dyDescent="0.2">
      <c r="A466" s="149">
        <v>37901</v>
      </c>
      <c r="B466" s="1" t="s">
        <v>693</v>
      </c>
      <c r="C466" s="1" t="s">
        <v>693</v>
      </c>
      <c r="D466" s="143" t="s">
        <v>559</v>
      </c>
      <c r="E466" s="143" t="s">
        <v>89</v>
      </c>
      <c r="F466" s="1" t="s">
        <v>694</v>
      </c>
      <c r="G466" s="1" t="s">
        <v>695</v>
      </c>
      <c r="H466" s="9">
        <v>44.8</v>
      </c>
      <c r="I466" s="9">
        <v>1.6</v>
      </c>
      <c r="J466" s="9">
        <v>0</v>
      </c>
      <c r="K466" s="9">
        <v>0</v>
      </c>
      <c r="L466" s="147">
        <v>46.4</v>
      </c>
    </row>
    <row r="467" spans="1:12" x14ac:dyDescent="0.2">
      <c r="A467" s="149">
        <v>37901</v>
      </c>
      <c r="B467" s="1" t="s">
        <v>693</v>
      </c>
      <c r="C467" s="1" t="s">
        <v>693</v>
      </c>
      <c r="D467" s="143" t="s">
        <v>523</v>
      </c>
      <c r="E467" s="143" t="s">
        <v>89</v>
      </c>
      <c r="F467" s="1" t="s">
        <v>694</v>
      </c>
      <c r="G467" s="1" t="s">
        <v>695</v>
      </c>
      <c r="H467" s="9">
        <v>46.76</v>
      </c>
      <c r="I467" s="9">
        <v>1.67</v>
      </c>
      <c r="J467" s="9">
        <v>0</v>
      </c>
      <c r="K467" s="9">
        <v>0</v>
      </c>
      <c r="L467" s="147">
        <v>48.43</v>
      </c>
    </row>
    <row r="468" spans="1:12" x14ac:dyDescent="0.2">
      <c r="A468" s="149">
        <v>37801</v>
      </c>
      <c r="B468" s="1" t="s">
        <v>693</v>
      </c>
      <c r="C468" s="1" t="s">
        <v>693</v>
      </c>
      <c r="D468" s="143" t="s">
        <v>521</v>
      </c>
      <c r="E468" s="143" t="s">
        <v>89</v>
      </c>
      <c r="F468" s="1" t="s">
        <v>694</v>
      </c>
      <c r="G468" s="1" t="s">
        <v>695</v>
      </c>
      <c r="H468" s="9">
        <v>77.56</v>
      </c>
      <c r="I468" s="9">
        <v>2.77</v>
      </c>
      <c r="J468" s="9">
        <v>0</v>
      </c>
      <c r="K468" s="9">
        <v>0</v>
      </c>
      <c r="L468" s="147">
        <v>80.33</v>
      </c>
    </row>
    <row r="469" spans="1:12" x14ac:dyDescent="0.2">
      <c r="A469" s="149">
        <v>37801</v>
      </c>
      <c r="B469" s="1" t="s">
        <v>693</v>
      </c>
      <c r="C469" s="1" t="s">
        <v>693</v>
      </c>
      <c r="D469" s="143" t="s">
        <v>557</v>
      </c>
      <c r="E469" s="143" t="s">
        <v>89</v>
      </c>
      <c r="F469" s="1" t="s">
        <v>694</v>
      </c>
      <c r="G469" s="1" t="s">
        <v>695</v>
      </c>
      <c r="H469" s="9">
        <v>98.56</v>
      </c>
      <c r="I469" s="9">
        <v>3.52</v>
      </c>
      <c r="J469" s="9">
        <v>0</v>
      </c>
      <c r="K469" s="9">
        <v>0</v>
      </c>
      <c r="L469" s="147">
        <v>102.08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037"/>
  <sheetViews>
    <sheetView topLeftCell="A1016" workbookViewId="0">
      <selection activeCell="I1019" sqref="I1019"/>
    </sheetView>
  </sheetViews>
  <sheetFormatPr defaultRowHeight="12.75" outlineLevelRow="2" x14ac:dyDescent="0.2"/>
  <cols>
    <col min="4" max="4" width="16.28515625" style="291" customWidth="1"/>
    <col min="5" max="6" width="9.140625" style="12"/>
    <col min="7" max="7" width="9.140625" style="330"/>
    <col min="8" max="8" width="16" style="291" bestFit="1" customWidth="1"/>
    <col min="9" max="9" width="30.140625" style="291" customWidth="1"/>
    <col min="10" max="10" width="17" style="291" bestFit="1" customWidth="1"/>
  </cols>
  <sheetData>
    <row r="1" spans="1:10" x14ac:dyDescent="0.2">
      <c r="A1" t="s">
        <v>1175</v>
      </c>
      <c r="B1" t="s">
        <v>1170</v>
      </c>
      <c r="C1" t="s">
        <v>1171</v>
      </c>
      <c r="D1" s="291" t="s">
        <v>1172</v>
      </c>
      <c r="E1" s="12" t="s">
        <v>1173</v>
      </c>
      <c r="F1" s="12" t="s">
        <v>1174</v>
      </c>
      <c r="G1" s="331" t="s">
        <v>1176</v>
      </c>
      <c r="H1" s="300" t="s">
        <v>1177</v>
      </c>
      <c r="I1" s="300" t="s">
        <v>1208</v>
      </c>
      <c r="J1" s="300" t="s">
        <v>1209</v>
      </c>
    </row>
    <row r="2" spans="1:10" outlineLevel="2" x14ac:dyDescent="0.2">
      <c r="A2">
        <v>30300</v>
      </c>
      <c r="B2">
        <v>1997</v>
      </c>
      <c r="C2" s="89">
        <f>2024.5-B2</f>
        <v>27.5</v>
      </c>
      <c r="D2" s="291">
        <v>287968.09000000003</v>
      </c>
      <c r="E2" s="12">
        <v>25</v>
      </c>
      <c r="F2" s="12">
        <v>0</v>
      </c>
      <c r="G2" s="330">
        <f>'Proposed Rates'!$O$47/100</f>
        <v>0</v>
      </c>
      <c r="H2" s="291">
        <f>+D2*(1-F2/E2)*(1-G2)</f>
        <v>287968.09000000003</v>
      </c>
      <c r="I2" s="291">
        <f>+D2*F2</f>
        <v>0</v>
      </c>
    </row>
    <row r="3" spans="1:10" outlineLevel="2" x14ac:dyDescent="0.2">
      <c r="A3">
        <v>30300</v>
      </c>
      <c r="B3">
        <v>1995</v>
      </c>
      <c r="C3" s="89">
        <f t="shared" ref="C3:C66" si="0">2024.5-B3</f>
        <v>29.5</v>
      </c>
      <c r="D3" s="291">
        <v>246442.67</v>
      </c>
      <c r="E3" s="12">
        <v>25</v>
      </c>
      <c r="F3" s="12">
        <v>0</v>
      </c>
      <c r="G3" s="330">
        <f>'Proposed Rates'!$O$47/100</f>
        <v>0</v>
      </c>
      <c r="H3" s="291">
        <f t="shared" ref="H3:H4" si="1">+D3*(1-F3/E3)*(1-G3)</f>
        <v>246442.67</v>
      </c>
      <c r="I3" s="291">
        <f t="shared" ref="I3:I78" si="2">+D3*F3</f>
        <v>0</v>
      </c>
    </row>
    <row r="4" spans="1:10" outlineLevel="2" x14ac:dyDescent="0.2">
      <c r="A4">
        <v>30300</v>
      </c>
      <c r="B4">
        <v>1993</v>
      </c>
      <c r="C4" s="89">
        <f t="shared" si="0"/>
        <v>31.5</v>
      </c>
      <c r="D4" s="291">
        <v>280914.31</v>
      </c>
      <c r="E4" s="12">
        <v>25</v>
      </c>
      <c r="F4" s="12">
        <v>0</v>
      </c>
      <c r="G4" s="330">
        <f>'Proposed Rates'!$O$47/100</f>
        <v>0</v>
      </c>
      <c r="H4" s="291">
        <f t="shared" si="1"/>
        <v>280914.31</v>
      </c>
      <c r="I4" s="291">
        <f t="shared" si="2"/>
        <v>0</v>
      </c>
    </row>
    <row r="5" spans="1:10" s="143" customFormat="1" outlineLevel="1" x14ac:dyDescent="0.2">
      <c r="A5" s="20" t="s">
        <v>1178</v>
      </c>
      <c r="C5" s="89"/>
      <c r="D5" s="291">
        <f>SUBTOTAL(9,D2:D4)</f>
        <v>815325.07000000007</v>
      </c>
      <c r="E5" s="12"/>
      <c r="F5" s="12"/>
      <c r="G5" s="330"/>
      <c r="H5" s="291">
        <f>SUBTOTAL(9,H2:H4)</f>
        <v>815325.07000000007</v>
      </c>
      <c r="I5" s="291">
        <f>SUBTOTAL(9,I2:I4)</f>
        <v>0</v>
      </c>
      <c r="J5" s="291">
        <f>+I5/D5</f>
        <v>0</v>
      </c>
    </row>
    <row r="6" spans="1:10" outlineLevel="2" x14ac:dyDescent="0.2">
      <c r="A6">
        <v>30301</v>
      </c>
      <c r="B6">
        <v>2024</v>
      </c>
      <c r="C6" s="89">
        <f t="shared" si="0"/>
        <v>0.5</v>
      </c>
      <c r="D6" s="291">
        <v>14303044.800000003</v>
      </c>
      <c r="E6" s="12">
        <v>15</v>
      </c>
      <c r="F6" s="12">
        <f t="shared" ref="F6:F20" si="3">+E6-C6</f>
        <v>14.5</v>
      </c>
      <c r="G6" s="330">
        <f>'Proposed Rates'!$O$48/100</f>
        <v>0</v>
      </c>
      <c r="H6" s="291">
        <f t="shared" ref="H6:H28" si="4">+D6*(1-F6/E6)*(1-G6)</f>
        <v>476768.16</v>
      </c>
      <c r="I6" s="291">
        <f t="shared" si="2"/>
        <v>207394149.60000002</v>
      </c>
    </row>
    <row r="7" spans="1:10" outlineLevel="2" x14ac:dyDescent="0.2">
      <c r="A7">
        <v>30301</v>
      </c>
      <c r="B7">
        <v>2023</v>
      </c>
      <c r="C7" s="89">
        <f t="shared" si="0"/>
        <v>1.5</v>
      </c>
      <c r="D7" s="291">
        <v>48825616.25999999</v>
      </c>
      <c r="E7" s="12">
        <v>15</v>
      </c>
      <c r="F7" s="12">
        <f t="shared" si="3"/>
        <v>13.5</v>
      </c>
      <c r="G7" s="330">
        <f>'Proposed Rates'!$O$48/100</f>
        <v>0</v>
      </c>
      <c r="H7" s="291">
        <f t="shared" si="4"/>
        <v>4882561.6259999983</v>
      </c>
      <c r="I7" s="291">
        <f t="shared" si="2"/>
        <v>659145819.50999987</v>
      </c>
    </row>
    <row r="8" spans="1:10" s="143" customFormat="1" outlineLevel="2" x14ac:dyDescent="0.2">
      <c r="A8" s="143">
        <v>30301</v>
      </c>
      <c r="B8" s="143">
        <v>2022</v>
      </c>
      <c r="C8" s="89">
        <f t="shared" si="0"/>
        <v>2.5</v>
      </c>
      <c r="D8" s="291">
        <v>6856246.5999999996</v>
      </c>
      <c r="E8" s="12">
        <v>15</v>
      </c>
      <c r="F8" s="12">
        <f t="shared" si="3"/>
        <v>12.5</v>
      </c>
      <c r="G8" s="330">
        <f>'Proposed Rates'!$O$48/100</f>
        <v>0</v>
      </c>
      <c r="H8" s="291">
        <f t="shared" ref="H8" si="5">+D8*(1-F8/E8)*(1-G8)</f>
        <v>1142707.7666666664</v>
      </c>
      <c r="I8" s="291">
        <f t="shared" ref="I8" si="6">+D8*F8</f>
        <v>85703082.5</v>
      </c>
      <c r="J8" s="291"/>
    </row>
    <row r="9" spans="1:10" s="143" customFormat="1" outlineLevel="2" x14ac:dyDescent="0.2">
      <c r="A9" s="143">
        <v>30301</v>
      </c>
      <c r="B9" s="143">
        <v>2021</v>
      </c>
      <c r="C9" s="89">
        <f t="shared" si="0"/>
        <v>3.5</v>
      </c>
      <c r="D9" s="291">
        <v>6333965.1600000001</v>
      </c>
      <c r="E9" s="12">
        <v>15</v>
      </c>
      <c r="F9" s="12">
        <f t="shared" ref="F9:F17" si="7">+E9-C9</f>
        <v>11.5</v>
      </c>
      <c r="G9" s="330">
        <f>'Proposed Rates'!$O$48/100</f>
        <v>0</v>
      </c>
      <c r="H9" s="291">
        <f t="shared" ref="H9:H17" si="8">+D9*(1-F9/E9)*(1-G9)</f>
        <v>1477925.2039999997</v>
      </c>
      <c r="I9" s="291">
        <f t="shared" ref="I9:I17" si="9">+D9*F9</f>
        <v>72840599.340000004</v>
      </c>
      <c r="J9" s="291"/>
    </row>
    <row r="10" spans="1:10" s="143" customFormat="1" outlineLevel="2" x14ac:dyDescent="0.2">
      <c r="A10" s="143">
        <v>30301</v>
      </c>
      <c r="B10" s="143">
        <v>2020</v>
      </c>
      <c r="C10" s="89">
        <f t="shared" si="0"/>
        <v>4.5</v>
      </c>
      <c r="D10" s="291">
        <v>16288279.029999999</v>
      </c>
      <c r="E10" s="12">
        <v>15</v>
      </c>
      <c r="F10" s="12">
        <f t="shared" si="7"/>
        <v>10.5</v>
      </c>
      <c r="G10" s="330">
        <f>'Proposed Rates'!$O$48/100</f>
        <v>0</v>
      </c>
      <c r="H10" s="291">
        <f t="shared" si="8"/>
        <v>4886483.7090000007</v>
      </c>
      <c r="I10" s="291">
        <f t="shared" si="9"/>
        <v>171026929.815</v>
      </c>
      <c r="J10" s="291"/>
    </row>
    <row r="11" spans="1:10" s="143" customFormat="1" outlineLevel="2" x14ac:dyDescent="0.2">
      <c r="A11" s="143">
        <v>30301</v>
      </c>
      <c r="B11" s="143">
        <v>2019</v>
      </c>
      <c r="C11" s="89">
        <f t="shared" si="0"/>
        <v>5.5</v>
      </c>
      <c r="D11" s="291">
        <v>2714500.0300000003</v>
      </c>
      <c r="E11" s="12">
        <v>15</v>
      </c>
      <c r="F11" s="12">
        <f t="shared" si="7"/>
        <v>9.5</v>
      </c>
      <c r="G11" s="330">
        <f>'Proposed Rates'!$O$48/100</f>
        <v>0</v>
      </c>
      <c r="H11" s="291">
        <f t="shared" si="8"/>
        <v>995316.6776666668</v>
      </c>
      <c r="I11" s="291">
        <f t="shared" si="9"/>
        <v>25787750.285000004</v>
      </c>
      <c r="J11" s="291"/>
    </row>
    <row r="12" spans="1:10" s="143" customFormat="1" outlineLevel="2" x14ac:dyDescent="0.2">
      <c r="A12" s="143">
        <v>30301</v>
      </c>
      <c r="B12" s="143">
        <v>2018</v>
      </c>
      <c r="C12" s="89">
        <f t="shared" si="0"/>
        <v>6.5</v>
      </c>
      <c r="D12" s="291">
        <v>2495160.7200000002</v>
      </c>
      <c r="E12" s="12">
        <v>15</v>
      </c>
      <c r="F12" s="12">
        <f t="shared" si="7"/>
        <v>8.5</v>
      </c>
      <c r="G12" s="330">
        <f>'Proposed Rates'!$O$48/100</f>
        <v>0</v>
      </c>
      <c r="H12" s="291">
        <f t="shared" si="8"/>
        <v>1081236.3120000002</v>
      </c>
      <c r="I12" s="291">
        <f t="shared" si="9"/>
        <v>21208866.120000001</v>
      </c>
      <c r="J12" s="291"/>
    </row>
    <row r="13" spans="1:10" s="143" customFormat="1" outlineLevel="2" x14ac:dyDescent="0.2">
      <c r="A13" s="143">
        <v>30301</v>
      </c>
      <c r="B13" s="143">
        <v>2017</v>
      </c>
      <c r="C13" s="89">
        <f t="shared" si="0"/>
        <v>7.5</v>
      </c>
      <c r="D13" s="291">
        <v>404501.34</v>
      </c>
      <c r="E13" s="12">
        <v>15</v>
      </c>
      <c r="F13" s="12">
        <f t="shared" si="7"/>
        <v>7.5</v>
      </c>
      <c r="G13" s="330">
        <f>'Proposed Rates'!$O$48/100</f>
        <v>0</v>
      </c>
      <c r="H13" s="291">
        <f t="shared" si="8"/>
        <v>202250.67</v>
      </c>
      <c r="I13" s="291">
        <f t="shared" si="9"/>
        <v>3033760.0500000003</v>
      </c>
      <c r="J13" s="291"/>
    </row>
    <row r="14" spans="1:10" s="143" customFormat="1" outlineLevel="2" x14ac:dyDescent="0.2">
      <c r="A14" s="143">
        <v>30301</v>
      </c>
      <c r="B14" s="143">
        <v>2016</v>
      </c>
      <c r="C14" s="89">
        <f t="shared" si="0"/>
        <v>8.5</v>
      </c>
      <c r="D14" s="291">
        <v>1962769.57</v>
      </c>
      <c r="E14" s="12">
        <v>15</v>
      </c>
      <c r="F14" s="12">
        <f t="shared" si="7"/>
        <v>6.5</v>
      </c>
      <c r="G14" s="330">
        <f>'Proposed Rates'!$O$48/100</f>
        <v>0</v>
      </c>
      <c r="H14" s="291">
        <f t="shared" si="8"/>
        <v>1112236.0896666667</v>
      </c>
      <c r="I14" s="291">
        <f t="shared" si="9"/>
        <v>12758002.205</v>
      </c>
      <c r="J14" s="291"/>
    </row>
    <row r="15" spans="1:10" s="143" customFormat="1" outlineLevel="2" x14ac:dyDescent="0.2">
      <c r="A15" s="143">
        <v>30301</v>
      </c>
      <c r="B15" s="143">
        <v>2015</v>
      </c>
      <c r="C15" s="89">
        <f t="shared" si="0"/>
        <v>9.5</v>
      </c>
      <c r="D15" s="291">
        <v>4290931.54</v>
      </c>
      <c r="E15" s="12">
        <v>15</v>
      </c>
      <c r="F15" s="12">
        <f t="shared" si="7"/>
        <v>5.5</v>
      </c>
      <c r="G15" s="330">
        <f>'Proposed Rates'!$O$48/100</f>
        <v>0</v>
      </c>
      <c r="H15" s="291">
        <f t="shared" si="8"/>
        <v>2717589.975333333</v>
      </c>
      <c r="I15" s="291">
        <f t="shared" si="9"/>
        <v>23600123.469999999</v>
      </c>
      <c r="J15" s="291"/>
    </row>
    <row r="16" spans="1:10" outlineLevel="2" x14ac:dyDescent="0.2">
      <c r="A16" s="143">
        <v>30301</v>
      </c>
      <c r="B16">
        <v>2014</v>
      </c>
      <c r="C16" s="89">
        <f t="shared" si="0"/>
        <v>10.5</v>
      </c>
      <c r="D16" s="291">
        <v>1362236.8900000001</v>
      </c>
      <c r="E16" s="12">
        <v>15</v>
      </c>
      <c r="F16" s="12">
        <f t="shared" si="7"/>
        <v>4.5</v>
      </c>
      <c r="G16" s="330">
        <f>'Proposed Rates'!$O$48/100</f>
        <v>0</v>
      </c>
      <c r="H16" s="291">
        <f t="shared" si="8"/>
        <v>953565.82299999997</v>
      </c>
      <c r="I16" s="291">
        <f t="shared" si="9"/>
        <v>6130066.0050000008</v>
      </c>
    </row>
    <row r="17" spans="1:10" outlineLevel="2" x14ac:dyDescent="0.2">
      <c r="A17" s="143">
        <v>30301</v>
      </c>
      <c r="B17">
        <v>2013</v>
      </c>
      <c r="C17" s="89">
        <f t="shared" si="0"/>
        <v>11.5</v>
      </c>
      <c r="D17" s="291">
        <v>720847.71000000008</v>
      </c>
      <c r="E17" s="12">
        <v>15</v>
      </c>
      <c r="F17" s="12">
        <f t="shared" si="7"/>
        <v>3.5</v>
      </c>
      <c r="G17" s="330">
        <f>'Proposed Rates'!$O$48/100</f>
        <v>0</v>
      </c>
      <c r="H17" s="291">
        <f t="shared" si="8"/>
        <v>552649.91099999996</v>
      </c>
      <c r="I17" s="291">
        <f t="shared" si="9"/>
        <v>2522966.9850000003</v>
      </c>
    </row>
    <row r="18" spans="1:10" outlineLevel="2" x14ac:dyDescent="0.2">
      <c r="A18" s="143">
        <v>30301</v>
      </c>
      <c r="B18">
        <v>2012</v>
      </c>
      <c r="C18" s="89">
        <f t="shared" si="0"/>
        <v>12.5</v>
      </c>
      <c r="D18" s="291">
        <v>7542446.6799999997</v>
      </c>
      <c r="E18" s="12">
        <v>15</v>
      </c>
      <c r="F18" s="12">
        <f t="shared" si="3"/>
        <v>2.5</v>
      </c>
      <c r="G18" s="330">
        <f>'Proposed Rates'!$O$48/100</f>
        <v>0</v>
      </c>
      <c r="H18" s="291">
        <f t="shared" si="4"/>
        <v>6285372.2333333334</v>
      </c>
      <c r="I18" s="291">
        <f t="shared" si="2"/>
        <v>18856116.699999999</v>
      </c>
    </row>
    <row r="19" spans="1:10" outlineLevel="2" x14ac:dyDescent="0.2">
      <c r="A19">
        <v>30301</v>
      </c>
      <c r="B19">
        <v>2011</v>
      </c>
      <c r="C19" s="89">
        <f t="shared" si="0"/>
        <v>13.5</v>
      </c>
      <c r="D19" s="291">
        <v>2758629.14</v>
      </c>
      <c r="E19" s="12">
        <v>15</v>
      </c>
      <c r="F19" s="12">
        <f t="shared" si="3"/>
        <v>1.5</v>
      </c>
      <c r="G19" s="330">
        <f>'Proposed Rates'!$O$48/100</f>
        <v>0</v>
      </c>
      <c r="H19" s="291">
        <f t="shared" si="4"/>
        <v>2482766.2260000003</v>
      </c>
      <c r="I19" s="291">
        <f t="shared" si="2"/>
        <v>4137943.71</v>
      </c>
    </row>
    <row r="20" spans="1:10" outlineLevel="2" x14ac:dyDescent="0.2">
      <c r="A20">
        <v>30301</v>
      </c>
      <c r="B20">
        <v>2010</v>
      </c>
      <c r="C20" s="89">
        <f t="shared" si="0"/>
        <v>14.5</v>
      </c>
      <c r="D20" s="291">
        <v>1703606.7000000002</v>
      </c>
      <c r="E20" s="12">
        <v>15</v>
      </c>
      <c r="F20" s="12">
        <f t="shared" si="3"/>
        <v>0.5</v>
      </c>
      <c r="G20" s="330">
        <f>'Proposed Rates'!$O$48/100</f>
        <v>0</v>
      </c>
      <c r="H20" s="291">
        <f t="shared" si="4"/>
        <v>1646819.8100000003</v>
      </c>
      <c r="I20" s="291">
        <f t="shared" si="2"/>
        <v>851803.35000000009</v>
      </c>
    </row>
    <row r="21" spans="1:10" outlineLevel="2" x14ac:dyDescent="0.2">
      <c r="A21">
        <v>30301</v>
      </c>
      <c r="B21">
        <v>2009</v>
      </c>
      <c r="C21" s="89">
        <f t="shared" si="0"/>
        <v>15.5</v>
      </c>
      <c r="D21" s="291">
        <v>3203016.29</v>
      </c>
      <c r="E21" s="12">
        <v>15</v>
      </c>
      <c r="F21" s="12">
        <v>0</v>
      </c>
      <c r="G21" s="330">
        <f>'Proposed Rates'!$O$48/100</f>
        <v>0</v>
      </c>
      <c r="H21" s="291">
        <f t="shared" si="4"/>
        <v>3203016.29</v>
      </c>
      <c r="I21" s="291">
        <f t="shared" si="2"/>
        <v>0</v>
      </c>
    </row>
    <row r="22" spans="1:10" outlineLevel="2" x14ac:dyDescent="0.2">
      <c r="A22">
        <v>30301</v>
      </c>
      <c r="B22">
        <v>2007</v>
      </c>
      <c r="C22" s="89">
        <f t="shared" si="0"/>
        <v>17.5</v>
      </c>
      <c r="D22" s="291">
        <v>122538.29000000001</v>
      </c>
      <c r="E22" s="12">
        <v>15</v>
      </c>
      <c r="F22" s="12">
        <v>0</v>
      </c>
      <c r="G22" s="330">
        <f>'Proposed Rates'!$O$48/100</f>
        <v>0</v>
      </c>
      <c r="H22" s="291">
        <f t="shared" si="4"/>
        <v>122538.29000000001</v>
      </c>
      <c r="I22" s="291">
        <f t="shared" si="2"/>
        <v>0</v>
      </c>
    </row>
    <row r="23" spans="1:10" outlineLevel="2" x14ac:dyDescent="0.2">
      <c r="A23">
        <v>30301</v>
      </c>
      <c r="B23">
        <v>2006</v>
      </c>
      <c r="C23" s="89">
        <f t="shared" si="0"/>
        <v>18.5</v>
      </c>
      <c r="D23" s="291">
        <v>371049.12</v>
      </c>
      <c r="E23" s="12">
        <v>15</v>
      </c>
      <c r="F23" s="12">
        <v>0</v>
      </c>
      <c r="G23" s="330">
        <f>'Proposed Rates'!$O$48/100</f>
        <v>0</v>
      </c>
      <c r="H23" s="291">
        <f t="shared" si="4"/>
        <v>371049.12</v>
      </c>
      <c r="I23" s="291">
        <f t="shared" si="2"/>
        <v>0</v>
      </c>
    </row>
    <row r="24" spans="1:10" outlineLevel="2" x14ac:dyDescent="0.2">
      <c r="A24">
        <v>30301</v>
      </c>
      <c r="B24">
        <v>2005</v>
      </c>
      <c r="C24" s="89">
        <f t="shared" si="0"/>
        <v>19.5</v>
      </c>
      <c r="D24" s="291">
        <v>173913.05</v>
      </c>
      <c r="E24" s="12">
        <v>15</v>
      </c>
      <c r="F24" s="12">
        <v>0</v>
      </c>
      <c r="G24" s="330">
        <f>'Proposed Rates'!$O$48/100</f>
        <v>0</v>
      </c>
      <c r="H24" s="291">
        <f t="shared" si="4"/>
        <v>173913.05</v>
      </c>
      <c r="I24" s="291">
        <f t="shared" si="2"/>
        <v>0</v>
      </c>
    </row>
    <row r="25" spans="1:10" outlineLevel="2" x14ac:dyDescent="0.2">
      <c r="A25">
        <v>30301</v>
      </c>
      <c r="B25">
        <v>2004</v>
      </c>
      <c r="C25" s="89">
        <f t="shared" si="0"/>
        <v>20.5</v>
      </c>
      <c r="D25" s="291">
        <v>130041.41</v>
      </c>
      <c r="E25" s="12">
        <v>15</v>
      </c>
      <c r="F25" s="12">
        <v>0</v>
      </c>
      <c r="G25" s="330">
        <f>'Proposed Rates'!$O$48/100</f>
        <v>0</v>
      </c>
      <c r="H25" s="291">
        <f t="shared" si="4"/>
        <v>130041.41</v>
      </c>
      <c r="I25" s="291">
        <f t="shared" si="2"/>
        <v>0</v>
      </c>
    </row>
    <row r="26" spans="1:10" outlineLevel="2" x14ac:dyDescent="0.2">
      <c r="A26">
        <v>30301</v>
      </c>
      <c r="B26">
        <v>2003</v>
      </c>
      <c r="C26" s="89">
        <f t="shared" si="0"/>
        <v>21.5</v>
      </c>
      <c r="D26" s="291">
        <v>29233.07</v>
      </c>
      <c r="E26" s="12">
        <v>15</v>
      </c>
      <c r="F26" s="12">
        <v>0</v>
      </c>
      <c r="G26" s="330">
        <f>'Proposed Rates'!$O$48/100</f>
        <v>0</v>
      </c>
      <c r="H26" s="291">
        <f t="shared" si="4"/>
        <v>29233.07</v>
      </c>
      <c r="I26" s="291">
        <f t="shared" si="2"/>
        <v>0</v>
      </c>
    </row>
    <row r="27" spans="1:10" outlineLevel="2" x14ac:dyDescent="0.2">
      <c r="A27">
        <v>30301</v>
      </c>
      <c r="B27">
        <v>2002</v>
      </c>
      <c r="C27" s="89">
        <f t="shared" si="0"/>
        <v>22.5</v>
      </c>
      <c r="D27" s="291">
        <v>1434764.12</v>
      </c>
      <c r="E27" s="12">
        <v>15</v>
      </c>
      <c r="F27" s="12">
        <v>0</v>
      </c>
      <c r="G27" s="330">
        <f>'Proposed Rates'!$O$48/100</f>
        <v>0</v>
      </c>
      <c r="H27" s="291">
        <f t="shared" si="4"/>
        <v>1434764.12</v>
      </c>
      <c r="I27" s="291">
        <f t="shared" si="2"/>
        <v>0</v>
      </c>
    </row>
    <row r="28" spans="1:10" outlineLevel="2" x14ac:dyDescent="0.2">
      <c r="A28">
        <v>30301</v>
      </c>
      <c r="B28">
        <v>2001</v>
      </c>
      <c r="C28" s="89">
        <f t="shared" si="0"/>
        <v>23.5</v>
      </c>
      <c r="D28" s="291">
        <v>802351.27</v>
      </c>
      <c r="E28" s="12">
        <v>15</v>
      </c>
      <c r="F28" s="12">
        <v>0</v>
      </c>
      <c r="G28" s="330">
        <f>'Proposed Rates'!$O$48/100</f>
        <v>0</v>
      </c>
      <c r="H28" s="291">
        <f t="shared" si="4"/>
        <v>802351.27</v>
      </c>
      <c r="I28" s="291">
        <f t="shared" si="2"/>
        <v>0</v>
      </c>
    </row>
    <row r="29" spans="1:10" s="143" customFormat="1" outlineLevel="1" x14ac:dyDescent="0.2">
      <c r="A29" s="20" t="s">
        <v>1179</v>
      </c>
      <c r="C29" s="89" t="s">
        <v>1230</v>
      </c>
      <c r="D29" s="291">
        <f>SUBTOTAL(9,D6:D28)</f>
        <v>124829688.78999999</v>
      </c>
      <c r="E29" s="12"/>
      <c r="F29" s="12"/>
      <c r="G29" s="330"/>
      <c r="H29" s="291">
        <f>SUBTOTAL(9,H6:H28)</f>
        <v>37163156.813666657</v>
      </c>
      <c r="I29" s="291">
        <f>SUBTOTAL(9,I6:I28)</f>
        <v>1314997979.6449997</v>
      </c>
      <c r="J29" s="291">
        <f>+I29/D29</f>
        <v>10.534336762284255</v>
      </c>
    </row>
    <row r="30" spans="1:10" outlineLevel="2" x14ac:dyDescent="0.2">
      <c r="A30">
        <v>37402</v>
      </c>
      <c r="B30">
        <v>2018</v>
      </c>
      <c r="C30" s="89">
        <f t="shared" si="0"/>
        <v>6.5</v>
      </c>
      <c r="D30" s="291">
        <v>60540.78</v>
      </c>
      <c r="E30" s="12">
        <v>75</v>
      </c>
      <c r="F30" s="12">
        <f>+E30-C30</f>
        <v>68.5</v>
      </c>
      <c r="G30" s="330">
        <f>'Proposed Rates'!$O$16/100</f>
        <v>0</v>
      </c>
      <c r="H30" s="291">
        <f t="shared" ref="H30:H66" si="10">+D30*(1-F30/E30)*(1-G30)</f>
        <v>5246.8676000000005</v>
      </c>
      <c r="I30" s="291">
        <f t="shared" si="2"/>
        <v>4147043.4299999997</v>
      </c>
    </row>
    <row r="31" spans="1:10" outlineLevel="2" x14ac:dyDescent="0.2">
      <c r="A31">
        <v>37402</v>
      </c>
      <c r="B31">
        <v>2017</v>
      </c>
      <c r="C31" s="89">
        <f t="shared" si="0"/>
        <v>7.5</v>
      </c>
      <c r="D31" s="291">
        <v>311775.23</v>
      </c>
      <c r="E31" s="12">
        <v>75</v>
      </c>
      <c r="F31" s="12">
        <f t="shared" ref="F31:F66" si="11">+E31-C31</f>
        <v>67.5</v>
      </c>
      <c r="G31" s="330">
        <f>'Proposed Rates'!$O$16/100</f>
        <v>0</v>
      </c>
      <c r="H31" s="291">
        <f t="shared" si="10"/>
        <v>31177.52299999999</v>
      </c>
      <c r="I31" s="291">
        <f t="shared" si="2"/>
        <v>21044828.024999999</v>
      </c>
    </row>
    <row r="32" spans="1:10" outlineLevel="2" x14ac:dyDescent="0.2">
      <c r="A32">
        <v>37402</v>
      </c>
      <c r="B32">
        <v>2016</v>
      </c>
      <c r="C32" s="89">
        <f t="shared" si="0"/>
        <v>8.5</v>
      </c>
      <c r="D32" s="291">
        <v>1072853.7</v>
      </c>
      <c r="E32" s="12">
        <v>75</v>
      </c>
      <c r="F32" s="12">
        <f t="shared" si="11"/>
        <v>66.5</v>
      </c>
      <c r="G32" s="330">
        <f>'Proposed Rates'!$O$16/100</f>
        <v>0</v>
      </c>
      <c r="H32" s="291">
        <f t="shared" si="10"/>
        <v>121590.08599999994</v>
      </c>
      <c r="I32" s="291">
        <f t="shared" si="2"/>
        <v>71344771.049999997</v>
      </c>
    </row>
    <row r="33" spans="1:9" outlineLevel="2" x14ac:dyDescent="0.2">
      <c r="A33">
        <v>37402</v>
      </c>
      <c r="B33">
        <v>2015</v>
      </c>
      <c r="C33" s="89">
        <f t="shared" si="0"/>
        <v>9.5</v>
      </c>
      <c r="D33" s="291">
        <v>895642.5</v>
      </c>
      <c r="E33" s="12">
        <v>75</v>
      </c>
      <c r="F33" s="12">
        <f t="shared" si="11"/>
        <v>65.5</v>
      </c>
      <c r="G33" s="330">
        <f>'Proposed Rates'!$O$16/100</f>
        <v>0</v>
      </c>
      <c r="H33" s="291">
        <f t="shared" si="10"/>
        <v>113448.05000000003</v>
      </c>
      <c r="I33" s="291">
        <f t="shared" si="2"/>
        <v>58664583.75</v>
      </c>
    </row>
    <row r="34" spans="1:9" outlineLevel="2" x14ac:dyDescent="0.2">
      <c r="A34">
        <v>37402</v>
      </c>
      <c r="B34">
        <v>2014</v>
      </c>
      <c r="C34" s="89">
        <f t="shared" si="0"/>
        <v>10.5</v>
      </c>
      <c r="D34" s="291">
        <v>267914.88</v>
      </c>
      <c r="E34" s="12">
        <v>75</v>
      </c>
      <c r="F34" s="12">
        <f t="shared" si="11"/>
        <v>64.5</v>
      </c>
      <c r="G34" s="330">
        <f>'Proposed Rates'!$O$16/100</f>
        <v>0</v>
      </c>
      <c r="H34" s="291">
        <f t="shared" si="10"/>
        <v>37508.083200000001</v>
      </c>
      <c r="I34" s="291">
        <f t="shared" si="2"/>
        <v>17280509.760000002</v>
      </c>
    </row>
    <row r="35" spans="1:9" outlineLevel="2" x14ac:dyDescent="0.2">
      <c r="A35">
        <v>37402</v>
      </c>
      <c r="B35">
        <v>2013</v>
      </c>
      <c r="C35" s="89">
        <f t="shared" si="0"/>
        <v>11.5</v>
      </c>
      <c r="D35" s="291">
        <v>30114.25</v>
      </c>
      <c r="E35" s="12">
        <v>75</v>
      </c>
      <c r="F35" s="12">
        <f t="shared" si="11"/>
        <v>63.5</v>
      </c>
      <c r="G35" s="330">
        <f>'Proposed Rates'!$O$16/100</f>
        <v>0</v>
      </c>
      <c r="H35" s="291">
        <f t="shared" si="10"/>
        <v>4617.5183333333334</v>
      </c>
      <c r="I35" s="291">
        <f t="shared" si="2"/>
        <v>1912254.875</v>
      </c>
    </row>
    <row r="36" spans="1:9" outlineLevel="2" x14ac:dyDescent="0.2">
      <c r="A36">
        <v>37402</v>
      </c>
      <c r="B36">
        <v>2012</v>
      </c>
      <c r="C36" s="89">
        <f t="shared" si="0"/>
        <v>12.5</v>
      </c>
      <c r="D36" s="291">
        <v>70879.62</v>
      </c>
      <c r="E36" s="12">
        <v>75</v>
      </c>
      <c r="F36" s="12">
        <f t="shared" si="11"/>
        <v>62.5</v>
      </c>
      <c r="G36" s="330">
        <f>'Proposed Rates'!$O$16/100</f>
        <v>0</v>
      </c>
      <c r="H36" s="291">
        <f t="shared" si="10"/>
        <v>11813.269999999997</v>
      </c>
      <c r="I36" s="291">
        <f t="shared" si="2"/>
        <v>4429976.25</v>
      </c>
    </row>
    <row r="37" spans="1:9" outlineLevel="2" x14ac:dyDescent="0.2">
      <c r="A37">
        <v>37402</v>
      </c>
      <c r="B37">
        <v>2010</v>
      </c>
      <c r="C37" s="89">
        <f t="shared" si="0"/>
        <v>14.5</v>
      </c>
      <c r="D37" s="291">
        <v>67325.5</v>
      </c>
      <c r="E37" s="12">
        <v>75</v>
      </c>
      <c r="F37" s="12">
        <f t="shared" si="11"/>
        <v>60.5</v>
      </c>
      <c r="G37" s="330">
        <f>'Proposed Rates'!$O$16/100</f>
        <v>0</v>
      </c>
      <c r="H37" s="291">
        <f t="shared" si="10"/>
        <v>13016.263333333334</v>
      </c>
      <c r="I37" s="291">
        <f t="shared" si="2"/>
        <v>4073192.75</v>
      </c>
    </row>
    <row r="38" spans="1:9" outlineLevel="2" x14ac:dyDescent="0.2">
      <c r="A38">
        <v>37402</v>
      </c>
      <c r="B38">
        <v>2009</v>
      </c>
      <c r="C38" s="89">
        <f t="shared" si="0"/>
        <v>15.5</v>
      </c>
      <c r="D38" s="291">
        <v>121055.42</v>
      </c>
      <c r="E38" s="12">
        <v>75</v>
      </c>
      <c r="F38" s="12">
        <f t="shared" si="11"/>
        <v>59.5</v>
      </c>
      <c r="G38" s="330">
        <f>'Proposed Rates'!$O$16/100</f>
        <v>0</v>
      </c>
      <c r="H38" s="291">
        <f t="shared" si="10"/>
        <v>25018.120133333334</v>
      </c>
      <c r="I38" s="291">
        <f t="shared" si="2"/>
        <v>7202797.4900000002</v>
      </c>
    </row>
    <row r="39" spans="1:9" outlineLevel="2" x14ac:dyDescent="0.2">
      <c r="A39">
        <v>37402</v>
      </c>
      <c r="B39">
        <v>2008</v>
      </c>
      <c r="C39" s="89">
        <f t="shared" si="0"/>
        <v>16.5</v>
      </c>
      <c r="D39" s="291">
        <v>54867.33</v>
      </c>
      <c r="E39" s="12">
        <v>75</v>
      </c>
      <c r="F39" s="12">
        <f t="shared" si="11"/>
        <v>58.5</v>
      </c>
      <c r="G39" s="330">
        <f>'Proposed Rates'!$O$16/100</f>
        <v>0</v>
      </c>
      <c r="H39" s="291">
        <f t="shared" si="10"/>
        <v>12070.812599999999</v>
      </c>
      <c r="I39" s="291">
        <f t="shared" si="2"/>
        <v>3209738.8050000002</v>
      </c>
    </row>
    <row r="40" spans="1:9" outlineLevel="2" x14ac:dyDescent="0.2">
      <c r="A40">
        <v>37402</v>
      </c>
      <c r="B40">
        <v>2006</v>
      </c>
      <c r="C40" s="89">
        <f t="shared" si="0"/>
        <v>18.5</v>
      </c>
      <c r="D40" s="291">
        <v>12725.4</v>
      </c>
      <c r="E40" s="12">
        <v>75</v>
      </c>
      <c r="F40" s="12">
        <f t="shared" si="11"/>
        <v>56.5</v>
      </c>
      <c r="G40" s="330">
        <f>'Proposed Rates'!$O$16/100</f>
        <v>0</v>
      </c>
      <c r="H40" s="291">
        <f t="shared" si="10"/>
        <v>3138.9320000000002</v>
      </c>
      <c r="I40" s="291">
        <f t="shared" si="2"/>
        <v>718985.1</v>
      </c>
    </row>
    <row r="41" spans="1:9" outlineLevel="2" x14ac:dyDescent="0.2">
      <c r="A41">
        <v>37402</v>
      </c>
      <c r="B41">
        <v>2005</v>
      </c>
      <c r="C41" s="89">
        <f t="shared" si="0"/>
        <v>19.5</v>
      </c>
      <c r="D41" s="291">
        <v>46539.37</v>
      </c>
      <c r="E41" s="12">
        <v>75</v>
      </c>
      <c r="F41" s="12">
        <f t="shared" si="11"/>
        <v>55.5</v>
      </c>
      <c r="G41" s="330">
        <f>'Proposed Rates'!$O$16/100</f>
        <v>0</v>
      </c>
      <c r="H41" s="291">
        <f t="shared" si="10"/>
        <v>12100.236200000001</v>
      </c>
      <c r="I41" s="291">
        <f t="shared" si="2"/>
        <v>2582935.0350000001</v>
      </c>
    </row>
    <row r="42" spans="1:9" outlineLevel="2" x14ac:dyDescent="0.2">
      <c r="A42">
        <v>37402</v>
      </c>
      <c r="B42">
        <v>2004</v>
      </c>
      <c r="C42" s="89">
        <f t="shared" si="0"/>
        <v>20.5</v>
      </c>
      <c r="D42" s="291">
        <v>109828.54</v>
      </c>
      <c r="E42" s="12">
        <v>75</v>
      </c>
      <c r="F42" s="12">
        <f t="shared" si="11"/>
        <v>54.5</v>
      </c>
      <c r="G42" s="330">
        <f>'Proposed Rates'!$O$16/100</f>
        <v>0</v>
      </c>
      <c r="H42" s="291">
        <f t="shared" si="10"/>
        <v>30019.800933333328</v>
      </c>
      <c r="I42" s="291">
        <f t="shared" si="2"/>
        <v>5985655.4299999997</v>
      </c>
    </row>
    <row r="43" spans="1:9" outlineLevel="2" x14ac:dyDescent="0.2">
      <c r="A43">
        <v>37402</v>
      </c>
      <c r="B43">
        <v>2002</v>
      </c>
      <c r="C43" s="89">
        <f t="shared" si="0"/>
        <v>22.5</v>
      </c>
      <c r="D43" s="291">
        <v>62802.66</v>
      </c>
      <c r="E43" s="12">
        <v>75</v>
      </c>
      <c r="F43" s="12">
        <f t="shared" si="11"/>
        <v>52.5</v>
      </c>
      <c r="G43" s="330">
        <f>'Proposed Rates'!$O$16/100</f>
        <v>0</v>
      </c>
      <c r="H43" s="291">
        <f t="shared" si="10"/>
        <v>18840.798000000003</v>
      </c>
      <c r="I43" s="291">
        <f t="shared" si="2"/>
        <v>3297139.6500000004</v>
      </c>
    </row>
    <row r="44" spans="1:9" outlineLevel="2" x14ac:dyDescent="0.2">
      <c r="A44">
        <v>37402</v>
      </c>
      <c r="B44">
        <v>2000</v>
      </c>
      <c r="C44" s="89">
        <f t="shared" si="0"/>
        <v>24.5</v>
      </c>
      <c r="D44" s="291">
        <v>16248.02</v>
      </c>
      <c r="E44" s="12">
        <v>75</v>
      </c>
      <c r="F44" s="12">
        <f t="shared" si="11"/>
        <v>50.5</v>
      </c>
      <c r="G44" s="330">
        <f>'Proposed Rates'!$O$16/100</f>
        <v>0</v>
      </c>
      <c r="H44" s="291">
        <f t="shared" si="10"/>
        <v>5307.6865333333335</v>
      </c>
      <c r="I44" s="291">
        <f t="shared" si="2"/>
        <v>820525.01</v>
      </c>
    </row>
    <row r="45" spans="1:9" outlineLevel="2" x14ac:dyDescent="0.2">
      <c r="A45">
        <v>37402</v>
      </c>
      <c r="B45">
        <v>1999</v>
      </c>
      <c r="C45" s="89">
        <f t="shared" si="0"/>
        <v>25.5</v>
      </c>
      <c r="D45" s="291">
        <v>122559.84</v>
      </c>
      <c r="E45" s="12">
        <v>75</v>
      </c>
      <c r="F45" s="12">
        <f t="shared" si="11"/>
        <v>49.5</v>
      </c>
      <c r="G45" s="330">
        <f>'Proposed Rates'!$O$16/100</f>
        <v>0</v>
      </c>
      <c r="H45" s="291">
        <f t="shared" si="10"/>
        <v>41670.345599999993</v>
      </c>
      <c r="I45" s="291">
        <f t="shared" si="2"/>
        <v>6066712.0800000001</v>
      </c>
    </row>
    <row r="46" spans="1:9" outlineLevel="2" x14ac:dyDescent="0.2">
      <c r="A46">
        <v>37402</v>
      </c>
      <c r="B46">
        <v>1996</v>
      </c>
      <c r="C46" s="89">
        <f t="shared" si="0"/>
        <v>28.5</v>
      </c>
      <c r="D46" s="291">
        <v>227583.17</v>
      </c>
      <c r="E46" s="12">
        <v>75</v>
      </c>
      <c r="F46" s="12">
        <f t="shared" si="11"/>
        <v>46.5</v>
      </c>
      <c r="G46" s="330">
        <f>'Proposed Rates'!$O$16/100</f>
        <v>0</v>
      </c>
      <c r="H46" s="291">
        <f t="shared" si="10"/>
        <v>86481.604600000006</v>
      </c>
      <c r="I46" s="291">
        <f t="shared" si="2"/>
        <v>10582617.405000001</v>
      </c>
    </row>
    <row r="47" spans="1:9" outlineLevel="2" x14ac:dyDescent="0.2">
      <c r="A47">
        <v>37402</v>
      </c>
      <c r="B47">
        <v>1994</v>
      </c>
      <c r="C47" s="89">
        <f t="shared" si="0"/>
        <v>30.5</v>
      </c>
      <c r="D47" s="291">
        <v>6611.77</v>
      </c>
      <c r="E47" s="12">
        <v>75</v>
      </c>
      <c r="F47" s="12">
        <f t="shared" si="11"/>
        <v>44.5</v>
      </c>
      <c r="G47" s="330">
        <f>'Proposed Rates'!$O$16/100</f>
        <v>0</v>
      </c>
      <c r="H47" s="291">
        <f t="shared" si="10"/>
        <v>2688.7864666666665</v>
      </c>
      <c r="I47" s="291">
        <f t="shared" si="2"/>
        <v>294223.76500000001</v>
      </c>
    </row>
    <row r="48" spans="1:9" outlineLevel="2" x14ac:dyDescent="0.2">
      <c r="A48">
        <v>37402</v>
      </c>
      <c r="B48">
        <v>1993</v>
      </c>
      <c r="C48" s="89">
        <f t="shared" si="0"/>
        <v>31.5</v>
      </c>
      <c r="D48" s="291">
        <v>12037.5</v>
      </c>
      <c r="E48" s="12">
        <v>75</v>
      </c>
      <c r="F48" s="12">
        <f t="shared" si="11"/>
        <v>43.5</v>
      </c>
      <c r="G48" s="330">
        <f>'Proposed Rates'!$O$16/100</f>
        <v>0</v>
      </c>
      <c r="H48" s="291">
        <f t="shared" si="10"/>
        <v>5055.7500000000009</v>
      </c>
      <c r="I48" s="291">
        <f t="shared" si="2"/>
        <v>523631.25</v>
      </c>
    </row>
    <row r="49" spans="1:9" outlineLevel="2" x14ac:dyDescent="0.2">
      <c r="A49">
        <v>37402</v>
      </c>
      <c r="B49">
        <v>1991</v>
      </c>
      <c r="C49" s="89">
        <f t="shared" si="0"/>
        <v>33.5</v>
      </c>
      <c r="D49" s="291">
        <v>12084.68</v>
      </c>
      <c r="E49" s="12">
        <v>75</v>
      </c>
      <c r="F49" s="12">
        <f t="shared" si="11"/>
        <v>41.5</v>
      </c>
      <c r="G49" s="330">
        <f>'Proposed Rates'!$O$16/100</f>
        <v>0</v>
      </c>
      <c r="H49" s="291">
        <f t="shared" si="10"/>
        <v>5397.8237333333336</v>
      </c>
      <c r="I49" s="291">
        <f t="shared" si="2"/>
        <v>501514.22000000003</v>
      </c>
    </row>
    <row r="50" spans="1:9" outlineLevel="2" x14ac:dyDescent="0.2">
      <c r="A50">
        <v>37402</v>
      </c>
      <c r="B50">
        <v>1981</v>
      </c>
      <c r="C50" s="89">
        <f t="shared" si="0"/>
        <v>43.5</v>
      </c>
      <c r="D50" s="291">
        <v>54.26</v>
      </c>
      <c r="E50" s="12">
        <v>75</v>
      </c>
      <c r="F50" s="12">
        <f t="shared" si="11"/>
        <v>31.5</v>
      </c>
      <c r="G50" s="330">
        <f>'Proposed Rates'!$O$16/100</f>
        <v>0</v>
      </c>
      <c r="H50" s="291">
        <f t="shared" si="10"/>
        <v>31.470800000000004</v>
      </c>
      <c r="I50" s="291">
        <f t="shared" si="2"/>
        <v>1709.1899999999998</v>
      </c>
    </row>
    <row r="51" spans="1:9" outlineLevel="2" x14ac:dyDescent="0.2">
      <c r="A51">
        <v>37402</v>
      </c>
      <c r="B51">
        <v>1975</v>
      </c>
      <c r="C51" s="89">
        <f t="shared" si="0"/>
        <v>49.5</v>
      </c>
      <c r="D51" s="291">
        <v>10955.04</v>
      </c>
      <c r="E51" s="12">
        <v>75</v>
      </c>
      <c r="F51" s="12">
        <f t="shared" si="11"/>
        <v>25.5</v>
      </c>
      <c r="G51" s="330">
        <f>'Proposed Rates'!$O$16/100</f>
        <v>0</v>
      </c>
      <c r="H51" s="291">
        <f t="shared" si="10"/>
        <v>7230.3263999999999</v>
      </c>
      <c r="I51" s="291">
        <f t="shared" si="2"/>
        <v>279353.52</v>
      </c>
    </row>
    <row r="52" spans="1:9" outlineLevel="2" x14ac:dyDescent="0.2">
      <c r="A52">
        <v>37402</v>
      </c>
      <c r="B52">
        <v>1974</v>
      </c>
      <c r="C52" s="89">
        <f t="shared" si="0"/>
        <v>50.5</v>
      </c>
      <c r="D52" s="291">
        <v>14682.24</v>
      </c>
      <c r="E52" s="12">
        <v>75</v>
      </c>
      <c r="F52" s="12">
        <f t="shared" si="11"/>
        <v>24.5</v>
      </c>
      <c r="G52" s="330">
        <f>'Proposed Rates'!$O$16/100</f>
        <v>0</v>
      </c>
      <c r="H52" s="291">
        <f t="shared" si="10"/>
        <v>9886.0416000000005</v>
      </c>
      <c r="I52" s="291">
        <f t="shared" si="2"/>
        <v>359714.88</v>
      </c>
    </row>
    <row r="53" spans="1:9" outlineLevel="2" x14ac:dyDescent="0.2">
      <c r="A53">
        <v>37402</v>
      </c>
      <c r="B53">
        <v>1973</v>
      </c>
      <c r="C53" s="89">
        <f t="shared" si="0"/>
        <v>51.5</v>
      </c>
      <c r="D53" s="291">
        <v>15101.53</v>
      </c>
      <c r="E53" s="12">
        <v>75</v>
      </c>
      <c r="F53" s="12">
        <f t="shared" si="11"/>
        <v>23.5</v>
      </c>
      <c r="G53" s="330">
        <f>'Proposed Rates'!$O$16/100</f>
        <v>0</v>
      </c>
      <c r="H53" s="291">
        <f t="shared" si="10"/>
        <v>10369.717266666667</v>
      </c>
      <c r="I53" s="291">
        <f t="shared" si="2"/>
        <v>354885.95500000002</v>
      </c>
    </row>
    <row r="54" spans="1:9" outlineLevel="2" x14ac:dyDescent="0.2">
      <c r="A54">
        <v>37402</v>
      </c>
      <c r="B54">
        <v>1972</v>
      </c>
      <c r="C54" s="89">
        <f t="shared" si="0"/>
        <v>52.5</v>
      </c>
      <c r="D54" s="291">
        <v>124757.77</v>
      </c>
      <c r="E54" s="12">
        <v>75</v>
      </c>
      <c r="F54" s="12">
        <f t="shared" si="11"/>
        <v>22.5</v>
      </c>
      <c r="G54" s="330">
        <f>'Proposed Rates'!$O$16/100</f>
        <v>0</v>
      </c>
      <c r="H54" s="291">
        <f t="shared" si="10"/>
        <v>87330.438999999998</v>
      </c>
      <c r="I54" s="291">
        <f t="shared" si="2"/>
        <v>2807049.8250000002</v>
      </c>
    </row>
    <row r="55" spans="1:9" outlineLevel="2" x14ac:dyDescent="0.2">
      <c r="A55">
        <v>37402</v>
      </c>
      <c r="B55">
        <v>1971</v>
      </c>
      <c r="C55" s="89">
        <f t="shared" si="0"/>
        <v>53.5</v>
      </c>
      <c r="D55" s="291">
        <v>98904.72</v>
      </c>
      <c r="E55" s="12">
        <v>75</v>
      </c>
      <c r="F55" s="12">
        <f t="shared" si="11"/>
        <v>21.5</v>
      </c>
      <c r="G55" s="330">
        <f>'Proposed Rates'!$O$16/100</f>
        <v>0</v>
      </c>
      <c r="H55" s="291">
        <f t="shared" si="10"/>
        <v>70552.03360000001</v>
      </c>
      <c r="I55" s="291">
        <f t="shared" si="2"/>
        <v>2126451.48</v>
      </c>
    </row>
    <row r="56" spans="1:9" outlineLevel="2" x14ac:dyDescent="0.2">
      <c r="A56">
        <v>37402</v>
      </c>
      <c r="B56">
        <v>1970</v>
      </c>
      <c r="C56" s="89">
        <f t="shared" si="0"/>
        <v>54.5</v>
      </c>
      <c r="D56" s="291">
        <v>116665.02</v>
      </c>
      <c r="E56" s="12">
        <v>75</v>
      </c>
      <c r="F56" s="12">
        <f t="shared" si="11"/>
        <v>20.5</v>
      </c>
      <c r="G56" s="330">
        <f>'Proposed Rates'!$O$16/100</f>
        <v>0</v>
      </c>
      <c r="H56" s="291">
        <f t="shared" si="10"/>
        <v>84776.581200000001</v>
      </c>
      <c r="I56" s="291">
        <f t="shared" si="2"/>
        <v>2391632.91</v>
      </c>
    </row>
    <row r="57" spans="1:9" outlineLevel="2" x14ac:dyDescent="0.2">
      <c r="A57">
        <v>37402</v>
      </c>
      <c r="B57">
        <v>1969</v>
      </c>
      <c r="C57" s="89">
        <f t="shared" si="0"/>
        <v>55.5</v>
      </c>
      <c r="D57" s="291">
        <v>127678.07</v>
      </c>
      <c r="E57" s="12">
        <v>75</v>
      </c>
      <c r="F57" s="12">
        <f t="shared" si="11"/>
        <v>19.5</v>
      </c>
      <c r="G57" s="330">
        <f>'Proposed Rates'!$O$16/100</f>
        <v>0</v>
      </c>
      <c r="H57" s="291">
        <f t="shared" si="10"/>
        <v>94481.771800000002</v>
      </c>
      <c r="I57" s="291">
        <f t="shared" si="2"/>
        <v>2489722.3650000002</v>
      </c>
    </row>
    <row r="58" spans="1:9" outlineLevel="2" x14ac:dyDescent="0.2">
      <c r="A58">
        <v>37402</v>
      </c>
      <c r="B58">
        <v>1968</v>
      </c>
      <c r="C58" s="89">
        <f t="shared" si="0"/>
        <v>56.5</v>
      </c>
      <c r="D58" s="291">
        <v>76841.25</v>
      </c>
      <c r="E58" s="12">
        <v>75</v>
      </c>
      <c r="F58" s="12">
        <f t="shared" si="11"/>
        <v>18.5</v>
      </c>
      <c r="G58" s="330">
        <f>'Proposed Rates'!$O$16/100</f>
        <v>0</v>
      </c>
      <c r="H58" s="291">
        <f t="shared" si="10"/>
        <v>57887.074999999997</v>
      </c>
      <c r="I58" s="291">
        <f t="shared" si="2"/>
        <v>1421563.125</v>
      </c>
    </row>
    <row r="59" spans="1:9" outlineLevel="2" x14ac:dyDescent="0.2">
      <c r="A59">
        <v>37402</v>
      </c>
      <c r="B59">
        <v>1967</v>
      </c>
      <c r="C59" s="89">
        <f t="shared" si="0"/>
        <v>57.5</v>
      </c>
      <c r="D59" s="291">
        <v>27128.87</v>
      </c>
      <c r="E59" s="12">
        <v>75</v>
      </c>
      <c r="F59" s="12">
        <f t="shared" si="11"/>
        <v>17.5</v>
      </c>
      <c r="G59" s="330">
        <f>'Proposed Rates'!$O$16/100</f>
        <v>0</v>
      </c>
      <c r="H59" s="291">
        <f t="shared" si="10"/>
        <v>20798.800333333333</v>
      </c>
      <c r="I59" s="291">
        <f t="shared" si="2"/>
        <v>474755.22499999998</v>
      </c>
    </row>
    <row r="60" spans="1:9" outlineLevel="2" x14ac:dyDescent="0.2">
      <c r="A60">
        <v>37402</v>
      </c>
      <c r="B60">
        <v>1966</v>
      </c>
      <c r="C60" s="89">
        <f t="shared" si="0"/>
        <v>58.5</v>
      </c>
      <c r="D60" s="291">
        <v>10891.57</v>
      </c>
      <c r="E60" s="12">
        <v>75</v>
      </c>
      <c r="F60" s="12">
        <f t="shared" si="11"/>
        <v>16.5</v>
      </c>
      <c r="G60" s="330">
        <f>'Proposed Rates'!$O$16/100</f>
        <v>0</v>
      </c>
      <c r="H60" s="291">
        <f t="shared" si="10"/>
        <v>8495.4246000000003</v>
      </c>
      <c r="I60" s="291">
        <f t="shared" si="2"/>
        <v>179710.905</v>
      </c>
    </row>
    <row r="61" spans="1:9" outlineLevel="2" x14ac:dyDescent="0.2">
      <c r="A61">
        <v>37402</v>
      </c>
      <c r="B61">
        <v>1965</v>
      </c>
      <c r="C61" s="89">
        <f t="shared" si="0"/>
        <v>59.5</v>
      </c>
      <c r="D61" s="291">
        <v>35291.61</v>
      </c>
      <c r="E61" s="12">
        <v>75</v>
      </c>
      <c r="F61" s="12">
        <f t="shared" si="11"/>
        <v>15.5</v>
      </c>
      <c r="G61" s="330">
        <f>'Proposed Rates'!$O$16/100</f>
        <v>0</v>
      </c>
      <c r="H61" s="291">
        <f t="shared" si="10"/>
        <v>27998.010600000001</v>
      </c>
      <c r="I61" s="291">
        <f t="shared" si="2"/>
        <v>547019.95499999996</v>
      </c>
    </row>
    <row r="62" spans="1:9" outlineLevel="2" x14ac:dyDescent="0.2">
      <c r="A62">
        <v>37402</v>
      </c>
      <c r="B62">
        <v>1964</v>
      </c>
      <c r="C62" s="89">
        <f t="shared" si="0"/>
        <v>60.5</v>
      </c>
      <c r="D62" s="291">
        <v>8772.19</v>
      </c>
      <c r="E62" s="12">
        <v>75</v>
      </c>
      <c r="F62" s="12">
        <f t="shared" si="11"/>
        <v>14.5</v>
      </c>
      <c r="G62" s="330">
        <f>'Proposed Rates'!$O$16/100</f>
        <v>0</v>
      </c>
      <c r="H62" s="291">
        <f t="shared" si="10"/>
        <v>7076.2332666666671</v>
      </c>
      <c r="I62" s="291">
        <f t="shared" si="2"/>
        <v>127196.755</v>
      </c>
    </row>
    <row r="63" spans="1:9" outlineLevel="2" x14ac:dyDescent="0.2">
      <c r="A63">
        <v>37402</v>
      </c>
      <c r="B63">
        <v>1963</v>
      </c>
      <c r="C63" s="89">
        <f t="shared" si="0"/>
        <v>61.5</v>
      </c>
      <c r="D63" s="291">
        <v>8082.6</v>
      </c>
      <c r="E63" s="12">
        <v>75</v>
      </c>
      <c r="F63" s="12">
        <f t="shared" si="11"/>
        <v>13.5</v>
      </c>
      <c r="G63" s="330">
        <f>'Proposed Rates'!$O$16/100</f>
        <v>0</v>
      </c>
      <c r="H63" s="291">
        <f t="shared" si="10"/>
        <v>6627.7320000000009</v>
      </c>
      <c r="I63" s="291">
        <f t="shared" si="2"/>
        <v>109115.1</v>
      </c>
    </row>
    <row r="64" spans="1:9" outlineLevel="2" x14ac:dyDescent="0.2">
      <c r="A64">
        <v>37402</v>
      </c>
      <c r="B64">
        <v>1962</v>
      </c>
      <c r="C64" s="89">
        <f t="shared" si="0"/>
        <v>62.5</v>
      </c>
      <c r="D64" s="291">
        <v>1233.71</v>
      </c>
      <c r="E64" s="12">
        <v>75</v>
      </c>
      <c r="F64" s="12">
        <f t="shared" si="11"/>
        <v>12.5</v>
      </c>
      <c r="G64" s="330">
        <f>'Proposed Rates'!$O$16/100</f>
        <v>0</v>
      </c>
      <c r="H64" s="291">
        <f t="shared" si="10"/>
        <v>1028.0916666666667</v>
      </c>
      <c r="I64" s="291">
        <f t="shared" si="2"/>
        <v>15421.375</v>
      </c>
    </row>
    <row r="65" spans="1:10" outlineLevel="2" x14ac:dyDescent="0.2">
      <c r="A65">
        <v>37402</v>
      </c>
      <c r="B65">
        <v>1960</v>
      </c>
      <c r="C65" s="89">
        <f t="shared" si="0"/>
        <v>64.5</v>
      </c>
      <c r="D65" s="291">
        <v>1079.04</v>
      </c>
      <c r="E65" s="12">
        <v>75</v>
      </c>
      <c r="F65" s="12">
        <f t="shared" si="11"/>
        <v>10.5</v>
      </c>
      <c r="G65" s="330">
        <f>'Proposed Rates'!$O$16/100</f>
        <v>0</v>
      </c>
      <c r="H65" s="291">
        <f t="shared" si="10"/>
        <v>927.97439999999995</v>
      </c>
      <c r="I65" s="291">
        <f t="shared" si="2"/>
        <v>11329.92</v>
      </c>
    </row>
    <row r="66" spans="1:10" outlineLevel="2" x14ac:dyDescent="0.2">
      <c r="A66">
        <v>37402</v>
      </c>
      <c r="B66">
        <v>1959</v>
      </c>
      <c r="C66" s="89">
        <f t="shared" si="0"/>
        <v>65.5</v>
      </c>
      <c r="D66" s="291">
        <v>8763.01</v>
      </c>
      <c r="E66" s="12">
        <v>75</v>
      </c>
      <c r="F66" s="12">
        <f t="shared" si="11"/>
        <v>9.5</v>
      </c>
      <c r="G66" s="330">
        <f>'Proposed Rates'!$O$16/100</f>
        <v>0</v>
      </c>
      <c r="H66" s="291">
        <f t="shared" si="10"/>
        <v>7653.0287333333335</v>
      </c>
      <c r="I66" s="291">
        <f t="shared" si="2"/>
        <v>83248.595000000001</v>
      </c>
    </row>
    <row r="67" spans="1:10" s="143" customFormat="1" outlineLevel="1" x14ac:dyDescent="0.2">
      <c r="A67" s="20" t="s">
        <v>1180</v>
      </c>
      <c r="C67" s="89" t="s">
        <v>1230</v>
      </c>
      <c r="D67" s="291">
        <f>SUBTOTAL(9,D30:D66)</f>
        <v>4268872.66</v>
      </c>
      <c r="E67" s="12"/>
      <c r="F67" s="12"/>
      <c r="G67" s="330"/>
      <c r="H67" s="291">
        <f>SUBTOTAL(9,H30:H66)</f>
        <v>1089359.1105333332</v>
      </c>
      <c r="I67" s="291">
        <f>SUBTOTAL(9,I30:I66)</f>
        <v>238463516.20999998</v>
      </c>
      <c r="J67" s="291">
        <f>+I67/D67</f>
        <v>55.861004813856397</v>
      </c>
    </row>
    <row r="68" spans="1:10" outlineLevel="2" x14ac:dyDescent="0.2">
      <c r="A68">
        <v>37500</v>
      </c>
      <c r="B68">
        <v>2024</v>
      </c>
      <c r="C68" s="89">
        <v>0.5</v>
      </c>
      <c r="D68" s="291">
        <v>12123219</v>
      </c>
      <c r="E68" s="12">
        <v>33</v>
      </c>
      <c r="F68" s="12">
        <v>32.574646999999999</v>
      </c>
      <c r="G68" s="330">
        <f>'Proposed Rates'!$O$17/100</f>
        <v>0</v>
      </c>
      <c r="H68" s="291">
        <f t="shared" ref="H68:H123" si="12">+D68*(1-F68/E68)*(1-G68)</f>
        <v>156262.04761536358</v>
      </c>
      <c r="I68" s="291">
        <f t="shared" si="2"/>
        <v>394909579.428693</v>
      </c>
    </row>
    <row r="69" spans="1:10" outlineLevel="2" x14ac:dyDescent="0.2">
      <c r="A69">
        <v>37500</v>
      </c>
      <c r="B69">
        <v>2023</v>
      </c>
      <c r="C69" s="89">
        <v>1.5</v>
      </c>
      <c r="D69" s="291">
        <v>5278050.9899999993</v>
      </c>
      <c r="E69" s="12">
        <v>33</v>
      </c>
      <c r="F69" s="12">
        <v>31.817478999999999</v>
      </c>
      <c r="G69" s="330">
        <f>'Proposed Rates'!$O$17/100</f>
        <v>0</v>
      </c>
      <c r="H69" s="291">
        <f t="shared" ref="H69:H72" si="13">+D69*(1-F69/E69)*(1-G69)</f>
        <v>189133.51923472102</v>
      </c>
      <c r="I69" s="291">
        <f t="shared" ref="I69:I72" si="14">+D69*F69</f>
        <v>167934276.53525418</v>
      </c>
    </row>
    <row r="70" spans="1:10" s="143" customFormat="1" outlineLevel="2" x14ac:dyDescent="0.2">
      <c r="A70" s="143">
        <v>37500</v>
      </c>
      <c r="B70" s="143">
        <v>2022</v>
      </c>
      <c r="C70" s="89">
        <v>2.5</v>
      </c>
      <c r="D70" s="291">
        <v>706644.96000000008</v>
      </c>
      <c r="E70" s="12">
        <v>33</v>
      </c>
      <c r="F70" s="12">
        <v>31.136454000000001</v>
      </c>
      <c r="G70" s="330">
        <f>'Proposed Rates'!$O$17/100</f>
        <v>0</v>
      </c>
      <c r="H70" s="291">
        <f t="shared" si="13"/>
        <v>39905.011776610881</v>
      </c>
      <c r="I70" s="291">
        <f t="shared" si="14"/>
        <v>22002418.291371841</v>
      </c>
      <c r="J70" s="291"/>
    </row>
    <row r="71" spans="1:10" s="143" customFormat="1" outlineLevel="2" x14ac:dyDescent="0.2">
      <c r="A71" s="143">
        <v>37500</v>
      </c>
      <c r="B71" s="143">
        <v>2021</v>
      </c>
      <c r="C71" s="89">
        <v>3.5</v>
      </c>
      <c r="D71" s="291">
        <v>275473.39</v>
      </c>
      <c r="E71" s="12">
        <v>33</v>
      </c>
      <c r="F71" s="12">
        <v>30.507490000000001</v>
      </c>
      <c r="G71" s="330">
        <f>'Proposed Rates'!$O$17/100</f>
        <v>0</v>
      </c>
      <c r="H71" s="291">
        <f t="shared" si="13"/>
        <v>20806.672100269687</v>
      </c>
      <c r="I71" s="291">
        <f t="shared" si="14"/>
        <v>8404001.6906911004</v>
      </c>
      <c r="J71" s="291"/>
    </row>
    <row r="72" spans="1:10" s="143" customFormat="1" outlineLevel="2" x14ac:dyDescent="0.2">
      <c r="A72" s="143">
        <v>37500</v>
      </c>
      <c r="B72" s="143">
        <v>2020</v>
      </c>
      <c r="C72" s="89">
        <v>4.5</v>
      </c>
      <c r="D72" s="291">
        <v>317815.46999999997</v>
      </c>
      <c r="E72" s="12">
        <v>33</v>
      </c>
      <c r="F72" s="12">
        <v>29.918714000000001</v>
      </c>
      <c r="G72" s="330">
        <f>'Proposed Rates'!$O$17/100</f>
        <v>0</v>
      </c>
      <c r="H72" s="291">
        <f t="shared" si="13"/>
        <v>29675.162372558159</v>
      </c>
      <c r="I72" s="291">
        <f t="shared" si="14"/>
        <v>9508630.1517055798</v>
      </c>
      <c r="J72" s="291"/>
    </row>
    <row r="73" spans="1:10" outlineLevel="2" x14ac:dyDescent="0.2">
      <c r="A73">
        <v>37500</v>
      </c>
      <c r="B73">
        <v>2019</v>
      </c>
      <c r="C73" s="89">
        <v>5.5</v>
      </c>
      <c r="D73" s="291">
        <v>1536081.73</v>
      </c>
      <c r="E73" s="12">
        <v>33</v>
      </c>
      <c r="F73" s="12">
        <v>29.362749999999998</v>
      </c>
      <c r="G73" s="330">
        <f>'Proposed Rates'!$O$17/100</f>
        <v>0</v>
      </c>
      <c r="H73" s="291">
        <f t="shared" si="12"/>
        <v>169306.46280128797</v>
      </c>
      <c r="I73" s="291">
        <f t="shared" si="2"/>
        <v>45103583.817557499</v>
      </c>
    </row>
    <row r="74" spans="1:10" outlineLevel="2" x14ac:dyDescent="0.2">
      <c r="A74">
        <v>37500</v>
      </c>
      <c r="B74">
        <v>2018</v>
      </c>
      <c r="C74" s="89">
        <v>6.5</v>
      </c>
      <c r="D74" s="291">
        <v>488977.42</v>
      </c>
      <c r="E74" s="12">
        <v>33</v>
      </c>
      <c r="F74" s="12">
        <v>28.834486999999999</v>
      </c>
      <c r="G74" s="330">
        <f>'Proposed Rates'!$O$17/100</f>
        <v>0</v>
      </c>
      <c r="H74" s="291">
        <f t="shared" si="12"/>
        <v>61722.478779286699</v>
      </c>
      <c r="I74" s="291">
        <f t="shared" si="2"/>
        <v>14099413.06028354</v>
      </c>
    </row>
    <row r="75" spans="1:10" outlineLevel="2" x14ac:dyDescent="0.2">
      <c r="A75">
        <v>37500</v>
      </c>
      <c r="B75">
        <v>2017</v>
      </c>
      <c r="C75" s="89">
        <v>7.5</v>
      </c>
      <c r="D75" s="291">
        <v>980589.42</v>
      </c>
      <c r="E75" s="12">
        <v>33</v>
      </c>
      <c r="F75" s="12">
        <v>28.330116</v>
      </c>
      <c r="G75" s="330">
        <f>'Proposed Rates'!$O$17/100</f>
        <v>0</v>
      </c>
      <c r="H75" s="291">
        <f t="shared" si="12"/>
        <v>138764.81342506912</v>
      </c>
      <c r="I75" s="291">
        <f t="shared" si="2"/>
        <v>27780212.016972721</v>
      </c>
    </row>
    <row r="76" spans="1:10" outlineLevel="2" x14ac:dyDescent="0.2">
      <c r="A76">
        <v>37500</v>
      </c>
      <c r="B76">
        <v>2016</v>
      </c>
      <c r="C76" s="89">
        <v>8.5</v>
      </c>
      <c r="D76" s="291">
        <v>6223006.5800000001</v>
      </c>
      <c r="E76" s="12">
        <v>33</v>
      </c>
      <c r="F76" s="12">
        <v>27.846672000000002</v>
      </c>
      <c r="G76" s="330">
        <f>'Proposed Rates'!$O$17/100</f>
        <v>0</v>
      </c>
      <c r="H76" s="291">
        <f t="shared" si="12"/>
        <v>971793.75917873427</v>
      </c>
      <c r="I76" s="291">
        <f t="shared" si="2"/>
        <v>173290023.08710176</v>
      </c>
    </row>
    <row r="77" spans="1:10" outlineLevel="2" x14ac:dyDescent="0.2">
      <c r="A77">
        <v>37500</v>
      </c>
      <c r="B77">
        <v>2015</v>
      </c>
      <c r="C77" s="89">
        <v>9.5</v>
      </c>
      <c r="D77" s="291">
        <v>415971.22</v>
      </c>
      <c r="E77" s="12">
        <v>33</v>
      </c>
      <c r="F77" s="12">
        <v>27.381727999999999</v>
      </c>
      <c r="G77" s="330">
        <f>'Proposed Rates'!$O$17/100</f>
        <v>0</v>
      </c>
      <c r="H77" s="291">
        <f t="shared" si="12"/>
        <v>70819.377519146656</v>
      </c>
      <c r="I77" s="291">
        <f t="shared" si="2"/>
        <v>11390010.801868159</v>
      </c>
    </row>
    <row r="78" spans="1:10" outlineLevel="2" x14ac:dyDescent="0.2">
      <c r="A78">
        <v>37500</v>
      </c>
      <c r="B78">
        <v>2014</v>
      </c>
      <c r="C78" s="89">
        <v>10.5</v>
      </c>
      <c r="D78" s="291">
        <v>100117.9</v>
      </c>
      <c r="E78" s="12">
        <v>33</v>
      </c>
      <c r="F78" s="12">
        <v>26.933252</v>
      </c>
      <c r="G78" s="330">
        <f>'Proposed Rates'!$O$17/100</f>
        <v>0</v>
      </c>
      <c r="H78" s="291">
        <f t="shared" si="12"/>
        <v>18405.759684521214</v>
      </c>
      <c r="I78" s="291">
        <f t="shared" si="2"/>
        <v>2696500.6304107998</v>
      </c>
    </row>
    <row r="79" spans="1:10" outlineLevel="2" x14ac:dyDescent="0.2">
      <c r="A79">
        <v>37500</v>
      </c>
      <c r="B79">
        <v>2013</v>
      </c>
      <c r="C79" s="89">
        <v>11.5</v>
      </c>
      <c r="D79" s="291">
        <v>27683.14</v>
      </c>
      <c r="E79" s="12">
        <v>33</v>
      </c>
      <c r="F79" s="12">
        <v>26.499455000000001</v>
      </c>
      <c r="G79" s="330">
        <f>'Proposed Rates'!$O$17/100</f>
        <v>0</v>
      </c>
      <c r="H79" s="291">
        <f t="shared" si="12"/>
        <v>5453.1968882212095</v>
      </c>
      <c r="I79" s="291">
        <f t="shared" ref="I79:I138" si="15">+D79*F79</f>
        <v>733588.12268869998</v>
      </c>
    </row>
    <row r="80" spans="1:10" outlineLevel="2" x14ac:dyDescent="0.2">
      <c r="A80">
        <v>37500</v>
      </c>
      <c r="B80">
        <v>2012</v>
      </c>
      <c r="C80" s="89">
        <v>12.5</v>
      </c>
      <c r="D80" s="291">
        <v>130812.33</v>
      </c>
      <c r="E80" s="12">
        <v>33</v>
      </c>
      <c r="F80" s="12">
        <v>26.078728999999999</v>
      </c>
      <c r="G80" s="330">
        <f>'Proposed Rates'!$O$17/100</f>
        <v>0</v>
      </c>
      <c r="H80" s="291">
        <f t="shared" si="12"/>
        <v>27435.987456710009</v>
      </c>
      <c r="I80" s="291">
        <f t="shared" si="15"/>
        <v>3411419.3039285699</v>
      </c>
    </row>
    <row r="81" spans="1:9" outlineLevel="2" x14ac:dyDescent="0.2">
      <c r="A81">
        <v>37500</v>
      </c>
      <c r="B81">
        <v>2011</v>
      </c>
      <c r="C81" s="89">
        <v>13.5</v>
      </c>
      <c r="D81" s="291">
        <v>197577.82</v>
      </c>
      <c r="E81" s="12">
        <v>33</v>
      </c>
      <c r="F81" s="12">
        <v>25.669581999999998</v>
      </c>
      <c r="G81" s="330">
        <f>'Proposed Rates'!$O$17/100</f>
        <v>0</v>
      </c>
      <c r="H81" s="291">
        <f t="shared" si="12"/>
        <v>43888.72751905334</v>
      </c>
      <c r="I81" s="291">
        <f t="shared" si="15"/>
        <v>5071740.0518712401</v>
      </c>
    </row>
    <row r="82" spans="1:9" outlineLevel="2" x14ac:dyDescent="0.2">
      <c r="A82">
        <v>37500</v>
      </c>
      <c r="B82">
        <v>2010</v>
      </c>
      <c r="C82" s="89">
        <v>14.5</v>
      </c>
      <c r="D82" s="291">
        <v>964875.45</v>
      </c>
      <c r="E82" s="12">
        <v>33</v>
      </c>
      <c r="F82" s="12">
        <v>25.270565000000001</v>
      </c>
      <c r="G82" s="330">
        <f>'Proposed Rates'!$O$17/100</f>
        <v>0</v>
      </c>
      <c r="H82" s="291">
        <f t="shared" si="12"/>
        <v>225998.24466274993</v>
      </c>
      <c r="I82" s="291">
        <f t="shared" si="15"/>
        <v>24382947.776129249</v>
      </c>
    </row>
    <row r="83" spans="1:9" outlineLevel="2" x14ac:dyDescent="0.2">
      <c r="A83">
        <v>37500</v>
      </c>
      <c r="B83">
        <v>2009</v>
      </c>
      <c r="C83" s="89">
        <v>15.5</v>
      </c>
      <c r="D83" s="291">
        <v>397892.62</v>
      </c>
      <c r="E83" s="12">
        <v>33</v>
      </c>
      <c r="F83" s="12">
        <v>24.880234000000002</v>
      </c>
      <c r="G83" s="330">
        <f>'Proposed Rates'!$O$17/100</f>
        <v>0</v>
      </c>
      <c r="H83" s="291">
        <f t="shared" si="12"/>
        <v>97902.87780384603</v>
      </c>
      <c r="I83" s="291">
        <f t="shared" si="15"/>
        <v>9899661.4924730808</v>
      </c>
    </row>
    <row r="84" spans="1:9" outlineLevel="2" x14ac:dyDescent="0.2">
      <c r="A84">
        <v>37500</v>
      </c>
      <c r="B84">
        <v>2008</v>
      </c>
      <c r="C84" s="89">
        <v>16.5</v>
      </c>
      <c r="D84" s="291">
        <v>260913.77</v>
      </c>
      <c r="E84" s="12">
        <v>33</v>
      </c>
      <c r="F84" s="12">
        <v>24.497122000000001</v>
      </c>
      <c r="G84" s="330">
        <f>'Proposed Rates'!$O$17/100</f>
        <v>0</v>
      </c>
      <c r="H84" s="291">
        <f t="shared" si="12"/>
        <v>67227.816813032114</v>
      </c>
      <c r="I84" s="291">
        <f t="shared" si="15"/>
        <v>6391636.4551699404</v>
      </c>
    </row>
    <row r="85" spans="1:9" outlineLevel="2" x14ac:dyDescent="0.2">
      <c r="A85">
        <v>37500</v>
      </c>
      <c r="B85">
        <v>2007</v>
      </c>
      <c r="C85" s="89">
        <v>17.5</v>
      </c>
      <c r="D85" s="291">
        <v>1060829.8999999999</v>
      </c>
      <c r="E85" s="12">
        <v>33</v>
      </c>
      <c r="F85" s="12">
        <v>24.120087000000002</v>
      </c>
      <c r="G85" s="330">
        <f>'Proposed Rates'!$O$17/100</f>
        <v>0</v>
      </c>
      <c r="H85" s="291">
        <f t="shared" si="12"/>
        <v>285456.88544844533</v>
      </c>
      <c r="I85" s="291">
        <f t="shared" si="15"/>
        <v>25587309.4802013</v>
      </c>
    </row>
    <row r="86" spans="1:9" outlineLevel="2" x14ac:dyDescent="0.2">
      <c r="A86">
        <v>37500</v>
      </c>
      <c r="B86">
        <v>2006</v>
      </c>
      <c r="C86" s="89">
        <v>18.5</v>
      </c>
      <c r="D86" s="291">
        <v>1110118.6499999999</v>
      </c>
      <c r="E86" s="12">
        <v>33</v>
      </c>
      <c r="F86" s="12">
        <v>23.748901</v>
      </c>
      <c r="G86" s="330">
        <f>'Proposed Rates'!$O$17/100</f>
        <v>0</v>
      </c>
      <c r="H86" s="291">
        <f t="shared" si="12"/>
        <v>311206.59190594993</v>
      </c>
      <c r="I86" s="291">
        <f t="shared" si="15"/>
        <v>26364097.917103648</v>
      </c>
    </row>
    <row r="87" spans="1:9" outlineLevel="2" x14ac:dyDescent="0.2">
      <c r="A87">
        <v>37500</v>
      </c>
      <c r="B87">
        <v>2005</v>
      </c>
      <c r="C87" s="89">
        <v>19.5</v>
      </c>
      <c r="D87" s="291">
        <v>113895.84</v>
      </c>
      <c r="E87" s="12">
        <v>33</v>
      </c>
      <c r="F87" s="12">
        <v>23.383455000000001</v>
      </c>
      <c r="G87" s="330">
        <f>'Proposed Rates'!$O$17/100</f>
        <v>0</v>
      </c>
      <c r="H87" s="291">
        <f t="shared" si="12"/>
        <v>33190.438505236365</v>
      </c>
      <c r="I87" s="291">
        <f t="shared" si="15"/>
        <v>2663278.2493272</v>
      </c>
    </row>
    <row r="88" spans="1:9" outlineLevel="2" x14ac:dyDescent="0.2">
      <c r="A88">
        <v>37500</v>
      </c>
      <c r="B88">
        <v>2004</v>
      </c>
      <c r="C88" s="89">
        <v>20.5</v>
      </c>
      <c r="D88" s="291">
        <v>87478.33</v>
      </c>
      <c r="E88" s="12">
        <v>33</v>
      </c>
      <c r="F88" s="12">
        <v>23.023641999999999</v>
      </c>
      <c r="G88" s="330">
        <f>'Proposed Rates'!$O$17/100</f>
        <v>0</v>
      </c>
      <c r="H88" s="291">
        <f t="shared" si="12"/>
        <v>26445.913252186067</v>
      </c>
      <c r="I88" s="291">
        <f t="shared" si="15"/>
        <v>2014069.75267786</v>
      </c>
    </row>
    <row r="89" spans="1:9" outlineLevel="2" x14ac:dyDescent="0.2">
      <c r="A89">
        <v>37500</v>
      </c>
      <c r="B89">
        <v>2003</v>
      </c>
      <c r="C89" s="89">
        <v>21.5</v>
      </c>
      <c r="D89" s="291">
        <v>1299753.9099999999</v>
      </c>
      <c r="E89" s="12">
        <v>33</v>
      </c>
      <c r="F89" s="12">
        <v>22.669356000000001</v>
      </c>
      <c r="G89" s="330">
        <f>'Proposed Rates'!$O$17/100</f>
        <v>0</v>
      </c>
      <c r="H89" s="291">
        <f t="shared" si="12"/>
        <v>406887.72520660725</v>
      </c>
      <c r="I89" s="291">
        <f t="shared" si="15"/>
        <v>29464584.098181959</v>
      </c>
    </row>
    <row r="90" spans="1:9" outlineLevel="2" x14ac:dyDescent="0.2">
      <c r="A90">
        <v>37500</v>
      </c>
      <c r="B90">
        <v>2002</v>
      </c>
      <c r="C90" s="89">
        <v>22.5</v>
      </c>
      <c r="D90" s="291">
        <v>1449154.67</v>
      </c>
      <c r="E90" s="12">
        <v>33</v>
      </c>
      <c r="F90" s="12">
        <v>22.320491000000001</v>
      </c>
      <c r="G90" s="330">
        <f>'Proposed Rates'!$O$17/100</f>
        <v>0</v>
      </c>
      <c r="H90" s="291">
        <f t="shared" si="12"/>
        <v>468977.58608051605</v>
      </c>
      <c r="I90" s="291">
        <f t="shared" si="15"/>
        <v>32345843.76934297</v>
      </c>
    </row>
    <row r="91" spans="1:9" outlineLevel="2" x14ac:dyDescent="0.2">
      <c r="A91">
        <v>37500</v>
      </c>
      <c r="B91">
        <v>2001</v>
      </c>
      <c r="C91" s="89">
        <v>23.5</v>
      </c>
      <c r="D91" s="291">
        <v>2041211.79</v>
      </c>
      <c r="E91" s="12">
        <v>33</v>
      </c>
      <c r="F91" s="12">
        <v>21.976942999999999</v>
      </c>
      <c r="G91" s="330">
        <f>'Proposed Rates'!$O$17/100</f>
        <v>0</v>
      </c>
      <c r="H91" s="291">
        <f t="shared" si="12"/>
        <v>681830.11849218269</v>
      </c>
      <c r="I91" s="291">
        <f t="shared" si="15"/>
        <v>44859595.159757964</v>
      </c>
    </row>
    <row r="92" spans="1:9" outlineLevel="2" x14ac:dyDescent="0.2">
      <c r="A92">
        <v>37500</v>
      </c>
      <c r="B92">
        <v>2000</v>
      </c>
      <c r="C92" s="89">
        <v>24.5</v>
      </c>
      <c r="D92" s="291">
        <v>451653.38</v>
      </c>
      <c r="E92" s="12">
        <v>33</v>
      </c>
      <c r="F92" s="12">
        <v>21.638612999999999</v>
      </c>
      <c r="G92" s="330">
        <f>'Proposed Rates'!$O$17/100</f>
        <v>0</v>
      </c>
      <c r="H92" s="291">
        <f t="shared" si="12"/>
        <v>155497.23757691091</v>
      </c>
      <c r="I92" s="291">
        <f t="shared" si="15"/>
        <v>9773152.6999619398</v>
      </c>
    </row>
    <row r="93" spans="1:9" outlineLevel="2" x14ac:dyDescent="0.2">
      <c r="A93">
        <v>37500</v>
      </c>
      <c r="B93">
        <v>1999</v>
      </c>
      <c r="C93" s="89">
        <v>25.5</v>
      </c>
      <c r="D93" s="291">
        <v>385489.97</v>
      </c>
      <c r="E93" s="12">
        <v>33</v>
      </c>
      <c r="F93" s="12">
        <v>21.305396999999999</v>
      </c>
      <c r="G93" s="330">
        <f>'Proposed Rates'!$O$17/100</f>
        <v>0</v>
      </c>
      <c r="H93" s="291">
        <f t="shared" si="12"/>
        <v>136610.67150399729</v>
      </c>
      <c r="I93" s="291">
        <f t="shared" si="15"/>
        <v>8213016.850368089</v>
      </c>
    </row>
    <row r="94" spans="1:9" outlineLevel="2" x14ac:dyDescent="0.2">
      <c r="A94">
        <v>37500</v>
      </c>
      <c r="B94">
        <v>1998</v>
      </c>
      <c r="C94" s="89">
        <v>26.5</v>
      </c>
      <c r="D94" s="291">
        <v>50657.11</v>
      </c>
      <c r="E94" s="12">
        <v>33</v>
      </c>
      <c r="F94" s="12">
        <v>20.977198999999999</v>
      </c>
      <c r="G94" s="330">
        <f>'Proposed Rates'!$O$17/100</f>
        <v>0</v>
      </c>
      <c r="H94" s="291">
        <f t="shared" si="12"/>
        <v>18455.768265609393</v>
      </c>
      <c r="I94" s="291">
        <f t="shared" si="15"/>
        <v>1062644.27723489</v>
      </c>
    </row>
    <row r="95" spans="1:9" outlineLevel="2" x14ac:dyDescent="0.2">
      <c r="A95">
        <v>37500</v>
      </c>
      <c r="B95">
        <v>1997</v>
      </c>
      <c r="C95" s="89">
        <v>27.5</v>
      </c>
      <c r="D95" s="291">
        <v>195678.27</v>
      </c>
      <c r="E95" s="12">
        <v>33</v>
      </c>
      <c r="F95" s="12">
        <v>20.653915000000001</v>
      </c>
      <c r="G95" s="330">
        <f>'Proposed Rates'!$O$17/100</f>
        <v>0</v>
      </c>
      <c r="H95" s="291">
        <f t="shared" si="12"/>
        <v>73207.895577968171</v>
      </c>
      <c r="I95" s="291">
        <f t="shared" si="15"/>
        <v>4041522.3559270501</v>
      </c>
    </row>
    <row r="96" spans="1:9" outlineLevel="2" x14ac:dyDescent="0.2">
      <c r="A96">
        <v>37500</v>
      </c>
      <c r="B96">
        <v>1996</v>
      </c>
      <c r="C96" s="89">
        <v>28.5</v>
      </c>
      <c r="D96" s="291">
        <v>124991.81</v>
      </c>
      <c r="E96" s="12">
        <v>33</v>
      </c>
      <c r="F96" s="12">
        <v>20.335456000000001</v>
      </c>
      <c r="G96" s="330">
        <f>'Proposed Rates'!$O$17/100</f>
        <v>0</v>
      </c>
      <c r="H96" s="291">
        <f t="shared" si="12"/>
        <v>47968.614466201208</v>
      </c>
      <c r="I96" s="291">
        <f t="shared" si="15"/>
        <v>2541765.4526153603</v>
      </c>
    </row>
    <row r="97" spans="1:9" outlineLevel="2" x14ac:dyDescent="0.2">
      <c r="A97">
        <v>37500</v>
      </c>
      <c r="B97">
        <v>1995</v>
      </c>
      <c r="C97" s="89">
        <v>29.5</v>
      </c>
      <c r="D97" s="291">
        <v>198793.97</v>
      </c>
      <c r="E97" s="12">
        <v>33</v>
      </c>
      <c r="F97" s="12">
        <v>20.021718</v>
      </c>
      <c r="G97" s="330">
        <f>'Proposed Rates'!$O$17/100</f>
        <v>0</v>
      </c>
      <c r="H97" s="291">
        <f t="shared" si="12"/>
        <v>78181.945532107275</v>
      </c>
      <c r="I97" s="291">
        <f t="shared" si="15"/>
        <v>3980196.8074404602</v>
      </c>
    </row>
    <row r="98" spans="1:9" outlineLevel="2" x14ac:dyDescent="0.2">
      <c r="A98">
        <v>37500</v>
      </c>
      <c r="B98">
        <v>1994</v>
      </c>
      <c r="C98" s="89">
        <v>30.5</v>
      </c>
      <c r="D98" s="291">
        <v>522640.75</v>
      </c>
      <c r="E98" s="12">
        <v>33</v>
      </c>
      <c r="F98" s="12">
        <v>19.712613999999999</v>
      </c>
      <c r="G98" s="330">
        <f>'Proposed Rates'!$O$17/100</f>
        <v>0</v>
      </c>
      <c r="H98" s="291">
        <f t="shared" si="12"/>
        <v>210440.28438119698</v>
      </c>
      <c r="I98" s="291">
        <f t="shared" si="15"/>
        <v>10302615.3654205</v>
      </c>
    </row>
    <row r="99" spans="1:9" outlineLevel="2" x14ac:dyDescent="0.2">
      <c r="A99">
        <v>37500</v>
      </c>
      <c r="B99">
        <v>1993</v>
      </c>
      <c r="C99" s="89">
        <v>31.5</v>
      </c>
      <c r="D99" s="291">
        <v>579915.72</v>
      </c>
      <c r="E99" s="12">
        <v>33</v>
      </c>
      <c r="F99" s="12">
        <v>19.408051</v>
      </c>
      <c r="G99" s="330">
        <f>'Proposed Rates'!$O$17/100</f>
        <v>0</v>
      </c>
      <c r="H99" s="291">
        <f t="shared" si="12"/>
        <v>238854.08759206906</v>
      </c>
      <c r="I99" s="291">
        <f t="shared" si="15"/>
        <v>11255033.869461719</v>
      </c>
    </row>
    <row r="100" spans="1:9" outlineLevel="2" x14ac:dyDescent="0.2">
      <c r="A100">
        <v>37500</v>
      </c>
      <c r="B100">
        <v>1992</v>
      </c>
      <c r="C100" s="89">
        <v>32.5</v>
      </c>
      <c r="D100" s="291">
        <v>74776.08</v>
      </c>
      <c r="E100" s="12">
        <v>33</v>
      </c>
      <c r="F100" s="12">
        <v>19.107937</v>
      </c>
      <c r="G100" s="330">
        <f>'Proposed Rates'!$O$17/100</f>
        <v>0</v>
      </c>
      <c r="H100" s="291">
        <f t="shared" si="12"/>
        <v>31478.606492516363</v>
      </c>
      <c r="I100" s="291">
        <f t="shared" si="15"/>
        <v>1428816.6257469601</v>
      </c>
    </row>
    <row r="101" spans="1:9" outlineLevel="2" x14ac:dyDescent="0.2">
      <c r="A101">
        <v>37500</v>
      </c>
      <c r="B101">
        <v>1991</v>
      </c>
      <c r="C101" s="89">
        <v>33.5</v>
      </c>
      <c r="D101" s="291">
        <v>34420.61</v>
      </c>
      <c r="E101" s="12">
        <v>33</v>
      </c>
      <c r="F101" s="12">
        <v>18.812183000000001</v>
      </c>
      <c r="G101" s="330">
        <f>'Proposed Rates'!$O$17/100</f>
        <v>0</v>
      </c>
      <c r="H101" s="291">
        <f t="shared" si="12"/>
        <v>14798.585324496062</v>
      </c>
      <c r="I101" s="291">
        <f t="shared" si="15"/>
        <v>647526.81429163006</v>
      </c>
    </row>
    <row r="102" spans="1:9" outlineLevel="2" x14ac:dyDescent="0.2">
      <c r="A102">
        <v>37500</v>
      </c>
      <c r="B102">
        <v>1990</v>
      </c>
      <c r="C102" s="89">
        <v>34.5</v>
      </c>
      <c r="D102" s="291">
        <v>261229.83</v>
      </c>
      <c r="E102" s="12">
        <v>33</v>
      </c>
      <c r="F102" s="12">
        <v>18.520697999999999</v>
      </c>
      <c r="G102" s="330">
        <f>'Proposed Rates'!$O$17/100</f>
        <v>0</v>
      </c>
      <c r="H102" s="291">
        <f t="shared" si="12"/>
        <v>114618.95757511089</v>
      </c>
      <c r="I102" s="291">
        <f t="shared" si="15"/>
        <v>4838158.7900213394</v>
      </c>
    </row>
    <row r="103" spans="1:9" outlineLevel="2" x14ac:dyDescent="0.2">
      <c r="A103">
        <v>37500</v>
      </c>
      <c r="B103">
        <v>1989</v>
      </c>
      <c r="C103" s="89">
        <v>35.5</v>
      </c>
      <c r="D103" s="291">
        <v>10310.76</v>
      </c>
      <c r="E103" s="12">
        <v>33</v>
      </c>
      <c r="F103" s="12">
        <v>18.233405000000001</v>
      </c>
      <c r="G103" s="330">
        <f>'Proposed Rates'!$O$17/100</f>
        <v>0</v>
      </c>
      <c r="H103" s="291">
        <f t="shared" si="12"/>
        <v>4613.7823352181813</v>
      </c>
      <c r="I103" s="291">
        <f t="shared" si="15"/>
        <v>188000.26293780003</v>
      </c>
    </row>
    <row r="104" spans="1:9" outlineLevel="2" x14ac:dyDescent="0.2">
      <c r="A104">
        <v>37500</v>
      </c>
      <c r="B104">
        <v>1988</v>
      </c>
      <c r="C104" s="89">
        <v>36.5</v>
      </c>
      <c r="D104" s="291">
        <v>44231.55</v>
      </c>
      <c r="E104" s="12">
        <v>33</v>
      </c>
      <c r="F104" s="12">
        <v>17.950209999999998</v>
      </c>
      <c r="G104" s="330">
        <f>'Proposed Rates'!$O$17/100</f>
        <v>0</v>
      </c>
      <c r="H104" s="291">
        <f t="shared" si="12"/>
        <v>20171.986026500002</v>
      </c>
      <c r="I104" s="291">
        <f t="shared" si="15"/>
        <v>793965.61112549994</v>
      </c>
    </row>
    <row r="105" spans="1:9" outlineLevel="2" x14ac:dyDescent="0.2">
      <c r="A105">
        <v>37500</v>
      </c>
      <c r="B105">
        <v>1987</v>
      </c>
      <c r="C105" s="89">
        <v>37.5</v>
      </c>
      <c r="D105" s="291">
        <v>60992.18</v>
      </c>
      <c r="E105" s="12">
        <v>33</v>
      </c>
      <c r="F105" s="12">
        <v>17.671036999999998</v>
      </c>
      <c r="G105" s="330">
        <f>'Proposed Rates'!$O$17/100</f>
        <v>0</v>
      </c>
      <c r="H105" s="291">
        <f t="shared" si="12"/>
        <v>28331.723348767886</v>
      </c>
      <c r="I105" s="291">
        <f t="shared" si="15"/>
        <v>1077795.06949066</v>
      </c>
    </row>
    <row r="106" spans="1:9" outlineLevel="2" x14ac:dyDescent="0.2">
      <c r="A106">
        <v>37500</v>
      </c>
      <c r="B106">
        <v>1986</v>
      </c>
      <c r="C106" s="89">
        <v>38.5</v>
      </c>
      <c r="D106" s="291">
        <v>1956113.22</v>
      </c>
      <c r="E106" s="12">
        <v>33</v>
      </c>
      <c r="F106" s="12">
        <v>17.395799</v>
      </c>
      <c r="G106" s="330">
        <f>'Proposed Rates'!$O$17/100</f>
        <v>0</v>
      </c>
      <c r="H106" s="291">
        <f t="shared" si="12"/>
        <v>924957.08677688532</v>
      </c>
      <c r="I106" s="291">
        <f t="shared" si="15"/>
        <v>34028152.396362782</v>
      </c>
    </row>
    <row r="107" spans="1:9" outlineLevel="2" x14ac:dyDescent="0.2">
      <c r="A107">
        <v>37500</v>
      </c>
      <c r="B107">
        <v>1985</v>
      </c>
      <c r="C107" s="89">
        <v>39.5</v>
      </c>
      <c r="E107" s="12">
        <v>33</v>
      </c>
      <c r="F107" s="12">
        <v>17.124421000000002</v>
      </c>
      <c r="G107" s="330">
        <f>'Proposed Rates'!$O$17/100</f>
        <v>0</v>
      </c>
      <c r="H107" s="291">
        <f t="shared" si="12"/>
        <v>0</v>
      </c>
      <c r="I107" s="291">
        <f t="shared" si="15"/>
        <v>0</v>
      </c>
    </row>
    <row r="108" spans="1:9" outlineLevel="2" x14ac:dyDescent="0.2">
      <c r="A108">
        <v>37500</v>
      </c>
      <c r="B108">
        <v>1984</v>
      </c>
      <c r="C108" s="89">
        <v>40.5</v>
      </c>
      <c r="E108" s="12">
        <v>33</v>
      </c>
      <c r="F108" s="12">
        <v>16.856822000000001</v>
      </c>
      <c r="G108" s="330">
        <f>'Proposed Rates'!$O$17/100</f>
        <v>0</v>
      </c>
      <c r="H108" s="291">
        <f t="shared" si="12"/>
        <v>0</v>
      </c>
      <c r="I108" s="291">
        <f t="shared" si="15"/>
        <v>0</v>
      </c>
    </row>
    <row r="109" spans="1:9" outlineLevel="2" x14ac:dyDescent="0.2">
      <c r="A109">
        <v>37500</v>
      </c>
      <c r="B109">
        <v>1983</v>
      </c>
      <c r="C109" s="89">
        <v>41.5</v>
      </c>
      <c r="E109" s="12">
        <v>33</v>
      </c>
      <c r="F109" s="12">
        <v>16.592929000000002</v>
      </c>
      <c r="G109" s="330">
        <f>'Proposed Rates'!$O$17/100</f>
        <v>0</v>
      </c>
      <c r="H109" s="291">
        <f t="shared" si="12"/>
        <v>0</v>
      </c>
      <c r="I109" s="291">
        <f t="shared" si="15"/>
        <v>0</v>
      </c>
    </row>
    <row r="110" spans="1:9" outlineLevel="2" x14ac:dyDescent="0.2">
      <c r="A110">
        <v>37500</v>
      </c>
      <c r="B110">
        <v>1982</v>
      </c>
      <c r="C110" s="89">
        <v>42.5</v>
      </c>
      <c r="E110" s="12">
        <v>33</v>
      </c>
      <c r="F110" s="12">
        <v>16.332657999999999</v>
      </c>
      <c r="G110" s="330">
        <f>'Proposed Rates'!$O$17/100</f>
        <v>0</v>
      </c>
      <c r="H110" s="291">
        <f t="shared" si="12"/>
        <v>0</v>
      </c>
      <c r="I110" s="291">
        <f t="shared" si="15"/>
        <v>0</v>
      </c>
    </row>
    <row r="111" spans="1:9" outlineLevel="2" x14ac:dyDescent="0.2">
      <c r="A111">
        <v>37500</v>
      </c>
      <c r="B111">
        <v>1981</v>
      </c>
      <c r="C111" s="89">
        <v>43.5</v>
      </c>
      <c r="E111" s="12">
        <v>33</v>
      </c>
      <c r="F111" s="12">
        <v>16.075945000000001</v>
      </c>
      <c r="G111" s="330">
        <f>'Proposed Rates'!$O$17/100</f>
        <v>0</v>
      </c>
      <c r="H111" s="291">
        <f t="shared" si="12"/>
        <v>0</v>
      </c>
      <c r="I111" s="291">
        <f t="shared" si="15"/>
        <v>0</v>
      </c>
    </row>
    <row r="112" spans="1:9" outlineLevel="2" x14ac:dyDescent="0.2">
      <c r="A112">
        <v>37500</v>
      </c>
      <c r="B112">
        <v>1980</v>
      </c>
      <c r="C112" s="89">
        <v>44.5</v>
      </c>
      <c r="E112" s="12">
        <v>33</v>
      </c>
      <c r="F112" s="12">
        <v>15.822714</v>
      </c>
      <c r="G112" s="330">
        <f>'Proposed Rates'!$O$17/100</f>
        <v>0</v>
      </c>
      <c r="H112" s="291">
        <f t="shared" si="12"/>
        <v>0</v>
      </c>
      <c r="I112" s="291">
        <f t="shared" si="15"/>
        <v>0</v>
      </c>
    </row>
    <row r="113" spans="1:10" outlineLevel="2" x14ac:dyDescent="0.2">
      <c r="A113">
        <v>37500</v>
      </c>
      <c r="B113">
        <v>1978</v>
      </c>
      <c r="C113" s="89">
        <v>46.5</v>
      </c>
      <c r="E113" s="12">
        <v>33</v>
      </c>
      <c r="F113" s="12">
        <v>15.326418</v>
      </c>
      <c r="G113" s="330">
        <f>'Proposed Rates'!$O$17/100</f>
        <v>0</v>
      </c>
      <c r="H113" s="291">
        <f t="shared" si="12"/>
        <v>0</v>
      </c>
      <c r="I113" s="291">
        <f t="shared" si="15"/>
        <v>0</v>
      </c>
    </row>
    <row r="114" spans="1:10" outlineLevel="2" x14ac:dyDescent="0.2">
      <c r="A114">
        <v>37500</v>
      </c>
      <c r="B114">
        <v>1976</v>
      </c>
      <c r="C114" s="89">
        <v>48.5</v>
      </c>
      <c r="E114" s="12">
        <v>33</v>
      </c>
      <c r="F114" s="12">
        <v>14.843220000000001</v>
      </c>
      <c r="G114" s="330">
        <f>'Proposed Rates'!$O$17/100</f>
        <v>0</v>
      </c>
      <c r="H114" s="291">
        <f t="shared" si="12"/>
        <v>0</v>
      </c>
      <c r="I114" s="291">
        <f t="shared" si="15"/>
        <v>0</v>
      </c>
    </row>
    <row r="115" spans="1:10" outlineLevel="2" x14ac:dyDescent="0.2">
      <c r="A115">
        <v>37500</v>
      </c>
      <c r="B115">
        <v>1975</v>
      </c>
      <c r="C115" s="89">
        <v>49.5</v>
      </c>
      <c r="E115" s="12">
        <v>33</v>
      </c>
      <c r="F115" s="12">
        <v>14.606366</v>
      </c>
      <c r="G115" s="330">
        <f>'Proposed Rates'!$O$17/100</f>
        <v>0</v>
      </c>
      <c r="H115" s="291">
        <f t="shared" si="12"/>
        <v>0</v>
      </c>
      <c r="I115" s="291">
        <f t="shared" si="15"/>
        <v>0</v>
      </c>
    </row>
    <row r="116" spans="1:10" outlineLevel="2" x14ac:dyDescent="0.2">
      <c r="A116">
        <v>37500</v>
      </c>
      <c r="B116">
        <v>1974</v>
      </c>
      <c r="C116" s="89">
        <v>50.5</v>
      </c>
      <c r="E116" s="12">
        <v>33</v>
      </c>
      <c r="F116" s="12">
        <v>14.372507000000001</v>
      </c>
      <c r="G116" s="330">
        <f>'Proposed Rates'!$O$17/100</f>
        <v>0</v>
      </c>
      <c r="H116" s="291">
        <f t="shared" si="12"/>
        <v>0</v>
      </c>
      <c r="I116" s="291">
        <f t="shared" si="15"/>
        <v>0</v>
      </c>
    </row>
    <row r="117" spans="1:10" s="143" customFormat="1" outlineLevel="1" x14ac:dyDescent="0.2">
      <c r="A117" s="20" t="s">
        <v>1181</v>
      </c>
      <c r="C117" s="89"/>
      <c r="D117" s="291">
        <f>SUBTOTAL(9,D68:D116)</f>
        <v>42540041.509999983</v>
      </c>
      <c r="E117" s="12"/>
      <c r="F117" s="12"/>
      <c r="G117" s="330"/>
      <c r="H117" s="291">
        <f>SUBTOTAL(9,H68:H116)</f>
        <v>6646684.4072978618</v>
      </c>
      <c r="I117" s="291">
        <f>SUBTOTAL(9,I68:I116)</f>
        <v>1184480784.3891704</v>
      </c>
      <c r="J117" s="291">
        <f>+I117/D117</f>
        <v>27.84390288172925</v>
      </c>
    </row>
    <row r="118" spans="1:10" outlineLevel="2" x14ac:dyDescent="0.2">
      <c r="A118">
        <v>37600</v>
      </c>
      <c r="B118">
        <v>2024</v>
      </c>
      <c r="C118" s="89">
        <v>0.5</v>
      </c>
      <c r="D118" s="291">
        <v>14028807.663222639</v>
      </c>
      <c r="E118" s="12">
        <v>65</v>
      </c>
      <c r="F118" s="12">
        <v>64.588004999999995</v>
      </c>
      <c r="G118" s="330">
        <f>'Proposed Rates'!$O$18/100</f>
        <v>-0.6</v>
      </c>
      <c r="H118" s="291">
        <f t="shared" si="12"/>
        <v>142271.96586361859</v>
      </c>
      <c r="I118" s="291">
        <f t="shared" si="15"/>
        <v>906092699.49626207</v>
      </c>
    </row>
    <row r="119" spans="1:10" outlineLevel="2" x14ac:dyDescent="0.2">
      <c r="A119">
        <v>37600</v>
      </c>
      <c r="B119">
        <v>2023</v>
      </c>
      <c r="C119" s="89">
        <v>1.5</v>
      </c>
      <c r="D119" s="291">
        <v>91298946.495545566</v>
      </c>
      <c r="E119" s="12">
        <v>65</v>
      </c>
      <c r="F119" s="12">
        <v>63.766305000000003</v>
      </c>
      <c r="G119" s="330">
        <f>'Proposed Rates'!$O$18/100</f>
        <v>-0.6</v>
      </c>
      <c r="H119" s="291">
        <f t="shared" si="12"/>
        <v>2772555.1703833151</v>
      </c>
      <c r="I119" s="291">
        <f t="shared" si="15"/>
        <v>5821796468.41364</v>
      </c>
    </row>
    <row r="120" spans="1:10" outlineLevel="2" x14ac:dyDescent="0.2">
      <c r="A120">
        <v>37600</v>
      </c>
      <c r="B120">
        <v>2022</v>
      </c>
      <c r="C120" s="89">
        <v>2.5</v>
      </c>
      <c r="D120" s="291">
        <v>59588526.220000006</v>
      </c>
      <c r="E120" s="12">
        <v>65</v>
      </c>
      <c r="F120" s="12">
        <v>62.947991000000002</v>
      </c>
      <c r="G120" s="330">
        <f>'Proposed Rates'!$O$18/100</f>
        <v>-0.6</v>
      </c>
      <c r="H120" s="291">
        <f t="shared" si="12"/>
        <v>3009875.4978504879</v>
      </c>
      <c r="I120" s="291">
        <f t="shared" si="15"/>
        <v>3750978012.1998243</v>
      </c>
    </row>
    <row r="121" spans="1:10" outlineLevel="2" x14ac:dyDescent="0.2">
      <c r="A121">
        <v>37600</v>
      </c>
      <c r="B121">
        <v>2021</v>
      </c>
      <c r="C121" s="89">
        <v>3.5</v>
      </c>
      <c r="D121" s="291">
        <v>106265901.86</v>
      </c>
      <c r="E121" s="12">
        <v>65</v>
      </c>
      <c r="F121" s="12">
        <v>62.133426</v>
      </c>
      <c r="G121" s="330">
        <f>'Proposed Rates'!$O$18/100</f>
        <v>-0.6</v>
      </c>
      <c r="H121" s="291">
        <f t="shared" si="12"/>
        <v>7498315.6026689978</v>
      </c>
      <c r="I121" s="291">
        <f t="shared" si="15"/>
        <v>6602664549.5415726</v>
      </c>
    </row>
    <row r="122" spans="1:10" outlineLevel="2" x14ac:dyDescent="0.2">
      <c r="A122">
        <v>37600</v>
      </c>
      <c r="B122">
        <v>2020</v>
      </c>
      <c r="C122" s="89">
        <v>4.5</v>
      </c>
      <c r="D122" s="291">
        <v>84148547.469999999</v>
      </c>
      <c r="E122" s="12">
        <v>65</v>
      </c>
      <c r="F122" s="12">
        <v>61.322082999999999</v>
      </c>
      <c r="G122" s="330">
        <f>'Proposed Rates'!$O$18/100</f>
        <v>-0.6</v>
      </c>
      <c r="H122" s="291">
        <f t="shared" si="12"/>
        <v>7618249.1880669612</v>
      </c>
      <c r="I122" s="291">
        <f t="shared" si="15"/>
        <v>5160164212.2847795</v>
      </c>
    </row>
    <row r="123" spans="1:10" outlineLevel="2" x14ac:dyDescent="0.2">
      <c r="A123" s="143">
        <v>37600</v>
      </c>
      <c r="B123">
        <v>2019</v>
      </c>
      <c r="C123" s="89">
        <v>5.5</v>
      </c>
      <c r="D123" s="291">
        <v>29404985.100000001</v>
      </c>
      <c r="E123" s="12">
        <v>65</v>
      </c>
      <c r="F123" s="12">
        <v>60.514690999999999</v>
      </c>
      <c r="G123" s="330">
        <f>'Proposed Rates'!$O$18/100</f>
        <v>-0.6</v>
      </c>
      <c r="H123" s="291">
        <f t="shared" si="12"/>
        <v>3246534.0138805173</v>
      </c>
      <c r="I123" s="291">
        <f t="shared" si="15"/>
        <v>1779433587.1861041</v>
      </c>
    </row>
    <row r="124" spans="1:10" outlineLevel="2" x14ac:dyDescent="0.2">
      <c r="A124" s="143">
        <v>37600</v>
      </c>
      <c r="B124">
        <v>2018</v>
      </c>
      <c r="C124" s="89">
        <v>6.5</v>
      </c>
      <c r="D124" s="291">
        <v>24548208.259999998</v>
      </c>
      <c r="E124" s="12">
        <v>65</v>
      </c>
      <c r="F124" s="12">
        <v>59.710365000000003</v>
      </c>
      <c r="G124" s="330">
        <f>'Proposed Rates'!$O$18/100</f>
        <v>-0.6</v>
      </c>
      <c r="H124" s="291">
        <f t="shared" ref="H124:H182" si="16">+D124*(1-F124/E124)*(1-G124)</f>
        <v>3196333.8239848632</v>
      </c>
      <c r="I124" s="291">
        <f t="shared" si="15"/>
        <v>1465782475.3006148</v>
      </c>
    </row>
    <row r="125" spans="1:10" s="143" customFormat="1" outlineLevel="2" x14ac:dyDescent="0.2">
      <c r="A125" s="143">
        <v>37600</v>
      </c>
      <c r="B125" s="143">
        <v>2017</v>
      </c>
      <c r="C125" s="89">
        <v>7.5</v>
      </c>
      <c r="D125" s="291">
        <v>25014029.719999999</v>
      </c>
      <c r="E125" s="12">
        <v>65</v>
      </c>
      <c r="F125" s="12">
        <v>58.910193</v>
      </c>
      <c r="G125" s="330">
        <f>'Proposed Rates'!$O$18/100</f>
        <v>-0.6</v>
      </c>
      <c r="H125" s="291">
        <f t="shared" ref="H125:H132" si="17">+D125*(1-F125/E125)*(1-G125)</f>
        <v>3749676.6347585004</v>
      </c>
      <c r="I125" s="291">
        <f t="shared" ref="I125:I132" si="18">+D125*F125</f>
        <v>1473581318.5129359</v>
      </c>
      <c r="J125" s="291"/>
    </row>
    <row r="126" spans="1:10" s="143" customFormat="1" outlineLevel="2" x14ac:dyDescent="0.2">
      <c r="A126" s="143">
        <v>37600</v>
      </c>
      <c r="B126" s="143">
        <v>2016</v>
      </c>
      <c r="C126" s="89">
        <v>8.5</v>
      </c>
      <c r="D126" s="291">
        <v>29365010.199999999</v>
      </c>
      <c r="E126" s="12">
        <v>65</v>
      </c>
      <c r="F126" s="12">
        <v>58.113104999999997</v>
      </c>
      <c r="G126" s="330">
        <f>'Proposed Rates'!$O$18/100</f>
        <v>-0.6</v>
      </c>
      <c r="H126" s="291">
        <f t="shared" si="17"/>
        <v>4978061.3396019442</v>
      </c>
      <c r="I126" s="291">
        <f t="shared" si="18"/>
        <v>1706491921.078671</v>
      </c>
      <c r="J126" s="291"/>
    </row>
    <row r="127" spans="1:10" s="143" customFormat="1" outlineLevel="2" x14ac:dyDescent="0.2">
      <c r="A127" s="143">
        <v>37600</v>
      </c>
      <c r="B127" s="143">
        <v>2015</v>
      </c>
      <c r="C127" s="89">
        <v>9.5</v>
      </c>
      <c r="D127" s="291">
        <v>8681159</v>
      </c>
      <c r="E127" s="12">
        <v>65</v>
      </c>
      <c r="F127" s="12">
        <v>57.320014999999998</v>
      </c>
      <c r="G127" s="330">
        <f>'Proposed Rates'!$O$18/100</f>
        <v>-0.6</v>
      </c>
      <c r="H127" s="291">
        <f t="shared" si="17"/>
        <v>1641136.5145259085</v>
      </c>
      <c r="I127" s="291">
        <f t="shared" si="18"/>
        <v>497604164.09738499</v>
      </c>
      <c r="J127" s="291"/>
    </row>
    <row r="128" spans="1:10" s="143" customFormat="1" outlineLevel="2" x14ac:dyDescent="0.2">
      <c r="A128" s="143">
        <v>37600</v>
      </c>
      <c r="B128" s="143">
        <v>2014</v>
      </c>
      <c r="C128" s="89">
        <v>10.5</v>
      </c>
      <c r="D128" s="291">
        <v>16693976.66</v>
      </c>
      <c r="E128" s="12">
        <v>65</v>
      </c>
      <c r="F128" s="12">
        <v>56.530209999999997</v>
      </c>
      <c r="G128" s="330">
        <f>'Proposed Rates'!$O$18/100</f>
        <v>-0.6</v>
      </c>
      <c r="H128" s="291">
        <f t="shared" si="17"/>
        <v>3480479.4233871112</v>
      </c>
      <c r="I128" s="291">
        <f t="shared" si="18"/>
        <v>943714006.3248986</v>
      </c>
      <c r="J128" s="291"/>
    </row>
    <row r="129" spans="1:10" s="143" customFormat="1" outlineLevel="2" x14ac:dyDescent="0.2">
      <c r="A129" s="143">
        <v>37600</v>
      </c>
      <c r="B129" s="143">
        <v>2013</v>
      </c>
      <c r="C129" s="89">
        <v>11.5</v>
      </c>
      <c r="D129" s="291">
        <v>36108503.880000003</v>
      </c>
      <c r="E129" s="12">
        <v>65</v>
      </c>
      <c r="F129" s="12">
        <v>55.744242999999997</v>
      </c>
      <c r="G129" s="330">
        <f>'Proposed Rates'!$O$18/100</f>
        <v>-0.6</v>
      </c>
      <c r="H129" s="291">
        <f t="shared" si="17"/>
        <v>8226745.5396144604</v>
      </c>
      <c r="I129" s="291">
        <f t="shared" si="18"/>
        <v>2012841214.653163</v>
      </c>
      <c r="J129" s="291"/>
    </row>
    <row r="130" spans="1:10" s="143" customFormat="1" outlineLevel="2" x14ac:dyDescent="0.2">
      <c r="A130" s="143">
        <v>37600</v>
      </c>
      <c r="B130" s="143">
        <v>2012</v>
      </c>
      <c r="C130" s="89">
        <v>12.5</v>
      </c>
      <c r="D130" s="291">
        <v>14835653.58</v>
      </c>
      <c r="E130" s="12">
        <v>65</v>
      </c>
      <c r="F130" s="12">
        <v>54.961753000000002</v>
      </c>
      <c r="G130" s="330">
        <f>'Proposed Rates'!$O$18/100</f>
        <v>-0.6</v>
      </c>
      <c r="H130" s="291">
        <f t="shared" si="17"/>
        <v>3665820.4318147521</v>
      </c>
      <c r="I130" s="291">
        <f t="shared" si="18"/>
        <v>815393527.65752578</v>
      </c>
      <c r="J130" s="291"/>
    </row>
    <row r="131" spans="1:10" outlineLevel="2" x14ac:dyDescent="0.2">
      <c r="A131" s="143">
        <v>37600</v>
      </c>
      <c r="B131">
        <v>2011</v>
      </c>
      <c r="C131" s="89">
        <v>13.5</v>
      </c>
      <c r="D131" s="291">
        <v>12473481.299999999</v>
      </c>
      <c r="E131" s="12">
        <v>65</v>
      </c>
      <c r="F131" s="12">
        <v>54.182948000000003</v>
      </c>
      <c r="G131" s="330">
        <f>'Proposed Rates'!$O$18/100</f>
        <v>-0.6</v>
      </c>
      <c r="H131" s="291">
        <f t="shared" si="17"/>
        <v>3321262.6669077547</v>
      </c>
      <c r="I131" s="291">
        <f t="shared" si="18"/>
        <v>675849988.65687239</v>
      </c>
    </row>
    <row r="132" spans="1:10" outlineLevel="2" x14ac:dyDescent="0.2">
      <c r="A132" s="143">
        <v>37600</v>
      </c>
      <c r="B132">
        <v>2010</v>
      </c>
      <c r="C132" s="89">
        <v>14.5</v>
      </c>
      <c r="D132" s="291">
        <v>27833077.359999999</v>
      </c>
      <c r="E132" s="12">
        <v>65</v>
      </c>
      <c r="F132" s="12">
        <v>53.407832999999997</v>
      </c>
      <c r="G132" s="330">
        <f>'Proposed Rates'!$O$18/100</f>
        <v>-0.6</v>
      </c>
      <c r="H132" s="291">
        <f t="shared" si="17"/>
        <v>7942047.5293794265</v>
      </c>
      <c r="I132" s="291">
        <f t="shared" si="18"/>
        <v>1486504347.5189607</v>
      </c>
    </row>
    <row r="133" spans="1:10" outlineLevel="2" x14ac:dyDescent="0.2">
      <c r="A133" s="143">
        <v>37600</v>
      </c>
      <c r="B133">
        <v>2009</v>
      </c>
      <c r="C133" s="89">
        <v>15.5</v>
      </c>
      <c r="D133" s="291">
        <v>26291133.809999999</v>
      </c>
      <c r="E133" s="12">
        <v>65</v>
      </c>
      <c r="F133" s="12">
        <v>52.636218999999997</v>
      </c>
      <c r="G133" s="330">
        <f>'Proposed Rates'!$O$18/100</f>
        <v>-0.6</v>
      </c>
      <c r="H133" s="291">
        <f t="shared" si="16"/>
        <v>8001423.277994724</v>
      </c>
      <c r="I133" s="291">
        <f t="shared" si="15"/>
        <v>1383865876.9814641</v>
      </c>
    </row>
    <row r="134" spans="1:10" outlineLevel="2" x14ac:dyDescent="0.2">
      <c r="A134" s="143">
        <v>37600</v>
      </c>
      <c r="B134">
        <v>2008</v>
      </c>
      <c r="C134" s="89">
        <v>16.5</v>
      </c>
      <c r="D134" s="291">
        <v>5045352.28</v>
      </c>
      <c r="E134" s="12">
        <v>65</v>
      </c>
      <c r="F134" s="12">
        <v>51.868518999999999</v>
      </c>
      <c r="G134" s="330">
        <f>'Proposed Rates'!$O$18/100</f>
        <v>-0.6</v>
      </c>
      <c r="H134" s="291">
        <f t="shared" si="16"/>
        <v>1630841.7871538876</v>
      </c>
      <c r="I134" s="291">
        <f t="shared" si="15"/>
        <v>261694950.59687334</v>
      </c>
    </row>
    <row r="135" spans="1:10" outlineLevel="2" x14ac:dyDescent="0.2">
      <c r="A135" s="143">
        <v>37600</v>
      </c>
      <c r="B135">
        <v>2007</v>
      </c>
      <c r="C135" s="89">
        <v>17.5</v>
      </c>
      <c r="D135" s="291">
        <v>4182324.87</v>
      </c>
      <c r="E135" s="12">
        <v>65</v>
      </c>
      <c r="F135" s="12">
        <v>51.104140999999998</v>
      </c>
      <c r="G135" s="330">
        <f>'Proposed Rates'!$O$18/100</f>
        <v>-0.6</v>
      </c>
      <c r="H135" s="291">
        <f t="shared" si="16"/>
        <v>1430572.2261098672</v>
      </c>
      <c r="I135" s="291">
        <f t="shared" si="15"/>
        <v>213734119.86428666</v>
      </c>
    </row>
    <row r="136" spans="1:10" outlineLevel="2" x14ac:dyDescent="0.2">
      <c r="A136" s="143">
        <v>37600</v>
      </c>
      <c r="B136">
        <v>2006</v>
      </c>
      <c r="C136" s="89">
        <v>18.5</v>
      </c>
      <c r="D136" s="291">
        <v>5975408.9100000001</v>
      </c>
      <c r="E136" s="12">
        <v>65</v>
      </c>
      <c r="F136" s="12">
        <v>50.343901000000002</v>
      </c>
      <c r="G136" s="330">
        <f>'Proposed Rates'!$O$18/100</f>
        <v>-0.6</v>
      </c>
      <c r="H136" s="291">
        <f t="shared" si="16"/>
        <v>2155721.4658570359</v>
      </c>
      <c r="I136" s="291">
        <f t="shared" si="15"/>
        <v>300825394.59955794</v>
      </c>
    </row>
    <row r="137" spans="1:10" outlineLevel="2" x14ac:dyDescent="0.2">
      <c r="A137" s="143">
        <v>37600</v>
      </c>
      <c r="B137">
        <v>2005</v>
      </c>
      <c r="C137" s="89">
        <v>19.5</v>
      </c>
      <c r="D137" s="291">
        <v>3502683.06</v>
      </c>
      <c r="E137" s="12">
        <v>65</v>
      </c>
      <c r="F137" s="12">
        <v>49.586813999999997</v>
      </c>
      <c r="G137" s="330">
        <f>'Proposed Rates'!$O$18/100</f>
        <v>-0.6</v>
      </c>
      <c r="H137" s="291">
        <f t="shared" si="16"/>
        <v>1328923.2123773335</v>
      </c>
      <c r="I137" s="291">
        <f t="shared" si="15"/>
        <v>173686893.39717084</v>
      </c>
    </row>
    <row r="138" spans="1:10" outlineLevel="2" x14ac:dyDescent="0.2">
      <c r="A138">
        <v>37600</v>
      </c>
      <c r="B138">
        <v>2004</v>
      </c>
      <c r="C138" s="89">
        <v>20.5</v>
      </c>
      <c r="D138" s="291">
        <v>3582034.99</v>
      </c>
      <c r="E138" s="12">
        <v>65</v>
      </c>
      <c r="F138" s="12">
        <v>48.834133999999999</v>
      </c>
      <c r="G138" s="330">
        <f>'Proposed Rates'!$O$18/100</f>
        <v>-0.6</v>
      </c>
      <c r="H138" s="291">
        <f t="shared" si="16"/>
        <v>1425395.6346006487</v>
      </c>
      <c r="I138" s="291">
        <f t="shared" si="15"/>
        <v>174925576.69434866</v>
      </c>
    </row>
    <row r="139" spans="1:10" outlineLevel="2" x14ac:dyDescent="0.2">
      <c r="A139">
        <v>37600</v>
      </c>
      <c r="B139">
        <v>2003</v>
      </c>
      <c r="C139" s="89">
        <v>21.5</v>
      </c>
      <c r="D139" s="291">
        <v>6676236.9100000001</v>
      </c>
      <c r="E139" s="12">
        <v>65</v>
      </c>
      <c r="F139" s="12">
        <v>48.084708999999997</v>
      </c>
      <c r="G139" s="330">
        <f>'Proposed Rates'!$O$18/100</f>
        <v>-0.6</v>
      </c>
      <c r="H139" s="291">
        <f t="shared" si="16"/>
        <v>2779827.4490483897</v>
      </c>
      <c r="I139" s="291">
        <f t="shared" ref="I139:I182" si="19">+D139*F139</f>
        <v>321024909.03240919</v>
      </c>
    </row>
    <row r="140" spans="1:10" outlineLevel="2" x14ac:dyDescent="0.2">
      <c r="A140">
        <v>37600</v>
      </c>
      <c r="B140">
        <v>2002</v>
      </c>
      <c r="C140" s="89">
        <v>22.5</v>
      </c>
      <c r="D140" s="291">
        <v>7192891.7000000002</v>
      </c>
      <c r="E140" s="12">
        <v>65</v>
      </c>
      <c r="F140" s="12">
        <v>47.339655999999998</v>
      </c>
      <c r="G140" s="330">
        <f>'Proposed Rates'!$O$18/100</f>
        <v>-0.6</v>
      </c>
      <c r="H140" s="291">
        <f t="shared" si="16"/>
        <v>3126866.259119872</v>
      </c>
      <c r="I140" s="291">
        <f t="shared" si="19"/>
        <v>340509018.72325522</v>
      </c>
    </row>
    <row r="141" spans="1:10" outlineLevel="2" x14ac:dyDescent="0.2">
      <c r="A141">
        <v>37600</v>
      </c>
      <c r="B141">
        <v>2001</v>
      </c>
      <c r="C141" s="89">
        <v>23.5</v>
      </c>
      <c r="D141" s="291">
        <v>18221210.970000003</v>
      </c>
      <c r="E141" s="12">
        <v>65</v>
      </c>
      <c r="F141" s="12">
        <v>46.598218000000003</v>
      </c>
      <c r="G141" s="330">
        <f>'Proposed Rates'!$O$18/100</f>
        <v>-0.6</v>
      </c>
      <c r="H141" s="291">
        <f t="shared" si="16"/>
        <v>8253606.2042079633</v>
      </c>
      <c r="I141" s="291">
        <f t="shared" si="19"/>
        <v>849075961.00405169</v>
      </c>
    </row>
    <row r="142" spans="1:10" outlineLevel="2" x14ac:dyDescent="0.2">
      <c r="A142">
        <v>37600</v>
      </c>
      <c r="B142">
        <v>2000</v>
      </c>
      <c r="C142" s="89">
        <v>24.5</v>
      </c>
      <c r="D142" s="291">
        <v>17050968.490000002</v>
      </c>
      <c r="E142" s="12">
        <v>65</v>
      </c>
      <c r="F142" s="12">
        <v>45.861151</v>
      </c>
      <c r="G142" s="330">
        <f>'Proposed Rates'!$O$18/100</f>
        <v>-0.6</v>
      </c>
      <c r="H142" s="291">
        <f t="shared" si="16"/>
        <v>8032883.9688336747</v>
      </c>
      <c r="I142" s="291">
        <f t="shared" si="19"/>
        <v>781977040.61613202</v>
      </c>
    </row>
    <row r="143" spans="1:10" outlineLevel="2" x14ac:dyDescent="0.2">
      <c r="A143">
        <v>37600</v>
      </c>
      <c r="B143">
        <v>1999</v>
      </c>
      <c r="C143" s="89">
        <v>25.5</v>
      </c>
      <c r="D143" s="291">
        <v>28143824.899999999</v>
      </c>
      <c r="E143" s="12">
        <v>65</v>
      </c>
      <c r="F143" s="12">
        <v>45.128126999999999</v>
      </c>
      <c r="G143" s="330">
        <f>'Proposed Rates'!$O$18/100</f>
        <v>-0.6</v>
      </c>
      <c r="H143" s="291">
        <f t="shared" si="16"/>
        <v>13766658.809773237</v>
      </c>
      <c r="I143" s="291">
        <f t="shared" si="19"/>
        <v>1270078104.3529623</v>
      </c>
    </row>
    <row r="144" spans="1:10" outlineLevel="2" x14ac:dyDescent="0.2">
      <c r="A144">
        <v>37600</v>
      </c>
      <c r="B144">
        <v>1998</v>
      </c>
      <c r="C144" s="89">
        <v>26.5</v>
      </c>
      <c r="D144" s="291">
        <v>12946362.83</v>
      </c>
      <c r="E144" s="12">
        <v>65</v>
      </c>
      <c r="F144" s="12">
        <v>44.399478000000002</v>
      </c>
      <c r="G144" s="330">
        <f>'Proposed Rates'!$O$18/100</f>
        <v>-0.6</v>
      </c>
      <c r="H144" s="291">
        <f t="shared" si="16"/>
        <v>6564968.1796774715</v>
      </c>
      <c r="I144" s="291">
        <f t="shared" si="19"/>
        <v>574811751.65060282</v>
      </c>
    </row>
    <row r="145" spans="1:9" outlineLevel="2" x14ac:dyDescent="0.2">
      <c r="A145">
        <v>37600</v>
      </c>
      <c r="B145">
        <v>1997</v>
      </c>
      <c r="C145" s="89">
        <v>27.5</v>
      </c>
      <c r="D145" s="291">
        <v>5123444.37</v>
      </c>
      <c r="E145" s="12">
        <v>65</v>
      </c>
      <c r="F145" s="12">
        <v>43.675336999999999</v>
      </c>
      <c r="G145" s="330">
        <f>'Proposed Rates'!$O$18/100</f>
        <v>-0.6</v>
      </c>
      <c r="H145" s="291">
        <f t="shared" si="16"/>
        <v>2689371.6822030111</v>
      </c>
      <c r="I145" s="291">
        <f t="shared" si="19"/>
        <v>223768159.46050268</v>
      </c>
    </row>
    <row r="146" spans="1:9" outlineLevel="2" x14ac:dyDescent="0.2">
      <c r="A146">
        <v>37600</v>
      </c>
      <c r="B146">
        <v>1996</v>
      </c>
      <c r="C146" s="89">
        <v>28.5</v>
      </c>
      <c r="D146" s="291">
        <v>3389592.79</v>
      </c>
      <c r="E146" s="12">
        <v>65</v>
      </c>
      <c r="F146" s="12">
        <v>42.955582</v>
      </c>
      <c r="G146" s="330">
        <f>'Proposed Rates'!$O$18/100</f>
        <v>-0.6</v>
      </c>
      <c r="H146" s="291">
        <f t="shared" si="16"/>
        <v>1839300.9307703685</v>
      </c>
      <c r="I146" s="291">
        <f t="shared" si="19"/>
        <v>145601931.03745377</v>
      </c>
    </row>
    <row r="147" spans="1:9" outlineLevel="2" x14ac:dyDescent="0.2">
      <c r="A147">
        <v>37600</v>
      </c>
      <c r="B147">
        <v>1995</v>
      </c>
      <c r="C147" s="89">
        <v>29.5</v>
      </c>
      <c r="D147" s="291">
        <v>7665962.3800000008</v>
      </c>
      <c r="E147" s="12">
        <v>65</v>
      </c>
      <c r="F147" s="12">
        <v>42.240839999999999</v>
      </c>
      <c r="G147" s="330">
        <f>'Proposed Rates'!$O$18/100</f>
        <v>-0.6</v>
      </c>
      <c r="H147" s="291">
        <f t="shared" si="16"/>
        <v>4294667.4304098664</v>
      </c>
      <c r="I147" s="291">
        <f t="shared" si="19"/>
        <v>323816690.33959925</v>
      </c>
    </row>
    <row r="148" spans="1:9" outlineLevel="2" x14ac:dyDescent="0.2">
      <c r="A148">
        <v>37600</v>
      </c>
      <c r="B148">
        <v>1994</v>
      </c>
      <c r="C148" s="89">
        <v>30.5</v>
      </c>
      <c r="D148" s="291">
        <v>3643372.72</v>
      </c>
      <c r="E148" s="12">
        <v>65</v>
      </c>
      <c r="F148" s="12">
        <v>41.530476999999998</v>
      </c>
      <c r="G148" s="330">
        <f>'Proposed Rates'!$O$18/100</f>
        <v>-0.6</v>
      </c>
      <c r="H148" s="291">
        <f t="shared" si="16"/>
        <v>2104817.719375079</v>
      </c>
      <c r="I148" s="291">
        <f t="shared" si="19"/>
        <v>151311006.95038745</v>
      </c>
    </row>
    <row r="149" spans="1:9" outlineLevel="2" x14ac:dyDescent="0.2">
      <c r="A149">
        <v>37600</v>
      </c>
      <c r="B149">
        <v>1993</v>
      </c>
      <c r="C149" s="89">
        <v>31.5</v>
      </c>
      <c r="D149" s="291">
        <v>3468298.0599999996</v>
      </c>
      <c r="E149" s="12">
        <v>65</v>
      </c>
      <c r="F149" s="12">
        <v>40.825656000000002</v>
      </c>
      <c r="G149" s="330">
        <f>'Proposed Rates'!$O$18/100</f>
        <v>-0.6</v>
      </c>
      <c r="H149" s="291">
        <f t="shared" si="16"/>
        <v>2063848.1328485569</v>
      </c>
      <c r="I149" s="291">
        <f t="shared" si="19"/>
        <v>141595543.50302735</v>
      </c>
    </row>
    <row r="150" spans="1:9" outlineLevel="2" x14ac:dyDescent="0.2">
      <c r="A150">
        <v>37600</v>
      </c>
      <c r="B150">
        <v>1992</v>
      </c>
      <c r="C150" s="89">
        <v>32.5</v>
      </c>
      <c r="D150" s="291">
        <v>3164410.09</v>
      </c>
      <c r="E150" s="12">
        <v>65</v>
      </c>
      <c r="F150" s="12">
        <v>40.125197999999997</v>
      </c>
      <c r="G150" s="330">
        <f>'Proposed Rates'!$O$18/100</f>
        <v>-0.6</v>
      </c>
      <c r="H150" s="291">
        <f t="shared" si="16"/>
        <v>1937577.2168751308</v>
      </c>
      <c r="I150" s="291">
        <f t="shared" si="19"/>
        <v>126972581.4144478</v>
      </c>
    </row>
    <row r="151" spans="1:9" outlineLevel="2" x14ac:dyDescent="0.2">
      <c r="A151">
        <v>37600</v>
      </c>
      <c r="B151">
        <v>1991</v>
      </c>
      <c r="C151" s="89">
        <v>33.5</v>
      </c>
      <c r="D151" s="291">
        <v>13714329.25</v>
      </c>
      <c r="E151" s="12">
        <v>65</v>
      </c>
      <c r="F151" s="12">
        <v>39.430827000000001</v>
      </c>
      <c r="G151" s="330">
        <f>'Proposed Rates'!$O$18/100</f>
        <v>-0.6</v>
      </c>
      <c r="H151" s="291">
        <f t="shared" si="16"/>
        <v>8631730.6380851772</v>
      </c>
      <c r="I151" s="291">
        <f t="shared" si="19"/>
        <v>540767344.07778978</v>
      </c>
    </row>
    <row r="152" spans="1:9" outlineLevel="2" x14ac:dyDescent="0.2">
      <c r="A152">
        <v>37600</v>
      </c>
      <c r="B152">
        <v>1990</v>
      </c>
      <c r="C152" s="89">
        <v>34.5</v>
      </c>
      <c r="D152" s="291">
        <v>3606303.17</v>
      </c>
      <c r="E152" s="12">
        <v>65</v>
      </c>
      <c r="F152" s="12">
        <v>38.741067999999999</v>
      </c>
      <c r="G152" s="330">
        <f>'Proposed Rates'!$O$18/100</f>
        <v>-0.6</v>
      </c>
      <c r="H152" s="291">
        <f t="shared" si="16"/>
        <v>2331019.5621517403</v>
      </c>
      <c r="I152" s="291">
        <f t="shared" si="19"/>
        <v>139712036.33758554</v>
      </c>
    </row>
    <row r="153" spans="1:9" outlineLevel="2" x14ac:dyDescent="0.2">
      <c r="A153">
        <v>37600</v>
      </c>
      <c r="B153">
        <v>1989</v>
      </c>
      <c r="C153" s="89">
        <v>35.5</v>
      </c>
      <c r="D153" s="291">
        <v>3272556.61</v>
      </c>
      <c r="E153" s="12">
        <v>65</v>
      </c>
      <c r="F153" s="12">
        <v>38.057411999999999</v>
      </c>
      <c r="G153" s="330">
        <f>'Proposed Rates'!$O$18/100</f>
        <v>-0.6</v>
      </c>
      <c r="H153" s="291">
        <f t="shared" si="16"/>
        <v>2170366.6326130875</v>
      </c>
      <c r="I153" s="291">
        <f t="shared" si="19"/>
        <v>124545035.20009331</v>
      </c>
    </row>
    <row r="154" spans="1:9" outlineLevel="2" x14ac:dyDescent="0.2">
      <c r="A154">
        <v>37600</v>
      </c>
      <c r="B154">
        <v>1988</v>
      </c>
      <c r="C154" s="89">
        <v>36.5</v>
      </c>
      <c r="D154" s="291">
        <v>5462988.1200000001</v>
      </c>
      <c r="E154" s="12">
        <v>65</v>
      </c>
      <c r="F154" s="12">
        <v>37.378881</v>
      </c>
      <c r="G154" s="330">
        <f>'Proposed Rates'!$O$18/100</f>
        <v>-0.6</v>
      </c>
      <c r="H154" s="291">
        <f t="shared" si="16"/>
        <v>3714310.0297380001</v>
      </c>
      <c r="I154" s="291">
        <f t="shared" si="19"/>
        <v>204200382.84189373</v>
      </c>
    </row>
    <row r="155" spans="1:9" outlineLevel="2" x14ac:dyDescent="0.2">
      <c r="A155">
        <v>37600</v>
      </c>
      <c r="B155">
        <v>1987</v>
      </c>
      <c r="C155" s="89">
        <v>37.5</v>
      </c>
      <c r="D155" s="291">
        <v>2781812.57</v>
      </c>
      <c r="E155" s="12">
        <v>65</v>
      </c>
      <c r="F155" s="12">
        <v>36.706448000000002</v>
      </c>
      <c r="G155" s="330">
        <f>'Proposed Rates'!$O$18/100</f>
        <v>-0.6</v>
      </c>
      <c r="H155" s="291">
        <f t="shared" si="16"/>
        <v>1937411.9040873514</v>
      </c>
      <c r="I155" s="291">
        <f t="shared" si="19"/>
        <v>102110458.44645137</v>
      </c>
    </row>
    <row r="156" spans="1:9" outlineLevel="2" x14ac:dyDescent="0.2">
      <c r="A156">
        <v>37600</v>
      </c>
      <c r="B156">
        <v>1986</v>
      </c>
      <c r="C156" s="89">
        <v>38.5</v>
      </c>
      <c r="D156" s="291">
        <v>7785582.6199999992</v>
      </c>
      <c r="E156" s="12">
        <v>65</v>
      </c>
      <c r="F156" s="12">
        <v>36.039669000000004</v>
      </c>
      <c r="G156" s="330">
        <f>'Proposed Rates'!$O$18/100</f>
        <v>-0.6</v>
      </c>
      <c r="H156" s="291">
        <f t="shared" si="16"/>
        <v>5550105.8388442378</v>
      </c>
      <c r="I156" s="291">
        <f t="shared" si="19"/>
        <v>280589820.5969528</v>
      </c>
    </row>
    <row r="157" spans="1:9" outlineLevel="2" x14ac:dyDescent="0.2">
      <c r="A157">
        <v>37600</v>
      </c>
      <c r="B157">
        <v>1985</v>
      </c>
      <c r="C157" s="89">
        <v>39.5</v>
      </c>
      <c r="D157" s="291">
        <v>2225592.44</v>
      </c>
      <c r="E157" s="12">
        <v>65</v>
      </c>
      <c r="F157" s="12">
        <v>35.378954999999998</v>
      </c>
      <c r="G157" s="330">
        <f>'Proposed Rates'!$O$18/100</f>
        <v>-0.6</v>
      </c>
      <c r="H157" s="291">
        <f t="shared" si="16"/>
        <v>1622753.8170313798</v>
      </c>
      <c r="I157" s="291">
        <f t="shared" si="19"/>
        <v>78739134.783100188</v>
      </c>
    </row>
    <row r="158" spans="1:9" outlineLevel="2" x14ac:dyDescent="0.2">
      <c r="A158">
        <v>37600</v>
      </c>
      <c r="B158">
        <v>1984</v>
      </c>
      <c r="C158" s="89">
        <v>40.5</v>
      </c>
      <c r="D158" s="291">
        <v>2912319.08</v>
      </c>
      <c r="E158" s="12">
        <v>65</v>
      </c>
      <c r="F158" s="12">
        <v>34.724437000000002</v>
      </c>
      <c r="G158" s="330">
        <f>'Proposed Rates'!$O$18/100</f>
        <v>-0.6</v>
      </c>
      <c r="H158" s="291">
        <f t="shared" si="16"/>
        <v>2170390.1484958041</v>
      </c>
      <c r="I158" s="291">
        <f t="shared" si="19"/>
        <v>101128640.41735797</v>
      </c>
    </row>
    <row r="159" spans="1:9" outlineLevel="2" x14ac:dyDescent="0.2">
      <c r="A159">
        <v>37600</v>
      </c>
      <c r="B159">
        <v>1983</v>
      </c>
      <c r="C159" s="89">
        <v>41.5</v>
      </c>
      <c r="D159" s="291">
        <v>2577191.7599999998</v>
      </c>
      <c r="E159" s="12">
        <v>65</v>
      </c>
      <c r="F159" s="12">
        <v>34.075933999999997</v>
      </c>
      <c r="G159" s="330">
        <f>'Proposed Rates'!$O$18/100</f>
        <v>-0.6</v>
      </c>
      <c r="H159" s="291">
        <f t="shared" si="16"/>
        <v>1961778.4142989826</v>
      </c>
      <c r="I159" s="291">
        <f t="shared" si="19"/>
        <v>87820216.319103822</v>
      </c>
    </row>
    <row r="160" spans="1:9" outlineLevel="2" x14ac:dyDescent="0.2">
      <c r="A160">
        <v>37600</v>
      </c>
      <c r="B160">
        <v>1982</v>
      </c>
      <c r="C160" s="89">
        <v>42.5</v>
      </c>
      <c r="D160" s="291">
        <v>2316681.3899999997</v>
      </c>
      <c r="E160" s="12">
        <v>65</v>
      </c>
      <c r="F160" s="12">
        <v>33.434171999999997</v>
      </c>
      <c r="G160" s="330">
        <f>'Proposed Rates'!$O$18/100</f>
        <v>-0.6</v>
      </c>
      <c r="H160" s="291">
        <f t="shared" si="16"/>
        <v>1800073.0163086997</v>
      </c>
      <c r="I160" s="291">
        <f t="shared" si="19"/>
        <v>77456324.062459067</v>
      </c>
    </row>
    <row r="161" spans="1:9" outlineLevel="2" x14ac:dyDescent="0.2">
      <c r="A161">
        <v>37600</v>
      </c>
      <c r="B161">
        <v>1981</v>
      </c>
      <c r="C161" s="89">
        <v>43.5</v>
      </c>
      <c r="D161" s="291">
        <v>4298462.59</v>
      </c>
      <c r="E161" s="12">
        <v>65</v>
      </c>
      <c r="F161" s="12">
        <v>32.798347999999997</v>
      </c>
      <c r="G161" s="330">
        <f>'Proposed Rates'!$O$18/100</f>
        <v>-0.6</v>
      </c>
      <c r="H161" s="291">
        <f t="shared" si="16"/>
        <v>3407202.3743556608</v>
      </c>
      <c r="I161" s="291">
        <f t="shared" si="19"/>
        <v>140982471.8918013</v>
      </c>
    </row>
    <row r="162" spans="1:9" outlineLevel="2" x14ac:dyDescent="0.2">
      <c r="A162">
        <v>37600</v>
      </c>
      <c r="B162">
        <v>1980</v>
      </c>
      <c r="C162" s="89">
        <v>44.5</v>
      </c>
      <c r="D162" s="291">
        <v>2603156.4299999997</v>
      </c>
      <c r="E162" s="12">
        <v>65</v>
      </c>
      <c r="F162" s="12">
        <v>32.169825000000003</v>
      </c>
      <c r="G162" s="330">
        <f>'Proposed Rates'!$O$18/100</f>
        <v>-0.6</v>
      </c>
      <c r="H162" s="291">
        <f t="shared" si="16"/>
        <v>2103681.9975206214</v>
      </c>
      <c r="I162" s="291">
        <f t="shared" si="19"/>
        <v>83743086.800724745</v>
      </c>
    </row>
    <row r="163" spans="1:9" outlineLevel="2" x14ac:dyDescent="0.2">
      <c r="A163">
        <v>37600</v>
      </c>
      <c r="B163">
        <v>1979</v>
      </c>
      <c r="C163" s="89">
        <v>45.5</v>
      </c>
      <c r="D163" s="291">
        <v>3198732.2199999997</v>
      </c>
      <c r="E163" s="12">
        <v>65</v>
      </c>
      <c r="F163" s="12">
        <v>31.547146999999999</v>
      </c>
      <c r="G163" s="330">
        <f>'Proposed Rates'!$O$18/100</f>
        <v>-0.6</v>
      </c>
      <c r="H163" s="291">
        <f t="shared" si="16"/>
        <v>2634011.5382651975</v>
      </c>
      <c r="I163" s="291">
        <f t="shared" si="19"/>
        <v>100910875.55797634</v>
      </c>
    </row>
    <row r="164" spans="1:9" outlineLevel="2" x14ac:dyDescent="0.2">
      <c r="A164">
        <v>37600</v>
      </c>
      <c r="B164">
        <v>1978</v>
      </c>
      <c r="C164" s="89">
        <v>46.5</v>
      </c>
      <c r="D164" s="291">
        <v>3089228.06</v>
      </c>
      <c r="E164" s="12">
        <v>65</v>
      </c>
      <c r="F164" s="12">
        <v>30.932313000000001</v>
      </c>
      <c r="G164" s="330">
        <f>'Proposed Rates'!$O$18/100</f>
        <v>-0.6</v>
      </c>
      <c r="H164" s="291">
        <f t="shared" si="16"/>
        <v>2590593.3444848545</v>
      </c>
      <c r="I164" s="291">
        <f t="shared" si="19"/>
        <v>95556969.280302778</v>
      </c>
    </row>
    <row r="165" spans="1:9" outlineLevel="2" x14ac:dyDescent="0.2">
      <c r="A165">
        <v>37600</v>
      </c>
      <c r="B165">
        <v>1977</v>
      </c>
      <c r="C165" s="89">
        <v>47.5</v>
      </c>
      <c r="D165" s="291">
        <v>1523530.5199999998</v>
      </c>
      <c r="E165" s="12">
        <v>65</v>
      </c>
      <c r="F165" s="12">
        <v>30.323542</v>
      </c>
      <c r="G165" s="330">
        <f>'Proposed Rates'!$O$18/100</f>
        <v>-0.6</v>
      </c>
      <c r="H165" s="291">
        <f t="shared" si="16"/>
        <v>1300446.5744861085</v>
      </c>
      <c r="I165" s="291">
        <f t="shared" si="19"/>
        <v>46198841.711501837</v>
      </c>
    </row>
    <row r="166" spans="1:9" outlineLevel="2" x14ac:dyDescent="0.2">
      <c r="A166">
        <v>37600</v>
      </c>
      <c r="B166">
        <v>1976</v>
      </c>
      <c r="C166" s="89">
        <v>48.5</v>
      </c>
      <c r="D166" s="291">
        <v>1782562.2</v>
      </c>
      <c r="E166" s="12">
        <v>65</v>
      </c>
      <c r="F166" s="12">
        <v>29.722524</v>
      </c>
      <c r="G166" s="330">
        <f>'Proposed Rates'!$O$18/100</f>
        <v>-0.6</v>
      </c>
      <c r="H166" s="291">
        <f t="shared" si="16"/>
        <v>1547921.1133294078</v>
      </c>
      <c r="I166" s="291">
        <f t="shared" si="19"/>
        <v>52982247.770992801</v>
      </c>
    </row>
    <row r="167" spans="1:9" outlineLevel="2" x14ac:dyDescent="0.2">
      <c r="A167">
        <v>37600</v>
      </c>
      <c r="B167">
        <v>1975</v>
      </c>
      <c r="C167" s="89">
        <v>49.5</v>
      </c>
      <c r="D167" s="291">
        <v>2327388</v>
      </c>
      <c r="E167" s="12">
        <v>65</v>
      </c>
      <c r="F167" s="12">
        <v>29.12809</v>
      </c>
      <c r="G167" s="330">
        <f>'Proposed Rates'!$O$18/100</f>
        <v>-0.6</v>
      </c>
      <c r="H167" s="291">
        <f t="shared" si="16"/>
        <v>2055085.6091342771</v>
      </c>
      <c r="I167" s="291">
        <f t="shared" si="19"/>
        <v>67792367.128920004</v>
      </c>
    </row>
    <row r="168" spans="1:9" outlineLevel="2" x14ac:dyDescent="0.2">
      <c r="A168">
        <v>37600</v>
      </c>
      <c r="B168">
        <v>1974</v>
      </c>
      <c r="C168" s="89">
        <v>50.5</v>
      </c>
      <c r="D168" s="291">
        <v>3379567.11</v>
      </c>
      <c r="E168" s="12">
        <v>65</v>
      </c>
      <c r="F168" s="12">
        <v>28.541291000000001</v>
      </c>
      <c r="G168" s="330">
        <f>'Proposed Rates'!$O$18/100</f>
        <v>-0.6</v>
      </c>
      <c r="H168" s="291">
        <f t="shared" si="16"/>
        <v>3032976.0937713478</v>
      </c>
      <c r="I168" s="291">
        <f t="shared" si="19"/>
        <v>96457208.340539008</v>
      </c>
    </row>
    <row r="169" spans="1:9" outlineLevel="2" x14ac:dyDescent="0.2">
      <c r="A169">
        <v>37600</v>
      </c>
      <c r="B169">
        <v>1973</v>
      </c>
      <c r="C169" s="89">
        <v>51.5</v>
      </c>
      <c r="D169" s="291">
        <v>2967031.95</v>
      </c>
      <c r="E169" s="12">
        <v>65</v>
      </c>
      <c r="F169" s="12">
        <v>27.961589</v>
      </c>
      <c r="G169" s="330">
        <f>'Proposed Rates'!$O$18/100</f>
        <v>-0.6</v>
      </c>
      <c r="H169" s="291">
        <f t="shared" si="16"/>
        <v>2705086.7400426208</v>
      </c>
      <c r="I169" s="291">
        <f t="shared" si="19"/>
        <v>82962927.93576856</v>
      </c>
    </row>
    <row r="170" spans="1:9" outlineLevel="2" x14ac:dyDescent="0.2">
      <c r="A170">
        <v>37600</v>
      </c>
      <c r="B170">
        <v>1972</v>
      </c>
      <c r="C170" s="89">
        <v>52.5</v>
      </c>
      <c r="D170" s="291">
        <v>1826425.8399999999</v>
      </c>
      <c r="E170" s="12">
        <v>65</v>
      </c>
      <c r="F170" s="12">
        <v>27.389392000000001</v>
      </c>
      <c r="G170" s="330">
        <f>'Proposed Rates'!$O$18/100</f>
        <v>-0.6</v>
      </c>
      <c r="H170" s="291">
        <f t="shared" si="16"/>
        <v>1690904.2783830327</v>
      </c>
      <c r="I170" s="291">
        <f t="shared" si="19"/>
        <v>50024693.290689275</v>
      </c>
    </row>
    <row r="171" spans="1:9" outlineLevel="2" x14ac:dyDescent="0.2">
      <c r="A171">
        <v>37600</v>
      </c>
      <c r="B171">
        <v>1971</v>
      </c>
      <c r="C171" s="89">
        <v>53.5</v>
      </c>
      <c r="D171" s="291">
        <v>1731354.86</v>
      </c>
      <c r="E171" s="12">
        <v>65</v>
      </c>
      <c r="F171" s="12">
        <v>26.824791000000001</v>
      </c>
      <c r="G171" s="330">
        <f>'Proposed Rates'!$O$18/100</f>
        <v>-0.6</v>
      </c>
      <c r="H171" s="291">
        <f t="shared" si="16"/>
        <v>1626949.7509825414</v>
      </c>
      <c r="I171" s="291">
        <f t="shared" si="19"/>
        <v>46443232.266334265</v>
      </c>
    </row>
    <row r="172" spans="1:9" outlineLevel="2" x14ac:dyDescent="0.2">
      <c r="A172">
        <v>37600</v>
      </c>
      <c r="B172">
        <v>1970</v>
      </c>
      <c r="C172" s="89">
        <v>54.5</v>
      </c>
      <c r="D172" s="291">
        <v>2280716.86</v>
      </c>
      <c r="E172" s="12">
        <v>65</v>
      </c>
      <c r="F172" s="12">
        <v>26.267551000000001</v>
      </c>
      <c r="G172" s="330">
        <f>'Proposed Rates'!$O$18/100</f>
        <v>-0.6</v>
      </c>
      <c r="H172" s="291">
        <f t="shared" si="16"/>
        <v>2174467.6790988338</v>
      </c>
      <c r="I172" s="291">
        <f t="shared" si="19"/>
        <v>59908846.436609857</v>
      </c>
    </row>
    <row r="173" spans="1:9" outlineLevel="2" x14ac:dyDescent="0.2">
      <c r="A173">
        <v>37600</v>
      </c>
      <c r="B173">
        <v>1969</v>
      </c>
      <c r="C173" s="89">
        <v>55.5</v>
      </c>
      <c r="D173" s="291">
        <v>1680713.46</v>
      </c>
      <c r="E173" s="12">
        <v>65</v>
      </c>
      <c r="F173" s="12">
        <v>25.718371999999999</v>
      </c>
      <c r="G173" s="330">
        <f>'Proposed Rates'!$O$18/100</f>
        <v>-0.6</v>
      </c>
      <c r="H173" s="291">
        <f t="shared" si="16"/>
        <v>1625136.2685615479</v>
      </c>
      <c r="I173" s="291">
        <f t="shared" si="19"/>
        <v>43225213.989687115</v>
      </c>
    </row>
    <row r="174" spans="1:9" outlineLevel="2" x14ac:dyDescent="0.2">
      <c r="A174">
        <v>37600</v>
      </c>
      <c r="B174">
        <v>1968</v>
      </c>
      <c r="C174" s="89">
        <v>56.5</v>
      </c>
      <c r="D174" s="291">
        <v>2399997</v>
      </c>
      <c r="E174" s="12">
        <v>65</v>
      </c>
      <c r="F174" s="12">
        <v>25.176411000000002</v>
      </c>
      <c r="G174" s="330">
        <f>'Proposed Rates'!$O$18/100</f>
        <v>-0.6</v>
      </c>
      <c r="H174" s="291">
        <f t="shared" si="16"/>
        <v>2352652.1631811201</v>
      </c>
      <c r="I174" s="291">
        <f t="shared" si="19"/>
        <v>60423310.870767005</v>
      </c>
    </row>
    <row r="175" spans="1:9" outlineLevel="2" x14ac:dyDescent="0.2">
      <c r="A175">
        <v>37600</v>
      </c>
      <c r="B175">
        <v>1967</v>
      </c>
      <c r="C175" s="89">
        <v>57.5</v>
      </c>
      <c r="D175" s="291">
        <v>1654475.77</v>
      </c>
      <c r="E175" s="12">
        <v>65</v>
      </c>
      <c r="F175" s="12">
        <v>24.642935000000001</v>
      </c>
      <c r="G175" s="330">
        <f>'Proposed Rates'!$O$18/100</f>
        <v>-0.6</v>
      </c>
      <c r="H175" s="291">
        <f t="shared" si="16"/>
        <v>1643563.9677739087</v>
      </c>
      <c r="I175" s="291">
        <f t="shared" si="19"/>
        <v>40771138.859184951</v>
      </c>
    </row>
    <row r="176" spans="1:9" outlineLevel="2" x14ac:dyDescent="0.2">
      <c r="A176">
        <v>37600</v>
      </c>
      <c r="B176">
        <v>1966</v>
      </c>
      <c r="C176" s="89">
        <v>58.5</v>
      </c>
      <c r="D176" s="291">
        <v>864612.42</v>
      </c>
      <c r="E176" s="12">
        <v>65</v>
      </c>
      <c r="F176" s="12">
        <v>24.116531999999999</v>
      </c>
      <c r="G176" s="330">
        <f>'Proposed Rates'!$O$18/100</f>
        <v>-0.6</v>
      </c>
      <c r="H176" s="291">
        <f t="shared" si="16"/>
        <v>870113.3342885552</v>
      </c>
      <c r="I176" s="291">
        <f t="shared" si="19"/>
        <v>20851453.094527442</v>
      </c>
    </row>
    <row r="177" spans="1:10" outlineLevel="2" x14ac:dyDescent="0.2">
      <c r="A177">
        <v>37600</v>
      </c>
      <c r="B177">
        <v>1965</v>
      </c>
      <c r="C177" s="89">
        <v>59.5</v>
      </c>
      <c r="D177" s="291">
        <v>1031992.36</v>
      </c>
      <c r="E177" s="12">
        <v>65</v>
      </c>
      <c r="F177" s="12">
        <v>23.598989</v>
      </c>
      <c r="G177" s="330">
        <f>'Proposed Rates'!$O$18/100</f>
        <v>-0.6</v>
      </c>
      <c r="H177" s="291">
        <f t="shared" si="16"/>
        <v>1051705.2811883313</v>
      </c>
      <c r="I177" s="291">
        <f t="shared" si="19"/>
        <v>24353976.35172404</v>
      </c>
    </row>
    <row r="178" spans="1:10" outlineLevel="2" x14ac:dyDescent="0.2">
      <c r="A178">
        <v>37600</v>
      </c>
      <c r="B178">
        <v>1964</v>
      </c>
      <c r="C178" s="89">
        <v>60.5</v>
      </c>
      <c r="D178" s="291">
        <v>900359.68000000005</v>
      </c>
      <c r="E178" s="12">
        <v>65</v>
      </c>
      <c r="F178" s="12">
        <v>23.088650000000001</v>
      </c>
      <c r="G178" s="330">
        <f>'Proposed Rates'!$O$18/100</f>
        <v>-0.6</v>
      </c>
      <c r="H178" s="291">
        <f t="shared" si="16"/>
        <v>928868.66890752001</v>
      </c>
      <c r="I178" s="291">
        <f t="shared" si="19"/>
        <v>20788089.525632001</v>
      </c>
    </row>
    <row r="179" spans="1:10" outlineLevel="2" x14ac:dyDescent="0.2">
      <c r="A179">
        <v>37600</v>
      </c>
      <c r="B179">
        <v>1963</v>
      </c>
      <c r="C179" s="89">
        <v>61.5</v>
      </c>
      <c r="D179" s="291">
        <v>688981.37</v>
      </c>
      <c r="E179" s="12">
        <v>65</v>
      </c>
      <c r="F179" s="12">
        <v>22.586933999999999</v>
      </c>
      <c r="G179" s="330">
        <f>'Proposed Rates'!$O$18/100</f>
        <v>-0.6</v>
      </c>
      <c r="H179" s="291">
        <f t="shared" si="16"/>
        <v>719306.14938044117</v>
      </c>
      <c r="I179" s="291">
        <f t="shared" si="19"/>
        <v>15561976.73141958</v>
      </c>
    </row>
    <row r="180" spans="1:10" outlineLevel="2" x14ac:dyDescent="0.2">
      <c r="A180">
        <v>37600</v>
      </c>
      <c r="B180">
        <v>1962</v>
      </c>
      <c r="C180" s="89">
        <v>62.5</v>
      </c>
      <c r="D180" s="291">
        <v>586111.81999999995</v>
      </c>
      <c r="E180" s="12">
        <v>65</v>
      </c>
      <c r="F180" s="12">
        <v>22.092803</v>
      </c>
      <c r="G180" s="330">
        <f>'Proposed Rates'!$O$18/100</f>
        <v>-0.6</v>
      </c>
      <c r="H180" s="291">
        <f t="shared" si="16"/>
        <v>619037.91568661015</v>
      </c>
      <c r="I180" s="291">
        <f t="shared" si="19"/>
        <v>12948852.975231459</v>
      </c>
    </row>
    <row r="181" spans="1:10" outlineLevel="2" x14ac:dyDescent="0.2">
      <c r="A181">
        <v>37600</v>
      </c>
      <c r="B181">
        <v>1961</v>
      </c>
      <c r="C181" s="89">
        <v>63.5</v>
      </c>
      <c r="D181" s="291">
        <v>488769.68</v>
      </c>
      <c r="E181" s="12">
        <v>65</v>
      </c>
      <c r="F181" s="12">
        <v>21.607047999999999</v>
      </c>
      <c r="G181" s="330">
        <f>'Proposed Rates'!$O$18/100</f>
        <v>-0.6</v>
      </c>
      <c r="H181" s="291">
        <f t="shared" si="16"/>
        <v>522071.61263496266</v>
      </c>
      <c r="I181" s="291">
        <f t="shared" si="19"/>
        <v>10560869.936704639</v>
      </c>
    </row>
    <row r="182" spans="1:10" outlineLevel="2" x14ac:dyDescent="0.2">
      <c r="A182">
        <v>37600</v>
      </c>
      <c r="B182">
        <v>1960</v>
      </c>
      <c r="C182" s="89">
        <v>64.5</v>
      </c>
      <c r="D182" s="291">
        <v>2271714.2000000002</v>
      </c>
      <c r="E182" s="12">
        <v>65</v>
      </c>
      <c r="F182" s="12">
        <v>21.129180999999999</v>
      </c>
      <c r="G182" s="330">
        <f>'Proposed Rates'!$O$18/100</f>
        <v>-0.6</v>
      </c>
      <c r="H182" s="291">
        <f t="shared" si="16"/>
        <v>2453217.5381644266</v>
      </c>
      <c r="I182" s="291">
        <f t="shared" si="19"/>
        <v>47999460.512070201</v>
      </c>
    </row>
    <row r="183" spans="1:10" s="143" customFormat="1" outlineLevel="2" x14ac:dyDescent="0.2">
      <c r="A183" s="143">
        <v>37600</v>
      </c>
      <c r="B183" s="143">
        <v>1959</v>
      </c>
      <c r="C183" s="89">
        <v>65.5</v>
      </c>
      <c r="D183" s="291">
        <v>1864660.07</v>
      </c>
      <c r="E183" s="12">
        <v>65</v>
      </c>
      <c r="F183" s="12">
        <v>20.659452999999999</v>
      </c>
      <c r="G183" s="330">
        <f>'Proposed Rates'!$O$18/100</f>
        <v>-0.6</v>
      </c>
      <c r="H183" s="291">
        <f t="shared" ref="H183:H184" si="20">+D183*(1-F183/E183)*(1-G183)</f>
        <v>2035201.1685626656</v>
      </c>
      <c r="I183" s="291">
        <f t="shared" ref="I183:I184" si="21">+D183*F183</f>
        <v>38522857.07714171</v>
      </c>
      <c r="J183" s="291"/>
    </row>
    <row r="184" spans="1:10" s="143" customFormat="1" outlineLevel="2" x14ac:dyDescent="0.2">
      <c r="A184" s="143">
        <v>37600</v>
      </c>
      <c r="B184" s="143">
        <v>1958</v>
      </c>
      <c r="C184" s="89">
        <v>66.5</v>
      </c>
      <c r="D184" s="291">
        <v>1637628.63</v>
      </c>
      <c r="E184" s="12">
        <v>65</v>
      </c>
      <c r="F184" s="12">
        <v>20.197821000000001</v>
      </c>
      <c r="G184" s="330">
        <f>'Proposed Rates'!$O$18/100</f>
        <v>-0.6</v>
      </c>
      <c r="H184" s="291">
        <f t="shared" si="20"/>
        <v>1806014.3019516254</v>
      </c>
      <c r="I184" s="291">
        <f t="shared" si="21"/>
        <v>33076529.933215231</v>
      </c>
      <c r="J184" s="291"/>
    </row>
    <row r="185" spans="1:10" s="143" customFormat="1" outlineLevel="2" x14ac:dyDescent="0.2">
      <c r="A185" s="143">
        <v>37600</v>
      </c>
      <c r="B185" s="143">
        <v>1957</v>
      </c>
      <c r="C185" s="89">
        <f>2024.5-B185</f>
        <v>67.5</v>
      </c>
      <c r="D185" s="291">
        <v>136975.84999999995</v>
      </c>
      <c r="E185" s="12">
        <v>65</v>
      </c>
      <c r="F185" s="12">
        <v>19.744098000000001</v>
      </c>
      <c r="G185" s="330">
        <f>'Proposed Rates'!$O$18/100</f>
        <v>-0.6</v>
      </c>
      <c r="H185" s="291">
        <f t="shared" ref="H185:H188" si="22">+D185*(1-F185/E185)*(1-G185)</f>
        <v>152589.92354379562</v>
      </c>
      <c r="I185" s="291">
        <f t="shared" ref="I185:I188" si="23">+D185*F185</f>
        <v>2704464.6060332991</v>
      </c>
      <c r="J185" s="291"/>
    </row>
    <row r="186" spans="1:10" s="143" customFormat="1" outlineLevel="2" x14ac:dyDescent="0.2">
      <c r="A186" s="143">
        <v>37600</v>
      </c>
      <c r="B186" s="143">
        <v>1956</v>
      </c>
      <c r="C186" s="89">
        <f t="shared" ref="C186:C188" si="24">2024.5-B186</f>
        <v>68.5</v>
      </c>
      <c r="D186" s="291"/>
      <c r="E186" s="12">
        <v>65</v>
      </c>
      <c r="F186" s="12">
        <v>19.298572</v>
      </c>
      <c r="G186" s="330">
        <f>'Proposed Rates'!$O$18/100</f>
        <v>-0.6</v>
      </c>
      <c r="H186" s="291">
        <f t="shared" si="22"/>
        <v>0</v>
      </c>
      <c r="I186" s="291">
        <f t="shared" si="23"/>
        <v>0</v>
      </c>
      <c r="J186" s="291"/>
    </row>
    <row r="187" spans="1:10" s="143" customFormat="1" outlineLevel="2" x14ac:dyDescent="0.2">
      <c r="A187" s="143">
        <v>37600</v>
      </c>
      <c r="B187" s="143">
        <v>1955</v>
      </c>
      <c r="C187" s="89">
        <f t="shared" si="24"/>
        <v>69.5</v>
      </c>
      <c r="D187" s="291"/>
      <c r="E187" s="12">
        <v>65</v>
      </c>
      <c r="F187" s="12">
        <v>18.860751</v>
      </c>
      <c r="G187" s="330">
        <f>'Proposed Rates'!$O$18/100</f>
        <v>-0.6</v>
      </c>
      <c r="H187" s="291">
        <f t="shared" si="22"/>
        <v>0</v>
      </c>
      <c r="I187" s="291">
        <f t="shared" si="23"/>
        <v>0</v>
      </c>
      <c r="J187" s="291"/>
    </row>
    <row r="188" spans="1:10" s="143" customFormat="1" outlineLevel="2" x14ac:dyDescent="0.2">
      <c r="A188" s="143">
        <v>37600</v>
      </c>
      <c r="B188" s="143">
        <v>1954</v>
      </c>
      <c r="C188" s="89">
        <f t="shared" si="24"/>
        <v>70.5</v>
      </c>
      <c r="D188" s="291"/>
      <c r="E188" s="12">
        <v>65</v>
      </c>
      <c r="F188" s="12">
        <v>18.431092</v>
      </c>
      <c r="G188" s="330">
        <f>'Proposed Rates'!$O$18/100</f>
        <v>-0.6</v>
      </c>
      <c r="H188" s="291">
        <f t="shared" si="22"/>
        <v>0</v>
      </c>
      <c r="I188" s="291">
        <f t="shared" si="23"/>
        <v>0</v>
      </c>
      <c r="J188" s="291"/>
    </row>
    <row r="189" spans="1:10" s="143" customFormat="1" outlineLevel="1" x14ac:dyDescent="0.2">
      <c r="A189" s="20" t="s">
        <v>1182</v>
      </c>
      <c r="C189" s="89"/>
      <c r="D189" s="291">
        <f>SUBTOTAL(9,D118:D188)</f>
        <v>839424834.85876846</v>
      </c>
      <c r="E189" s="12"/>
      <c r="F189" s="12"/>
      <c r="G189" s="330"/>
      <c r="H189" s="291">
        <f>SUBTOTAL(9,H118:H188)</f>
        <v>213455382.31925929</v>
      </c>
      <c r="I189" s="291">
        <f>SUBTOTAL(9,I118:I188)</f>
        <v>45890989359.100044</v>
      </c>
      <c r="J189" s="291">
        <f>+I189/D189</f>
        <v>54.669563555170619</v>
      </c>
    </row>
    <row r="190" spans="1:10" outlineLevel="2" x14ac:dyDescent="0.2">
      <c r="A190">
        <v>37602</v>
      </c>
      <c r="B190">
        <v>2024</v>
      </c>
      <c r="C190" s="89">
        <v>0.5</v>
      </c>
      <c r="D190" s="291">
        <v>124233377.74835862</v>
      </c>
      <c r="E190" s="12">
        <v>75</v>
      </c>
      <c r="F190" s="12">
        <v>74.547286999999997</v>
      </c>
      <c r="G190" s="330">
        <f>'Proposed Rates'!$O$19/100</f>
        <v>-0.4</v>
      </c>
      <c r="H190" s="291">
        <f t="shared" ref="H190:H226" si="25">+D190*(1-F190/E190)*(1-G190)</f>
        <v>1049851.8826244073</v>
      </c>
      <c r="I190" s="291">
        <f t="shared" ref="I190:I226" si="26">+D190*F190</f>
        <v>9261261265.9863033</v>
      </c>
    </row>
    <row r="191" spans="1:10" outlineLevel="2" x14ac:dyDescent="0.2">
      <c r="A191">
        <v>37602</v>
      </c>
      <c r="B191">
        <v>2023</v>
      </c>
      <c r="C191" s="89">
        <v>1.5</v>
      </c>
      <c r="D191" s="291">
        <v>227207007.88544795</v>
      </c>
      <c r="E191" s="12">
        <v>75</v>
      </c>
      <c r="F191" s="12">
        <v>73.643519999999995</v>
      </c>
      <c r="G191" s="330">
        <f>'Proposed Rates'!$O$19/100</f>
        <v>-0.4</v>
      </c>
      <c r="H191" s="291">
        <f t="shared" si="25"/>
        <v>5753099.5583871296</v>
      </c>
      <c r="I191" s="291">
        <f t="shared" si="26"/>
        <v>16732323829.352142</v>
      </c>
    </row>
    <row r="192" spans="1:10" s="143" customFormat="1" outlineLevel="2" x14ac:dyDescent="0.2">
      <c r="A192" s="143">
        <v>37602</v>
      </c>
      <c r="B192" s="143">
        <v>2022</v>
      </c>
      <c r="C192" s="89">
        <v>2.5</v>
      </c>
      <c r="D192" s="291">
        <v>38039872.809999995</v>
      </c>
      <c r="E192" s="12">
        <v>75</v>
      </c>
      <c r="F192" s="12">
        <v>72.743639000000002</v>
      </c>
      <c r="G192" s="330">
        <f>'Proposed Rates'!$O$19/100</f>
        <v>-0.4</v>
      </c>
      <c r="H192" s="291">
        <f t="shared" ref="H192:H197" si="27">+D192*(1-F192/E192)*(1-G192)</f>
        <v>1602191.4617976297</v>
      </c>
      <c r="I192" s="291">
        <f t="shared" ref="I192:I197" si="28">+D192*F192</f>
        <v>2767158775.2965555</v>
      </c>
      <c r="J192" s="291"/>
    </row>
    <row r="193" spans="1:10" s="143" customFormat="1" outlineLevel="2" x14ac:dyDescent="0.2">
      <c r="A193" s="143">
        <v>37602</v>
      </c>
      <c r="B193" s="143">
        <v>2021</v>
      </c>
      <c r="C193" s="89">
        <v>3.5</v>
      </c>
      <c r="D193" s="291">
        <v>31267391.68</v>
      </c>
      <c r="E193" s="12">
        <v>75</v>
      </c>
      <c r="F193" s="12">
        <v>71.846890000000002</v>
      </c>
      <c r="G193" s="330">
        <f>'Proposed Rates'!$O$19/100</f>
        <v>-0.4</v>
      </c>
      <c r="H193" s="291">
        <f t="shared" si="27"/>
        <v>1840337.8070956618</v>
      </c>
      <c r="I193" s="291">
        <f t="shared" si="28"/>
        <v>2246464850.6198754</v>
      </c>
      <c r="J193" s="291"/>
    </row>
    <row r="194" spans="1:10" s="143" customFormat="1" outlineLevel="2" x14ac:dyDescent="0.2">
      <c r="A194" s="143">
        <v>37602</v>
      </c>
      <c r="B194" s="143">
        <v>2020</v>
      </c>
      <c r="C194" s="89">
        <v>4.5</v>
      </c>
      <c r="D194" s="291">
        <v>78977475.469999999</v>
      </c>
      <c r="E194" s="12">
        <v>75</v>
      </c>
      <c r="F194" s="12">
        <v>70.953310000000002</v>
      </c>
      <c r="G194" s="330">
        <f>'Proposed Rates'!$O$19/100</f>
        <v>-0.4</v>
      </c>
      <c r="H194" s="291">
        <f t="shared" si="27"/>
        <v>5965817.3905809559</v>
      </c>
      <c r="I194" s="291">
        <f t="shared" si="28"/>
        <v>5603713300.0403061</v>
      </c>
      <c r="J194" s="291"/>
    </row>
    <row r="195" spans="1:10" s="143" customFormat="1" outlineLevel="2" x14ac:dyDescent="0.2">
      <c r="A195" s="143">
        <v>37602</v>
      </c>
      <c r="B195" s="143">
        <v>2019</v>
      </c>
      <c r="C195" s="89">
        <v>5.5</v>
      </c>
      <c r="D195" s="291">
        <v>53082641</v>
      </c>
      <c r="E195" s="12">
        <v>75</v>
      </c>
      <c r="F195" s="12">
        <v>70.063854000000006</v>
      </c>
      <c r="G195" s="330">
        <f>'Proposed Rates'!$O$19/100</f>
        <v>-0.4</v>
      </c>
      <c r="H195" s="291">
        <f t="shared" si="27"/>
        <v>4891108.4327762658</v>
      </c>
      <c r="I195" s="291">
        <f t="shared" si="28"/>
        <v>3719174408.9584146</v>
      </c>
      <c r="J195" s="291"/>
    </row>
    <row r="196" spans="1:10" s="143" customFormat="1" outlineLevel="2" x14ac:dyDescent="0.2">
      <c r="A196" s="143">
        <v>37602</v>
      </c>
      <c r="B196" s="143">
        <v>2018</v>
      </c>
      <c r="C196" s="89">
        <v>6.5</v>
      </c>
      <c r="D196" s="291">
        <v>73780577.069999993</v>
      </c>
      <c r="E196" s="12">
        <v>75</v>
      </c>
      <c r="F196" s="12">
        <v>69.177698000000007</v>
      </c>
      <c r="G196" s="330">
        <f>'Proposed Rates'!$O$19/100</f>
        <v>-0.4</v>
      </c>
      <c r="H196" s="291">
        <f t="shared" si="27"/>
        <v>8018692.2934685424</v>
      </c>
      <c r="I196" s="291">
        <f t="shared" si="28"/>
        <v>5103970478.8141851</v>
      </c>
      <c r="J196" s="291"/>
    </row>
    <row r="197" spans="1:10" outlineLevel="2" x14ac:dyDescent="0.2">
      <c r="A197" s="143">
        <v>37602</v>
      </c>
      <c r="B197">
        <v>2017</v>
      </c>
      <c r="C197" s="89">
        <v>7.5</v>
      </c>
      <c r="D197" s="291">
        <v>45276685.229999997</v>
      </c>
      <c r="E197" s="12">
        <v>75</v>
      </c>
      <c r="F197" s="12">
        <v>68.294897000000006</v>
      </c>
      <c r="G197" s="330">
        <f>'Proposed Rates'!$O$19/100</f>
        <v>-0.4</v>
      </c>
      <c r="H197" s="291">
        <f t="shared" si="27"/>
        <v>5666916.9753602594</v>
      </c>
      <c r="I197" s="291">
        <f t="shared" si="28"/>
        <v>3092166554.2842712</v>
      </c>
    </row>
    <row r="198" spans="1:10" outlineLevel="2" x14ac:dyDescent="0.2">
      <c r="A198">
        <v>37602</v>
      </c>
      <c r="B198">
        <v>2016</v>
      </c>
      <c r="C198" s="89">
        <v>8.5</v>
      </c>
      <c r="D198" s="291">
        <v>38451693.170000002</v>
      </c>
      <c r="E198" s="12">
        <v>75</v>
      </c>
      <c r="F198" s="12">
        <v>67.416452000000007</v>
      </c>
      <c r="G198" s="330">
        <f>'Proposed Rates'!$O$19/100</f>
        <v>-0.4</v>
      </c>
      <c r="H198" s="291">
        <f t="shared" si="25"/>
        <v>5443204.8689380502</v>
      </c>
      <c r="I198" s="291">
        <f t="shared" si="26"/>
        <v>2592276726.9140334</v>
      </c>
    </row>
    <row r="199" spans="1:10" outlineLevel="2" x14ac:dyDescent="0.2">
      <c r="A199">
        <v>37602</v>
      </c>
      <c r="B199">
        <v>2015</v>
      </c>
      <c r="C199" s="89">
        <v>9.5</v>
      </c>
      <c r="D199" s="291">
        <v>31357194.48</v>
      </c>
      <c r="E199" s="12">
        <v>75</v>
      </c>
      <c r="F199" s="12">
        <v>66.541483999999997</v>
      </c>
      <c r="G199" s="330">
        <f>'Proposed Rates'!$O$19/100</f>
        <v>-0.4</v>
      </c>
      <c r="H199" s="291">
        <f t="shared" si="25"/>
        <v>4951059.5161849111</v>
      </c>
      <c r="I199" s="291">
        <f t="shared" si="26"/>
        <v>2086554254.7758083</v>
      </c>
    </row>
    <row r="200" spans="1:10" outlineLevel="2" x14ac:dyDescent="0.2">
      <c r="A200">
        <v>37602</v>
      </c>
      <c r="B200">
        <v>2014</v>
      </c>
      <c r="C200" s="89">
        <v>10.5</v>
      </c>
      <c r="D200" s="291">
        <v>28285033.16</v>
      </c>
      <c r="E200" s="12">
        <v>75</v>
      </c>
      <c r="F200" s="12">
        <v>65.670038000000005</v>
      </c>
      <c r="G200" s="330">
        <f>'Proposed Rates'!$O$19/100</f>
        <v>-0.4</v>
      </c>
      <c r="H200" s="291">
        <f t="shared" si="25"/>
        <v>4926101.3116287403</v>
      </c>
      <c r="I200" s="291">
        <f t="shared" si="26"/>
        <v>1857479202.4484603</v>
      </c>
    </row>
    <row r="201" spans="1:10" outlineLevel="2" x14ac:dyDescent="0.2">
      <c r="A201">
        <v>37602</v>
      </c>
      <c r="B201">
        <v>2013</v>
      </c>
      <c r="C201" s="89">
        <v>11.5</v>
      </c>
      <c r="D201" s="291">
        <v>26258034.18</v>
      </c>
      <c r="E201" s="12">
        <v>75</v>
      </c>
      <c r="F201" s="12">
        <v>64.803188000000006</v>
      </c>
      <c r="G201" s="330">
        <f>'Proposed Rates'!$O$19/100</f>
        <v>-0.4</v>
      </c>
      <c r="H201" s="291">
        <f t="shared" si="25"/>
        <v>4997967.1097633028</v>
      </c>
      <c r="I201" s="291">
        <f t="shared" si="26"/>
        <v>1701604325.4769659</v>
      </c>
    </row>
    <row r="202" spans="1:10" outlineLevel="2" x14ac:dyDescent="0.2">
      <c r="A202">
        <v>37602</v>
      </c>
      <c r="B202">
        <v>2012</v>
      </c>
      <c r="C202" s="89">
        <v>12.5</v>
      </c>
      <c r="D202" s="291">
        <v>14871441.939999999</v>
      </c>
      <c r="E202" s="12">
        <v>75</v>
      </c>
      <c r="F202" s="12">
        <v>63.939985999999998</v>
      </c>
      <c r="G202" s="330">
        <f>'Proposed Rates'!$O$19/100</f>
        <v>-0.4</v>
      </c>
      <c r="H202" s="291">
        <f t="shared" si="25"/>
        <v>3070262.6463896264</v>
      </c>
      <c r="I202" s="291">
        <f t="shared" si="26"/>
        <v>950879789.44341278</v>
      </c>
    </row>
    <row r="203" spans="1:10" outlineLevel="2" x14ac:dyDescent="0.2">
      <c r="A203">
        <v>37602</v>
      </c>
      <c r="B203">
        <v>2011</v>
      </c>
      <c r="C203" s="89">
        <v>13.5</v>
      </c>
      <c r="D203" s="291">
        <v>24071220.66</v>
      </c>
      <c r="E203" s="12">
        <v>75</v>
      </c>
      <c r="F203" s="12">
        <v>63.080477999999999</v>
      </c>
      <c r="G203" s="330">
        <f>'Proposed Rates'!$O$19/100</f>
        <v>-0.4</v>
      </c>
      <c r="H203" s="291">
        <f t="shared" si="25"/>
        <v>5355792.2921761926</v>
      </c>
      <c r="I203" s="291">
        <f t="shared" si="26"/>
        <v>1518424105.2762754</v>
      </c>
    </row>
    <row r="204" spans="1:10" outlineLevel="2" x14ac:dyDescent="0.2">
      <c r="A204">
        <v>37602</v>
      </c>
      <c r="B204">
        <v>2010</v>
      </c>
      <c r="C204" s="89">
        <v>14.5</v>
      </c>
      <c r="D204" s="291">
        <v>26634303.5</v>
      </c>
      <c r="E204" s="12">
        <v>75</v>
      </c>
      <c r="F204" s="12">
        <v>62.225791000000001</v>
      </c>
      <c r="G204" s="330">
        <f>'Proposed Rates'!$O$19/100</f>
        <v>-0.4</v>
      </c>
      <c r="H204" s="291">
        <f t="shared" si="25"/>
        <v>6351000.3102640547</v>
      </c>
      <c r="I204" s="291">
        <f t="shared" si="26"/>
        <v>1657340603.0215685</v>
      </c>
    </row>
    <row r="205" spans="1:10" outlineLevel="2" x14ac:dyDescent="0.2">
      <c r="A205">
        <v>37602</v>
      </c>
      <c r="B205">
        <v>2009</v>
      </c>
      <c r="C205" s="89">
        <v>15.5</v>
      </c>
      <c r="D205" s="291">
        <v>18994275.919999998</v>
      </c>
      <c r="E205" s="12">
        <v>75</v>
      </c>
      <c r="F205" s="12">
        <v>61.374924999999998</v>
      </c>
      <c r="G205" s="330">
        <f>'Proposed Rates'!$O$19/100</f>
        <v>-0.4</v>
      </c>
      <c r="H205" s="291">
        <f t="shared" si="25"/>
        <v>4830904.1009729542</v>
      </c>
      <c r="I205" s="291">
        <f t="shared" si="26"/>
        <v>1165772260.0193059</v>
      </c>
    </row>
    <row r="206" spans="1:10" outlineLevel="2" x14ac:dyDescent="0.2">
      <c r="A206">
        <v>37602</v>
      </c>
      <c r="B206">
        <v>2008</v>
      </c>
      <c r="C206" s="89">
        <v>16.5</v>
      </c>
      <c r="D206" s="291">
        <v>7944717.0899999999</v>
      </c>
      <c r="E206" s="12">
        <v>75</v>
      </c>
      <c r="F206" s="12">
        <v>60.527920000000002</v>
      </c>
      <c r="G206" s="330">
        <f>'Proposed Rates'!$O$19/100</f>
        <v>-0.4</v>
      </c>
      <c r="H206" s="291">
        <f t="shared" si="25"/>
        <v>2146229.5176718147</v>
      </c>
      <c r="I206" s="291">
        <f t="shared" si="26"/>
        <v>480877200.44615281</v>
      </c>
    </row>
    <row r="207" spans="1:10" outlineLevel="2" x14ac:dyDescent="0.2">
      <c r="A207">
        <v>37602</v>
      </c>
      <c r="B207">
        <v>2007</v>
      </c>
      <c r="C207" s="89">
        <v>17.5</v>
      </c>
      <c r="D207" s="291">
        <v>6910147.3399999999</v>
      </c>
      <c r="E207" s="12">
        <v>75</v>
      </c>
      <c r="F207" s="12">
        <v>59.685966999999998</v>
      </c>
      <c r="G207" s="330">
        <f>'Proposed Rates'!$O$19/100</f>
        <v>-0.4</v>
      </c>
      <c r="H207" s="291">
        <f t="shared" si="25"/>
        <v>1975348.1887929484</v>
      </c>
      <c r="I207" s="291">
        <f t="shared" si="26"/>
        <v>412438826.10037774</v>
      </c>
    </row>
    <row r="208" spans="1:10" outlineLevel="2" x14ac:dyDescent="0.2">
      <c r="A208">
        <v>37602</v>
      </c>
      <c r="B208">
        <v>2006</v>
      </c>
      <c r="C208" s="89">
        <v>18.5</v>
      </c>
      <c r="D208" s="291">
        <v>5378166.4400000004</v>
      </c>
      <c r="E208" s="12">
        <v>75</v>
      </c>
      <c r="F208" s="12">
        <v>58.847999999999999</v>
      </c>
      <c r="G208" s="330">
        <f>'Proposed Rates'!$O$19/100</f>
        <v>-0.4</v>
      </c>
      <c r="H208" s="291">
        <f t="shared" si="25"/>
        <v>1621538.69432576</v>
      </c>
      <c r="I208" s="291">
        <f t="shared" si="26"/>
        <v>316494338.66112</v>
      </c>
    </row>
    <row r="209" spans="1:9" outlineLevel="2" x14ac:dyDescent="0.2">
      <c r="A209">
        <v>37602</v>
      </c>
      <c r="B209">
        <v>2005</v>
      </c>
      <c r="C209" s="89">
        <v>19.5</v>
      </c>
      <c r="D209" s="291">
        <v>6249606.4399999995</v>
      </c>
      <c r="E209" s="12">
        <v>75</v>
      </c>
      <c r="F209" s="12">
        <v>58.014059000000003</v>
      </c>
      <c r="G209" s="330">
        <f>'Proposed Rates'!$O$19/100</f>
        <v>-0.4</v>
      </c>
      <c r="H209" s="291">
        <f t="shared" si="25"/>
        <v>1981568.330243787</v>
      </c>
      <c r="I209" s="291">
        <f t="shared" si="26"/>
        <v>362565036.73693997</v>
      </c>
    </row>
    <row r="210" spans="1:9" outlineLevel="2" x14ac:dyDescent="0.2">
      <c r="A210">
        <v>37602</v>
      </c>
      <c r="B210">
        <v>2004</v>
      </c>
      <c r="C210" s="89">
        <v>20.5</v>
      </c>
      <c r="D210" s="291">
        <v>8146684.54</v>
      </c>
      <c r="E210" s="12">
        <v>75</v>
      </c>
      <c r="F210" s="12">
        <v>57.185403000000001</v>
      </c>
      <c r="G210" s="330">
        <f>'Proposed Rates'!$O$19/100</f>
        <v>-0.4</v>
      </c>
      <c r="H210" s="291">
        <f t="shared" si="25"/>
        <v>2709091.5033696336</v>
      </c>
      <c r="I210" s="291">
        <f t="shared" si="26"/>
        <v>465871438.53376961</v>
      </c>
    </row>
    <row r="211" spans="1:9" outlineLevel="2" x14ac:dyDescent="0.2">
      <c r="A211">
        <v>37602</v>
      </c>
      <c r="B211">
        <v>2003</v>
      </c>
      <c r="C211" s="89">
        <v>21.5</v>
      </c>
      <c r="D211" s="291">
        <v>8943896.3300000001</v>
      </c>
      <c r="E211" s="12">
        <v>75</v>
      </c>
      <c r="F211" s="12">
        <v>56.360895999999997</v>
      </c>
      <c r="G211" s="330">
        <f>'Proposed Rates'!$O$19/100</f>
        <v>-0.4</v>
      </c>
      <c r="H211" s="291">
        <f t="shared" si="25"/>
        <v>3111849.3253883151</v>
      </c>
      <c r="I211" s="291">
        <f t="shared" si="26"/>
        <v>504086010.88991165</v>
      </c>
    </row>
    <row r="212" spans="1:9" outlineLevel="2" x14ac:dyDescent="0.2">
      <c r="A212">
        <v>37602</v>
      </c>
      <c r="B212">
        <v>2002</v>
      </c>
      <c r="C212" s="89">
        <v>22.5</v>
      </c>
      <c r="D212" s="291">
        <v>11905807.550000001</v>
      </c>
      <c r="E212" s="12">
        <v>75</v>
      </c>
      <c r="F212" s="12">
        <v>55.540582000000001</v>
      </c>
      <c r="G212" s="330">
        <f>'Proposed Rates'!$O$19/100</f>
        <v>-0.4</v>
      </c>
      <c r="H212" s="291">
        <f t="shared" si="25"/>
        <v>4324694.9338694448</v>
      </c>
      <c r="I212" s="291">
        <f t="shared" si="26"/>
        <v>661255480.50699413</v>
      </c>
    </row>
    <row r="213" spans="1:9" outlineLevel="2" x14ac:dyDescent="0.2">
      <c r="A213">
        <v>37602</v>
      </c>
      <c r="B213">
        <v>2001</v>
      </c>
      <c r="C213" s="89">
        <v>23.5</v>
      </c>
      <c r="D213" s="291">
        <v>21121786.010000002</v>
      </c>
      <c r="E213" s="12">
        <v>75</v>
      </c>
      <c r="F213" s="12">
        <v>54.725783</v>
      </c>
      <c r="G213" s="330">
        <f>'Proposed Rates'!$O$19/100</f>
        <v>-0.4</v>
      </c>
      <c r="H213" s="291">
        <f t="shared" si="25"/>
        <v>7993583.229227013</v>
      </c>
      <c r="I213" s="291">
        <f t="shared" si="26"/>
        <v>1155906277.7556958</v>
      </c>
    </row>
    <row r="214" spans="1:9" outlineLevel="2" x14ac:dyDescent="0.2">
      <c r="A214">
        <v>37602</v>
      </c>
      <c r="B214">
        <v>2000</v>
      </c>
      <c r="C214" s="89">
        <v>24.5</v>
      </c>
      <c r="D214" s="291">
        <v>27576457.640000001</v>
      </c>
      <c r="E214" s="12">
        <v>75</v>
      </c>
      <c r="F214" s="12">
        <v>53.915304999999996</v>
      </c>
      <c r="G214" s="330">
        <f>'Proposed Rates'!$O$19/100</f>
        <v>-0.4</v>
      </c>
      <c r="H214" s="291">
        <f t="shared" si="25"/>
        <v>10853569.039036637</v>
      </c>
      <c r="I214" s="291">
        <f t="shared" si="26"/>
        <v>1486793124.48018</v>
      </c>
    </row>
    <row r="215" spans="1:9" outlineLevel="2" x14ac:dyDescent="0.2">
      <c r="A215">
        <v>37602</v>
      </c>
      <c r="B215">
        <v>1999</v>
      </c>
      <c r="C215" s="89">
        <v>25.5</v>
      </c>
      <c r="D215" s="291">
        <v>19584429.75</v>
      </c>
      <c r="E215" s="12">
        <v>75</v>
      </c>
      <c r="F215" s="12">
        <v>53.109181</v>
      </c>
      <c r="G215" s="330">
        <f>'Proposed Rates'!$O$19/100</f>
        <v>-0.4</v>
      </c>
      <c r="H215" s="291">
        <f t="shared" si="25"/>
        <v>8002758.528342017</v>
      </c>
      <c r="I215" s="291">
        <f t="shared" si="26"/>
        <v>1040113024.3745347</v>
      </c>
    </row>
    <row r="216" spans="1:9" outlineLevel="2" x14ac:dyDescent="0.2">
      <c r="A216">
        <v>37602</v>
      </c>
      <c r="B216">
        <v>1998</v>
      </c>
      <c r="C216" s="89">
        <v>26.5</v>
      </c>
      <c r="D216" s="291">
        <v>14972124.219999999</v>
      </c>
      <c r="E216" s="12">
        <v>75</v>
      </c>
      <c r="F216" s="12">
        <v>52.308807000000002</v>
      </c>
      <c r="G216" s="330">
        <f>'Proposed Rates'!$O$19/100</f>
        <v>-0.4</v>
      </c>
      <c r="H216" s="291">
        <f t="shared" si="25"/>
        <v>6341726.7255252283</v>
      </c>
      <c r="I216" s="291">
        <f t="shared" si="26"/>
        <v>783173956.20400548</v>
      </c>
    </row>
    <row r="217" spans="1:9" outlineLevel="2" x14ac:dyDescent="0.2">
      <c r="A217">
        <v>37602</v>
      </c>
      <c r="B217">
        <v>1997</v>
      </c>
      <c r="C217" s="89">
        <v>27.5</v>
      </c>
      <c r="D217" s="291">
        <v>8036782.1699999999</v>
      </c>
      <c r="E217" s="12">
        <v>75</v>
      </c>
      <c r="F217" s="12">
        <v>51.512918999999997</v>
      </c>
      <c r="G217" s="330">
        <f>'Proposed Rates'!$O$19/100</f>
        <v>-0.4</v>
      </c>
      <c r="H217" s="291">
        <f t="shared" si="25"/>
        <v>3523530.3377147219</v>
      </c>
      <c r="I217" s="291">
        <f t="shared" si="26"/>
        <v>413998108.94385421</v>
      </c>
    </row>
    <row r="218" spans="1:9" outlineLevel="2" x14ac:dyDescent="0.2">
      <c r="A218">
        <v>37602</v>
      </c>
      <c r="B218">
        <v>1996</v>
      </c>
      <c r="C218" s="89">
        <v>28.5</v>
      </c>
      <c r="D218" s="291">
        <v>5350740.22</v>
      </c>
      <c r="E218" s="12">
        <v>75</v>
      </c>
      <c r="F218" s="12">
        <v>50.721558999999999</v>
      </c>
      <c r="G218" s="330">
        <f>'Proposed Rates'!$O$19/100</f>
        <v>-0.4</v>
      </c>
      <c r="H218" s="291">
        <f t="shared" si="25"/>
        <v>2424942.4404351441</v>
      </c>
      <c r="I218" s="291">
        <f t="shared" si="26"/>
        <v>271397885.76240295</v>
      </c>
    </row>
    <row r="219" spans="1:9" outlineLevel="2" x14ac:dyDescent="0.2">
      <c r="A219">
        <v>37602</v>
      </c>
      <c r="B219">
        <v>1995</v>
      </c>
      <c r="C219" s="89">
        <v>29.5</v>
      </c>
      <c r="D219" s="291">
        <v>7486976.8199999994</v>
      </c>
      <c r="E219" s="12">
        <v>75</v>
      </c>
      <c r="F219" s="12">
        <v>49.936185000000002</v>
      </c>
      <c r="G219" s="330">
        <f>'Proposed Rates'!$O$19/100</f>
        <v>-0.4</v>
      </c>
      <c r="H219" s="291">
        <f t="shared" si="25"/>
        <v>3502841.1026143404</v>
      </c>
      <c r="I219" s="291">
        <f t="shared" si="26"/>
        <v>373871059.57423168</v>
      </c>
    </row>
    <row r="220" spans="1:9" outlineLevel="2" x14ac:dyDescent="0.2">
      <c r="A220">
        <v>37602</v>
      </c>
      <c r="B220">
        <v>1994</v>
      </c>
      <c r="C220" s="89">
        <v>30.5</v>
      </c>
      <c r="D220" s="291">
        <v>6542540.9100000001</v>
      </c>
      <c r="E220" s="12">
        <v>75</v>
      </c>
      <c r="F220" s="12">
        <v>49.155473000000001</v>
      </c>
      <c r="G220" s="330">
        <f>'Proposed Rates'!$O$19/100</f>
        <v>-0.4</v>
      </c>
      <c r="H220" s="291">
        <f t="shared" si="25"/>
        <v>3156325.6703458587</v>
      </c>
      <c r="I220" s="291">
        <f t="shared" si="26"/>
        <v>321601693.05290043</v>
      </c>
    </row>
    <row r="221" spans="1:9" outlineLevel="2" x14ac:dyDescent="0.2">
      <c r="A221">
        <v>37602</v>
      </c>
      <c r="B221">
        <v>1993</v>
      </c>
      <c r="C221" s="89">
        <v>31.5</v>
      </c>
      <c r="D221" s="291">
        <v>6142817.8100000005</v>
      </c>
      <c r="E221" s="12">
        <v>75</v>
      </c>
      <c r="F221" s="12">
        <v>48.379455</v>
      </c>
      <c r="G221" s="330">
        <f>'Proposed Rates'!$O$19/100</f>
        <v>-0.4</v>
      </c>
      <c r="H221" s="291">
        <f t="shared" si="25"/>
        <v>3052469.6148409205</v>
      </c>
      <c r="I221" s="291">
        <f t="shared" si="26"/>
        <v>297186177.81209356</v>
      </c>
    </row>
    <row r="222" spans="1:9" outlineLevel="2" x14ac:dyDescent="0.2">
      <c r="A222">
        <v>37602</v>
      </c>
      <c r="B222">
        <v>1992</v>
      </c>
      <c r="C222" s="89">
        <v>32.5</v>
      </c>
      <c r="D222" s="291">
        <v>3329178.01</v>
      </c>
      <c r="E222" s="12">
        <v>75</v>
      </c>
      <c r="F222" s="12">
        <v>47.609673000000001</v>
      </c>
      <c r="G222" s="330">
        <f>'Proposed Rates'!$O$19/100</f>
        <v>-0.4</v>
      </c>
      <c r="H222" s="291">
        <f t="shared" si="25"/>
        <v>1702162.4542553728</v>
      </c>
      <c r="I222" s="291">
        <f t="shared" si="26"/>
        <v>158501076.41489074</v>
      </c>
    </row>
    <row r="223" spans="1:9" outlineLevel="2" x14ac:dyDescent="0.2">
      <c r="A223">
        <v>37602</v>
      </c>
      <c r="B223">
        <v>1991</v>
      </c>
      <c r="C223" s="89">
        <v>33.5</v>
      </c>
      <c r="D223" s="291">
        <v>3499272.57</v>
      </c>
      <c r="E223" s="12">
        <v>75</v>
      </c>
      <c r="F223" s="12">
        <v>46.844731000000003</v>
      </c>
      <c r="G223" s="330">
        <f>'Proposed Rates'!$O$19/100</f>
        <v>-0.4</v>
      </c>
      <c r="H223" s="291">
        <f t="shared" si="25"/>
        <v>1839095.2629031977</v>
      </c>
      <c r="I223" s="291">
        <f t="shared" si="26"/>
        <v>163922482.23732868</v>
      </c>
    </row>
    <row r="224" spans="1:9" outlineLevel="2" x14ac:dyDescent="0.2">
      <c r="A224">
        <v>37602</v>
      </c>
      <c r="B224">
        <v>1990</v>
      </c>
      <c r="C224" s="89">
        <v>34.5</v>
      </c>
      <c r="D224" s="291">
        <v>7581835.6200000001</v>
      </c>
      <c r="E224" s="12">
        <v>75</v>
      </c>
      <c r="F224" s="12">
        <v>46.084665000000001</v>
      </c>
      <c r="G224" s="330">
        <f>'Proposed Rates'!$O$19/100</f>
        <v>-0.4</v>
      </c>
      <c r="H224" s="291">
        <f t="shared" si="25"/>
        <v>4092317.9148550094</v>
      </c>
      <c r="I224" s="291">
        <f t="shared" si="26"/>
        <v>349406354.63276732</v>
      </c>
    </row>
    <row r="225" spans="1:10" outlineLevel="2" x14ac:dyDescent="0.2">
      <c r="A225">
        <v>37602</v>
      </c>
      <c r="B225">
        <v>1989</v>
      </c>
      <c r="C225" s="89">
        <v>35.5</v>
      </c>
      <c r="D225" s="291">
        <v>4475620.1800000006</v>
      </c>
      <c r="E225" s="12">
        <v>75</v>
      </c>
      <c r="F225" s="12">
        <v>45.331086999999997</v>
      </c>
      <c r="G225" s="330">
        <f>'Proposed Rates'!$O$19/100</f>
        <v>-0.4</v>
      </c>
      <c r="H225" s="291">
        <f t="shared" si="25"/>
        <v>2478686.6671740012</v>
      </c>
      <c r="I225" s="291">
        <f t="shared" si="26"/>
        <v>202884727.75853568</v>
      </c>
    </row>
    <row r="226" spans="1:10" outlineLevel="2" x14ac:dyDescent="0.2">
      <c r="A226">
        <v>37602</v>
      </c>
      <c r="B226">
        <v>1988</v>
      </c>
      <c r="C226" s="89">
        <v>36.5</v>
      </c>
      <c r="D226" s="291">
        <v>4353452.4799999995</v>
      </c>
      <c r="E226" s="12">
        <v>75</v>
      </c>
      <c r="F226" s="12">
        <v>44.582532</v>
      </c>
      <c r="G226" s="330">
        <f>'Proposed Rates'!$O$19/100</f>
        <v>-0.4</v>
      </c>
      <c r="H226" s="291">
        <f t="shared" si="25"/>
        <v>2471858.6946651847</v>
      </c>
      <c r="I226" s="291">
        <f t="shared" si="26"/>
        <v>194087934.50007933</v>
      </c>
    </row>
    <row r="227" spans="1:10" s="143" customFormat="1" outlineLevel="1" x14ac:dyDescent="0.2">
      <c r="A227" s="20" t="s">
        <v>1183</v>
      </c>
      <c r="C227" s="89"/>
      <c r="D227" s="291">
        <f>SUBTOTAL(9,D190:D226)</f>
        <v>1076321266.0438066</v>
      </c>
      <c r="E227" s="12"/>
      <c r="F227" s="12"/>
      <c r="G227" s="330"/>
      <c r="H227" s="291">
        <f>SUBTOTAL(9,H190:H226)</f>
        <v>154020496.13400501</v>
      </c>
      <c r="I227" s="291">
        <f>SUBTOTAL(9,I190:I226)</f>
        <v>72472996946.106644</v>
      </c>
      <c r="J227" s="291">
        <f>+I227/D227</f>
        <v>67.333982178474372</v>
      </c>
    </row>
    <row r="228" spans="1:10" s="143" customFormat="1" outlineLevel="1" x14ac:dyDescent="0.2">
      <c r="A228" s="20"/>
      <c r="C228" s="89"/>
      <c r="D228" s="291"/>
      <c r="E228" s="12"/>
      <c r="F228" s="12"/>
      <c r="G228" s="330"/>
      <c r="H228" s="291"/>
      <c r="I228" s="291"/>
      <c r="J228" s="291"/>
    </row>
    <row r="229" spans="1:10" s="143" customFormat="1" outlineLevel="1" x14ac:dyDescent="0.2">
      <c r="A229" s="143">
        <v>37700</v>
      </c>
      <c r="B229" s="143">
        <v>2022</v>
      </c>
      <c r="C229" s="89">
        <v>2.5</v>
      </c>
      <c r="D229" s="291">
        <v>95350.330000000016</v>
      </c>
      <c r="E229" s="12">
        <v>35</v>
      </c>
      <c r="F229" s="12">
        <v>32.755657999999997</v>
      </c>
      <c r="G229" s="330">
        <f>'Proposed Rates'!$O$47/100</f>
        <v>0</v>
      </c>
      <c r="H229" s="291">
        <f t="shared" ref="H229" si="29">+D229*(1-F229/E229)*(1-G229)</f>
        <v>6114.2500095102905</v>
      </c>
      <c r="I229" s="291">
        <f t="shared" ref="I229" si="30">+D229*F229</f>
        <v>3123262.79966714</v>
      </c>
      <c r="J229" s="291"/>
    </row>
    <row r="230" spans="1:10" s="143" customFormat="1" outlineLevel="1" x14ac:dyDescent="0.2">
      <c r="A230" s="143">
        <v>37700</v>
      </c>
      <c r="B230" s="143">
        <v>2021</v>
      </c>
      <c r="C230" s="89">
        <v>3.5</v>
      </c>
      <c r="D230" s="291">
        <v>19091947.57</v>
      </c>
      <c r="E230" s="12">
        <v>35</v>
      </c>
      <c r="F230" s="12">
        <v>31.871013000000001</v>
      </c>
      <c r="G230" s="330">
        <f>'Proposed Rates'!$O$47/100</f>
        <v>0</v>
      </c>
      <c r="H230" s="291">
        <f t="shared" ref="H230" si="31">+D230*(1-F230/E230)*(1-G230)</f>
        <v>1706813.0214631886</v>
      </c>
      <c r="I230" s="291">
        <f t="shared" ref="I230" si="32">+D230*F230</f>
        <v>608479709.1987884</v>
      </c>
      <c r="J230" s="291"/>
    </row>
    <row r="231" spans="1:10" s="143" customFormat="1" outlineLevel="1" x14ac:dyDescent="0.2">
      <c r="A231" s="20" t="s">
        <v>1252</v>
      </c>
      <c r="C231" s="89"/>
      <c r="D231" s="291">
        <f>SUBTOTAL(9,D228:D230)</f>
        <v>19187297.899999999</v>
      </c>
      <c r="E231" s="12"/>
      <c r="F231" s="12"/>
      <c r="G231" s="330"/>
      <c r="H231" s="291">
        <f>SUBTOTAL(9,H228:H230)</f>
        <v>1712927.2714726988</v>
      </c>
      <c r="I231" s="291">
        <f>SUBTOTAL(9,I228:I230)</f>
        <v>611602971.99845552</v>
      </c>
      <c r="J231" s="291">
        <f>+I231/D231</f>
        <v>31.875409199669306</v>
      </c>
    </row>
    <row r="232" spans="1:10" s="143" customFormat="1" outlineLevel="1" x14ac:dyDescent="0.2">
      <c r="A232" s="20"/>
      <c r="C232" s="89"/>
      <c r="D232" s="291"/>
      <c r="E232" s="12"/>
      <c r="F232" s="12"/>
      <c r="G232" s="330"/>
      <c r="H232" s="291"/>
      <c r="I232" s="291"/>
      <c r="J232" s="291"/>
    </row>
    <row r="233" spans="1:10" outlineLevel="2" x14ac:dyDescent="0.2">
      <c r="A233">
        <v>37800</v>
      </c>
      <c r="B233">
        <v>2024</v>
      </c>
      <c r="C233" s="89">
        <v>0.5</v>
      </c>
      <c r="D233" s="291">
        <v>736667</v>
      </c>
      <c r="E233" s="12">
        <v>40</v>
      </c>
      <c r="F233" s="12">
        <v>39.588211999999999</v>
      </c>
      <c r="G233" s="330">
        <f>'Proposed Rates'!$O$21/100</f>
        <v>-0.2</v>
      </c>
      <c r="H233" s="291">
        <f t="shared" ref="H233:H264" si="33">+D233*(1-F233/E233)*(1-G233)</f>
        <v>9100.5189178799919</v>
      </c>
      <c r="I233" s="291">
        <f t="shared" ref="I233:I264" si="34">+D233*F233</f>
        <v>29163329.369403999</v>
      </c>
    </row>
    <row r="234" spans="1:10" outlineLevel="2" x14ac:dyDescent="0.2">
      <c r="A234">
        <v>37800</v>
      </c>
      <c r="B234">
        <v>2023</v>
      </c>
      <c r="C234" s="89">
        <v>1.5</v>
      </c>
      <c r="D234" s="291">
        <v>21743.29</v>
      </c>
      <c r="E234" s="12">
        <v>40</v>
      </c>
      <c r="F234" s="12">
        <v>38.768683000000003</v>
      </c>
      <c r="G234" s="330">
        <f>'Proposed Rates'!$O$21/100</f>
        <v>-0.2</v>
      </c>
      <c r="H234" s="291">
        <f t="shared" si="33"/>
        <v>803.18647838789764</v>
      </c>
      <c r="I234" s="291">
        <f t="shared" si="34"/>
        <v>842958.71738707006</v>
      </c>
    </row>
    <row r="235" spans="1:10" outlineLevel="2" x14ac:dyDescent="0.2">
      <c r="A235">
        <v>37800</v>
      </c>
      <c r="B235">
        <v>2022</v>
      </c>
      <c r="C235" s="89">
        <v>2.5</v>
      </c>
      <c r="D235" s="291">
        <v>934794.95000000007</v>
      </c>
      <c r="E235" s="12">
        <v>40</v>
      </c>
      <c r="F235" s="12">
        <v>37.954892000000001</v>
      </c>
      <c r="G235" s="330">
        <f>'Proposed Rates'!$O$21/100</f>
        <v>-0.2</v>
      </c>
      <c r="H235" s="291">
        <f t="shared" si="33"/>
        <v>57352.698918137998</v>
      </c>
      <c r="I235" s="291">
        <f t="shared" si="34"/>
        <v>35480041.369395405</v>
      </c>
    </row>
    <row r="236" spans="1:10" outlineLevel="2" x14ac:dyDescent="0.2">
      <c r="A236">
        <v>37800</v>
      </c>
      <c r="B236">
        <v>2021</v>
      </c>
      <c r="C236" s="89">
        <v>3.5</v>
      </c>
      <c r="D236" s="291">
        <v>732413.23</v>
      </c>
      <c r="E236" s="12">
        <v>40</v>
      </c>
      <c r="F236" s="12">
        <v>37.146861000000001</v>
      </c>
      <c r="G236" s="330">
        <f>'Proposed Rates'!$O$21/100</f>
        <v>-0.2</v>
      </c>
      <c r="H236" s="291">
        <f t="shared" si="33"/>
        <v>62690.302518869044</v>
      </c>
      <c r="I236" s="291">
        <f t="shared" si="34"/>
        <v>27206852.449371029</v>
      </c>
    </row>
    <row r="237" spans="1:10" outlineLevel="2" x14ac:dyDescent="0.2">
      <c r="A237">
        <v>37800</v>
      </c>
      <c r="B237">
        <v>2020</v>
      </c>
      <c r="C237" s="89">
        <v>4.5</v>
      </c>
      <c r="D237" s="291">
        <v>2207938.5499999998</v>
      </c>
      <c r="E237" s="12">
        <v>40</v>
      </c>
      <c r="F237" s="12">
        <v>36.344627000000003</v>
      </c>
      <c r="G237" s="330">
        <f>'Proposed Rates'!$O$21/100</f>
        <v>-0.2</v>
      </c>
      <c r="H237" s="291">
        <f t="shared" si="33"/>
        <v>242125.1688398743</v>
      </c>
      <c r="I237" s="291">
        <f t="shared" si="34"/>
        <v>80246703.038670853</v>
      </c>
    </row>
    <row r="238" spans="1:10" outlineLevel="2" x14ac:dyDescent="0.2">
      <c r="A238">
        <v>37800</v>
      </c>
      <c r="B238">
        <v>2019</v>
      </c>
      <c r="C238" s="89">
        <v>5.5</v>
      </c>
      <c r="D238" s="291">
        <v>1486548.8599999999</v>
      </c>
      <c r="E238" s="12">
        <v>40</v>
      </c>
      <c r="F238" s="12">
        <v>35.548211999999999</v>
      </c>
      <c r="G238" s="330">
        <f>'Proposed Rates'!$O$21/100</f>
        <v>-0.2</v>
      </c>
      <c r="H238" s="291">
        <f t="shared" si="33"/>
        <v>198534.01129085032</v>
      </c>
      <c r="I238" s="291">
        <f t="shared" si="34"/>
        <v>52844154.023638315</v>
      </c>
    </row>
    <row r="239" spans="1:10" outlineLevel="2" x14ac:dyDescent="0.2">
      <c r="A239">
        <v>37800</v>
      </c>
      <c r="B239">
        <v>2018</v>
      </c>
      <c r="C239" s="89">
        <v>6.5</v>
      </c>
      <c r="D239" s="291">
        <v>1427896.11</v>
      </c>
      <c r="E239" s="12">
        <v>40</v>
      </c>
      <c r="F239" s="12">
        <v>34.757646000000001</v>
      </c>
      <c r="G239" s="330">
        <f>'Proposed Rates'!$O$21/100</f>
        <v>-0.2</v>
      </c>
      <c r="H239" s="291">
        <f t="shared" si="33"/>
        <v>224566.10651528815</v>
      </c>
      <c r="I239" s="291">
        <f t="shared" si="34"/>
        <v>49630307.516157068</v>
      </c>
    </row>
    <row r="240" spans="1:10" outlineLevel="2" x14ac:dyDescent="0.2">
      <c r="A240">
        <v>37800</v>
      </c>
      <c r="B240">
        <v>2017</v>
      </c>
      <c r="C240" s="89">
        <v>7.5</v>
      </c>
      <c r="D240" s="291">
        <v>1222336.23</v>
      </c>
      <c r="E240" s="12">
        <v>40</v>
      </c>
      <c r="F240" s="12">
        <v>33.972949999999997</v>
      </c>
      <c r="G240" s="330">
        <f>'Proposed Rates'!$O$21/100</f>
        <v>-0.2</v>
      </c>
      <c r="H240" s="291">
        <f t="shared" si="33"/>
        <v>221012.44725064508</v>
      </c>
      <c r="I240" s="291">
        <f t="shared" si="34"/>
        <v>41526367.624978498</v>
      </c>
    </row>
    <row r="241" spans="1:10" outlineLevel="2" x14ac:dyDescent="0.2">
      <c r="A241">
        <v>37800</v>
      </c>
      <c r="B241">
        <v>2016</v>
      </c>
      <c r="C241" s="89">
        <v>8.5</v>
      </c>
      <c r="D241" s="291">
        <v>1293894.3700000001</v>
      </c>
      <c r="E241" s="12">
        <v>40</v>
      </c>
      <c r="F241" s="12">
        <v>33.194161000000001</v>
      </c>
      <c r="G241" s="330">
        <f>'Proposed Rates'!$O$21/100</f>
        <v>-0.2</v>
      </c>
      <c r="H241" s="291">
        <f t="shared" si="33"/>
        <v>264181.10295679286</v>
      </c>
      <c r="I241" s="291">
        <f t="shared" si="34"/>
        <v>42949738.034773573</v>
      </c>
    </row>
    <row r="242" spans="1:10" outlineLevel="2" x14ac:dyDescent="0.2">
      <c r="A242">
        <v>37800</v>
      </c>
      <c r="B242">
        <v>2015</v>
      </c>
      <c r="C242" s="89">
        <v>9.5</v>
      </c>
      <c r="D242" s="291">
        <v>1366134</v>
      </c>
      <c r="E242" s="12">
        <v>40</v>
      </c>
      <c r="F242" s="12">
        <v>32.421298999999998</v>
      </c>
      <c r="G242" s="330">
        <f>'Proposed Rates'!$O$21/100</f>
        <v>-0.2</v>
      </c>
      <c r="H242" s="291">
        <f t="shared" si="33"/>
        <v>310605.6333580201</v>
      </c>
      <c r="I242" s="291">
        <f t="shared" si="34"/>
        <v>44291838.888065994</v>
      </c>
    </row>
    <row r="243" spans="1:10" outlineLevel="2" x14ac:dyDescent="0.2">
      <c r="A243">
        <v>37800</v>
      </c>
      <c r="B243">
        <v>2014</v>
      </c>
      <c r="C243" s="89">
        <v>10.5</v>
      </c>
      <c r="D243" s="291">
        <v>1387932.14</v>
      </c>
      <c r="E243" s="12">
        <v>40</v>
      </c>
      <c r="F243" s="12">
        <v>31.654398</v>
      </c>
      <c r="G243" s="330">
        <f>'Proposed Rates'!$O$21/100</f>
        <v>-0.2</v>
      </c>
      <c r="H243" s="291">
        <f t="shared" si="33"/>
        <v>347493.87730344827</v>
      </c>
      <c r="I243" s="291">
        <f t="shared" si="34"/>
        <v>43934156.356551714</v>
      </c>
    </row>
    <row r="244" spans="1:10" outlineLevel="2" x14ac:dyDescent="0.2">
      <c r="A244" s="143">
        <v>37800</v>
      </c>
      <c r="B244">
        <v>2013</v>
      </c>
      <c r="C244" s="89">
        <v>11.5</v>
      </c>
      <c r="D244" s="291">
        <v>1294693.44</v>
      </c>
      <c r="E244" s="12">
        <v>40</v>
      </c>
      <c r="F244" s="12">
        <v>30.893483</v>
      </c>
      <c r="G244" s="330">
        <f>'Proposed Rates'!$O$21/100</f>
        <v>-0.2</v>
      </c>
      <c r="H244" s="291">
        <f t="shared" si="33"/>
        <v>353704.43463445432</v>
      </c>
      <c r="I244" s="291">
        <f t="shared" si="34"/>
        <v>39997589.778851517</v>
      </c>
    </row>
    <row r="245" spans="1:10" s="143" customFormat="1" outlineLevel="2" x14ac:dyDescent="0.2">
      <c r="A245" s="143">
        <v>37800</v>
      </c>
      <c r="B245" s="143">
        <v>2012</v>
      </c>
      <c r="C245" s="89">
        <v>12.5</v>
      </c>
      <c r="D245" s="291">
        <v>2369059.25</v>
      </c>
      <c r="E245" s="12">
        <v>40</v>
      </c>
      <c r="F245" s="12">
        <v>30.138617</v>
      </c>
      <c r="G245" s="330">
        <f>'Proposed Rates'!$O$21/100</f>
        <v>-0.2</v>
      </c>
      <c r="H245" s="291">
        <f t="shared" si="33"/>
        <v>700866.01841828239</v>
      </c>
      <c r="I245" s="291">
        <f t="shared" si="34"/>
        <v>71400169.386057243</v>
      </c>
      <c r="J245" s="291"/>
    </row>
    <row r="246" spans="1:10" s="143" customFormat="1" outlineLevel="2" x14ac:dyDescent="0.2">
      <c r="A246" s="143">
        <v>37800</v>
      </c>
      <c r="B246" s="143">
        <v>2011</v>
      </c>
      <c r="C246" s="89">
        <v>13.5</v>
      </c>
      <c r="D246" s="291">
        <v>666370.71</v>
      </c>
      <c r="E246" s="12">
        <v>40</v>
      </c>
      <c r="F246" s="12">
        <v>29.389942999999999</v>
      </c>
      <c r="G246" s="330">
        <f>'Proposed Rates'!$O$21/100</f>
        <v>-0.2</v>
      </c>
      <c r="H246" s="291">
        <f t="shared" si="33"/>
        <v>212106.93648691408</v>
      </c>
      <c r="I246" s="291">
        <f t="shared" si="34"/>
        <v>19584597.183769528</v>
      </c>
      <c r="J246" s="291"/>
    </row>
    <row r="247" spans="1:10" s="143" customFormat="1" outlineLevel="2" x14ac:dyDescent="0.2">
      <c r="A247" s="143">
        <v>37800</v>
      </c>
      <c r="B247" s="143">
        <v>2010</v>
      </c>
      <c r="C247" s="89">
        <v>14.5</v>
      </c>
      <c r="D247" s="291">
        <v>321507.76</v>
      </c>
      <c r="E247" s="12">
        <v>40</v>
      </c>
      <c r="F247" s="12">
        <v>28.647677000000002</v>
      </c>
      <c r="G247" s="330">
        <f>'Proposed Rates'!$O$21/100</f>
        <v>-0.2</v>
      </c>
      <c r="H247" s="291">
        <f t="shared" si="33"/>
        <v>109495.79815579439</v>
      </c>
      <c r="I247" s="291">
        <f t="shared" si="34"/>
        <v>9210450.4614735208</v>
      </c>
      <c r="J247" s="291"/>
    </row>
    <row r="248" spans="1:10" s="143" customFormat="1" outlineLevel="2" x14ac:dyDescent="0.2">
      <c r="A248" s="143">
        <v>37800</v>
      </c>
      <c r="B248" s="143">
        <v>2009</v>
      </c>
      <c r="C248" s="89">
        <v>15.5</v>
      </c>
      <c r="D248" s="291">
        <v>517632.34</v>
      </c>
      <c r="E248" s="12">
        <v>40</v>
      </c>
      <c r="F248" s="12">
        <v>27.912089000000002</v>
      </c>
      <c r="G248" s="330">
        <f>'Proposed Rates'!$O$21/100</f>
        <v>-0.2</v>
      </c>
      <c r="H248" s="291">
        <f t="shared" si="33"/>
        <v>187712.80969925222</v>
      </c>
      <c r="I248" s="291">
        <f t="shared" si="34"/>
        <v>14448199.943358261</v>
      </c>
      <c r="J248" s="291"/>
    </row>
    <row r="249" spans="1:10" s="143" customFormat="1" outlineLevel="2" x14ac:dyDescent="0.2">
      <c r="A249" s="143">
        <v>37800</v>
      </c>
      <c r="B249" s="143">
        <v>2008</v>
      </c>
      <c r="C249" s="89">
        <v>16.5</v>
      </c>
      <c r="D249" s="291">
        <v>142509.41</v>
      </c>
      <c r="E249" s="12">
        <v>40</v>
      </c>
      <c r="F249" s="12">
        <v>27.183475999999999</v>
      </c>
      <c r="G249" s="330">
        <f>'Proposed Rates'!$O$21/100</f>
        <v>-0.2</v>
      </c>
      <c r="H249" s="291">
        <f t="shared" si="33"/>
        <v>54794.2582047252</v>
      </c>
      <c r="I249" s="291">
        <f t="shared" si="34"/>
        <v>3873901.1265091598</v>
      </c>
      <c r="J249" s="291"/>
    </row>
    <row r="250" spans="1:10" s="143" customFormat="1" outlineLevel="2" x14ac:dyDescent="0.2">
      <c r="A250" s="143">
        <v>37800</v>
      </c>
      <c r="B250" s="143">
        <v>2007</v>
      </c>
      <c r="C250" s="89">
        <v>17.5</v>
      </c>
      <c r="D250" s="291">
        <v>366208.4</v>
      </c>
      <c r="E250" s="12">
        <v>40</v>
      </c>
      <c r="F250" s="12">
        <v>26.462157999999999</v>
      </c>
      <c r="G250" s="330">
        <f>'Proposed Rates'!$O$21/100</f>
        <v>-0.2</v>
      </c>
      <c r="H250" s="291">
        <f t="shared" si="33"/>
        <v>148730.14374818403</v>
      </c>
      <c r="I250" s="291">
        <f t="shared" si="34"/>
        <v>9690664.5417272002</v>
      </c>
      <c r="J250" s="291"/>
    </row>
    <row r="251" spans="1:10" s="143" customFormat="1" outlineLevel="2" x14ac:dyDescent="0.2">
      <c r="A251" s="143">
        <v>37800</v>
      </c>
      <c r="B251" s="143">
        <v>2006</v>
      </c>
      <c r="C251" s="89">
        <v>18.5</v>
      </c>
      <c r="D251" s="291">
        <v>121820.04</v>
      </c>
      <c r="E251" s="12">
        <v>40</v>
      </c>
      <c r="F251" s="12">
        <v>25.748477000000001</v>
      </c>
      <c r="G251" s="330">
        <f>'Proposed Rates'!$O$21/100</f>
        <v>-0.2</v>
      </c>
      <c r="H251" s="291">
        <f t="shared" si="33"/>
        <v>52083.633057627587</v>
      </c>
      <c r="I251" s="291">
        <f t="shared" si="34"/>
        <v>3136680.4980790801</v>
      </c>
      <c r="J251" s="291"/>
    </row>
    <row r="252" spans="1:10" outlineLevel="2" x14ac:dyDescent="0.2">
      <c r="A252" s="143">
        <v>37800</v>
      </c>
      <c r="B252">
        <v>2005</v>
      </c>
      <c r="C252" s="89">
        <v>19.5</v>
      </c>
      <c r="D252" s="291">
        <v>217180.49</v>
      </c>
      <c r="E252" s="12">
        <v>40</v>
      </c>
      <c r="F252" s="12">
        <v>25.042767000000001</v>
      </c>
      <c r="G252" s="330">
        <f>'Proposed Rates'!$O$21/100</f>
        <v>-0.2</v>
      </c>
      <c r="H252" s="291">
        <f t="shared" si="33"/>
        <v>97452.575759525076</v>
      </c>
      <c r="I252" s="291">
        <f t="shared" si="34"/>
        <v>5438800.4080158304</v>
      </c>
    </row>
    <row r="253" spans="1:10" outlineLevel="2" x14ac:dyDescent="0.2">
      <c r="A253">
        <v>37800</v>
      </c>
      <c r="B253">
        <v>2004</v>
      </c>
      <c r="C253" s="89">
        <v>20.5</v>
      </c>
      <c r="D253" s="291">
        <v>129549.57</v>
      </c>
      <c r="E253" s="12">
        <v>40</v>
      </c>
      <c r="F253" s="12">
        <v>24.345381</v>
      </c>
      <c r="G253" s="330">
        <f>'Proposed Rates'!$O$21/100</f>
        <v>-0.2</v>
      </c>
      <c r="H253" s="291">
        <f t="shared" si="33"/>
        <v>60841.474798914896</v>
      </c>
      <c r="I253" s="291">
        <f t="shared" si="34"/>
        <v>3153933.6400361699</v>
      </c>
    </row>
    <row r="254" spans="1:10" outlineLevel="2" x14ac:dyDescent="0.2">
      <c r="A254">
        <v>37800</v>
      </c>
      <c r="B254">
        <v>2003</v>
      </c>
      <c r="C254" s="89">
        <v>21.5</v>
      </c>
      <c r="D254" s="291">
        <v>352362.68999999994</v>
      </c>
      <c r="E254" s="12">
        <v>40</v>
      </c>
      <c r="F254" s="12">
        <v>23.656663000000002</v>
      </c>
      <c r="G254" s="330">
        <f>'Proposed Rates'!$O$21/100</f>
        <v>-0.2</v>
      </c>
      <c r="H254" s="291">
        <f t="shared" si="33"/>
        <v>172763.46566689585</v>
      </c>
      <c r="I254" s="291">
        <f t="shared" si="34"/>
        <v>8335725.4111034693</v>
      </c>
    </row>
    <row r="255" spans="1:10" outlineLevel="2" x14ac:dyDescent="0.2">
      <c r="A255">
        <v>37800</v>
      </c>
      <c r="B255">
        <v>2002</v>
      </c>
      <c r="C255" s="89">
        <v>22.5</v>
      </c>
      <c r="D255" s="291">
        <v>344875.97</v>
      </c>
      <c r="E255" s="12">
        <v>40</v>
      </c>
      <c r="F255" s="12">
        <v>22.976959000000001</v>
      </c>
      <c r="G255" s="330">
        <f>'Proposed Rates'!$O$21/100</f>
        <v>-0.2</v>
      </c>
      <c r="H255" s="291">
        <f t="shared" si="33"/>
        <v>176125.1333167431</v>
      </c>
      <c r="I255" s="291">
        <f t="shared" si="34"/>
        <v>7924201.02277523</v>
      </c>
    </row>
    <row r="256" spans="1:10" outlineLevel="2" x14ac:dyDescent="0.2">
      <c r="A256">
        <v>37800</v>
      </c>
      <c r="B256">
        <v>2001</v>
      </c>
      <c r="C256" s="89">
        <v>23.5</v>
      </c>
      <c r="D256" s="291">
        <v>774670.69</v>
      </c>
      <c r="E256" s="12">
        <v>40</v>
      </c>
      <c r="F256" s="12">
        <v>22.306609999999999</v>
      </c>
      <c r="G256" s="330">
        <f>'Proposed Rates'!$O$21/100</f>
        <v>-0.2</v>
      </c>
      <c r="H256" s="291">
        <f t="shared" si="33"/>
        <v>411196.51919217297</v>
      </c>
      <c r="I256" s="291">
        <f t="shared" si="34"/>
        <v>17280276.960260898</v>
      </c>
    </row>
    <row r="257" spans="1:10" outlineLevel="2" x14ac:dyDescent="0.2">
      <c r="A257">
        <v>37800</v>
      </c>
      <c r="B257">
        <v>2000</v>
      </c>
      <c r="C257" s="89">
        <v>24.5</v>
      </c>
      <c r="D257" s="291">
        <v>164900.43</v>
      </c>
      <c r="E257" s="12">
        <v>40</v>
      </c>
      <c r="F257" s="12">
        <v>21.645952000000001</v>
      </c>
      <c r="G257" s="330">
        <f>'Proposed Rates'!$O$21/100</f>
        <v>-0.2</v>
      </c>
      <c r="H257" s="291">
        <f t="shared" si="33"/>
        <v>90797.71222321919</v>
      </c>
      <c r="I257" s="291">
        <f t="shared" si="34"/>
        <v>3569426.7925593602</v>
      </c>
    </row>
    <row r="258" spans="1:10" outlineLevel="2" x14ac:dyDescent="0.2">
      <c r="A258">
        <v>37800</v>
      </c>
      <c r="B258">
        <v>1999</v>
      </c>
      <c r="C258" s="89">
        <v>25.5</v>
      </c>
      <c r="D258" s="291">
        <v>487152.63</v>
      </c>
      <c r="E258" s="12">
        <v>40</v>
      </c>
      <c r="F258" s="12">
        <v>20.99531</v>
      </c>
      <c r="G258" s="330">
        <f>'Proposed Rates'!$O$21/100</f>
        <v>-0.2</v>
      </c>
      <c r="H258" s="291">
        <f t="shared" si="33"/>
        <v>277745.54147504101</v>
      </c>
      <c r="I258" s="291">
        <f t="shared" si="34"/>
        <v>10227920.4841653</v>
      </c>
    </row>
    <row r="259" spans="1:10" outlineLevel="2" x14ac:dyDescent="0.2">
      <c r="A259">
        <v>37800</v>
      </c>
      <c r="B259">
        <v>1998</v>
      </c>
      <c r="C259" s="89">
        <v>26.5</v>
      </c>
      <c r="D259" s="291">
        <v>254246.31</v>
      </c>
      <c r="E259" s="12">
        <v>40</v>
      </c>
      <c r="F259" s="12">
        <v>20.355005999999999</v>
      </c>
      <c r="G259" s="330">
        <f>'Proposed Rates'!$O$21/100</f>
        <v>-0.2</v>
      </c>
      <c r="H259" s="291">
        <f t="shared" si="33"/>
        <v>149840.01703416422</v>
      </c>
      <c r="I259" s="291">
        <f t="shared" si="34"/>
        <v>5175185.1655278597</v>
      </c>
    </row>
    <row r="260" spans="1:10" outlineLevel="2" x14ac:dyDescent="0.2">
      <c r="A260">
        <v>37800</v>
      </c>
      <c r="B260">
        <v>1997</v>
      </c>
      <c r="C260" s="89">
        <v>27.5</v>
      </c>
      <c r="D260" s="291">
        <v>98561.99</v>
      </c>
      <c r="E260" s="12">
        <v>40</v>
      </c>
      <c r="F260" s="12">
        <v>19.725353999999999</v>
      </c>
      <c r="G260" s="330">
        <f>'Proposed Rates'!$O$21/100</f>
        <v>-0.2</v>
      </c>
      <c r="H260" s="291">
        <f t="shared" si="33"/>
        <v>59949.283689166201</v>
      </c>
      <c r="I260" s="291">
        <f t="shared" si="34"/>
        <v>1944170.1436944602</v>
      </c>
    </row>
    <row r="261" spans="1:10" outlineLevel="2" x14ac:dyDescent="0.2">
      <c r="A261">
        <v>37800</v>
      </c>
      <c r="B261">
        <v>1996</v>
      </c>
      <c r="C261" s="89">
        <v>28.5</v>
      </c>
      <c r="D261" s="291">
        <v>102023.78</v>
      </c>
      <c r="E261" s="12">
        <v>40</v>
      </c>
      <c r="F261" s="12">
        <v>19.106655</v>
      </c>
      <c r="G261" s="330">
        <f>'Proposed Rates'!$O$21/100</f>
        <v>-0.2</v>
      </c>
      <c r="H261" s="291">
        <f t="shared" si="33"/>
        <v>63948.541012322996</v>
      </c>
      <c r="I261" s="291">
        <f t="shared" si="34"/>
        <v>1949333.1662558999</v>
      </c>
    </row>
    <row r="262" spans="1:10" outlineLevel="2" x14ac:dyDescent="0.2">
      <c r="A262">
        <v>37800</v>
      </c>
      <c r="B262">
        <v>1995</v>
      </c>
      <c r="C262" s="89">
        <v>29.5</v>
      </c>
      <c r="D262" s="291">
        <v>123989.87</v>
      </c>
      <c r="E262" s="12">
        <v>40</v>
      </c>
      <c r="F262" s="12">
        <v>18.499196999999999</v>
      </c>
      <c r="G262" s="330">
        <f>'Proposed Rates'!$O$21/100</f>
        <v>-0.2</v>
      </c>
      <c r="H262" s="291">
        <f t="shared" si="33"/>
        <v>79976.453065968293</v>
      </c>
      <c r="I262" s="291">
        <f t="shared" si="34"/>
        <v>2293713.0311343898</v>
      </c>
    </row>
    <row r="263" spans="1:10" outlineLevel="2" x14ac:dyDescent="0.2">
      <c r="A263">
        <v>37800</v>
      </c>
      <c r="B263">
        <v>1994</v>
      </c>
      <c r="C263" s="89">
        <v>30.5</v>
      </c>
      <c r="D263" s="291">
        <v>178216.59</v>
      </c>
      <c r="E263" s="12">
        <v>40</v>
      </c>
      <c r="F263" s="12">
        <v>17.903262000000002</v>
      </c>
      <c r="G263" s="330">
        <f>'Proposed Rates'!$O$21/100</f>
        <v>-0.2</v>
      </c>
      <c r="H263" s="291">
        <f t="shared" si="33"/>
        <v>118140.15889450259</v>
      </c>
      <c r="I263" s="291">
        <f t="shared" si="34"/>
        <v>3190658.3035165803</v>
      </c>
    </row>
    <row r="264" spans="1:10" outlineLevel="2" x14ac:dyDescent="0.2">
      <c r="A264">
        <v>37800</v>
      </c>
      <c r="B264">
        <v>1993</v>
      </c>
      <c r="C264" s="89">
        <v>31.5</v>
      </c>
      <c r="D264" s="291">
        <v>152375.45000000001</v>
      </c>
      <c r="E264" s="12">
        <v>40</v>
      </c>
      <c r="F264" s="12">
        <v>17.319112000000001</v>
      </c>
      <c r="G264" s="330">
        <f>'Proposed Rates'!$O$21/100</f>
        <v>-0.2</v>
      </c>
      <c r="H264" s="291">
        <f t="shared" si="33"/>
        <v>103680.31546198801</v>
      </c>
      <c r="I264" s="291">
        <f t="shared" si="34"/>
        <v>2639007.4846004001</v>
      </c>
    </row>
    <row r="265" spans="1:10" outlineLevel="2" x14ac:dyDescent="0.2">
      <c r="A265">
        <v>37800</v>
      </c>
      <c r="B265">
        <v>1992</v>
      </c>
      <c r="C265" s="89">
        <v>32.5</v>
      </c>
      <c r="D265" s="291">
        <v>78841.099999999991</v>
      </c>
      <c r="E265" s="12">
        <v>40</v>
      </c>
      <c r="F265" s="12">
        <v>16.746998999999999</v>
      </c>
      <c r="G265" s="330">
        <f>'Proposed Rates'!$O$21/100</f>
        <v>-0.2</v>
      </c>
      <c r="H265" s="291">
        <f t="shared" ref="H265:H289" si="35">+D265*(1-F265/E265)*(1-G265)</f>
        <v>54998.765314232995</v>
      </c>
      <c r="I265" s="291">
        <f t="shared" ref="I265:I289" si="36">+D265*F265</f>
        <v>1320351.8228588998</v>
      </c>
    </row>
    <row r="266" spans="1:10" outlineLevel="2" x14ac:dyDescent="0.2">
      <c r="A266">
        <v>37800</v>
      </c>
      <c r="B266">
        <v>1991</v>
      </c>
      <c r="C266" s="89">
        <v>33.5</v>
      </c>
      <c r="D266" s="291">
        <v>65295.08</v>
      </c>
      <c r="E266" s="12">
        <v>40</v>
      </c>
      <c r="F266" s="12">
        <v>16.187154</v>
      </c>
      <c r="G266" s="330">
        <f>'Proposed Rates'!$O$21/100</f>
        <v>-0.2</v>
      </c>
      <c r="H266" s="291">
        <f t="shared" si="35"/>
        <v>46645.850537930397</v>
      </c>
      <c r="I266" s="291">
        <f t="shared" si="36"/>
        <v>1056941.5154023201</v>
      </c>
    </row>
    <row r="267" spans="1:10" outlineLevel="2" x14ac:dyDescent="0.2">
      <c r="A267">
        <v>37800</v>
      </c>
      <c r="B267">
        <v>1990</v>
      </c>
      <c r="C267" s="89">
        <v>34.5</v>
      </c>
      <c r="D267" s="291">
        <v>88392.95</v>
      </c>
      <c r="E267" s="12">
        <v>40</v>
      </c>
      <c r="F267" s="12">
        <v>15.639786000000001</v>
      </c>
      <c r="G267" s="330">
        <f>'Proposed Rates'!$O$21/100</f>
        <v>-0.2</v>
      </c>
      <c r="H267" s="291">
        <f t="shared" si="35"/>
        <v>64598.135342738999</v>
      </c>
      <c r="I267" s="291">
        <f t="shared" si="36"/>
        <v>1382446.8219087</v>
      </c>
    </row>
    <row r="268" spans="1:10" s="143" customFormat="1" outlineLevel="2" x14ac:dyDescent="0.2">
      <c r="A268" s="143">
        <v>37800</v>
      </c>
      <c r="B268" s="143">
        <v>1989</v>
      </c>
      <c r="C268" s="89">
        <v>35.5</v>
      </c>
      <c r="D268" s="291">
        <v>60319.96</v>
      </c>
      <c r="E268" s="12">
        <v>40</v>
      </c>
      <c r="F268" s="12">
        <v>15.105086999999999</v>
      </c>
      <c r="G268" s="330">
        <f>'Proposed Rates'!$O$21/100</f>
        <v>-0.2</v>
      </c>
      <c r="H268" s="291">
        <f t="shared" si="35"/>
        <v>45049.804690904399</v>
      </c>
      <c r="I268" s="291">
        <f t="shared" si="36"/>
        <v>911138.24363652</v>
      </c>
      <c r="J268" s="291"/>
    </row>
    <row r="269" spans="1:10" s="143" customFormat="1" outlineLevel="2" x14ac:dyDescent="0.2">
      <c r="A269" s="143">
        <v>37800</v>
      </c>
      <c r="B269" s="143">
        <v>1988</v>
      </c>
      <c r="C269" s="89">
        <v>36.5</v>
      </c>
      <c r="D269" s="291">
        <v>23149.66</v>
      </c>
      <c r="E269" s="12">
        <v>40</v>
      </c>
      <c r="F269" s="12">
        <v>14.583216999999999</v>
      </c>
      <c r="G269" s="330">
        <f>'Proposed Rates'!$O$21/100</f>
        <v>-0.2</v>
      </c>
      <c r="H269" s="291">
        <f t="shared" si="35"/>
        <v>17651.696542313399</v>
      </c>
      <c r="I269" s="291">
        <f t="shared" si="36"/>
        <v>337596.51525622001</v>
      </c>
      <c r="J269" s="291"/>
    </row>
    <row r="270" spans="1:10" s="143" customFormat="1" outlineLevel="2" x14ac:dyDescent="0.2">
      <c r="A270" s="143">
        <v>37800</v>
      </c>
      <c r="B270" s="143">
        <v>1987</v>
      </c>
      <c r="C270" s="89">
        <v>37.5</v>
      </c>
      <c r="D270" s="291">
        <v>80532.61</v>
      </c>
      <c r="E270" s="12">
        <v>40</v>
      </c>
      <c r="F270" s="12">
        <v>14.074305000000001</v>
      </c>
      <c r="G270" s="330">
        <f>'Proposed Rates'!$O$21/100</f>
        <v>-0.2</v>
      </c>
      <c r="H270" s="291">
        <f t="shared" si="35"/>
        <v>62635.916532418494</v>
      </c>
      <c r="I270" s="291">
        <f t="shared" si="36"/>
        <v>1133440.51558605</v>
      </c>
      <c r="J270" s="291"/>
    </row>
    <row r="271" spans="1:10" s="143" customFormat="1" outlineLevel="2" x14ac:dyDescent="0.2">
      <c r="A271" s="143">
        <v>37800</v>
      </c>
      <c r="B271" s="143">
        <v>1986</v>
      </c>
      <c r="C271" s="89">
        <v>38.5</v>
      </c>
      <c r="D271" s="291">
        <v>63250.7</v>
      </c>
      <c r="E271" s="12">
        <v>40</v>
      </c>
      <c r="F271" s="12">
        <v>13.578447000000001</v>
      </c>
      <c r="G271" s="330">
        <f>'Proposed Rates'!$O$21/100</f>
        <v>-0.2</v>
      </c>
      <c r="H271" s="291">
        <f t="shared" si="35"/>
        <v>50135.451670112991</v>
      </c>
      <c r="I271" s="291">
        <f t="shared" si="36"/>
        <v>858846.27766290004</v>
      </c>
      <c r="J271" s="291"/>
    </row>
    <row r="272" spans="1:10" s="143" customFormat="1" outlineLevel="2" x14ac:dyDescent="0.2">
      <c r="A272" s="143">
        <v>37800</v>
      </c>
      <c r="B272" s="143">
        <v>1985</v>
      </c>
      <c r="C272" s="89">
        <v>39.5</v>
      </c>
      <c r="D272" s="291">
        <v>28594.6</v>
      </c>
      <c r="E272" s="12">
        <v>40</v>
      </c>
      <c r="F272" s="12">
        <v>13.095708</v>
      </c>
      <c r="G272" s="330">
        <f>'Proposed Rates'!$O$21/100</f>
        <v>-0.2</v>
      </c>
      <c r="H272" s="291">
        <f t="shared" si="35"/>
        <v>23079.524040696</v>
      </c>
      <c r="I272" s="291">
        <f t="shared" si="36"/>
        <v>374466.5319768</v>
      </c>
      <c r="J272" s="291"/>
    </row>
    <row r="273" spans="1:10" s="143" customFormat="1" outlineLevel="2" x14ac:dyDescent="0.2">
      <c r="A273" s="143">
        <v>37800</v>
      </c>
      <c r="B273" s="143">
        <v>1984</v>
      </c>
      <c r="C273" s="89">
        <v>40.5</v>
      </c>
      <c r="D273" s="291">
        <v>113815.57</v>
      </c>
      <c r="E273" s="12">
        <v>40</v>
      </c>
      <c r="F273" s="12">
        <v>12.626094999999999</v>
      </c>
      <c r="G273" s="330">
        <f>'Proposed Rates'!$O$21/100</f>
        <v>-0.2</v>
      </c>
      <c r="H273" s="291">
        <f t="shared" si="35"/>
        <v>93467.298021025505</v>
      </c>
      <c r="I273" s="291">
        <f t="shared" si="36"/>
        <v>1437046.1992991499</v>
      </c>
      <c r="J273" s="291"/>
    </row>
    <row r="274" spans="1:10" s="143" customFormat="1" outlineLevel="2" x14ac:dyDescent="0.2">
      <c r="A274" s="143">
        <v>37800</v>
      </c>
      <c r="B274" s="143">
        <v>1983</v>
      </c>
      <c r="C274" s="89">
        <v>41.5</v>
      </c>
      <c r="D274" s="291">
        <v>11984</v>
      </c>
      <c r="E274" s="12">
        <v>40</v>
      </c>
      <c r="F274" s="12">
        <v>12.169582</v>
      </c>
      <c r="G274" s="330">
        <f>'Proposed Rates'!$O$21/100</f>
        <v>-0.2</v>
      </c>
      <c r="H274" s="291">
        <f t="shared" si="35"/>
        <v>10005.591879359999</v>
      </c>
      <c r="I274" s="291">
        <f t="shared" si="36"/>
        <v>145840.27068799999</v>
      </c>
      <c r="J274" s="291"/>
    </row>
    <row r="275" spans="1:10" s="143" customFormat="1" outlineLevel="2" x14ac:dyDescent="0.2">
      <c r="A275" s="143">
        <v>37800</v>
      </c>
      <c r="B275" s="143">
        <v>1982</v>
      </c>
      <c r="C275" s="89">
        <v>42.5</v>
      </c>
      <c r="D275" s="291">
        <v>18096.580000000002</v>
      </c>
      <c r="E275" s="12">
        <v>40</v>
      </c>
      <c r="F275" s="12">
        <v>11.726074000000001</v>
      </c>
      <c r="G275" s="330">
        <f>'Proposed Rates'!$O$21/100</f>
        <v>-0.2</v>
      </c>
      <c r="H275" s="291">
        <f t="shared" si="35"/>
        <v>15349.840913192402</v>
      </c>
      <c r="I275" s="291">
        <f t="shared" si="36"/>
        <v>212201.83622692004</v>
      </c>
      <c r="J275" s="291"/>
    </row>
    <row r="276" spans="1:10" s="143" customFormat="1" outlineLevel="2" x14ac:dyDescent="0.2">
      <c r="A276" s="143">
        <v>37800</v>
      </c>
      <c r="B276" s="143">
        <v>1981</v>
      </c>
      <c r="C276" s="89">
        <v>43.5</v>
      </c>
      <c r="D276" s="291">
        <v>30905.24</v>
      </c>
      <c r="E276" s="12">
        <v>40</v>
      </c>
      <c r="F276" s="12">
        <v>11.295443000000001</v>
      </c>
      <c r="G276" s="330">
        <f>'Proposed Rates'!$O$21/100</f>
        <v>-0.2</v>
      </c>
      <c r="H276" s="291">
        <f t="shared" si="35"/>
        <v>26613.636695360401</v>
      </c>
      <c r="I276" s="291">
        <f t="shared" si="36"/>
        <v>349088.37682132004</v>
      </c>
      <c r="J276" s="291"/>
    </row>
    <row r="277" spans="1:10" s="143" customFormat="1" outlineLevel="2" x14ac:dyDescent="0.2">
      <c r="A277" s="143">
        <v>37800</v>
      </c>
      <c r="B277" s="143">
        <v>1980</v>
      </c>
      <c r="C277" s="89">
        <f t="shared" ref="C277:C288" si="37">2024.5-B277</f>
        <v>44.5</v>
      </c>
      <c r="D277" s="291">
        <v>24918.38</v>
      </c>
      <c r="E277" s="12">
        <v>40</v>
      </c>
      <c r="F277" s="12">
        <v>10.877468</v>
      </c>
      <c r="G277" s="330">
        <f>'Proposed Rates'!$O$21/100</f>
        <v>-0.2</v>
      </c>
      <c r="H277" s="291">
        <f t="shared" si="35"/>
        <v>21770.589568144798</v>
      </c>
      <c r="I277" s="291">
        <f t="shared" si="36"/>
        <v>271048.88106184005</v>
      </c>
      <c r="J277" s="291"/>
    </row>
    <row r="278" spans="1:10" outlineLevel="2" x14ac:dyDescent="0.2">
      <c r="A278">
        <v>37800</v>
      </c>
      <c r="B278">
        <v>1979</v>
      </c>
      <c r="C278" s="89">
        <f t="shared" si="37"/>
        <v>45.5</v>
      </c>
      <c r="D278" s="291">
        <v>26955.360000000001</v>
      </c>
      <c r="E278" s="12">
        <v>40</v>
      </c>
      <c r="F278" s="12">
        <v>10.471895999999999</v>
      </c>
      <c r="G278" s="330">
        <f>'Proposed Rates'!$O$21/100</f>
        <v>-0.2</v>
      </c>
      <c r="H278" s="291">
        <f t="shared" si="35"/>
        <v>23878.220203123205</v>
      </c>
      <c r="I278" s="291">
        <f t="shared" si="36"/>
        <v>282273.72656256001</v>
      </c>
    </row>
    <row r="279" spans="1:10" outlineLevel="2" x14ac:dyDescent="0.2">
      <c r="A279">
        <v>37800</v>
      </c>
      <c r="B279">
        <v>1978</v>
      </c>
      <c r="C279" s="89">
        <f t="shared" si="37"/>
        <v>46.5</v>
      </c>
      <c r="D279" s="291">
        <v>725.61</v>
      </c>
      <c r="E279" s="12">
        <v>40</v>
      </c>
      <c r="F279" s="12">
        <v>10.078369</v>
      </c>
      <c r="G279" s="330">
        <f>'Proposed Rates'!$O$21/100</f>
        <v>-0.2</v>
      </c>
      <c r="H279" s="291">
        <f t="shared" si="35"/>
        <v>651.34304009729999</v>
      </c>
      <c r="I279" s="291">
        <f t="shared" si="36"/>
        <v>7312.96533009</v>
      </c>
    </row>
    <row r="280" spans="1:10" outlineLevel="2" x14ac:dyDescent="0.2">
      <c r="A280">
        <v>37800</v>
      </c>
      <c r="B280">
        <v>1977</v>
      </c>
      <c r="C280" s="89">
        <f t="shared" si="37"/>
        <v>47.5</v>
      </c>
      <c r="D280" s="291">
        <v>21624.560000000001</v>
      </c>
      <c r="E280" s="12">
        <v>40</v>
      </c>
      <c r="F280" s="12">
        <v>9.6964989999999993</v>
      </c>
      <c r="G280" s="330">
        <f>'Proposed Rates'!$O$21/100</f>
        <v>-0.2</v>
      </c>
      <c r="H280" s="291">
        <f t="shared" si="35"/>
        <v>19658.996267536801</v>
      </c>
      <c r="I280" s="291">
        <f t="shared" si="36"/>
        <v>209682.52441543998</v>
      </c>
    </row>
    <row r="281" spans="1:10" outlineLevel="2" x14ac:dyDescent="0.2">
      <c r="A281">
        <v>37800</v>
      </c>
      <c r="B281">
        <v>1976</v>
      </c>
      <c r="C281" s="89">
        <f t="shared" si="37"/>
        <v>48.5</v>
      </c>
      <c r="D281" s="291">
        <v>34048.379999999997</v>
      </c>
      <c r="E281" s="12">
        <v>40</v>
      </c>
      <c r="F281" s="12">
        <v>9.3257840000000005</v>
      </c>
      <c r="G281" s="330">
        <f>'Proposed Rates'!$O$21/100</f>
        <v>-0.2</v>
      </c>
      <c r="H281" s="291">
        <f t="shared" si="35"/>
        <v>31332.220877102394</v>
      </c>
      <c r="I281" s="291">
        <f t="shared" si="36"/>
        <v>317527.83742991998</v>
      </c>
    </row>
    <row r="282" spans="1:10" outlineLevel="2" x14ac:dyDescent="0.2">
      <c r="A282">
        <v>37800</v>
      </c>
      <c r="B282">
        <v>1975</v>
      </c>
      <c r="C282" s="89">
        <f t="shared" si="37"/>
        <v>49.5</v>
      </c>
      <c r="D282" s="291">
        <v>13009.55</v>
      </c>
      <c r="E282" s="12">
        <v>40</v>
      </c>
      <c r="F282" s="12">
        <v>8.9657090000000004</v>
      </c>
      <c r="G282" s="330">
        <f>'Proposed Rates'!$O$21/100</f>
        <v>-0.2</v>
      </c>
      <c r="H282" s="291">
        <f t="shared" si="35"/>
        <v>12112.2648143715</v>
      </c>
      <c r="I282" s="291">
        <f t="shared" si="36"/>
        <v>116639.83952095</v>
      </c>
    </row>
    <row r="283" spans="1:10" outlineLevel="2" x14ac:dyDescent="0.2">
      <c r="A283">
        <v>37800</v>
      </c>
      <c r="B283">
        <v>1974</v>
      </c>
      <c r="C283" s="89">
        <f t="shared" si="37"/>
        <v>50.5</v>
      </c>
      <c r="D283" s="291">
        <v>12521.18</v>
      </c>
      <c r="E283" s="12">
        <v>40</v>
      </c>
      <c r="F283" s="12">
        <v>8.6156240000000004</v>
      </c>
      <c r="G283" s="330">
        <f>'Proposed Rates'!$O$21/100</f>
        <v>-0.2</v>
      </c>
      <c r="H283" s="291">
        <f t="shared" si="35"/>
        <v>11789.082632510399</v>
      </c>
      <c r="I283" s="291">
        <f t="shared" si="36"/>
        <v>107877.77891632001</v>
      </c>
    </row>
    <row r="284" spans="1:10" outlineLevel="2" x14ac:dyDescent="0.2">
      <c r="A284">
        <v>37800</v>
      </c>
      <c r="B284">
        <v>1973</v>
      </c>
      <c r="C284" s="89">
        <f t="shared" si="37"/>
        <v>51.5</v>
      </c>
      <c r="D284" s="291">
        <v>11865.37</v>
      </c>
      <c r="E284" s="12">
        <v>40</v>
      </c>
      <c r="F284" s="12">
        <v>8.274896</v>
      </c>
      <c r="G284" s="330">
        <f>'Proposed Rates'!$O$21/100</f>
        <v>-0.2</v>
      </c>
      <c r="H284" s="291">
        <f t="shared" si="35"/>
        <v>11292.902917454399</v>
      </c>
      <c r="I284" s="291">
        <f t="shared" si="36"/>
        <v>98184.702751520002</v>
      </c>
    </row>
    <row r="285" spans="1:10" outlineLevel="2" x14ac:dyDescent="0.2">
      <c r="A285">
        <v>37800</v>
      </c>
      <c r="B285">
        <v>1972</v>
      </c>
      <c r="C285" s="89">
        <f t="shared" si="37"/>
        <v>52.5</v>
      </c>
      <c r="D285" s="291">
        <v>4904.6400000000003</v>
      </c>
      <c r="E285" s="12">
        <v>40</v>
      </c>
      <c r="F285" s="12">
        <v>7.9428789999999996</v>
      </c>
      <c r="G285" s="330">
        <f>'Proposed Rates'!$O$21/100</f>
        <v>-0.2</v>
      </c>
      <c r="H285" s="291">
        <f t="shared" si="35"/>
        <v>4716.8591382432005</v>
      </c>
      <c r="I285" s="291">
        <f t="shared" si="36"/>
        <v>38956.962058559999</v>
      </c>
    </row>
    <row r="286" spans="1:10" outlineLevel="2" x14ac:dyDescent="0.2">
      <c r="A286">
        <v>37800</v>
      </c>
      <c r="B286">
        <v>1971</v>
      </c>
      <c r="C286" s="89">
        <f t="shared" si="37"/>
        <v>53.5</v>
      </c>
      <c r="D286" s="291">
        <v>4116.25</v>
      </c>
      <c r="E286" s="12">
        <v>40</v>
      </c>
      <c r="F286" s="12">
        <v>7.6186489999999996</v>
      </c>
      <c r="G286" s="330">
        <f>'Proposed Rates'!$O$21/100</f>
        <v>-0.2</v>
      </c>
      <c r="H286" s="291">
        <f t="shared" si="35"/>
        <v>3998.6920816124998</v>
      </c>
      <c r="I286" s="291">
        <f t="shared" si="36"/>
        <v>31360.263946249997</v>
      </c>
    </row>
    <row r="287" spans="1:10" s="143" customFormat="1" outlineLevel="2" x14ac:dyDescent="0.2">
      <c r="A287" s="143">
        <v>37800</v>
      </c>
      <c r="B287" s="143">
        <v>1970</v>
      </c>
      <c r="C287" s="89">
        <f t="shared" si="37"/>
        <v>54.5</v>
      </c>
      <c r="D287" s="291">
        <v>2281.9299999999998</v>
      </c>
      <c r="E287" s="12">
        <v>40</v>
      </c>
      <c r="F287" s="12">
        <v>7.3016769999999998</v>
      </c>
      <c r="G287" s="330">
        <f>'Proposed Rates'!$O$21/100</f>
        <v>-0.2</v>
      </c>
      <c r="H287" s="291">
        <f t="shared" si="35"/>
        <v>2238.4585261016996</v>
      </c>
      <c r="I287" s="291">
        <f t="shared" si="36"/>
        <v>16661.915796609999</v>
      </c>
      <c r="J287" s="291"/>
    </row>
    <row r="288" spans="1:10" s="143" customFormat="1" outlineLevel="2" x14ac:dyDescent="0.2">
      <c r="A288" s="143">
        <v>37800</v>
      </c>
      <c r="B288" s="143">
        <v>1969</v>
      </c>
      <c r="C288" s="89">
        <f t="shared" si="37"/>
        <v>55.5</v>
      </c>
      <c r="D288" s="291">
        <v>10152.27</v>
      </c>
      <c r="E288" s="12">
        <v>40</v>
      </c>
      <c r="F288" s="12">
        <v>6.991225</v>
      </c>
      <c r="G288" s="330">
        <f>'Proposed Rates'!$O$21/100</f>
        <v>-0.2</v>
      </c>
      <c r="H288" s="291">
        <f t="shared" si="35"/>
        <v>10053.419885077501</v>
      </c>
      <c r="I288" s="291">
        <f t="shared" si="36"/>
        <v>70976.80383075001</v>
      </c>
      <c r="J288" s="291"/>
    </row>
    <row r="289" spans="1:10" outlineLevel="2" x14ac:dyDescent="0.2">
      <c r="A289">
        <v>37800</v>
      </c>
      <c r="B289">
        <v>1968</v>
      </c>
      <c r="C289" s="89">
        <f>2024.5-B289</f>
        <v>56.5</v>
      </c>
      <c r="D289" s="291">
        <v>282.08000000000175</v>
      </c>
      <c r="E289" s="12">
        <v>40</v>
      </c>
      <c r="F289" s="12">
        <v>6.6866580000000004</v>
      </c>
      <c r="G289" s="330">
        <f>'Proposed Rates'!$O$21/100</f>
        <v>-0.2</v>
      </c>
      <c r="H289" s="291">
        <f t="shared" si="35"/>
        <v>281.91082534080169</v>
      </c>
      <c r="I289" s="291">
        <f t="shared" si="36"/>
        <v>1886.1724886400118</v>
      </c>
    </row>
    <row r="290" spans="1:10" s="143" customFormat="1" outlineLevel="1" x14ac:dyDescent="0.2">
      <c r="A290" s="20" t="s">
        <v>1184</v>
      </c>
      <c r="C290" s="89" t="s">
        <v>1230</v>
      </c>
      <c r="D290" s="291">
        <f>SUBTOTAL(9,D233:D289)</f>
        <v>22828790.149999987</v>
      </c>
      <c r="E290" s="12"/>
      <c r="F290" s="12"/>
      <c r="G290" s="330"/>
      <c r="H290" s="291">
        <f>SUBTOTAL(9,H233:H289)</f>
        <v>6284422.7513010539</v>
      </c>
      <c r="I290" s="291">
        <f>SUBTOTAL(9,I233:I289)</f>
        <v>703670847.62329829</v>
      </c>
      <c r="J290" s="291">
        <f>+I290/D290</f>
        <v>30.823834421347936</v>
      </c>
    </row>
    <row r="291" spans="1:10" outlineLevel="2" x14ac:dyDescent="0.2">
      <c r="A291">
        <v>37900</v>
      </c>
      <c r="B291">
        <v>2024</v>
      </c>
      <c r="C291" s="89">
        <v>0.5</v>
      </c>
      <c r="D291" s="291">
        <v>7298344</v>
      </c>
      <c r="E291" s="12">
        <v>52</v>
      </c>
      <c r="F291" s="12">
        <v>51.547229999999999</v>
      </c>
      <c r="G291" s="330">
        <f>'Proposed Rates'!$O$22/100</f>
        <v>-0.2</v>
      </c>
      <c r="H291" s="291">
        <f t="shared" ref="H291:H322" si="38">+D291*(1-F291/E291)*(1-G291)</f>
        <v>76257.027989538925</v>
      </c>
      <c r="I291" s="291">
        <f t="shared" ref="I291:I325" si="39">+D291*F291</f>
        <v>376209416.78711998</v>
      </c>
    </row>
    <row r="292" spans="1:10" outlineLevel="2" x14ac:dyDescent="0.2">
      <c r="A292">
        <v>37900</v>
      </c>
      <c r="B292">
        <v>2023</v>
      </c>
      <c r="C292" s="89">
        <v>1.5</v>
      </c>
      <c r="D292" s="291">
        <v>21433447.27</v>
      </c>
      <c r="E292" s="12">
        <v>52</v>
      </c>
      <c r="F292" s="12">
        <v>50.645263</v>
      </c>
      <c r="G292" s="330">
        <f>'Proposed Rates'!$O$22/100</f>
        <v>-0.2</v>
      </c>
      <c r="H292" s="291">
        <f t="shared" si="38"/>
        <v>670077.32432810834</v>
      </c>
      <c r="I292" s="291">
        <f t="shared" si="39"/>
        <v>1085502573.9857819</v>
      </c>
    </row>
    <row r="293" spans="1:10" outlineLevel="2" x14ac:dyDescent="0.2">
      <c r="A293">
        <v>37900</v>
      </c>
      <c r="B293">
        <v>2022</v>
      </c>
      <c r="C293" s="89">
        <v>2.5</v>
      </c>
      <c r="D293" s="291">
        <v>11129230.190000001</v>
      </c>
      <c r="E293" s="12">
        <v>52</v>
      </c>
      <c r="F293" s="12">
        <v>49.748170000000002</v>
      </c>
      <c r="G293" s="330">
        <f>'Proposed Rates'!$O$22/100</f>
        <v>-0.2</v>
      </c>
      <c r="H293" s="291">
        <f t="shared" si="38"/>
        <v>578333.8712018698</v>
      </c>
      <c r="I293" s="291">
        <f t="shared" si="39"/>
        <v>553658835.46125233</v>
      </c>
    </row>
    <row r="294" spans="1:10" outlineLevel="2" x14ac:dyDescent="0.2">
      <c r="A294">
        <v>37900</v>
      </c>
      <c r="B294">
        <v>2021</v>
      </c>
      <c r="C294" s="89">
        <v>3.5</v>
      </c>
      <c r="D294" s="291">
        <v>13736237.609999999</v>
      </c>
      <c r="E294" s="12">
        <v>52</v>
      </c>
      <c r="F294" s="12">
        <v>48.856077999999997</v>
      </c>
      <c r="G294" s="330">
        <f>'Proposed Rates'!$O$22/100</f>
        <v>-0.2</v>
      </c>
      <c r="H294" s="291">
        <f t="shared" si="38"/>
        <v>996592.14506091923</v>
      </c>
      <c r="I294" s="291">
        <f t="shared" si="39"/>
        <v>671098696.10069346</v>
      </c>
    </row>
    <row r="295" spans="1:10" outlineLevel="2" x14ac:dyDescent="0.2">
      <c r="A295">
        <v>37900</v>
      </c>
      <c r="B295">
        <v>2020</v>
      </c>
      <c r="C295" s="89">
        <v>4.5</v>
      </c>
      <c r="D295" s="291">
        <v>6487290.2800000003</v>
      </c>
      <c r="E295" s="12">
        <v>52</v>
      </c>
      <c r="F295" s="12">
        <v>47.969126000000003</v>
      </c>
      <c r="G295" s="330">
        <f>'Proposed Rates'!$O$22/100</f>
        <v>-0.2</v>
      </c>
      <c r="H295" s="291">
        <f t="shared" si="38"/>
        <v>603448.83969472372</v>
      </c>
      <c r="I295" s="291">
        <f t="shared" si="39"/>
        <v>311189644.83989531</v>
      </c>
    </row>
    <row r="296" spans="1:10" outlineLevel="2" x14ac:dyDescent="0.2">
      <c r="A296">
        <v>37900</v>
      </c>
      <c r="B296">
        <v>2019</v>
      </c>
      <c r="C296" s="89">
        <v>5.5</v>
      </c>
      <c r="D296" s="291">
        <v>5731102.7400000002</v>
      </c>
      <c r="E296" s="12">
        <v>52</v>
      </c>
      <c r="F296" s="12">
        <v>47.087451999999999</v>
      </c>
      <c r="G296" s="330">
        <f>'Proposed Rates'!$O$22/100</f>
        <v>-0.2</v>
      </c>
      <c r="H296" s="291">
        <f t="shared" si="38"/>
        <v>649715.01468880428</v>
      </c>
      <c r="I296" s="291">
        <f t="shared" si="39"/>
        <v>269863025.17681849</v>
      </c>
    </row>
    <row r="297" spans="1:10" outlineLevel="2" x14ac:dyDescent="0.2">
      <c r="A297">
        <v>37900</v>
      </c>
      <c r="B297">
        <v>2018</v>
      </c>
      <c r="C297" s="89">
        <v>6.5</v>
      </c>
      <c r="D297" s="291">
        <v>8329388.4100000001</v>
      </c>
      <c r="E297" s="12">
        <v>52</v>
      </c>
      <c r="F297" s="12">
        <v>46.211184000000003</v>
      </c>
      <c r="G297" s="330">
        <f>'Proposed Rates'!$O$22/100</f>
        <v>-0.2</v>
      </c>
      <c r="H297" s="291">
        <f t="shared" si="38"/>
        <v>1112706.8514928282</v>
      </c>
      <c r="I297" s="291">
        <f t="shared" si="39"/>
        <v>384910900.42197746</v>
      </c>
    </row>
    <row r="298" spans="1:10" outlineLevel="2" x14ac:dyDescent="0.2">
      <c r="A298">
        <v>37900</v>
      </c>
      <c r="B298">
        <v>2017</v>
      </c>
      <c r="C298" s="89">
        <v>7.5</v>
      </c>
      <c r="D298" s="291">
        <v>9905033.8800000008</v>
      </c>
      <c r="E298" s="12">
        <v>52</v>
      </c>
      <c r="F298" s="12">
        <v>45.340456000000003</v>
      </c>
      <c r="G298" s="330">
        <f>'Proposed Rates'!$O$22/100</f>
        <v>-0.2</v>
      </c>
      <c r="H298" s="291">
        <f t="shared" si="38"/>
        <v>1522223.2833542468</v>
      </c>
      <c r="I298" s="291">
        <f t="shared" si="39"/>
        <v>449098752.81464934</v>
      </c>
    </row>
    <row r="299" spans="1:10" outlineLevel="2" x14ac:dyDescent="0.2">
      <c r="A299">
        <v>37900</v>
      </c>
      <c r="B299">
        <v>2016</v>
      </c>
      <c r="C299" s="89">
        <v>8.5</v>
      </c>
      <c r="D299" s="291">
        <v>6217087.71</v>
      </c>
      <c r="E299" s="12">
        <v>52</v>
      </c>
      <c r="F299" s="12">
        <v>44.475403</v>
      </c>
      <c r="G299" s="330">
        <f>'Proposed Rates'!$O$22/100</f>
        <v>-0.2</v>
      </c>
      <c r="H299" s="291">
        <f t="shared" si="38"/>
        <v>1079563.3738016044</v>
      </c>
      <c r="I299" s="291">
        <f t="shared" si="39"/>
        <v>276507481.38859713</v>
      </c>
    </row>
    <row r="300" spans="1:10" outlineLevel="2" x14ac:dyDescent="0.2">
      <c r="A300">
        <v>37900</v>
      </c>
      <c r="B300">
        <v>2015</v>
      </c>
      <c r="C300" s="89">
        <v>9.5</v>
      </c>
      <c r="D300" s="291">
        <v>1279711.0900000001</v>
      </c>
      <c r="E300" s="12">
        <v>52</v>
      </c>
      <c r="F300" s="12">
        <v>43.616151000000002</v>
      </c>
      <c r="G300" s="330">
        <f>'Proposed Rates'!$O$22/100</f>
        <v>-0.2</v>
      </c>
      <c r="H300" s="291">
        <f t="shared" si="38"/>
        <v>247590.10481966319</v>
      </c>
      <c r="I300" s="291">
        <f t="shared" si="39"/>
        <v>55816072.137814596</v>
      </c>
    </row>
    <row r="301" spans="1:10" outlineLevel="2" x14ac:dyDescent="0.2">
      <c r="A301">
        <v>37900</v>
      </c>
      <c r="B301">
        <v>2014</v>
      </c>
      <c r="C301" s="89">
        <v>10.5</v>
      </c>
      <c r="D301" s="291">
        <v>921727.06</v>
      </c>
      <c r="E301" s="12">
        <v>52</v>
      </c>
      <c r="F301" s="12">
        <v>42.762830999999998</v>
      </c>
      <c r="G301" s="330">
        <f>'Proposed Rates'!$O$22/100</f>
        <v>-0.2</v>
      </c>
      <c r="H301" s="291">
        <f t="shared" si="38"/>
        <v>196480.35288676486</v>
      </c>
      <c r="I301" s="291">
        <f t="shared" si="39"/>
        <v>39415658.494906858</v>
      </c>
    </row>
    <row r="302" spans="1:10" outlineLevel="2" x14ac:dyDescent="0.2">
      <c r="A302">
        <v>37900</v>
      </c>
      <c r="B302">
        <v>2013</v>
      </c>
      <c r="C302" s="89">
        <v>11.5</v>
      </c>
      <c r="D302" s="291">
        <v>6437673.3499999996</v>
      </c>
      <c r="E302" s="12">
        <v>52</v>
      </c>
      <c r="F302" s="12">
        <v>41.915576000000001</v>
      </c>
      <c r="G302" s="330">
        <f>'Proposed Rates'!$O$22/100</f>
        <v>-0.2</v>
      </c>
      <c r="H302" s="291">
        <f t="shared" si="38"/>
        <v>1498159.0992669316</v>
      </c>
      <c r="I302" s="291">
        <f t="shared" si="39"/>
        <v>269838786.5650996</v>
      </c>
    </row>
    <row r="303" spans="1:10" outlineLevel="2" x14ac:dyDescent="0.2">
      <c r="A303">
        <v>37900</v>
      </c>
      <c r="B303">
        <v>2012</v>
      </c>
      <c r="C303" s="89">
        <v>12.5</v>
      </c>
      <c r="D303" s="291">
        <v>5305481.2699999996</v>
      </c>
      <c r="E303" s="12">
        <v>52</v>
      </c>
      <c r="F303" s="12">
        <v>41.074506</v>
      </c>
      <c r="G303" s="330">
        <f>'Proposed Rates'!$O$22/100</f>
        <v>-0.2</v>
      </c>
      <c r="H303" s="291">
        <f t="shared" si="38"/>
        <v>1337653.9334422473</v>
      </c>
      <c r="I303" s="291">
        <f t="shared" si="39"/>
        <v>217920022.25750259</v>
      </c>
    </row>
    <row r="304" spans="1:10" outlineLevel="2" x14ac:dyDescent="0.2">
      <c r="A304">
        <v>37900</v>
      </c>
      <c r="B304">
        <v>2011</v>
      </c>
      <c r="C304" s="89">
        <v>13.5</v>
      </c>
      <c r="D304" s="291">
        <v>1757563.31</v>
      </c>
      <c r="E304" s="12">
        <v>52</v>
      </c>
      <c r="F304" s="12">
        <v>40.239857000000001</v>
      </c>
      <c r="G304" s="330">
        <f>'Proposed Rates'!$O$22/100</f>
        <v>-0.2</v>
      </c>
      <c r="H304" s="291">
        <f t="shared" si="38"/>
        <v>476981.44285738439</v>
      </c>
      <c r="I304" s="291">
        <f t="shared" si="39"/>
        <v>70724096.262846678</v>
      </c>
    </row>
    <row r="305" spans="1:9" outlineLevel="2" x14ac:dyDescent="0.2">
      <c r="A305">
        <v>37900</v>
      </c>
      <c r="B305">
        <v>2010</v>
      </c>
      <c r="C305" s="89">
        <v>14.5</v>
      </c>
      <c r="D305" s="291">
        <v>1680854.49</v>
      </c>
      <c r="E305" s="12">
        <v>52</v>
      </c>
      <c r="F305" s="12">
        <v>39.411757000000001</v>
      </c>
      <c r="G305" s="330">
        <f>'Proposed Rates'!$O$22/100</f>
        <v>-0.2</v>
      </c>
      <c r="H305" s="291">
        <f t="shared" si="38"/>
        <v>488284.72540987085</v>
      </c>
      <c r="I305" s="291">
        <f t="shared" si="39"/>
        <v>66245428.71223893</v>
      </c>
    </row>
    <row r="306" spans="1:9" outlineLevel="2" x14ac:dyDescent="0.2">
      <c r="A306">
        <v>37900</v>
      </c>
      <c r="B306">
        <v>2009</v>
      </c>
      <c r="C306" s="89">
        <v>15.5</v>
      </c>
      <c r="D306" s="291">
        <v>5389411.5599999996</v>
      </c>
      <c r="E306" s="12">
        <v>52</v>
      </c>
      <c r="F306" s="12">
        <v>38.590252</v>
      </c>
      <c r="G306" s="330">
        <f>'Proposed Rates'!$O$22/100</f>
        <v>-0.2</v>
      </c>
      <c r="H306" s="291">
        <f t="shared" si="38"/>
        <v>1667784.2512589281</v>
      </c>
      <c r="I306" s="291">
        <f t="shared" si="39"/>
        <v>207978750.23211309</v>
      </c>
    </row>
    <row r="307" spans="1:9" outlineLevel="2" x14ac:dyDescent="0.2">
      <c r="A307">
        <v>37900</v>
      </c>
      <c r="B307">
        <v>2008</v>
      </c>
      <c r="C307" s="89">
        <v>16.5</v>
      </c>
      <c r="D307" s="291">
        <v>2190610.46</v>
      </c>
      <c r="E307" s="12">
        <v>52</v>
      </c>
      <c r="F307" s="12">
        <v>37.775463999999999</v>
      </c>
      <c r="G307" s="330">
        <f>'Proposed Rates'!$O$22/100</f>
        <v>-0.2</v>
      </c>
      <c r="H307" s="291">
        <f t="shared" si="38"/>
        <v>719086.55423645896</v>
      </c>
      <c r="I307" s="291">
        <f t="shared" si="39"/>
        <v>82751326.569753438</v>
      </c>
    </row>
    <row r="308" spans="1:9" outlineLevel="2" x14ac:dyDescent="0.2">
      <c r="A308">
        <v>37900</v>
      </c>
      <c r="B308">
        <v>2007</v>
      </c>
      <c r="C308" s="89">
        <v>17.5</v>
      </c>
      <c r="D308" s="291">
        <v>1433160</v>
      </c>
      <c r="E308" s="12">
        <v>52</v>
      </c>
      <c r="F308" s="12">
        <v>36.967528000000001</v>
      </c>
      <c r="G308" s="330">
        <f>'Proposed Rates'!$O$22/100</f>
        <v>-0.2</v>
      </c>
      <c r="H308" s="291">
        <f t="shared" si="38"/>
        <v>497167.7901119999</v>
      </c>
      <c r="I308" s="291">
        <f t="shared" si="39"/>
        <v>52980382.428479999</v>
      </c>
    </row>
    <row r="309" spans="1:9" outlineLevel="2" x14ac:dyDescent="0.2">
      <c r="A309">
        <v>37900</v>
      </c>
      <c r="B309">
        <v>2006</v>
      </c>
      <c r="C309" s="89">
        <v>18.5</v>
      </c>
      <c r="D309" s="291">
        <v>170020.62</v>
      </c>
      <c r="E309" s="12">
        <v>52</v>
      </c>
      <c r="F309" s="12">
        <v>36.166567000000001</v>
      </c>
      <c r="G309" s="330">
        <f>'Proposed Rates'!$O$22/100</f>
        <v>-0.2</v>
      </c>
      <c r="H309" s="291">
        <f t="shared" si="38"/>
        <v>62123.309893579833</v>
      </c>
      <c r="I309" s="291">
        <f t="shared" si="39"/>
        <v>6149062.1446115403</v>
      </c>
    </row>
    <row r="310" spans="1:9" outlineLevel="2" x14ac:dyDescent="0.2">
      <c r="A310">
        <v>37900</v>
      </c>
      <c r="B310">
        <v>2005</v>
      </c>
      <c r="C310" s="89">
        <v>19.5</v>
      </c>
      <c r="D310" s="291">
        <v>573393.94999999995</v>
      </c>
      <c r="E310" s="12">
        <v>52</v>
      </c>
      <c r="F310" s="12">
        <v>35.372717999999999</v>
      </c>
      <c r="G310" s="330">
        <f>'Proposed Rates'!$O$22/100</f>
        <v>-0.2</v>
      </c>
      <c r="H310" s="291">
        <f t="shared" si="38"/>
        <v>220014.99008639765</v>
      </c>
      <c r="I310" s="291">
        <f t="shared" si="39"/>
        <v>20282502.496256098</v>
      </c>
    </row>
    <row r="311" spans="1:9" outlineLevel="2" x14ac:dyDescent="0.2">
      <c r="A311">
        <v>37900</v>
      </c>
      <c r="B311">
        <v>2004</v>
      </c>
      <c r="C311" s="89">
        <v>20.5</v>
      </c>
      <c r="D311" s="291">
        <v>851804.9</v>
      </c>
      <c r="E311" s="12">
        <v>52</v>
      </c>
      <c r="F311" s="12">
        <v>34.586112</v>
      </c>
      <c r="G311" s="330">
        <f>'Proposed Rates'!$O$22/100</f>
        <v>-0.2</v>
      </c>
      <c r="H311" s="291">
        <f t="shared" si="38"/>
        <v>342305.4259950277</v>
      </c>
      <c r="I311" s="291">
        <f t="shared" si="39"/>
        <v>29460619.673548799</v>
      </c>
    </row>
    <row r="312" spans="1:9" outlineLevel="2" x14ac:dyDescent="0.2">
      <c r="A312">
        <v>37900</v>
      </c>
      <c r="B312">
        <v>2003</v>
      </c>
      <c r="C312" s="89">
        <v>21.5</v>
      </c>
      <c r="D312" s="291">
        <v>782606.35</v>
      </c>
      <c r="E312" s="12">
        <v>52</v>
      </c>
      <c r="F312" s="12">
        <v>33.806885000000001</v>
      </c>
      <c r="G312" s="330">
        <f>'Proposed Rates'!$O$22/100</f>
        <v>-0.2</v>
      </c>
      <c r="H312" s="291">
        <f t="shared" si="38"/>
        <v>328570.32289108267</v>
      </c>
      <c r="I312" s="291">
        <f t="shared" si="39"/>
        <v>26457482.87471975</v>
      </c>
    </row>
    <row r="313" spans="1:9" outlineLevel="2" x14ac:dyDescent="0.2">
      <c r="A313">
        <v>37900</v>
      </c>
      <c r="B313">
        <v>2002</v>
      </c>
      <c r="C313" s="89">
        <v>22.5</v>
      </c>
      <c r="D313" s="291">
        <v>71617.72</v>
      </c>
      <c r="E313" s="12">
        <v>52</v>
      </c>
      <c r="F313" s="12">
        <v>33.035169000000003</v>
      </c>
      <c r="G313" s="330">
        <f>'Proposed Rates'!$O$22/100</f>
        <v>-0.2</v>
      </c>
      <c r="H313" s="291">
        <f t="shared" si="38"/>
        <v>31343.491301661223</v>
      </c>
      <c r="I313" s="291">
        <f t="shared" si="39"/>
        <v>2365903.4835946802</v>
      </c>
    </row>
    <row r="314" spans="1:9" outlineLevel="2" x14ac:dyDescent="0.2">
      <c r="A314">
        <v>37900</v>
      </c>
      <c r="B314">
        <v>2001</v>
      </c>
      <c r="C314" s="89">
        <v>23.5</v>
      </c>
      <c r="D314" s="291">
        <v>721310.69</v>
      </c>
      <c r="E314" s="12">
        <v>52</v>
      </c>
      <c r="F314" s="12">
        <v>32.271107999999998</v>
      </c>
      <c r="G314" s="330">
        <f>'Proposed Rates'!$O$22/100</f>
        <v>-0.2</v>
      </c>
      <c r="H314" s="291">
        <f t="shared" si="38"/>
        <v>328399.86234128033</v>
      </c>
      <c r="I314" s="291">
        <f t="shared" si="39"/>
        <v>23277495.178544518</v>
      </c>
    </row>
    <row r="315" spans="1:9" outlineLevel="2" x14ac:dyDescent="0.2">
      <c r="A315">
        <v>37900</v>
      </c>
      <c r="B315">
        <v>2000</v>
      </c>
      <c r="C315" s="89">
        <v>24.5</v>
      </c>
      <c r="D315" s="291">
        <v>578125.42000000004</v>
      </c>
      <c r="E315" s="12">
        <v>52</v>
      </c>
      <c r="F315" s="12">
        <v>31.514841000000001</v>
      </c>
      <c r="G315" s="330">
        <f>'Proposed Rates'!$O$22/100</f>
        <v>-0.2</v>
      </c>
      <c r="H315" s="291">
        <f t="shared" si="38"/>
        <v>273299.79578404105</v>
      </c>
      <c r="I315" s="291">
        <f t="shared" si="39"/>
        <v>18219530.689358223</v>
      </c>
    </row>
    <row r="316" spans="1:9" outlineLevel="2" x14ac:dyDescent="0.2">
      <c r="A316">
        <v>37900</v>
      </c>
      <c r="B316">
        <v>1999</v>
      </c>
      <c r="C316" s="89">
        <v>25.5</v>
      </c>
      <c r="D316" s="291">
        <v>438437.77</v>
      </c>
      <c r="E316" s="12">
        <v>52</v>
      </c>
      <c r="F316" s="12">
        <v>30.766511999999999</v>
      </c>
      <c r="G316" s="330">
        <f>'Proposed Rates'!$O$22/100</f>
        <v>-0.2</v>
      </c>
      <c r="H316" s="291">
        <f t="shared" si="38"/>
        <v>214836.07218557908</v>
      </c>
      <c r="I316" s="291">
        <f t="shared" si="39"/>
        <v>13489200.91195824</v>
      </c>
    </row>
    <row r="317" spans="1:9" outlineLevel="2" x14ac:dyDescent="0.2">
      <c r="A317">
        <v>37900</v>
      </c>
      <c r="B317">
        <v>1998</v>
      </c>
      <c r="C317" s="89">
        <v>26.5</v>
      </c>
      <c r="D317" s="291">
        <v>66630.460000000006</v>
      </c>
      <c r="E317" s="12">
        <v>52</v>
      </c>
      <c r="F317" s="12">
        <v>30.026398</v>
      </c>
      <c r="G317" s="330">
        <f>'Proposed Rates'!$O$22/100</f>
        <v>-0.2</v>
      </c>
      <c r="H317" s="291">
        <f t="shared" si="38"/>
        <v>33787.181748852003</v>
      </c>
      <c r="I317" s="291">
        <f t="shared" si="39"/>
        <v>2000672.7108830803</v>
      </c>
    </row>
    <row r="318" spans="1:9" outlineLevel="2" x14ac:dyDescent="0.2">
      <c r="A318">
        <v>37900</v>
      </c>
      <c r="B318">
        <v>1997</v>
      </c>
      <c r="C318" s="89">
        <v>27.5</v>
      </c>
      <c r="D318" s="291">
        <v>850589.27</v>
      </c>
      <c r="E318" s="12">
        <v>52</v>
      </c>
      <c r="F318" s="12">
        <v>29.29466</v>
      </c>
      <c r="G318" s="330">
        <f>'Proposed Rates'!$O$22/100</f>
        <v>-0.2</v>
      </c>
      <c r="H318" s="291">
        <f t="shared" si="38"/>
        <v>445682.7363623493</v>
      </c>
      <c r="I318" s="291">
        <f t="shared" si="39"/>
        <v>24917723.4642982</v>
      </c>
    </row>
    <row r="319" spans="1:9" outlineLevel="2" x14ac:dyDescent="0.2">
      <c r="A319">
        <v>37900</v>
      </c>
      <c r="B319">
        <v>1996</v>
      </c>
      <c r="C319" s="89">
        <v>28.5</v>
      </c>
      <c r="D319" s="291">
        <v>20975.940000000002</v>
      </c>
      <c r="E319" s="12">
        <v>52</v>
      </c>
      <c r="F319" s="12">
        <v>28.571332000000002</v>
      </c>
      <c r="G319" s="330">
        <f>'Proposed Rates'!$O$22/100</f>
        <v>-0.2</v>
      </c>
      <c r="H319" s="291">
        <f t="shared" si="38"/>
        <v>11340.884636490462</v>
      </c>
      <c r="I319" s="291">
        <f t="shared" si="39"/>
        <v>599310.54575208016</v>
      </c>
    </row>
    <row r="320" spans="1:9" outlineLevel="2" x14ac:dyDescent="0.2">
      <c r="A320">
        <v>37900</v>
      </c>
      <c r="B320">
        <v>1995</v>
      </c>
      <c r="C320" s="89">
        <v>29.5</v>
      </c>
      <c r="D320" s="291">
        <v>33548.79</v>
      </c>
      <c r="E320" s="12">
        <v>52</v>
      </c>
      <c r="F320" s="12">
        <v>27.856565</v>
      </c>
      <c r="G320" s="330">
        <f>'Proposed Rates'!$O$22/100</f>
        <v>-0.2</v>
      </c>
      <c r="H320" s="291">
        <f t="shared" si="38"/>
        <v>18691.916092930383</v>
      </c>
      <c r="I320" s="291">
        <f t="shared" si="39"/>
        <v>934554.04930635006</v>
      </c>
    </row>
    <row r="321" spans="1:10" outlineLevel="2" x14ac:dyDescent="0.2">
      <c r="A321">
        <v>37900</v>
      </c>
      <c r="B321">
        <v>1994</v>
      </c>
      <c r="C321" s="89">
        <v>30.5</v>
      </c>
      <c r="D321" s="291">
        <v>184226.43</v>
      </c>
      <c r="E321" s="12">
        <v>52</v>
      </c>
      <c r="F321" s="12">
        <v>27.150521000000001</v>
      </c>
      <c r="G321" s="330">
        <f>'Proposed Rates'!$O$22/100</f>
        <v>-0.2</v>
      </c>
      <c r="H321" s="291">
        <f t="shared" si="38"/>
        <v>105644.55700453774</v>
      </c>
      <c r="I321" s="291">
        <f t="shared" si="39"/>
        <v>5001843.55647003</v>
      </c>
    </row>
    <row r="322" spans="1:10" outlineLevel="2" x14ac:dyDescent="0.2">
      <c r="A322">
        <v>37900</v>
      </c>
      <c r="B322">
        <v>1993</v>
      </c>
      <c r="C322" s="89">
        <v>31.5</v>
      </c>
      <c r="D322" s="291">
        <v>730150.27</v>
      </c>
      <c r="E322" s="12">
        <v>52</v>
      </c>
      <c r="F322" s="12">
        <v>26.45336</v>
      </c>
      <c r="G322" s="330">
        <f>'Proposed Rates'!$O$22/100</f>
        <v>-0.2</v>
      </c>
      <c r="H322" s="291">
        <f t="shared" si="38"/>
        <v>430451.2175444492</v>
      </c>
      <c r="I322" s="291">
        <f t="shared" si="39"/>
        <v>19314927.946407199</v>
      </c>
    </row>
    <row r="323" spans="1:10" s="143" customFormat="1" outlineLevel="1" x14ac:dyDescent="0.2">
      <c r="A323" s="20" t="s">
        <v>1185</v>
      </c>
      <c r="C323" s="89" t="s">
        <v>1230</v>
      </c>
      <c r="D323" s="291">
        <f>SUBTOTAL(9,D291:D322)</f>
        <v>122736793.25999998</v>
      </c>
      <c r="E323" s="12"/>
      <c r="F323" s="12"/>
      <c r="G323" s="330"/>
      <c r="H323" s="291">
        <f>SUBTOTAL(9,H291:H322)</f>
        <v>17264597.749771152</v>
      </c>
      <c r="I323" s="291">
        <f>SUBTOTAL(9,I291:I322)</f>
        <v>5634180680.3632498</v>
      </c>
      <c r="J323" s="291">
        <f>+I323/D323</f>
        <v>45.90457784266907</v>
      </c>
    </row>
    <row r="324" spans="1:10" outlineLevel="2" x14ac:dyDescent="0.2">
      <c r="A324">
        <v>38000</v>
      </c>
      <c r="B324">
        <v>2022</v>
      </c>
      <c r="C324" s="89">
        <v>2.5</v>
      </c>
      <c r="D324" s="291">
        <v>5277037.9600000009</v>
      </c>
      <c r="E324" s="12">
        <v>52</v>
      </c>
      <c r="F324" s="12">
        <v>50.450758</v>
      </c>
      <c r="G324" s="330">
        <f>'Proposed Rates'!$O$23/100</f>
        <v>-1.3</v>
      </c>
      <c r="H324" s="291">
        <f t="shared" ref="H324:H381" si="40">+D324*(1-F324/E324)*(1-G324)</f>
        <v>361604.6219119333</v>
      </c>
      <c r="I324" s="291">
        <f t="shared" si="39"/>
        <v>266230565.07677373</v>
      </c>
    </row>
    <row r="325" spans="1:10" outlineLevel="2" x14ac:dyDescent="0.2">
      <c r="A325">
        <v>38000</v>
      </c>
      <c r="B325">
        <v>2021</v>
      </c>
      <c r="C325" s="89">
        <v>3.5</v>
      </c>
      <c r="D325" s="291">
        <v>3452917.57</v>
      </c>
      <c r="E325" s="12">
        <v>52</v>
      </c>
      <c r="F325" s="12">
        <v>49.834004</v>
      </c>
      <c r="G325" s="330">
        <f>'Proposed Rates'!$O$23/100</f>
        <v>-1.3</v>
      </c>
      <c r="H325" s="291">
        <f t="shared" si="40"/>
        <v>330802.17275739153</v>
      </c>
      <c r="I325" s="291">
        <f t="shared" si="39"/>
        <v>172072707.99505028</v>
      </c>
    </row>
    <row r="326" spans="1:10" outlineLevel="2" x14ac:dyDescent="0.2">
      <c r="A326">
        <v>38000</v>
      </c>
      <c r="B326">
        <v>2020</v>
      </c>
      <c r="C326" s="89">
        <v>4.5</v>
      </c>
      <c r="D326" s="291">
        <v>4322446.4000000004</v>
      </c>
      <c r="E326" s="12">
        <v>52</v>
      </c>
      <c r="F326" s="12">
        <v>49.218893000000001</v>
      </c>
      <c r="G326" s="330">
        <f>'Proposed Rates'!$O$23/100</f>
        <v>-1.3</v>
      </c>
      <c r="H326" s="291">
        <f t="shared" si="40"/>
        <v>531706.30119959696</v>
      </c>
      <c r="I326" s="291">
        <f t="shared" ref="I326:I404" si="41">+D326*F326</f>
        <v>212746026.85983524</v>
      </c>
    </row>
    <row r="327" spans="1:10" outlineLevel="2" x14ac:dyDescent="0.2">
      <c r="A327">
        <v>38000</v>
      </c>
      <c r="B327">
        <v>2019</v>
      </c>
      <c r="C327" s="89">
        <v>5.5</v>
      </c>
      <c r="D327" s="291">
        <v>3084133.29</v>
      </c>
      <c r="E327" s="12">
        <v>52</v>
      </c>
      <c r="F327" s="12">
        <v>48.605398000000001</v>
      </c>
      <c r="G327" s="330">
        <f>'Proposed Rates'!$O$23/100</f>
        <v>-1.3</v>
      </c>
      <c r="H327" s="291">
        <f t="shared" si="40"/>
        <v>463069.83806444879</v>
      </c>
      <c r="I327" s="291">
        <f t="shared" si="41"/>
        <v>149905526.04549941</v>
      </c>
    </row>
    <row r="328" spans="1:10" outlineLevel="2" x14ac:dyDescent="0.2">
      <c r="A328">
        <v>38000</v>
      </c>
      <c r="B328">
        <v>2018</v>
      </c>
      <c r="C328" s="89">
        <v>6.5</v>
      </c>
      <c r="D328" s="291">
        <v>2092595.06</v>
      </c>
      <c r="E328" s="12">
        <v>52</v>
      </c>
      <c r="F328" s="12">
        <v>47.993487999999999</v>
      </c>
      <c r="G328" s="330">
        <f>'Proposed Rates'!$O$23/100</f>
        <v>-1.3</v>
      </c>
      <c r="H328" s="291">
        <f t="shared" si="40"/>
        <v>370831.08853405138</v>
      </c>
      <c r="I328" s="291">
        <f t="shared" si="41"/>
        <v>100430935.90096928</v>
      </c>
    </row>
    <row r="329" spans="1:10" outlineLevel="2" x14ac:dyDescent="0.2">
      <c r="A329">
        <v>38000</v>
      </c>
      <c r="B329">
        <v>2017</v>
      </c>
      <c r="C329" s="89">
        <v>7.5</v>
      </c>
      <c r="D329" s="291">
        <v>2566769.58</v>
      </c>
      <c r="E329" s="12">
        <v>52</v>
      </c>
      <c r="F329" s="12">
        <v>47.383128999999997</v>
      </c>
      <c r="G329" s="330">
        <f>'Proposed Rates'!$O$23/100</f>
        <v>-1.3</v>
      </c>
      <c r="H329" s="291">
        <f t="shared" si="40"/>
        <v>524154.25550853135</v>
      </c>
      <c r="I329" s="291">
        <f t="shared" si="41"/>
        <v>121621574.12241581</v>
      </c>
    </row>
    <row r="330" spans="1:10" outlineLevel="2" x14ac:dyDescent="0.2">
      <c r="A330">
        <v>38000</v>
      </c>
      <c r="B330">
        <v>2016</v>
      </c>
      <c r="C330" s="89">
        <v>8.5</v>
      </c>
      <c r="D330" s="291">
        <v>2914108.93</v>
      </c>
      <c r="E330" s="12">
        <v>52</v>
      </c>
      <c r="F330" s="12">
        <v>46.774287000000001</v>
      </c>
      <c r="G330" s="330">
        <f>'Proposed Rates'!$O$23/100</f>
        <v>-1.3</v>
      </c>
      <c r="H330" s="291">
        <f t="shared" si="40"/>
        <v>673559.28679825575</v>
      </c>
      <c r="I330" s="291">
        <f t="shared" si="41"/>
        <v>136305367.44108292</v>
      </c>
    </row>
    <row r="331" spans="1:10" outlineLevel="2" x14ac:dyDescent="0.2">
      <c r="A331">
        <v>38000</v>
      </c>
      <c r="B331">
        <v>2015</v>
      </c>
      <c r="C331" s="89">
        <v>9.5</v>
      </c>
      <c r="D331" s="291">
        <v>1643450</v>
      </c>
      <c r="E331" s="12">
        <v>52</v>
      </c>
      <c r="F331" s="12">
        <v>46.166922999999997</v>
      </c>
      <c r="G331" s="330">
        <f>'Proposed Rates'!$O$23/100</f>
        <v>-1.3</v>
      </c>
      <c r="H331" s="291">
        <f t="shared" si="40"/>
        <v>424012.5367306734</v>
      </c>
      <c r="I331" s="291">
        <f t="shared" si="41"/>
        <v>75873029.604350001</v>
      </c>
    </row>
    <row r="332" spans="1:10" outlineLevel="2" x14ac:dyDescent="0.2">
      <c r="A332">
        <v>38000</v>
      </c>
      <c r="B332">
        <v>2014</v>
      </c>
      <c r="C332" s="89">
        <v>10.5</v>
      </c>
      <c r="D332" s="291">
        <v>1827716.68</v>
      </c>
      <c r="E332" s="12">
        <v>52</v>
      </c>
      <c r="F332" s="12">
        <v>45.560997</v>
      </c>
      <c r="G332" s="330">
        <f>'Proposed Rates'!$O$23/100</f>
        <v>-1.3</v>
      </c>
      <c r="H332" s="291">
        <f t="shared" si="40"/>
        <v>520537.467827713</v>
      </c>
      <c r="I332" s="291">
        <f t="shared" si="41"/>
        <v>83272594.174329951</v>
      </c>
    </row>
    <row r="333" spans="1:10" outlineLevel="2" x14ac:dyDescent="0.2">
      <c r="A333">
        <v>38000</v>
      </c>
      <c r="B333">
        <v>2013</v>
      </c>
      <c r="C333" s="89">
        <v>11.5</v>
      </c>
      <c r="D333" s="291">
        <v>2136022.7599999998</v>
      </c>
      <c r="E333" s="12">
        <v>52</v>
      </c>
      <c r="F333" s="12">
        <v>44.956460999999997</v>
      </c>
      <c r="G333" s="330">
        <f>'Proposed Rates'!$O$23/100</f>
        <v>-1.3</v>
      </c>
      <c r="H333" s="291">
        <f t="shared" si="40"/>
        <v>665458.98296883795</v>
      </c>
      <c r="I333" s="291">
        <f t="shared" si="41"/>
        <v>96028023.905052349</v>
      </c>
    </row>
    <row r="334" spans="1:10" outlineLevel="2" x14ac:dyDescent="0.2">
      <c r="A334">
        <v>38000</v>
      </c>
      <c r="B334">
        <v>2012</v>
      </c>
      <c r="C334" s="89">
        <v>12.5</v>
      </c>
      <c r="D334" s="291">
        <v>1424623.53</v>
      </c>
      <c r="E334" s="12">
        <v>52</v>
      </c>
      <c r="F334" s="12">
        <v>44.353273999999999</v>
      </c>
      <c r="G334" s="330">
        <f>'Proposed Rates'!$O$23/100</f>
        <v>-1.3</v>
      </c>
      <c r="H334" s="291">
        <f t="shared" si="40"/>
        <v>481836.98673546925</v>
      </c>
      <c r="I334" s="291">
        <f t="shared" si="41"/>
        <v>63186717.772937223</v>
      </c>
    </row>
    <row r="335" spans="1:10" outlineLevel="2" x14ac:dyDescent="0.2">
      <c r="A335">
        <v>38000</v>
      </c>
      <c r="B335">
        <v>2011</v>
      </c>
      <c r="C335" s="89">
        <v>13.5</v>
      </c>
      <c r="D335" s="291">
        <v>816752.87</v>
      </c>
      <c r="E335" s="12">
        <v>52</v>
      </c>
      <c r="F335" s="12">
        <v>43.751421000000001</v>
      </c>
      <c r="G335" s="330">
        <f>'Proposed Rates'!$O$23/100</f>
        <v>-1.3</v>
      </c>
      <c r="H335" s="291">
        <f t="shared" si="40"/>
        <v>297984.92913163413</v>
      </c>
      <c r="I335" s="291">
        <f t="shared" si="41"/>
        <v>35734098.66832827</v>
      </c>
    </row>
    <row r="336" spans="1:10" outlineLevel="2" x14ac:dyDescent="0.2">
      <c r="A336">
        <v>38000</v>
      </c>
      <c r="B336">
        <v>2010</v>
      </c>
      <c r="C336" s="89">
        <v>14.5</v>
      </c>
      <c r="D336" s="291">
        <v>873693.91</v>
      </c>
      <c r="E336" s="12">
        <v>52</v>
      </c>
      <c r="F336" s="12">
        <v>43.150843999999999</v>
      </c>
      <c r="G336" s="330">
        <f>'Proposed Rates'!$O$23/100</f>
        <v>-1.3</v>
      </c>
      <c r="H336" s="291">
        <f t="shared" si="40"/>
        <v>341968.14468138275</v>
      </c>
      <c r="I336" s="291">
        <f t="shared" si="41"/>
        <v>37700629.614160039</v>
      </c>
    </row>
    <row r="337" spans="1:9" outlineLevel="2" x14ac:dyDescent="0.2">
      <c r="A337">
        <v>38000</v>
      </c>
      <c r="B337">
        <v>2009</v>
      </c>
      <c r="C337" s="89">
        <v>15.5</v>
      </c>
      <c r="D337" s="291">
        <v>884794.49</v>
      </c>
      <c r="E337" s="12">
        <v>52</v>
      </c>
      <c r="F337" s="12">
        <v>42.551470999999999</v>
      </c>
      <c r="G337" s="330">
        <f>'Proposed Rates'!$O$23/100</f>
        <v>-1.3</v>
      </c>
      <c r="H337" s="291">
        <f t="shared" si="40"/>
        <v>369769.51374907664</v>
      </c>
      <c r="I337" s="291">
        <f t="shared" si="41"/>
        <v>37649307.08219479</v>
      </c>
    </row>
    <row r="338" spans="1:9" outlineLevel="2" x14ac:dyDescent="0.2">
      <c r="A338">
        <v>38000</v>
      </c>
      <c r="B338">
        <v>2008</v>
      </c>
      <c r="C338" s="89">
        <v>16.5</v>
      </c>
      <c r="D338" s="291">
        <v>1100388.3</v>
      </c>
      <c r="E338" s="12">
        <v>52</v>
      </c>
      <c r="F338" s="12">
        <v>41.953282999999999</v>
      </c>
      <c r="G338" s="330">
        <f>'Proposed Rates'!$O$23/100</f>
        <v>-1.3</v>
      </c>
      <c r="H338" s="291">
        <f t="shared" si="40"/>
        <v>488983.97370164492</v>
      </c>
      <c r="I338" s="291">
        <f t="shared" si="41"/>
        <v>46164901.759788901</v>
      </c>
    </row>
    <row r="339" spans="1:9" outlineLevel="2" x14ac:dyDescent="0.2">
      <c r="A339">
        <v>38000</v>
      </c>
      <c r="B339">
        <v>2007</v>
      </c>
      <c r="C339" s="89">
        <v>17.5</v>
      </c>
      <c r="D339" s="291">
        <v>1142254.01</v>
      </c>
      <c r="E339" s="12">
        <v>52</v>
      </c>
      <c r="F339" s="12">
        <v>41.356321999999999</v>
      </c>
      <c r="G339" s="330">
        <f>'Proposed Rates'!$O$23/100</f>
        <v>-1.3</v>
      </c>
      <c r="H339" s="291">
        <f t="shared" si="40"/>
        <v>537748.13300561928</v>
      </c>
      <c r="I339" s="291">
        <f t="shared" si="41"/>
        <v>47239424.64335122</v>
      </c>
    </row>
    <row r="340" spans="1:9" outlineLevel="2" x14ac:dyDescent="0.2">
      <c r="A340">
        <v>38000</v>
      </c>
      <c r="B340">
        <v>2006</v>
      </c>
      <c r="C340" s="89">
        <v>18.5</v>
      </c>
      <c r="D340" s="291">
        <v>745953.09</v>
      </c>
      <c r="E340" s="12">
        <v>52</v>
      </c>
      <c r="F340" s="12">
        <v>40.760655999999997</v>
      </c>
      <c r="G340" s="330">
        <f>'Proposed Rates'!$O$23/100</f>
        <v>-1.3</v>
      </c>
      <c r="H340" s="291">
        <f t="shared" si="40"/>
        <v>370831.80362803489</v>
      </c>
      <c r="I340" s="291">
        <f t="shared" si="41"/>
        <v>30405537.293627035</v>
      </c>
    </row>
    <row r="341" spans="1:9" outlineLevel="2" x14ac:dyDescent="0.2">
      <c r="A341">
        <v>38000</v>
      </c>
      <c r="B341">
        <v>2005</v>
      </c>
      <c r="C341" s="89">
        <v>19.5</v>
      </c>
      <c r="D341" s="291">
        <v>712481.44</v>
      </c>
      <c r="E341" s="12">
        <v>52</v>
      </c>
      <c r="F341" s="12">
        <v>40.166384000000001</v>
      </c>
      <c r="G341" s="330">
        <f>'Proposed Rates'!$O$23/100</f>
        <v>-1.3</v>
      </c>
      <c r="H341" s="291">
        <f t="shared" si="40"/>
        <v>372919.86666538828</v>
      </c>
      <c r="I341" s="291">
        <f t="shared" si="41"/>
        <v>28617803.111912958</v>
      </c>
    </row>
    <row r="342" spans="1:9" outlineLevel="2" x14ac:dyDescent="0.2">
      <c r="A342">
        <v>38000</v>
      </c>
      <c r="B342">
        <v>2004</v>
      </c>
      <c r="C342" s="89">
        <v>20.5</v>
      </c>
      <c r="D342" s="291">
        <v>626229.59</v>
      </c>
      <c r="E342" s="12">
        <v>52</v>
      </c>
      <c r="F342" s="12">
        <v>39.573611999999997</v>
      </c>
      <c r="G342" s="330">
        <f>'Proposed Rates'!$O$23/100</f>
        <v>-1.3</v>
      </c>
      <c r="H342" s="291">
        <f t="shared" si="40"/>
        <v>344193.75545323308</v>
      </c>
      <c r="I342" s="291">
        <f t="shared" si="41"/>
        <v>24782166.817579076</v>
      </c>
    </row>
    <row r="343" spans="1:9" outlineLevel="2" x14ac:dyDescent="0.2">
      <c r="A343">
        <v>38000</v>
      </c>
      <c r="B343">
        <v>2003</v>
      </c>
      <c r="C343" s="89">
        <v>21.5</v>
      </c>
      <c r="D343" s="291">
        <v>744756.26</v>
      </c>
      <c r="E343" s="12">
        <v>52</v>
      </c>
      <c r="F343" s="12">
        <v>38.982478999999998</v>
      </c>
      <c r="G343" s="330">
        <f>'Proposed Rates'!$O$23/100</f>
        <v>-1.3</v>
      </c>
      <c r="H343" s="291">
        <f t="shared" si="40"/>
        <v>428812.01125369914</v>
      </c>
      <c r="I343" s="291">
        <f t="shared" si="41"/>
        <v>29032445.26556854</v>
      </c>
    </row>
    <row r="344" spans="1:9" outlineLevel="2" x14ac:dyDescent="0.2">
      <c r="A344">
        <v>38000</v>
      </c>
      <c r="B344">
        <v>2002</v>
      </c>
      <c r="C344" s="89">
        <v>22.5</v>
      </c>
      <c r="D344" s="291">
        <v>1232262.96</v>
      </c>
      <c r="E344" s="12">
        <v>52</v>
      </c>
      <c r="F344" s="12">
        <v>38.393118999999999</v>
      </c>
      <c r="G344" s="330">
        <f>'Proposed Rates'!$O$23/100</f>
        <v>-1.3</v>
      </c>
      <c r="H344" s="291">
        <f t="shared" si="40"/>
        <v>741628.60677084315</v>
      </c>
      <c r="I344" s="291">
        <f t="shared" si="41"/>
        <v>47310418.462572239</v>
      </c>
    </row>
    <row r="345" spans="1:9" outlineLevel="2" x14ac:dyDescent="0.2">
      <c r="A345">
        <v>38000</v>
      </c>
      <c r="B345">
        <v>2001</v>
      </c>
      <c r="C345" s="89">
        <v>23.5</v>
      </c>
      <c r="D345" s="291">
        <v>43906.43</v>
      </c>
      <c r="E345" s="12">
        <v>52</v>
      </c>
      <c r="F345" s="12">
        <v>37.805683999999999</v>
      </c>
      <c r="G345" s="330">
        <f>'Proposed Rates'!$O$23/100</f>
        <v>-1.3</v>
      </c>
      <c r="H345" s="291">
        <f t="shared" si="40"/>
        <v>27565.577043448546</v>
      </c>
      <c r="I345" s="291">
        <f t="shared" si="41"/>
        <v>1659912.6181481199</v>
      </c>
    </row>
    <row r="346" spans="1:9" outlineLevel="2" x14ac:dyDescent="0.2">
      <c r="A346">
        <v>38000</v>
      </c>
      <c r="B346">
        <v>2000</v>
      </c>
      <c r="C346" s="89">
        <v>24.5</v>
      </c>
      <c r="D346" s="291">
        <v>2148333.7599999998</v>
      </c>
      <c r="E346" s="12">
        <v>52</v>
      </c>
      <c r="F346" s="12">
        <v>37.220322000000003</v>
      </c>
      <c r="G346" s="330">
        <f>'Proposed Rates'!$O$23/100</f>
        <v>-1.3</v>
      </c>
      <c r="H346" s="291">
        <f t="shared" si="40"/>
        <v>1404401.2842587947</v>
      </c>
      <c r="I346" s="291">
        <f t="shared" si="41"/>
        <v>79961674.310670719</v>
      </c>
    </row>
    <row r="347" spans="1:9" outlineLevel="2" x14ac:dyDescent="0.2">
      <c r="A347">
        <v>38000</v>
      </c>
      <c r="B347">
        <v>1999</v>
      </c>
      <c r="C347" s="89">
        <v>25.5</v>
      </c>
      <c r="D347" s="291">
        <v>1130735.1000000001</v>
      </c>
      <c r="E347" s="12">
        <v>52</v>
      </c>
      <c r="F347" s="12">
        <v>36.637194999999998</v>
      </c>
      <c r="G347" s="330">
        <f>'Proposed Rates'!$O$23/100</f>
        <v>-1.3</v>
      </c>
      <c r="H347" s="291">
        <f t="shared" si="40"/>
        <v>768344.31827495503</v>
      </c>
      <c r="I347" s="291">
        <f t="shared" si="41"/>
        <v>41426962.3520445</v>
      </c>
    </row>
    <row r="348" spans="1:9" outlineLevel="2" x14ac:dyDescent="0.2">
      <c r="A348">
        <v>38000</v>
      </c>
      <c r="B348">
        <v>1998</v>
      </c>
      <c r="C348" s="89">
        <v>26.5</v>
      </c>
      <c r="D348" s="291">
        <v>1140921.68</v>
      </c>
      <c r="E348" s="12">
        <v>52</v>
      </c>
      <c r="F348" s="12">
        <v>36.056510000000003</v>
      </c>
      <c r="G348" s="330">
        <f>'Proposed Rates'!$O$23/100</f>
        <v>-1.3</v>
      </c>
      <c r="H348" s="291">
        <f t="shared" si="40"/>
        <v>804569.784817026</v>
      </c>
      <c r="I348" s="291">
        <f t="shared" si="41"/>
        <v>41137653.964136802</v>
      </c>
    </row>
    <row r="349" spans="1:9" outlineLevel="2" x14ac:dyDescent="0.2">
      <c r="A349">
        <v>38000</v>
      </c>
      <c r="B349">
        <v>1997</v>
      </c>
      <c r="C349" s="89">
        <v>27.5</v>
      </c>
      <c r="D349" s="291">
        <v>922458.66</v>
      </c>
      <c r="E349" s="12">
        <v>52</v>
      </c>
      <c r="F349" s="12">
        <v>35.478425000000001</v>
      </c>
      <c r="G349" s="330">
        <f>'Proposed Rates'!$O$23/100</f>
        <v>-1.3</v>
      </c>
      <c r="H349" s="291">
        <f t="shared" si="40"/>
        <v>674097.7086895355</v>
      </c>
      <c r="I349" s="291">
        <f t="shared" si="41"/>
        <v>32727380.384410504</v>
      </c>
    </row>
    <row r="350" spans="1:9" outlineLevel="2" x14ac:dyDescent="0.2">
      <c r="A350">
        <v>38000</v>
      </c>
      <c r="B350">
        <v>1996</v>
      </c>
      <c r="C350" s="89">
        <v>28.5</v>
      </c>
      <c r="D350" s="291">
        <v>556872.81000000006</v>
      </c>
      <c r="E350" s="12">
        <v>52</v>
      </c>
      <c r="F350" s="12">
        <v>34.903053999999997</v>
      </c>
      <c r="G350" s="330">
        <f>'Proposed Rates'!$O$23/100</f>
        <v>-1.3</v>
      </c>
      <c r="H350" s="291">
        <f t="shared" si="40"/>
        <v>421113.38521746156</v>
      </c>
      <c r="I350" s="291">
        <f t="shared" si="41"/>
        <v>19436561.758561742</v>
      </c>
    </row>
    <row r="351" spans="1:9" outlineLevel="2" x14ac:dyDescent="0.2">
      <c r="A351">
        <v>38000</v>
      </c>
      <c r="B351">
        <v>1995</v>
      </c>
      <c r="C351" s="89">
        <v>29.5</v>
      </c>
      <c r="D351" s="291">
        <v>601123.07999999996</v>
      </c>
      <c r="E351" s="12">
        <v>52</v>
      </c>
      <c r="F351" s="12">
        <v>34.330551</v>
      </c>
      <c r="G351" s="330">
        <f>'Proposed Rates'!$O$23/100</f>
        <v>-1.3</v>
      </c>
      <c r="H351" s="291">
        <f t="shared" si="40"/>
        <v>469797.71713462903</v>
      </c>
      <c r="I351" s="291">
        <f t="shared" si="41"/>
        <v>20636886.55521708</v>
      </c>
    </row>
    <row r="352" spans="1:9" outlineLevel="2" x14ac:dyDescent="0.2">
      <c r="A352">
        <v>38000</v>
      </c>
      <c r="B352">
        <v>1994</v>
      </c>
      <c r="C352" s="89">
        <v>30.5</v>
      </c>
      <c r="D352" s="291">
        <v>946759.92</v>
      </c>
      <c r="E352" s="12">
        <v>52</v>
      </c>
      <c r="F352" s="12">
        <v>33.761069999999997</v>
      </c>
      <c r="G352" s="330">
        <f>'Proposed Rates'!$O$23/100</f>
        <v>-1.3</v>
      </c>
      <c r="H352" s="291">
        <f t="shared" si="40"/>
        <v>763771.96514763241</v>
      </c>
      <c r="I352" s="291">
        <f t="shared" si="41"/>
        <v>31963627.9323144</v>
      </c>
    </row>
    <row r="353" spans="1:10" outlineLevel="2" x14ac:dyDescent="0.2">
      <c r="A353">
        <v>38000</v>
      </c>
      <c r="B353">
        <v>1993</v>
      </c>
      <c r="C353" s="89">
        <v>31.5</v>
      </c>
      <c r="D353" s="291">
        <v>870876.44</v>
      </c>
      <c r="E353" s="12">
        <v>52</v>
      </c>
      <c r="F353" s="12">
        <v>33.194747999999997</v>
      </c>
      <c r="G353" s="330">
        <f>'Proposed Rates'!$O$23/100</f>
        <v>-1.3</v>
      </c>
      <c r="H353" s="291">
        <f t="shared" si="40"/>
        <v>724369.55970470433</v>
      </c>
      <c r="I353" s="291">
        <f t="shared" si="41"/>
        <v>28908523.964937117</v>
      </c>
    </row>
    <row r="354" spans="1:10" outlineLevel="2" x14ac:dyDescent="0.2">
      <c r="A354">
        <v>38000</v>
      </c>
      <c r="B354">
        <v>1992</v>
      </c>
      <c r="C354" s="89">
        <v>32.5</v>
      </c>
      <c r="D354" s="291">
        <v>960446.61</v>
      </c>
      <c r="E354" s="12">
        <v>52</v>
      </c>
      <c r="F354" s="12">
        <v>32.631731000000002</v>
      </c>
      <c r="G354" s="330">
        <f>'Proposed Rates'!$O$23/100</f>
        <v>-1.3</v>
      </c>
      <c r="H354" s="291">
        <f t="shared" si="40"/>
        <v>822789.09800041525</v>
      </c>
      <c r="I354" s="291">
        <f t="shared" si="41"/>
        <v>31341035.417381912</v>
      </c>
    </row>
    <row r="355" spans="1:10" outlineLevel="2" x14ac:dyDescent="0.2">
      <c r="A355">
        <v>38000</v>
      </c>
      <c r="B355">
        <v>1991</v>
      </c>
      <c r="C355" s="89">
        <v>33.5</v>
      </c>
      <c r="D355" s="291">
        <v>1137030.3600000001</v>
      </c>
      <c r="E355" s="12">
        <v>52</v>
      </c>
      <c r="F355" s="12">
        <v>32.072144000000002</v>
      </c>
      <c r="G355" s="330">
        <f>'Proposed Rates'!$O$23/100</f>
        <v>-1.3</v>
      </c>
      <c r="H355" s="291">
        <f t="shared" si="40"/>
        <v>1002206.302844784</v>
      </c>
      <c r="I355" s="291">
        <f t="shared" si="41"/>
        <v>36467001.438291848</v>
      </c>
    </row>
    <row r="356" spans="1:10" outlineLevel="2" x14ac:dyDescent="0.2">
      <c r="A356">
        <v>38000</v>
      </c>
      <c r="B356">
        <v>1990</v>
      </c>
      <c r="C356" s="89">
        <v>34.5</v>
      </c>
      <c r="D356" s="291">
        <v>842641.67</v>
      </c>
      <c r="E356" s="12">
        <v>52</v>
      </c>
      <c r="F356" s="12">
        <v>31.516116</v>
      </c>
      <c r="G356" s="330">
        <f>'Proposed Rates'!$O$23/100</f>
        <v>-1.3</v>
      </c>
      <c r="H356" s="291">
        <f t="shared" si="40"/>
        <v>763448.475197047</v>
      </c>
      <c r="I356" s="291">
        <f t="shared" si="41"/>
        <v>26556792.618153721</v>
      </c>
    </row>
    <row r="357" spans="1:10" s="143" customFormat="1" outlineLevel="2" x14ac:dyDescent="0.2">
      <c r="A357" s="143">
        <v>38000</v>
      </c>
      <c r="B357" s="143">
        <v>1989</v>
      </c>
      <c r="C357" s="89">
        <v>35.5</v>
      </c>
      <c r="D357" s="291">
        <v>762659.44</v>
      </c>
      <c r="E357" s="12">
        <v>52</v>
      </c>
      <c r="F357" s="12">
        <v>30.963764999999999</v>
      </c>
      <c r="G357" s="330">
        <f>'Proposed Rates'!$O$23/100</f>
        <v>-1.3</v>
      </c>
      <c r="H357" s="291">
        <f t="shared" ref="H357:H366" si="42">+D357*(1-F357/E357)*(1-G357)</f>
        <v>709615.60328960221</v>
      </c>
      <c r="I357" s="291">
        <f t="shared" ref="I357:I366" si="43">+D357*F357</f>
        <v>23614807.675191596</v>
      </c>
      <c r="J357" s="291"/>
    </row>
    <row r="358" spans="1:10" s="143" customFormat="1" outlineLevel="2" x14ac:dyDescent="0.2">
      <c r="A358" s="143">
        <v>38000</v>
      </c>
      <c r="B358" s="143">
        <v>1988</v>
      </c>
      <c r="C358" s="89">
        <v>36.5</v>
      </c>
      <c r="D358" s="291">
        <v>692496.56</v>
      </c>
      <c r="E358" s="12">
        <v>52</v>
      </c>
      <c r="F358" s="12">
        <v>30.415199999999999</v>
      </c>
      <c r="G358" s="330">
        <f>'Proposed Rates'!$O$23/100</f>
        <v>-1.3</v>
      </c>
      <c r="H358" s="291">
        <f t="shared" si="42"/>
        <v>661134.98886658472</v>
      </c>
      <c r="I358" s="291">
        <f t="shared" si="43"/>
        <v>21062421.371711999</v>
      </c>
      <c r="J358" s="291"/>
    </row>
    <row r="359" spans="1:10" s="143" customFormat="1" outlineLevel="2" x14ac:dyDescent="0.2">
      <c r="A359" s="143">
        <v>38000</v>
      </c>
      <c r="B359" s="143">
        <v>1987</v>
      </c>
      <c r="C359" s="89">
        <v>37.5</v>
      </c>
      <c r="D359" s="291">
        <v>592113.65</v>
      </c>
      <c r="E359" s="12">
        <v>52</v>
      </c>
      <c r="F359" s="12">
        <v>29.870528</v>
      </c>
      <c r="G359" s="330">
        <f>'Proposed Rates'!$O$23/100</f>
        <v>-1.3</v>
      </c>
      <c r="H359" s="291">
        <f t="shared" si="42"/>
        <v>579562.95401025843</v>
      </c>
      <c r="I359" s="291">
        <f t="shared" si="43"/>
        <v>17686747.3615072</v>
      </c>
      <c r="J359" s="291"/>
    </row>
    <row r="360" spans="1:10" s="143" customFormat="1" outlineLevel="2" x14ac:dyDescent="0.2">
      <c r="A360" s="143">
        <v>38000</v>
      </c>
      <c r="B360" s="143">
        <v>1986</v>
      </c>
      <c r="C360" s="89">
        <v>38.5</v>
      </c>
      <c r="D360" s="291">
        <v>517340.04</v>
      </c>
      <c r="E360" s="12">
        <v>52</v>
      </c>
      <c r="F360" s="12">
        <v>29.329834999999999</v>
      </c>
      <c r="G360" s="330">
        <f>'Proposed Rates'!$O$23/100</f>
        <v>-1.3</v>
      </c>
      <c r="H360" s="291">
        <f t="shared" si="42"/>
        <v>518746.60300356103</v>
      </c>
      <c r="I360" s="291">
        <f t="shared" si="43"/>
        <v>15173498.012093399</v>
      </c>
      <c r="J360" s="291"/>
    </row>
    <row r="361" spans="1:10" s="143" customFormat="1" outlineLevel="2" x14ac:dyDescent="0.2">
      <c r="A361" s="143">
        <v>38000</v>
      </c>
      <c r="B361" s="143">
        <v>1985</v>
      </c>
      <c r="C361" s="89">
        <v>39.5</v>
      </c>
      <c r="D361" s="291">
        <v>674867.18</v>
      </c>
      <c r="E361" s="12">
        <v>52</v>
      </c>
      <c r="F361" s="12">
        <v>28.793268999999999</v>
      </c>
      <c r="G361" s="330">
        <f>'Proposed Rates'!$O$23/100</f>
        <v>-1.3</v>
      </c>
      <c r="H361" s="291">
        <f t="shared" si="42"/>
        <v>692718.47203987965</v>
      </c>
      <c r="I361" s="291">
        <f t="shared" si="43"/>
        <v>19431632.25301142</v>
      </c>
      <c r="J361" s="291"/>
    </row>
    <row r="362" spans="1:10" outlineLevel="2" x14ac:dyDescent="0.2">
      <c r="A362" s="143">
        <v>38000</v>
      </c>
      <c r="B362">
        <v>1984</v>
      </c>
      <c r="C362" s="89">
        <v>40.5</v>
      </c>
      <c r="D362" s="291">
        <v>466380.12</v>
      </c>
      <c r="E362" s="12">
        <v>52</v>
      </c>
      <c r="F362" s="12">
        <v>28.260905000000001</v>
      </c>
      <c r="G362" s="330">
        <f>'Proposed Rates'!$O$23/100</f>
        <v>-1.3</v>
      </c>
      <c r="H362" s="291">
        <f t="shared" si="42"/>
        <v>489698.39503885031</v>
      </c>
      <c r="I362" s="291">
        <f t="shared" si="43"/>
        <v>13180324.2652086</v>
      </c>
    </row>
    <row r="363" spans="1:10" outlineLevel="2" x14ac:dyDescent="0.2">
      <c r="A363" s="143">
        <v>38000</v>
      </c>
      <c r="B363">
        <v>1983</v>
      </c>
      <c r="C363" s="89">
        <v>41.5</v>
      </c>
      <c r="D363" s="291">
        <v>422534.67</v>
      </c>
      <c r="E363" s="12">
        <v>52</v>
      </c>
      <c r="F363" s="12">
        <v>27.732762999999998</v>
      </c>
      <c r="G363" s="330">
        <f>'Proposed Rates'!$O$23/100</f>
        <v>-1.3</v>
      </c>
      <c r="H363" s="291">
        <f t="shared" si="42"/>
        <v>453531.20477876189</v>
      </c>
      <c r="I363" s="291">
        <f t="shared" si="43"/>
        <v>11718053.86239321</v>
      </c>
    </row>
    <row r="364" spans="1:10" outlineLevel="2" x14ac:dyDescent="0.2">
      <c r="A364" s="143">
        <v>38000</v>
      </c>
      <c r="B364">
        <v>1982</v>
      </c>
      <c r="C364" s="89">
        <v>42.5</v>
      </c>
      <c r="D364" s="291">
        <v>470461.4</v>
      </c>
      <c r="E364" s="12">
        <v>52</v>
      </c>
      <c r="F364" s="12">
        <v>27.208894999999998</v>
      </c>
      <c r="G364" s="330">
        <f>'Proposed Rates'!$O$23/100</f>
        <v>-1.3</v>
      </c>
      <c r="H364" s="291">
        <f t="shared" si="42"/>
        <v>515874.87156630965</v>
      </c>
      <c r="I364" s="291">
        <f t="shared" si="43"/>
        <v>12800734.834153</v>
      </c>
    </row>
    <row r="365" spans="1:10" outlineLevel="2" x14ac:dyDescent="0.2">
      <c r="A365" s="143">
        <v>38000</v>
      </c>
      <c r="B365">
        <v>1981</v>
      </c>
      <c r="C365" s="89">
        <v>43.5</v>
      </c>
      <c r="D365" s="291">
        <v>555812.49</v>
      </c>
      <c r="E365" s="12">
        <v>52</v>
      </c>
      <c r="F365" s="12">
        <v>26.689359</v>
      </c>
      <c r="G365" s="330">
        <f>'Proposed Rates'!$O$23/100</f>
        <v>-1.3</v>
      </c>
      <c r="H365" s="291">
        <f t="shared" si="42"/>
        <v>622237.15220623091</v>
      </c>
      <c r="I365" s="291">
        <f t="shared" si="43"/>
        <v>14834279.082293909</v>
      </c>
    </row>
    <row r="366" spans="1:10" outlineLevel="2" x14ac:dyDescent="0.2">
      <c r="A366" s="143">
        <v>38000</v>
      </c>
      <c r="B366">
        <v>1980</v>
      </c>
      <c r="C366" s="89">
        <v>44.5</v>
      </c>
      <c r="D366" s="291">
        <v>255934.82</v>
      </c>
      <c r="E366" s="12">
        <v>52</v>
      </c>
      <c r="F366" s="12">
        <v>26.174192999999999</v>
      </c>
      <c r="G366" s="330">
        <f>'Proposed Rates'!$O$23/100</f>
        <v>-1.3</v>
      </c>
      <c r="H366" s="291">
        <f t="shared" si="42"/>
        <v>292353.14445325773</v>
      </c>
      <c r="I366" s="291">
        <f t="shared" si="43"/>
        <v>6698887.3741002595</v>
      </c>
    </row>
    <row r="367" spans="1:10" outlineLevel="2" x14ac:dyDescent="0.2">
      <c r="A367">
        <v>38000</v>
      </c>
      <c r="B367">
        <v>1979</v>
      </c>
      <c r="C367" s="89">
        <v>45.5</v>
      </c>
      <c r="D367" s="291">
        <v>633218.64</v>
      </c>
      <c r="E367" s="12">
        <v>52</v>
      </c>
      <c r="F367" s="12">
        <v>25.663433000000001</v>
      </c>
      <c r="G367" s="330">
        <f>'Proposed Rates'!$O$23/100</f>
        <v>-1.3</v>
      </c>
      <c r="H367" s="291">
        <f t="shared" si="40"/>
        <v>737627.91956577729</v>
      </c>
      <c r="I367" s="291">
        <f t="shared" si="41"/>
        <v>16250564.141991122</v>
      </c>
    </row>
    <row r="368" spans="1:10" outlineLevel="2" x14ac:dyDescent="0.2">
      <c r="A368">
        <v>38000</v>
      </c>
      <c r="B368">
        <v>1978</v>
      </c>
      <c r="C368" s="89">
        <v>46.5</v>
      </c>
      <c r="D368" s="291">
        <v>715074.81</v>
      </c>
      <c r="E368" s="12">
        <v>52</v>
      </c>
      <c r="F368" s="12">
        <v>25.157108000000001</v>
      </c>
      <c r="G368" s="330">
        <f>'Proposed Rates'!$O$23/100</f>
        <v>-1.3</v>
      </c>
      <c r="H368" s="291">
        <f t="shared" si="40"/>
        <v>848995.28004858072</v>
      </c>
      <c r="I368" s="291">
        <f t="shared" si="41"/>
        <v>17989214.223249484</v>
      </c>
    </row>
    <row r="369" spans="1:9" outlineLevel="2" x14ac:dyDescent="0.2">
      <c r="A369">
        <v>38000</v>
      </c>
      <c r="B369">
        <v>1977</v>
      </c>
      <c r="C369" s="89">
        <v>47.5</v>
      </c>
      <c r="D369" s="291">
        <v>377370.85</v>
      </c>
      <c r="E369" s="12">
        <v>52</v>
      </c>
      <c r="F369" s="12">
        <v>24.655238000000001</v>
      </c>
      <c r="G369" s="330">
        <f>'Proposed Rates'!$O$23/100</f>
        <v>-1.3</v>
      </c>
      <c r="H369" s="291">
        <f t="shared" si="40"/>
        <v>456422.44195522513</v>
      </c>
      <c r="I369" s="291">
        <f t="shared" si="41"/>
        <v>9304168.1210123003</v>
      </c>
    </row>
    <row r="370" spans="1:9" outlineLevel="2" x14ac:dyDescent="0.2">
      <c r="A370">
        <v>38000</v>
      </c>
      <c r="B370">
        <v>1976</v>
      </c>
      <c r="C370" s="89">
        <v>48.5</v>
      </c>
      <c r="D370" s="291">
        <v>448302.96</v>
      </c>
      <c r="E370" s="12">
        <v>52</v>
      </c>
      <c r="F370" s="12">
        <v>24.157831000000002</v>
      </c>
      <c r="G370" s="330">
        <f>'Proposed Rates'!$O$23/100</f>
        <v>-1.3</v>
      </c>
      <c r="H370" s="291">
        <f t="shared" si="40"/>
        <v>552076.37660954904</v>
      </c>
      <c r="I370" s="291">
        <f t="shared" si="41"/>
        <v>10830027.144479761</v>
      </c>
    </row>
    <row r="371" spans="1:9" outlineLevel="2" x14ac:dyDescent="0.2">
      <c r="A371">
        <v>38000</v>
      </c>
      <c r="B371">
        <v>1975</v>
      </c>
      <c r="C371" s="89">
        <v>49.5</v>
      </c>
      <c r="D371" s="291">
        <v>650802.5</v>
      </c>
      <c r="E371" s="12">
        <v>52</v>
      </c>
      <c r="F371" s="12">
        <v>23.664894</v>
      </c>
      <c r="G371" s="330">
        <f>'Proposed Rates'!$O$23/100</f>
        <v>-1.3</v>
      </c>
      <c r="H371" s="291">
        <f t="shared" si="40"/>
        <v>815640.0575365288</v>
      </c>
      <c r="I371" s="291">
        <f t="shared" si="41"/>
        <v>15401172.177434999</v>
      </c>
    </row>
    <row r="372" spans="1:9" outlineLevel="2" x14ac:dyDescent="0.2">
      <c r="A372">
        <v>38000</v>
      </c>
      <c r="B372">
        <v>1974</v>
      </c>
      <c r="C372" s="89">
        <v>50.5</v>
      </c>
      <c r="D372" s="291">
        <v>1002722.32</v>
      </c>
      <c r="E372" s="12">
        <v>52</v>
      </c>
      <c r="F372" s="12">
        <v>23.17642</v>
      </c>
      <c r="G372" s="330">
        <f>'Proposed Rates'!$O$23/100</f>
        <v>-1.3</v>
      </c>
      <c r="H372" s="291">
        <f t="shared" si="40"/>
        <v>1278359.771521209</v>
      </c>
      <c r="I372" s="291">
        <f t="shared" si="41"/>
        <v>23239513.631694399</v>
      </c>
    </row>
    <row r="373" spans="1:9" outlineLevel="2" x14ac:dyDescent="0.2">
      <c r="A373">
        <v>38000</v>
      </c>
      <c r="B373">
        <v>1973</v>
      </c>
      <c r="C373" s="89">
        <v>51.5</v>
      </c>
      <c r="D373" s="291">
        <v>1103856.42</v>
      </c>
      <c r="E373" s="12">
        <v>52</v>
      </c>
      <c r="F373" s="12">
        <v>22.692397</v>
      </c>
      <c r="G373" s="330">
        <f>'Proposed Rates'!$O$23/100</f>
        <v>-1.3</v>
      </c>
      <c r="H373" s="291">
        <f t="shared" si="40"/>
        <v>1430926.6763582863</v>
      </c>
      <c r="I373" s="291">
        <f t="shared" si="41"/>
        <v>25049148.113638736</v>
      </c>
    </row>
    <row r="374" spans="1:9" outlineLevel="2" x14ac:dyDescent="0.2">
      <c r="A374">
        <v>38000</v>
      </c>
      <c r="B374">
        <v>1972</v>
      </c>
      <c r="C374" s="89">
        <v>52.5</v>
      </c>
      <c r="D374" s="291">
        <v>718089.58</v>
      </c>
      <c r="E374" s="12">
        <v>52</v>
      </c>
      <c r="F374" s="12">
        <v>22.212848000000001</v>
      </c>
      <c r="G374" s="330">
        <f>'Proposed Rates'!$O$23/100</f>
        <v>-1.3</v>
      </c>
      <c r="H374" s="291">
        <f t="shared" si="40"/>
        <v>946089.23036298389</v>
      </c>
      <c r="I374" s="291">
        <f t="shared" si="41"/>
        <v>15950814.69092384</v>
      </c>
    </row>
    <row r="375" spans="1:9" outlineLevel="2" x14ac:dyDescent="0.2">
      <c r="A375">
        <v>38000</v>
      </c>
      <c r="B375">
        <v>1971</v>
      </c>
      <c r="C375" s="89">
        <v>53.5</v>
      </c>
      <c r="D375" s="291">
        <v>568804.89</v>
      </c>
      <c r="E375" s="12">
        <v>52</v>
      </c>
      <c r="F375" s="12">
        <v>21.737731</v>
      </c>
      <c r="G375" s="330">
        <f>'Proposed Rates'!$O$23/100</f>
        <v>-1.3</v>
      </c>
      <c r="H375" s="291">
        <f t="shared" si="40"/>
        <v>761358.6760826814</v>
      </c>
      <c r="I375" s="291">
        <f t="shared" si="41"/>
        <v>12364527.69030459</v>
      </c>
    </row>
    <row r="376" spans="1:9" outlineLevel="2" x14ac:dyDescent="0.2">
      <c r="A376">
        <v>38000</v>
      </c>
      <c r="B376">
        <v>1970</v>
      </c>
      <c r="C376" s="89">
        <v>54.5</v>
      </c>
      <c r="D376" s="291">
        <v>358544.46</v>
      </c>
      <c r="E376" s="12">
        <v>52</v>
      </c>
      <c r="F376" s="12">
        <v>21.266983</v>
      </c>
      <c r="G376" s="330">
        <f>'Proposed Rates'!$O$23/100</f>
        <v>-1.3</v>
      </c>
      <c r="H376" s="291">
        <f t="shared" si="40"/>
        <v>487385.61277312273</v>
      </c>
      <c r="I376" s="291">
        <f t="shared" si="41"/>
        <v>7625158.9355641799</v>
      </c>
    </row>
    <row r="377" spans="1:9" outlineLevel="2" x14ac:dyDescent="0.2">
      <c r="A377">
        <v>38000</v>
      </c>
      <c r="B377">
        <v>1969</v>
      </c>
      <c r="C377" s="89">
        <v>55.5</v>
      </c>
      <c r="D377" s="291">
        <v>473081.02</v>
      </c>
      <c r="E377" s="12">
        <v>52</v>
      </c>
      <c r="F377" s="12">
        <v>20.800560999999998</v>
      </c>
      <c r="G377" s="330">
        <f>'Proposed Rates'!$O$23/100</f>
        <v>-1.3</v>
      </c>
      <c r="H377" s="291">
        <f t="shared" si="40"/>
        <v>652840.06882230565</v>
      </c>
      <c r="I377" s="291">
        <f t="shared" si="41"/>
        <v>9840350.6144522205</v>
      </c>
    </row>
    <row r="378" spans="1:9" outlineLevel="2" x14ac:dyDescent="0.2">
      <c r="A378">
        <v>38000</v>
      </c>
      <c r="B378">
        <v>1968</v>
      </c>
      <c r="C378" s="89">
        <v>56.5</v>
      </c>
      <c r="D378" s="291">
        <v>454367.57</v>
      </c>
      <c r="E378" s="12">
        <v>52</v>
      </c>
      <c r="F378" s="12">
        <v>20.338417</v>
      </c>
      <c r="G378" s="330">
        <f>'Proposed Rates'!$O$23/100</f>
        <v>-1.3</v>
      </c>
      <c r="H378" s="291">
        <f t="shared" si="40"/>
        <v>636303.69267587713</v>
      </c>
      <c r="I378" s="291">
        <f t="shared" si="41"/>
        <v>9241117.10993669</v>
      </c>
    </row>
    <row r="379" spans="1:9" outlineLevel="2" x14ac:dyDescent="0.2">
      <c r="A379">
        <v>38000</v>
      </c>
      <c r="B379">
        <v>1967</v>
      </c>
      <c r="C379" s="89">
        <v>57.5</v>
      </c>
      <c r="D379" s="291">
        <v>625501.99</v>
      </c>
      <c r="E379" s="12">
        <v>52</v>
      </c>
      <c r="F379" s="12">
        <v>19.880493999999999</v>
      </c>
      <c r="G379" s="330">
        <f>'Proposed Rates'!$O$23/100</f>
        <v>-1.3</v>
      </c>
      <c r="H379" s="291">
        <f t="shared" si="40"/>
        <v>888632.19842074928</v>
      </c>
      <c r="I379" s="291">
        <f t="shared" si="41"/>
        <v>12435288.559183059</v>
      </c>
    </row>
    <row r="380" spans="1:9" outlineLevel="2" x14ac:dyDescent="0.2">
      <c r="A380">
        <v>38000</v>
      </c>
      <c r="B380">
        <v>1966</v>
      </c>
      <c r="C380" s="89">
        <v>58.5</v>
      </c>
      <c r="D380" s="291">
        <v>585399.56999999995</v>
      </c>
      <c r="E380" s="12">
        <v>52</v>
      </c>
      <c r="F380" s="12">
        <v>19.426732999999999</v>
      </c>
      <c r="G380" s="330">
        <f>'Proposed Rates'!$O$23/100</f>
        <v>-1.3</v>
      </c>
      <c r="H380" s="291">
        <f t="shared" si="40"/>
        <v>843408.96036882559</v>
      </c>
      <c r="I380" s="291">
        <f t="shared" si="41"/>
        <v>11372401.144704808</v>
      </c>
    </row>
    <row r="381" spans="1:9" outlineLevel="2" x14ac:dyDescent="0.2">
      <c r="A381">
        <v>38000</v>
      </c>
      <c r="B381">
        <v>1965</v>
      </c>
      <c r="C381" s="89">
        <v>59.5</v>
      </c>
      <c r="D381" s="291">
        <v>213189.43000000002</v>
      </c>
      <c r="E381" s="12">
        <v>52</v>
      </c>
      <c r="F381" s="12">
        <v>18.977060000000002</v>
      </c>
      <c r="G381" s="330">
        <f>'Proposed Rates'!$O$23/100</f>
        <v>-1.3</v>
      </c>
      <c r="H381" s="291">
        <f t="shared" si="40"/>
        <v>311390.88534049346</v>
      </c>
      <c r="I381" s="291">
        <f t="shared" si="41"/>
        <v>4045708.6044758009</v>
      </c>
    </row>
    <row r="382" spans="1:9" outlineLevel="2" x14ac:dyDescent="0.2">
      <c r="A382">
        <v>38000</v>
      </c>
      <c r="B382">
        <v>1964</v>
      </c>
      <c r="C382" s="89">
        <v>60.5</v>
      </c>
      <c r="D382" s="291">
        <v>251214.54</v>
      </c>
      <c r="E382" s="12">
        <v>52</v>
      </c>
      <c r="F382" s="12">
        <v>18.531407999999999</v>
      </c>
      <c r="G382" s="330">
        <f>'Proposed Rates'!$O$23/100</f>
        <v>-1.3</v>
      </c>
      <c r="H382" s="291">
        <f t="shared" ref="H382:H446" si="44">+D382*(1-F382/E382)*(1-G382)</f>
        <v>371883.32635718584</v>
      </c>
      <c r="I382" s="291">
        <f t="shared" si="41"/>
        <v>4655359.1362723196</v>
      </c>
    </row>
    <row r="383" spans="1:9" outlineLevel="2" x14ac:dyDescent="0.2">
      <c r="A383">
        <v>38000</v>
      </c>
      <c r="B383">
        <v>1963</v>
      </c>
      <c r="C383" s="89">
        <v>61.5</v>
      </c>
      <c r="D383" s="291">
        <v>181908.15</v>
      </c>
      <c r="E383" s="12">
        <v>52</v>
      </c>
      <c r="F383" s="12">
        <v>18.089690999999998</v>
      </c>
      <c r="G383" s="330">
        <f>'Proposed Rates'!$O$23/100</f>
        <v>-1.3</v>
      </c>
      <c r="H383" s="291">
        <f t="shared" si="44"/>
        <v>272840.22355908086</v>
      </c>
      <c r="I383" s="291">
        <f t="shared" si="41"/>
        <v>3290662.2238816498</v>
      </c>
    </row>
    <row r="384" spans="1:9" outlineLevel="2" x14ac:dyDescent="0.2">
      <c r="A384">
        <v>38000</v>
      </c>
      <c r="B384">
        <v>1962</v>
      </c>
      <c r="C384" s="89">
        <v>62.5</v>
      </c>
      <c r="D384" s="291">
        <v>173420.77</v>
      </c>
      <c r="E384" s="12">
        <v>52</v>
      </c>
      <c r="F384" s="12">
        <v>17.651816</v>
      </c>
      <c r="G384" s="330">
        <f>'Proposed Rates'!$O$23/100</f>
        <v>-1.3</v>
      </c>
      <c r="H384" s="291">
        <f t="shared" si="44"/>
        <v>263468.91519188194</v>
      </c>
      <c r="I384" s="291">
        <f t="shared" si="41"/>
        <v>3061191.5226183198</v>
      </c>
    </row>
    <row r="385" spans="1:10" outlineLevel="2" x14ac:dyDescent="0.2">
      <c r="A385">
        <v>38000</v>
      </c>
      <c r="B385">
        <v>1961</v>
      </c>
      <c r="C385" s="89">
        <v>63.5</v>
      </c>
      <c r="D385" s="291">
        <v>169007.38</v>
      </c>
      <c r="E385" s="12">
        <v>52</v>
      </c>
      <c r="F385" s="12">
        <v>17.217690000000001</v>
      </c>
      <c r="G385" s="330">
        <f>'Proposed Rates'!$O$23/100</f>
        <v>-1.3</v>
      </c>
      <c r="H385" s="291">
        <f t="shared" si="44"/>
        <v>260009.12099865265</v>
      </c>
      <c r="I385" s="291">
        <f t="shared" si="41"/>
        <v>2909916.6765522002</v>
      </c>
    </row>
    <row r="386" spans="1:10" outlineLevel="2" x14ac:dyDescent="0.2">
      <c r="A386">
        <v>38000</v>
      </c>
      <c r="B386">
        <v>1960</v>
      </c>
      <c r="C386" s="89">
        <v>64.5</v>
      </c>
      <c r="D386" s="291">
        <v>420949.1</v>
      </c>
      <c r="E386" s="12">
        <v>52</v>
      </c>
      <c r="F386" s="12">
        <v>16.787209000000001</v>
      </c>
      <c r="G386" s="330">
        <f>'Proposed Rates'!$O$23/100</f>
        <v>-1.3</v>
      </c>
      <c r="H386" s="291">
        <f t="shared" si="44"/>
        <v>655623.52238187741</v>
      </c>
      <c r="I386" s="291">
        <f t="shared" si="41"/>
        <v>7066560.5200618999</v>
      </c>
    </row>
    <row r="387" spans="1:10" outlineLevel="2" x14ac:dyDescent="0.2">
      <c r="A387">
        <v>38000</v>
      </c>
      <c r="B387">
        <v>1959</v>
      </c>
      <c r="C387" s="89">
        <v>65.5</v>
      </c>
      <c r="D387" s="291">
        <v>1055736.48</v>
      </c>
      <c r="E387" s="12">
        <v>52</v>
      </c>
      <c r="F387" s="12">
        <v>16.360239</v>
      </c>
      <c r="G387" s="330">
        <f>'Proposed Rates'!$O$23/100</f>
        <v>-1.3</v>
      </c>
      <c r="H387" s="291">
        <f t="shared" si="44"/>
        <v>1664235.5846195566</v>
      </c>
      <c r="I387" s="291">
        <f t="shared" si="41"/>
        <v>17272101.13381872</v>
      </c>
    </row>
    <row r="388" spans="1:10" outlineLevel="2" x14ac:dyDescent="0.2">
      <c r="A388">
        <v>38000</v>
      </c>
      <c r="B388">
        <v>1958</v>
      </c>
      <c r="C388" s="89">
        <v>66.5</v>
      </c>
      <c r="D388" s="291">
        <v>197644.32</v>
      </c>
      <c r="E388" s="12">
        <v>52</v>
      </c>
      <c r="F388" s="12">
        <v>15.936640000000001</v>
      </c>
      <c r="G388" s="330">
        <f>'Proposed Rates'!$O$23/100</f>
        <v>-1.3</v>
      </c>
      <c r="H388" s="291">
        <f t="shared" si="44"/>
        <v>315264.46168201847</v>
      </c>
      <c r="I388" s="291">
        <f t="shared" si="41"/>
        <v>3149786.3758848002</v>
      </c>
    </row>
    <row r="389" spans="1:10" outlineLevel="2" x14ac:dyDescent="0.2">
      <c r="A389">
        <v>38000</v>
      </c>
      <c r="B389">
        <v>1957</v>
      </c>
      <c r="C389" s="89">
        <v>67.5</v>
      </c>
      <c r="D389" s="291">
        <v>102028.47</v>
      </c>
      <c r="E389" s="12">
        <v>52</v>
      </c>
      <c r="F389" s="12">
        <v>15.516294</v>
      </c>
      <c r="G389" s="330">
        <f>'Proposed Rates'!$O$23/100</f>
        <v>-1.3</v>
      </c>
      <c r="H389" s="291">
        <f t="shared" si="44"/>
        <v>164643.58494524204</v>
      </c>
      <c r="I389" s="291">
        <f t="shared" si="41"/>
        <v>1583103.73689018</v>
      </c>
    </row>
    <row r="390" spans="1:10" outlineLevel="2" x14ac:dyDescent="0.2">
      <c r="A390">
        <v>38000</v>
      </c>
      <c r="B390">
        <v>1956</v>
      </c>
      <c r="C390" s="89">
        <v>68.5</v>
      </c>
      <c r="D390" s="291">
        <v>65169.81</v>
      </c>
      <c r="E390" s="12">
        <v>52</v>
      </c>
      <c r="F390" s="12">
        <v>15.099062999999999</v>
      </c>
      <c r="G390" s="330">
        <f>'Proposed Rates'!$O$23/100</f>
        <v>-1.3</v>
      </c>
      <c r="H390" s="291">
        <f t="shared" si="44"/>
        <v>106367.35042610635</v>
      </c>
      <c r="I390" s="291">
        <f t="shared" si="41"/>
        <v>984003.06688802992</v>
      </c>
    </row>
    <row r="391" spans="1:10" outlineLevel="2" x14ac:dyDescent="0.2">
      <c r="A391">
        <v>38000</v>
      </c>
      <c r="B391">
        <v>1955</v>
      </c>
      <c r="C391" s="89">
        <v>69.5</v>
      </c>
      <c r="D391" s="291">
        <v>18368.149999999998</v>
      </c>
      <c r="E391" s="12">
        <v>52</v>
      </c>
      <c r="F391" s="12">
        <v>14.684789</v>
      </c>
      <c r="G391" s="330">
        <f>'Proposed Rates'!$O$23/100</f>
        <v>-1.3</v>
      </c>
      <c r="H391" s="291">
        <f t="shared" si="44"/>
        <v>30316.273148811437</v>
      </c>
      <c r="I391" s="291">
        <f t="shared" si="41"/>
        <v>269732.40707034996</v>
      </c>
    </row>
    <row r="392" spans="1:10" outlineLevel="2" x14ac:dyDescent="0.2">
      <c r="A392">
        <v>38000</v>
      </c>
      <c r="B392">
        <v>1954</v>
      </c>
      <c r="C392" s="89">
        <v>70.5</v>
      </c>
      <c r="D392" s="291">
        <v>18214.09</v>
      </c>
      <c r="E392" s="12">
        <v>52</v>
      </c>
      <c r="F392" s="12">
        <v>14.273313</v>
      </c>
      <c r="G392" s="330">
        <f>'Proposed Rates'!$O$23/100</f>
        <v>-1.3</v>
      </c>
      <c r="H392" s="291">
        <f t="shared" si="44"/>
        <v>30393.494741646322</v>
      </c>
      <c r="I392" s="291">
        <f t="shared" si="41"/>
        <v>259975.40758016999</v>
      </c>
    </row>
    <row r="393" spans="1:10" outlineLevel="2" x14ac:dyDescent="0.2">
      <c r="A393">
        <v>38000</v>
      </c>
      <c r="B393">
        <v>1953</v>
      </c>
      <c r="C393" s="89">
        <v>71.5</v>
      </c>
      <c r="D393" s="291">
        <v>7647.47</v>
      </c>
      <c r="E393" s="12">
        <v>52</v>
      </c>
      <c r="F393" s="12">
        <v>13.864464</v>
      </c>
      <c r="G393" s="330">
        <f>'Proposed Rates'!$O$23/100</f>
        <v>-1.3</v>
      </c>
      <c r="H393" s="291">
        <f t="shared" si="44"/>
        <v>12899.477793000307</v>
      </c>
      <c r="I393" s="291">
        <f t="shared" si="41"/>
        <v>106028.07250608</v>
      </c>
    </row>
    <row r="394" spans="1:10" s="143" customFormat="1" outlineLevel="2" x14ac:dyDescent="0.2">
      <c r="A394" s="143">
        <v>38000</v>
      </c>
      <c r="B394" s="143">
        <v>1952</v>
      </c>
      <c r="C394" s="89">
        <v>72.5</v>
      </c>
      <c r="D394" s="291">
        <v>17254.91</v>
      </c>
      <c r="E394" s="12">
        <v>52</v>
      </c>
      <c r="F394" s="12">
        <v>13.458057</v>
      </c>
      <c r="G394" s="330">
        <f>'Proposed Rates'!$O$23/100</f>
        <v>-1.3</v>
      </c>
      <c r="H394" s="291">
        <f t="shared" ref="H394:H403" si="45">+D394*(1-F394/E394)*(1-G394)</f>
        <v>29415.131590140365</v>
      </c>
      <c r="I394" s="291">
        <f t="shared" ref="I394:I403" si="46">+D394*F394</f>
        <v>232217.56230987</v>
      </c>
      <c r="J394" s="291"/>
    </row>
    <row r="395" spans="1:10" s="143" customFormat="1" outlineLevel="2" x14ac:dyDescent="0.2">
      <c r="A395" s="143">
        <v>38000</v>
      </c>
      <c r="B395" s="143">
        <v>1951</v>
      </c>
      <c r="C395" s="89">
        <f t="shared" ref="C395:C414" si="47">2024.5-B395</f>
        <v>73.5</v>
      </c>
      <c r="D395" s="291">
        <v>8833.85</v>
      </c>
      <c r="E395" s="12">
        <v>52</v>
      </c>
      <c r="F395" s="12">
        <v>13.053890000000001</v>
      </c>
      <c r="G395" s="330">
        <f>'Proposed Rates'!$O$23/100</f>
        <v>-1.3</v>
      </c>
      <c r="H395" s="291">
        <f t="shared" si="45"/>
        <v>15217.334919116345</v>
      </c>
      <c r="I395" s="291">
        <f t="shared" si="46"/>
        <v>115316.10617650002</v>
      </c>
      <c r="J395" s="291"/>
    </row>
    <row r="396" spans="1:10" s="143" customFormat="1" outlineLevel="2" x14ac:dyDescent="0.2">
      <c r="A396" s="143">
        <v>38000</v>
      </c>
      <c r="B396" s="143">
        <v>1950</v>
      </c>
      <c r="C396" s="89">
        <f t="shared" si="47"/>
        <v>74.5</v>
      </c>
      <c r="D396" s="268">
        <v>11168.13</v>
      </c>
      <c r="E396" s="12">
        <v>52</v>
      </c>
      <c r="F396" s="12">
        <v>12.651756000000001</v>
      </c>
      <c r="G396" s="330">
        <f>'Proposed Rates'!$O$23/100</f>
        <v>-1.3</v>
      </c>
      <c r="H396" s="291">
        <f t="shared" si="45"/>
        <v>19437.048073202997</v>
      </c>
      <c r="I396" s="291">
        <f t="shared" si="46"/>
        <v>141296.45573628001</v>
      </c>
      <c r="J396" s="291"/>
    </row>
    <row r="397" spans="1:10" s="143" customFormat="1" outlineLevel="2" x14ac:dyDescent="0.2">
      <c r="A397" s="143">
        <v>38000</v>
      </c>
      <c r="B397" s="143">
        <v>1949</v>
      </c>
      <c r="C397" s="89">
        <f t="shared" si="47"/>
        <v>75.5</v>
      </c>
      <c r="D397" s="268">
        <v>16287.73</v>
      </c>
      <c r="E397" s="12">
        <v>52</v>
      </c>
      <c r="F397" s="12">
        <v>12.25142</v>
      </c>
      <c r="G397" s="330">
        <f>'Proposed Rates'!$O$23/100</f>
        <v>-1.3</v>
      </c>
      <c r="H397" s="291">
        <f t="shared" si="45"/>
        <v>28635.625375458076</v>
      </c>
      <c r="I397" s="291">
        <f t="shared" si="46"/>
        <v>199547.8210766</v>
      </c>
      <c r="J397" s="291"/>
    </row>
    <row r="398" spans="1:10" s="143" customFormat="1" outlineLevel="2" x14ac:dyDescent="0.2">
      <c r="A398" s="143">
        <v>38000</v>
      </c>
      <c r="B398" s="143">
        <v>1948</v>
      </c>
      <c r="C398" s="89">
        <f t="shared" si="47"/>
        <v>76.5</v>
      </c>
      <c r="D398" s="268">
        <v>40407.839999999997</v>
      </c>
      <c r="E398" s="12">
        <v>52</v>
      </c>
      <c r="F398" s="12">
        <v>11.852641999999999</v>
      </c>
      <c r="G398" s="330">
        <f>'Proposed Rates'!$O$23/100</f>
        <v>-1.3</v>
      </c>
      <c r="H398" s="291">
        <f t="shared" si="45"/>
        <v>71754.162356143366</v>
      </c>
      <c r="I398" s="291">
        <f t="shared" si="46"/>
        <v>478939.66151327995</v>
      </c>
      <c r="J398" s="291"/>
    </row>
    <row r="399" spans="1:10" s="143" customFormat="1" outlineLevel="2" x14ac:dyDescent="0.2">
      <c r="A399" s="143">
        <v>38000</v>
      </c>
      <c r="B399" s="143">
        <v>1947</v>
      </c>
      <c r="C399" s="89">
        <f t="shared" si="47"/>
        <v>77.5</v>
      </c>
      <c r="D399" s="268">
        <v>4023.91</v>
      </c>
      <c r="E399" s="12">
        <v>52</v>
      </c>
      <c r="F399" s="12">
        <v>11.455164999999999</v>
      </c>
      <c r="G399" s="330">
        <f>'Proposed Rates'!$O$23/100</f>
        <v>-1.3</v>
      </c>
      <c r="H399" s="291">
        <f t="shared" si="45"/>
        <v>7216.1954636760565</v>
      </c>
      <c r="I399" s="291">
        <f t="shared" si="46"/>
        <v>46094.552995149992</v>
      </c>
      <c r="J399" s="291"/>
    </row>
    <row r="400" spans="1:10" s="143" customFormat="1" outlineLevel="2" x14ac:dyDescent="0.2">
      <c r="A400" s="143">
        <v>38000</v>
      </c>
      <c r="B400" s="143">
        <v>1946</v>
      </c>
      <c r="C400" s="89">
        <f t="shared" si="47"/>
        <v>78.5</v>
      </c>
      <c r="D400" s="268">
        <v>17282.78</v>
      </c>
      <c r="E400" s="12">
        <v>52</v>
      </c>
      <c r="F400" s="12">
        <v>11.058581999999999</v>
      </c>
      <c r="G400" s="330">
        <f>'Proposed Rates'!$O$23/100</f>
        <v>-1.3</v>
      </c>
      <c r="H400" s="291">
        <f t="shared" si="45"/>
        <v>31296.874931128688</v>
      </c>
      <c r="I400" s="291">
        <f t="shared" si="46"/>
        <v>191123.03981795997</v>
      </c>
      <c r="J400" s="291"/>
    </row>
    <row r="401" spans="1:12" s="143" customFormat="1" outlineLevel="2" x14ac:dyDescent="0.2">
      <c r="A401" s="143">
        <v>38000</v>
      </c>
      <c r="B401" s="143">
        <v>1945</v>
      </c>
      <c r="C401" s="89">
        <f t="shared" si="47"/>
        <v>79.5</v>
      </c>
      <c r="D401" s="268">
        <v>127.48</v>
      </c>
      <c r="E401" s="12">
        <v>52</v>
      </c>
      <c r="F401" s="12">
        <v>10.662559999999999</v>
      </c>
      <c r="G401" s="330">
        <f>'Proposed Rates'!$O$23/100</f>
        <v>-1.3</v>
      </c>
      <c r="H401" s="291">
        <f t="shared" si="45"/>
        <v>233.08274534153847</v>
      </c>
      <c r="I401" s="291">
        <f t="shared" si="46"/>
        <v>1359.2631488</v>
      </c>
      <c r="J401" s="291"/>
    </row>
    <row r="402" spans="1:12" s="143" customFormat="1" outlineLevel="2" x14ac:dyDescent="0.2">
      <c r="A402" s="143">
        <v>38000</v>
      </c>
      <c r="B402" s="143">
        <v>1944</v>
      </c>
      <c r="C402" s="89">
        <f t="shared" si="47"/>
        <v>80.5</v>
      </c>
      <c r="D402" s="268">
        <v>5546.35</v>
      </c>
      <c r="E402" s="12">
        <v>52</v>
      </c>
      <c r="F402" s="12">
        <v>10.266866</v>
      </c>
      <c r="G402" s="330">
        <f>'Proposed Rates'!$O$23/100</f>
        <v>-1.3</v>
      </c>
      <c r="H402" s="291">
        <f t="shared" si="45"/>
        <v>10237.944343270576</v>
      </c>
      <c r="I402" s="291">
        <f t="shared" si="46"/>
        <v>56943.632239100007</v>
      </c>
      <c r="J402" s="291"/>
    </row>
    <row r="403" spans="1:12" s="143" customFormat="1" outlineLevel="2" x14ac:dyDescent="0.2">
      <c r="A403" s="143">
        <v>38000</v>
      </c>
      <c r="B403" s="143">
        <v>1943</v>
      </c>
      <c r="C403" s="89">
        <f t="shared" si="47"/>
        <v>81.5</v>
      </c>
      <c r="D403" s="268">
        <v>17809.830000000002</v>
      </c>
      <c r="E403" s="12">
        <v>52</v>
      </c>
      <c r="F403" s="12">
        <v>9.8711450000000003</v>
      </c>
      <c r="G403" s="330">
        <f>'Proposed Rates'!$O$23/100</f>
        <v>-1.3</v>
      </c>
      <c r="H403" s="291">
        <f t="shared" si="45"/>
        <v>33186.688749667213</v>
      </c>
      <c r="I403" s="291">
        <f t="shared" si="46"/>
        <v>175803.41435535002</v>
      </c>
      <c r="J403" s="291"/>
    </row>
    <row r="404" spans="1:12" outlineLevel="2" x14ac:dyDescent="0.2">
      <c r="A404">
        <v>38000</v>
      </c>
      <c r="B404">
        <v>1942</v>
      </c>
      <c r="C404" s="89">
        <f t="shared" si="47"/>
        <v>82.5</v>
      </c>
      <c r="D404" s="268">
        <v>8296.66</v>
      </c>
      <c r="E404" s="12">
        <v>52</v>
      </c>
      <c r="F404" s="12">
        <v>9.4750130000000006</v>
      </c>
      <c r="G404" s="330">
        <f>'Proposed Rates'!$O$23/100</f>
        <v>-1.3</v>
      </c>
      <c r="H404" s="291">
        <f t="shared" si="44"/>
        <v>15605.294709228192</v>
      </c>
      <c r="I404" s="291">
        <f t="shared" si="41"/>
        <v>78610.96135658001</v>
      </c>
    </row>
    <row r="405" spans="1:12" outlineLevel="2" x14ac:dyDescent="0.2">
      <c r="A405">
        <v>38000</v>
      </c>
      <c r="B405">
        <v>1941</v>
      </c>
      <c r="C405" s="89">
        <f t="shared" si="47"/>
        <v>83.5</v>
      </c>
      <c r="D405" s="268">
        <v>4729.75</v>
      </c>
      <c r="E405" s="12">
        <v>52</v>
      </c>
      <c r="F405" s="12">
        <v>9.0780709999999996</v>
      </c>
      <c r="G405" s="330">
        <f>'Proposed Rates'!$O$23/100</f>
        <v>-1.3</v>
      </c>
      <c r="H405" s="291">
        <f t="shared" si="44"/>
        <v>8979.288182342787</v>
      </c>
      <c r="I405" s="291">
        <f t="shared" ref="I405:I457" si="48">+D405*F405</f>
        <v>42937.00631225</v>
      </c>
    </row>
    <row r="406" spans="1:12" s="143" customFormat="1" outlineLevel="2" x14ac:dyDescent="0.2">
      <c r="A406" s="143">
        <v>38000</v>
      </c>
      <c r="B406" s="143">
        <v>1940</v>
      </c>
      <c r="C406" s="89">
        <f t="shared" si="47"/>
        <v>84.5</v>
      </c>
      <c r="D406" s="268">
        <v>81.069999999999993</v>
      </c>
      <c r="E406" s="12">
        <v>52</v>
      </c>
      <c r="F406" s="12">
        <v>8.6798730000000006</v>
      </c>
      <c r="G406" s="330">
        <f>'Proposed Rates'!$O$23/100</f>
        <v>-1.3</v>
      </c>
      <c r="H406" s="291">
        <f t="shared" ref="H406:H413" si="49">+D406*(1-F406/E406)*(1-G406)</f>
        <v>155.33681154898073</v>
      </c>
      <c r="I406" s="291">
        <f t="shared" ref="I406:I413" si="50">+D406*F406</f>
        <v>703.67730411000002</v>
      </c>
      <c r="J406" s="291"/>
    </row>
    <row r="407" spans="1:12" s="143" customFormat="1" outlineLevel="2" x14ac:dyDescent="0.2">
      <c r="A407" s="143">
        <v>38000</v>
      </c>
      <c r="B407" s="143">
        <v>1939</v>
      </c>
      <c r="C407" s="89">
        <f t="shared" si="47"/>
        <v>85.5</v>
      </c>
      <c r="D407" s="268">
        <v>1710.51</v>
      </c>
      <c r="E407" s="12">
        <v>52</v>
      </c>
      <c r="F407" s="12">
        <v>8.2799549999999993</v>
      </c>
      <c r="G407" s="330">
        <f>'Proposed Rates'!$O$23/100</f>
        <v>-1.3</v>
      </c>
      <c r="H407" s="291">
        <f t="shared" si="49"/>
        <v>3307.7350114958654</v>
      </c>
      <c r="I407" s="291">
        <f t="shared" si="50"/>
        <v>14162.945827049998</v>
      </c>
      <c r="J407" s="291"/>
    </row>
    <row r="408" spans="1:12" outlineLevel="2" x14ac:dyDescent="0.2">
      <c r="A408" s="143">
        <v>38000</v>
      </c>
      <c r="B408" s="143">
        <v>1938</v>
      </c>
      <c r="C408" s="89">
        <f t="shared" si="47"/>
        <v>86.5</v>
      </c>
      <c r="D408" s="268">
        <v>2962.2799999999997</v>
      </c>
      <c r="E408" s="12">
        <v>52</v>
      </c>
      <c r="F408" s="12">
        <v>7.8778300000000003</v>
      </c>
      <c r="G408" s="330">
        <f>'Proposed Rates'!$O$23/100</f>
        <v>-1.3</v>
      </c>
      <c r="H408" s="291">
        <f t="shared" si="49"/>
        <v>5781.0598080669224</v>
      </c>
      <c r="I408" s="291">
        <f t="shared" si="50"/>
        <v>23336.338252400001</v>
      </c>
      <c r="K408" s="143"/>
      <c r="L408" s="143"/>
    </row>
    <row r="409" spans="1:12" outlineLevel="2" x14ac:dyDescent="0.2">
      <c r="A409" s="143">
        <v>38000</v>
      </c>
      <c r="B409" s="143">
        <v>1937</v>
      </c>
      <c r="C409" s="89">
        <f t="shared" si="47"/>
        <v>87.5</v>
      </c>
      <c r="D409" s="268">
        <v>59.6</v>
      </c>
      <c r="E409" s="12">
        <v>52</v>
      </c>
      <c r="F409" s="12">
        <v>7.4729679999999998</v>
      </c>
      <c r="G409" s="330">
        <f>'Proposed Rates'!$O$23/100</f>
        <v>-1.3</v>
      </c>
      <c r="H409" s="291">
        <f t="shared" si="49"/>
        <v>117.38010666461537</v>
      </c>
      <c r="I409" s="291">
        <f t="shared" si="50"/>
        <v>445.38889280000001</v>
      </c>
      <c r="K409" s="143"/>
      <c r="L409" s="143"/>
    </row>
    <row r="410" spans="1:12" outlineLevel="2" x14ac:dyDescent="0.2">
      <c r="A410" s="143">
        <v>38000</v>
      </c>
      <c r="B410" s="143">
        <v>1936</v>
      </c>
      <c r="C410" s="89">
        <f t="shared" si="47"/>
        <v>88.5</v>
      </c>
      <c r="D410" s="268">
        <v>2038.16</v>
      </c>
      <c r="E410" s="12">
        <v>52</v>
      </c>
      <c r="F410" s="12">
        <v>7.0648249999999999</v>
      </c>
      <c r="G410" s="330">
        <f>'Proposed Rates'!$O$23/100</f>
        <v>-1.3</v>
      </c>
      <c r="H410" s="291">
        <f t="shared" si="49"/>
        <v>4050.8783738346151</v>
      </c>
      <c r="I410" s="291">
        <f t="shared" si="50"/>
        <v>14399.243722000001</v>
      </c>
      <c r="K410" s="143"/>
      <c r="L410" s="143"/>
    </row>
    <row r="411" spans="1:12" outlineLevel="2" x14ac:dyDescent="0.2">
      <c r="A411" s="143">
        <v>38000</v>
      </c>
      <c r="B411" s="143">
        <v>1935</v>
      </c>
      <c r="C411" s="89">
        <f t="shared" si="47"/>
        <v>89.5</v>
      </c>
      <c r="D411" s="268">
        <v>103.11</v>
      </c>
      <c r="E411" s="12">
        <v>52</v>
      </c>
      <c r="F411" s="12">
        <v>6.6528260000000001</v>
      </c>
      <c r="G411" s="330">
        <f>'Proposed Rates'!$O$23/100</f>
        <v>-1.3</v>
      </c>
      <c r="H411" s="291">
        <f t="shared" si="49"/>
        <v>206.81189145426924</v>
      </c>
      <c r="I411" s="291">
        <f t="shared" si="50"/>
        <v>685.97288886000001</v>
      </c>
      <c r="K411" s="143"/>
      <c r="L411" s="143"/>
    </row>
    <row r="412" spans="1:12" outlineLevel="2" x14ac:dyDescent="0.2">
      <c r="A412" s="143">
        <v>38000</v>
      </c>
      <c r="B412" s="143">
        <v>1934</v>
      </c>
      <c r="C412" s="89">
        <f t="shared" si="47"/>
        <v>90.5</v>
      </c>
      <c r="D412" s="291">
        <v>84.24</v>
      </c>
      <c r="E412" s="12">
        <v>52</v>
      </c>
      <c r="F412" s="12">
        <v>6.2408270000000003</v>
      </c>
      <c r="G412" s="330">
        <f>'Proposed Rates'!$O$23/100</f>
        <v>-1.3</v>
      </c>
      <c r="H412" s="291">
        <f t="shared" si="49"/>
        <v>170.49867859799997</v>
      </c>
      <c r="I412" s="291">
        <f t="shared" si="50"/>
        <v>525.72726648000003</v>
      </c>
      <c r="K412" s="143"/>
      <c r="L412" s="143"/>
    </row>
    <row r="413" spans="1:12" outlineLevel="2" x14ac:dyDescent="0.2">
      <c r="A413" s="143">
        <v>38000</v>
      </c>
      <c r="B413" s="143">
        <v>1933</v>
      </c>
      <c r="C413" s="89">
        <f t="shared" si="47"/>
        <v>91.5</v>
      </c>
      <c r="D413" s="291">
        <v>157.80000000000001</v>
      </c>
      <c r="E413" s="12">
        <v>52</v>
      </c>
      <c r="F413" s="12">
        <v>5.8147080000000004</v>
      </c>
      <c r="G413" s="330">
        <f>'Proposed Rates'!$O$23/100</f>
        <v>-1.3</v>
      </c>
      <c r="H413" s="291">
        <f t="shared" si="49"/>
        <v>322.35557458615386</v>
      </c>
      <c r="I413" s="291">
        <f t="shared" si="50"/>
        <v>917.56092240000009</v>
      </c>
      <c r="K413" s="143"/>
      <c r="L413" s="143"/>
    </row>
    <row r="414" spans="1:12" outlineLevel="2" x14ac:dyDescent="0.2">
      <c r="A414">
        <v>38000</v>
      </c>
      <c r="B414">
        <v>1932</v>
      </c>
      <c r="C414" s="89">
        <f t="shared" si="47"/>
        <v>92.5</v>
      </c>
      <c r="D414" s="291">
        <v>1402.61</v>
      </c>
      <c r="E414" s="12">
        <v>52</v>
      </c>
      <c r="F414" s="12">
        <v>5.3885890000000005</v>
      </c>
      <c r="G414" s="330">
        <f>'Proposed Rates'!$O$23/100</f>
        <v>-1.3</v>
      </c>
      <c r="H414" s="291">
        <f t="shared" si="44"/>
        <v>2891.7029176967876</v>
      </c>
      <c r="I414" s="291">
        <f t="shared" si="48"/>
        <v>7558.0888172900004</v>
      </c>
    </row>
    <row r="415" spans="1:12" ht="13.5" customHeight="1" outlineLevel="2" x14ac:dyDescent="0.2">
      <c r="A415">
        <v>38000</v>
      </c>
      <c r="B415">
        <v>1930</v>
      </c>
      <c r="C415" s="89">
        <f>2024.5-B415</f>
        <v>94.5</v>
      </c>
      <c r="D415" s="291">
        <v>1242.3800000000001</v>
      </c>
      <c r="E415" s="12">
        <v>52</v>
      </c>
      <c r="F415" s="12">
        <v>4.5128649999999997</v>
      </c>
      <c r="G415" s="330">
        <f>'Proposed Rates'!$O$23/100</f>
        <v>-1.3</v>
      </c>
      <c r="H415" s="291">
        <f t="shared" ref="H415" si="51">+D415*(1-F415/E415)*(1-G415)</f>
        <v>2609.4856460959613</v>
      </c>
      <c r="I415" s="291">
        <f t="shared" ref="I415" si="52">+D415*F415</f>
        <v>5606.6932187000002</v>
      </c>
    </row>
    <row r="416" spans="1:12" s="143" customFormat="1" outlineLevel="1" x14ac:dyDescent="0.2">
      <c r="A416" s="20" t="s">
        <v>1186</v>
      </c>
      <c r="C416" s="89" t="s">
        <v>1230</v>
      </c>
      <c r="D416" s="291">
        <f>SUBTOTAL(9,D324:D415)</f>
        <v>68085342.289999977</v>
      </c>
      <c r="E416" s="12"/>
      <c r="F416" s="12"/>
      <c r="G416" s="330"/>
      <c r="H416" s="291">
        <f>SUBTOTAL(9,H324:H415)</f>
        <v>39910593.943207212</v>
      </c>
      <c r="I416" s="291">
        <f>SUBTOTAL(9,I324:I415)</f>
        <v>2638111327.3205338</v>
      </c>
      <c r="J416" s="291">
        <f>+I416/D416</f>
        <v>38.747125865709364</v>
      </c>
    </row>
    <row r="417" spans="1:10" outlineLevel="2" x14ac:dyDescent="0.2">
      <c r="A417">
        <v>38002</v>
      </c>
      <c r="B417">
        <v>2024</v>
      </c>
      <c r="C417" s="89">
        <v>0.5</v>
      </c>
      <c r="D417" s="291">
        <v>62511257.599999994</v>
      </c>
      <c r="E417" s="12">
        <v>55</v>
      </c>
      <c r="F417" s="12">
        <v>54.527462999999997</v>
      </c>
      <c r="G417" s="330">
        <f>'Proposed Rates'!$O$24/100</f>
        <v>-0.75</v>
      </c>
      <c r="H417" s="291">
        <f t="shared" si="44"/>
        <v>939873.52239872562</v>
      </c>
      <c r="I417" s="291">
        <f t="shared" si="48"/>
        <v>3408580285.8674684</v>
      </c>
    </row>
    <row r="418" spans="1:10" outlineLevel="2" x14ac:dyDescent="0.2">
      <c r="A418">
        <v>38002</v>
      </c>
      <c r="B418">
        <v>2023</v>
      </c>
      <c r="C418" s="89">
        <v>1.5</v>
      </c>
      <c r="D418" s="291">
        <v>66087725.829999991</v>
      </c>
      <c r="E418" s="12">
        <v>55</v>
      </c>
      <c r="F418" s="12">
        <v>53.58484</v>
      </c>
      <c r="G418" s="330">
        <f>'Proposed Rates'!$O$24/100</f>
        <v>-0.75</v>
      </c>
      <c r="H418" s="291">
        <f t="shared" si="44"/>
        <v>2975786.1027230951</v>
      </c>
      <c r="I418" s="291">
        <f t="shared" si="48"/>
        <v>3541300214.5644169</v>
      </c>
    </row>
    <row r="419" spans="1:10" s="143" customFormat="1" outlineLevel="2" x14ac:dyDescent="0.2">
      <c r="A419" s="143">
        <v>38002</v>
      </c>
      <c r="B419" s="143">
        <v>2022</v>
      </c>
      <c r="C419" s="89">
        <v>2.5</v>
      </c>
      <c r="D419" s="291">
        <v>62233681.32</v>
      </c>
      <c r="E419" s="12">
        <v>55</v>
      </c>
      <c r="F419" s="12">
        <v>52.645606000000001</v>
      </c>
      <c r="G419" s="330">
        <f>'Proposed Rates'!$O$24/100</f>
        <v>-0.75</v>
      </c>
      <c r="H419" s="291">
        <f t="shared" ref="H419:H425" si="53">+D419*(1-F419/E419)*(1-G419)</f>
        <v>4662082.9149274547</v>
      </c>
      <c r="I419" s="291">
        <f t="shared" ref="I419:I425" si="54">+D419*F419</f>
        <v>3276329866.70228</v>
      </c>
      <c r="J419" s="291"/>
    </row>
    <row r="420" spans="1:10" s="143" customFormat="1" outlineLevel="2" x14ac:dyDescent="0.2">
      <c r="A420" s="143">
        <v>38002</v>
      </c>
      <c r="B420" s="143">
        <v>2021</v>
      </c>
      <c r="C420" s="89">
        <v>3.5</v>
      </c>
      <c r="D420" s="291">
        <v>54543732.350000001</v>
      </c>
      <c r="E420" s="12">
        <v>55</v>
      </c>
      <c r="F420" s="12">
        <v>51.709918999999999</v>
      </c>
      <c r="G420" s="330">
        <f>'Proposed Rates'!$O$24/100</f>
        <v>-0.75</v>
      </c>
      <c r="H420" s="291">
        <f t="shared" si="53"/>
        <v>5709877.6468942864</v>
      </c>
      <c r="I420" s="291">
        <f t="shared" si="54"/>
        <v>2820451981.7761798</v>
      </c>
      <c r="J420" s="291"/>
    </row>
    <row r="421" spans="1:10" s="143" customFormat="1" outlineLevel="2" x14ac:dyDescent="0.2">
      <c r="A421" s="143">
        <v>38002</v>
      </c>
      <c r="B421" s="143">
        <v>2020</v>
      </c>
      <c r="C421" s="89">
        <v>4.5</v>
      </c>
      <c r="D421" s="291">
        <v>49738113.32</v>
      </c>
      <c r="E421" s="12">
        <v>55</v>
      </c>
      <c r="F421" s="12">
        <v>50.777949</v>
      </c>
      <c r="G421" s="330">
        <f>'Proposed Rates'!$O$24/100</f>
        <v>-0.75</v>
      </c>
      <c r="H421" s="291">
        <f t="shared" si="53"/>
        <v>6681717.9889351595</v>
      </c>
      <c r="I421" s="291">
        <f t="shared" si="54"/>
        <v>2525599381.5191808</v>
      </c>
      <c r="J421" s="291"/>
    </row>
    <row r="422" spans="1:10" s="143" customFormat="1" outlineLevel="2" x14ac:dyDescent="0.2">
      <c r="A422" s="143">
        <v>38002</v>
      </c>
      <c r="B422" s="143">
        <v>2019</v>
      </c>
      <c r="C422" s="89">
        <v>5.5</v>
      </c>
      <c r="D422" s="291">
        <v>41279315.600000001</v>
      </c>
      <c r="E422" s="12">
        <v>55</v>
      </c>
      <c r="F422" s="12">
        <v>49.849876000000002</v>
      </c>
      <c r="G422" s="330">
        <f>'Proposed Rates'!$O$24/100</f>
        <v>-0.75</v>
      </c>
      <c r="H422" s="291">
        <f t="shared" si="53"/>
        <v>6764341.6264815498</v>
      </c>
      <c r="I422" s="291">
        <f t="shared" si="54"/>
        <v>2057768764.0248659</v>
      </c>
      <c r="J422" s="291"/>
    </row>
    <row r="423" spans="1:10" outlineLevel="2" x14ac:dyDescent="0.2">
      <c r="A423" s="143">
        <v>38002</v>
      </c>
      <c r="B423">
        <v>2018</v>
      </c>
      <c r="C423" s="89">
        <v>6.5</v>
      </c>
      <c r="D423" s="291">
        <v>42070531.100000001</v>
      </c>
      <c r="E423" s="12">
        <v>55</v>
      </c>
      <c r="F423" s="12">
        <v>48.926183000000002</v>
      </c>
      <c r="G423" s="330">
        <f>'Proposed Rates'!$O$24/100</f>
        <v>-0.75</v>
      </c>
      <c r="H423" s="291">
        <f t="shared" si="53"/>
        <v>8130458.8589066379</v>
      </c>
      <c r="I423" s="291">
        <f t="shared" si="54"/>
        <v>2058350503.5057914</v>
      </c>
    </row>
    <row r="424" spans="1:10" outlineLevel="2" x14ac:dyDescent="0.2">
      <c r="A424" s="143">
        <v>38002</v>
      </c>
      <c r="B424">
        <v>2017</v>
      </c>
      <c r="C424" s="89">
        <v>7.5</v>
      </c>
      <c r="D424" s="291">
        <v>25325870.02</v>
      </c>
      <c r="E424" s="12">
        <v>55</v>
      </c>
      <c r="F424" s="12">
        <v>48.006779000000002</v>
      </c>
      <c r="G424" s="330">
        <f>'Proposed Rates'!$O$24/100</f>
        <v>-0.75</v>
      </c>
      <c r="H424" s="291">
        <f t="shared" si="53"/>
        <v>5635299.2839542767</v>
      </c>
      <c r="I424" s="291">
        <f t="shared" si="54"/>
        <v>1215813445.0328655</v>
      </c>
    </row>
    <row r="425" spans="1:10" outlineLevel="2" x14ac:dyDescent="0.2">
      <c r="A425" s="143">
        <v>38002</v>
      </c>
      <c r="B425">
        <v>2016</v>
      </c>
      <c r="C425" s="89">
        <v>8.5</v>
      </c>
      <c r="D425" s="291">
        <v>24706396.629999999</v>
      </c>
      <c r="E425" s="12">
        <v>55</v>
      </c>
      <c r="F425" s="12">
        <v>47.091845999999997</v>
      </c>
      <c r="G425" s="330">
        <f>'Proposed Rates'!$O$24/100</f>
        <v>-0.75</v>
      </c>
      <c r="H425" s="291">
        <f t="shared" si="53"/>
        <v>6216699.6606629416</v>
      </c>
      <c r="I425" s="291">
        <f t="shared" si="54"/>
        <v>1163469825.3148789</v>
      </c>
    </row>
    <row r="426" spans="1:10" outlineLevel="2" x14ac:dyDescent="0.2">
      <c r="A426">
        <v>38002</v>
      </c>
      <c r="B426">
        <v>2015</v>
      </c>
      <c r="C426" s="89">
        <v>9.5</v>
      </c>
      <c r="D426" s="291">
        <v>17667666.34</v>
      </c>
      <c r="E426" s="12">
        <v>55</v>
      </c>
      <c r="F426" s="12">
        <v>46.181572000000003</v>
      </c>
      <c r="G426" s="330">
        <f>'Proposed Rates'!$O$24/100</f>
        <v>-0.75</v>
      </c>
      <c r="H426" s="291">
        <f t="shared" si="44"/>
        <v>4957305.9310508827</v>
      </c>
      <c r="I426" s="291">
        <f t="shared" si="48"/>
        <v>815920605.15268648</v>
      </c>
    </row>
    <row r="427" spans="1:10" outlineLevel="2" x14ac:dyDescent="0.2">
      <c r="A427">
        <v>38002</v>
      </c>
      <c r="B427">
        <v>2014</v>
      </c>
      <c r="C427" s="89">
        <v>10.5</v>
      </c>
      <c r="D427" s="291">
        <v>16039838.689999999</v>
      </c>
      <c r="E427" s="12">
        <v>55</v>
      </c>
      <c r="F427" s="12">
        <v>45.276145</v>
      </c>
      <c r="G427" s="330">
        <f>'Proposed Rates'!$O$24/100</f>
        <v>-0.75</v>
      </c>
      <c r="H427" s="291">
        <f t="shared" si="44"/>
        <v>4962652.0887029544</v>
      </c>
      <c r="I427" s="291">
        <f t="shared" si="48"/>
        <v>726222062.30505002</v>
      </c>
    </row>
    <row r="428" spans="1:10" outlineLevel="2" x14ac:dyDescent="0.2">
      <c r="A428">
        <v>38002</v>
      </c>
      <c r="B428">
        <v>2013</v>
      </c>
      <c r="C428" s="89">
        <v>11.5</v>
      </c>
      <c r="D428" s="291">
        <v>13640697.210000001</v>
      </c>
      <c r="E428" s="12">
        <v>55</v>
      </c>
      <c r="F428" s="12">
        <v>44.375951999999998</v>
      </c>
      <c r="G428" s="330">
        <f>'Proposed Rates'!$O$24/100</f>
        <v>-0.75</v>
      </c>
      <c r="H428" s="291">
        <f t="shared" si="44"/>
        <v>4611072.5153979212</v>
      </c>
      <c r="I428" s="291">
        <f t="shared" si="48"/>
        <v>605318924.63749397</v>
      </c>
    </row>
    <row r="429" spans="1:10" outlineLevel="2" x14ac:dyDescent="0.2">
      <c r="A429">
        <v>38002</v>
      </c>
      <c r="B429">
        <v>2012</v>
      </c>
      <c r="C429" s="89">
        <v>12.5</v>
      </c>
      <c r="D429" s="291">
        <v>11400806.609999999</v>
      </c>
      <c r="E429" s="12">
        <v>55</v>
      </c>
      <c r="F429" s="12">
        <v>43.481214000000001</v>
      </c>
      <c r="G429" s="330">
        <f>'Proposed Rates'!$O$24/100</f>
        <v>-0.75</v>
      </c>
      <c r="H429" s="291">
        <f t="shared" si="44"/>
        <v>4178473.4589810371</v>
      </c>
      <c r="I429" s="291">
        <f t="shared" si="48"/>
        <v>495720911.98202455</v>
      </c>
    </row>
    <row r="430" spans="1:10" outlineLevel="2" x14ac:dyDescent="0.2">
      <c r="A430">
        <v>38002</v>
      </c>
      <c r="B430">
        <v>2011</v>
      </c>
      <c r="C430" s="89">
        <v>13.5</v>
      </c>
      <c r="D430" s="291">
        <v>9120883.8599999994</v>
      </c>
      <c r="E430" s="12">
        <v>55</v>
      </c>
      <c r="F430" s="12">
        <v>42.591940999999998</v>
      </c>
      <c r="G430" s="330">
        <f>'Proposed Rates'!$O$24/100</f>
        <v>-0.75</v>
      </c>
      <c r="H430" s="291">
        <f t="shared" si="44"/>
        <v>3600942.0703145182</v>
      </c>
      <c r="I430" s="291">
        <f t="shared" si="48"/>
        <v>388476147.2329722</v>
      </c>
    </row>
    <row r="431" spans="1:10" outlineLevel="2" x14ac:dyDescent="0.2">
      <c r="A431">
        <v>38002</v>
      </c>
      <c r="B431">
        <v>2010</v>
      </c>
      <c r="C431" s="89">
        <v>14.5</v>
      </c>
      <c r="D431" s="291">
        <v>8235451.8300000001</v>
      </c>
      <c r="E431" s="12">
        <v>55</v>
      </c>
      <c r="F431" s="12">
        <v>41.708323</v>
      </c>
      <c r="G431" s="330">
        <f>'Proposed Rates'!$O$24/100</f>
        <v>-0.75</v>
      </c>
      <c r="H431" s="291">
        <f t="shared" si="44"/>
        <v>3482912.5441542384</v>
      </c>
      <c r="I431" s="291">
        <f t="shared" si="48"/>
        <v>343486884.9765811</v>
      </c>
    </row>
    <row r="432" spans="1:10" outlineLevel="2" x14ac:dyDescent="0.2">
      <c r="A432">
        <v>38002</v>
      </c>
      <c r="B432">
        <v>2009</v>
      </c>
      <c r="C432" s="89">
        <v>15.5</v>
      </c>
      <c r="D432" s="291">
        <v>6158919.2699999996</v>
      </c>
      <c r="E432" s="12">
        <v>55</v>
      </c>
      <c r="F432" s="12">
        <v>40.830542999999999</v>
      </c>
      <c r="G432" s="330">
        <f>'Proposed Rates'!$O$24/100</f>
        <v>-0.75</v>
      </c>
      <c r="H432" s="291">
        <f t="shared" si="44"/>
        <v>2776726.3288143403</v>
      </c>
      <c r="I432" s="291">
        <f t="shared" si="48"/>
        <v>251472018.08726358</v>
      </c>
    </row>
    <row r="433" spans="1:9" outlineLevel="2" x14ac:dyDescent="0.2">
      <c r="A433">
        <v>38002</v>
      </c>
      <c r="B433">
        <v>2008</v>
      </c>
      <c r="C433" s="89">
        <v>16.5</v>
      </c>
      <c r="D433" s="291">
        <v>7961666.0899999999</v>
      </c>
      <c r="E433" s="12">
        <v>55</v>
      </c>
      <c r="F433" s="12">
        <v>39.958790999999998</v>
      </c>
      <c r="G433" s="330">
        <f>'Proposed Rates'!$O$24/100</f>
        <v>-0.75</v>
      </c>
      <c r="H433" s="291">
        <f t="shared" si="44"/>
        <v>3810325.3887969083</v>
      </c>
      <c r="I433" s="291">
        <f t="shared" si="48"/>
        <v>318138551.30209714</v>
      </c>
    </row>
    <row r="434" spans="1:9" outlineLevel="2" x14ac:dyDescent="0.2">
      <c r="A434">
        <v>38002</v>
      </c>
      <c r="B434">
        <v>2007</v>
      </c>
      <c r="C434" s="89">
        <v>17.5</v>
      </c>
      <c r="D434" s="291">
        <v>9570012.0700000003</v>
      </c>
      <c r="E434" s="12">
        <v>55</v>
      </c>
      <c r="F434" s="12">
        <v>39.093756999999997</v>
      </c>
      <c r="G434" s="330">
        <f>'Proposed Rates'!$O$24/100</f>
        <v>-0.75</v>
      </c>
      <c r="H434" s="291">
        <f t="shared" si="44"/>
        <v>4843457.1022203229</v>
      </c>
      <c r="I434" s="291">
        <f t="shared" si="48"/>
        <v>374127726.35164696</v>
      </c>
    </row>
    <row r="435" spans="1:9" outlineLevel="2" x14ac:dyDescent="0.2">
      <c r="A435">
        <v>38002</v>
      </c>
      <c r="B435">
        <v>2006</v>
      </c>
      <c r="C435" s="89">
        <v>18.5</v>
      </c>
      <c r="D435" s="291">
        <v>10833211.640000001</v>
      </c>
      <c r="E435" s="12">
        <v>55</v>
      </c>
      <c r="F435" s="12">
        <v>38.235174000000001</v>
      </c>
      <c r="G435" s="330">
        <f>'Proposed Rates'!$O$24/100</f>
        <v>-0.75</v>
      </c>
      <c r="H435" s="291">
        <f t="shared" si="44"/>
        <v>5778719.8052746486</v>
      </c>
      <c r="I435" s="291">
        <f t="shared" si="48"/>
        <v>414209732.0342254</v>
      </c>
    </row>
    <row r="436" spans="1:9" outlineLevel="2" x14ac:dyDescent="0.2">
      <c r="A436">
        <v>38002</v>
      </c>
      <c r="B436">
        <v>2005</v>
      </c>
      <c r="C436" s="89">
        <v>19.5</v>
      </c>
      <c r="D436" s="291">
        <v>10242225.91</v>
      </c>
      <c r="E436" s="12">
        <v>55</v>
      </c>
      <c r="F436" s="12">
        <v>37.383212999999998</v>
      </c>
      <c r="G436" s="330">
        <f>'Proposed Rates'!$O$24/100</f>
        <v>-0.75</v>
      </c>
      <c r="H436" s="291">
        <f t="shared" si="44"/>
        <v>5741117.2083475385</v>
      </c>
      <c r="I436" s="291">
        <f t="shared" si="48"/>
        <v>382887312.7876488</v>
      </c>
    </row>
    <row r="437" spans="1:9" outlineLevel="2" x14ac:dyDescent="0.2">
      <c r="A437">
        <v>38002</v>
      </c>
      <c r="B437">
        <v>2004</v>
      </c>
      <c r="C437" s="89">
        <v>20.5</v>
      </c>
      <c r="D437" s="291">
        <v>10785749.57</v>
      </c>
      <c r="E437" s="12">
        <v>55</v>
      </c>
      <c r="F437" s="12">
        <v>36.538049999999998</v>
      </c>
      <c r="G437" s="330">
        <f>'Proposed Rates'!$O$24/100</f>
        <v>-0.75</v>
      </c>
      <c r="H437" s="291">
        <f t="shared" si="44"/>
        <v>6335826.2950774124</v>
      </c>
      <c r="I437" s="291">
        <f t="shared" si="48"/>
        <v>394090257.0761385</v>
      </c>
    </row>
    <row r="438" spans="1:9" outlineLevel="2" x14ac:dyDescent="0.2">
      <c r="A438">
        <v>38002</v>
      </c>
      <c r="B438">
        <v>2003</v>
      </c>
      <c r="C438" s="89">
        <v>21.5</v>
      </c>
      <c r="D438" s="291">
        <v>10675414.15</v>
      </c>
      <c r="E438" s="12">
        <v>55</v>
      </c>
      <c r="F438" s="12">
        <v>35.699860000000001</v>
      </c>
      <c r="G438" s="330">
        <f>'Proposed Rates'!$O$24/100</f>
        <v>-0.75</v>
      </c>
      <c r="H438" s="291">
        <f t="shared" si="44"/>
        <v>6555722.3344130311</v>
      </c>
      <c r="I438" s="291">
        <f t="shared" si="48"/>
        <v>381110790.59701902</v>
      </c>
    </row>
    <row r="439" spans="1:9" outlineLevel="2" x14ac:dyDescent="0.2">
      <c r="A439">
        <v>38002</v>
      </c>
      <c r="B439">
        <v>2002</v>
      </c>
      <c r="C439" s="89">
        <v>22.5</v>
      </c>
      <c r="D439" s="291">
        <v>9561016.3100000005</v>
      </c>
      <c r="E439" s="12">
        <v>55</v>
      </c>
      <c r="F439" s="12">
        <v>34.869098999999999</v>
      </c>
      <c r="G439" s="330">
        <f>'Proposed Rates'!$O$24/100</f>
        <v>-0.75</v>
      </c>
      <c r="H439" s="291">
        <f t="shared" si="44"/>
        <v>6124105.0435089432</v>
      </c>
      <c r="I439" s="291">
        <f t="shared" si="48"/>
        <v>333384024.25400472</v>
      </c>
    </row>
    <row r="440" spans="1:9" outlineLevel="2" x14ac:dyDescent="0.2">
      <c r="A440">
        <v>38002</v>
      </c>
      <c r="B440">
        <v>2001</v>
      </c>
      <c r="C440" s="89">
        <v>23.5</v>
      </c>
      <c r="D440" s="291">
        <v>2636333.21</v>
      </c>
      <c r="E440" s="12">
        <v>55</v>
      </c>
      <c r="F440" s="12">
        <v>34.045976000000003</v>
      </c>
      <c r="G440" s="330">
        <f>'Proposed Rates'!$O$24/100</f>
        <v>-0.75</v>
      </c>
      <c r="H440" s="291">
        <f t="shared" si="44"/>
        <v>1757693.2976379967</v>
      </c>
      <c r="I440" s="291">
        <f t="shared" si="48"/>
        <v>89756537.19566296</v>
      </c>
    </row>
    <row r="441" spans="1:9" outlineLevel="2" x14ac:dyDescent="0.2">
      <c r="A441">
        <v>38002</v>
      </c>
      <c r="B441">
        <v>2000</v>
      </c>
      <c r="C441" s="89">
        <v>24.5</v>
      </c>
      <c r="D441" s="291">
        <v>22372714.650000002</v>
      </c>
      <c r="E441" s="12">
        <v>55</v>
      </c>
      <c r="F441" s="12">
        <v>33.230370999999998</v>
      </c>
      <c r="G441" s="330">
        <f>'Proposed Rates'!$O$24/100</f>
        <v>-0.75</v>
      </c>
      <c r="H441" s="291">
        <f t="shared" si="44"/>
        <v>15496908.561697975</v>
      </c>
      <c r="I441" s="291">
        <f t="shared" si="48"/>
        <v>743453608.09663522</v>
      </c>
    </row>
    <row r="442" spans="1:9" outlineLevel="2" x14ac:dyDescent="0.2">
      <c r="A442">
        <v>38002</v>
      </c>
      <c r="B442">
        <v>1999</v>
      </c>
      <c r="C442" s="89">
        <v>25.5</v>
      </c>
      <c r="D442" s="291">
        <v>7483457.8899999997</v>
      </c>
      <c r="E442" s="12">
        <v>55</v>
      </c>
      <c r="F442" s="12">
        <v>32.422434000000003</v>
      </c>
      <c r="G442" s="330">
        <f>'Proposed Rates'!$O$24/100</f>
        <v>-0.75</v>
      </c>
      <c r="H442" s="291">
        <f t="shared" si="44"/>
        <v>5375944.7769903177</v>
      </c>
      <c r="I442" s="291">
        <f t="shared" si="48"/>
        <v>242631919.53030428</v>
      </c>
    </row>
    <row r="443" spans="1:9" outlineLevel="2" x14ac:dyDescent="0.2">
      <c r="A443">
        <v>38002</v>
      </c>
      <c r="B443">
        <v>1998</v>
      </c>
      <c r="C443" s="89">
        <v>26.5</v>
      </c>
      <c r="D443" s="291">
        <v>5783972.9000000004</v>
      </c>
      <c r="E443" s="12">
        <v>55</v>
      </c>
      <c r="F443" s="12">
        <v>31.622323999999999</v>
      </c>
      <c r="G443" s="330">
        <f>'Proposed Rates'!$O$24/100</f>
        <v>-0.75</v>
      </c>
      <c r="H443" s="291">
        <f t="shared" si="44"/>
        <v>4302322.32337665</v>
      </c>
      <c r="I443" s="291">
        <f t="shared" si="48"/>
        <v>182902665.05101961</v>
      </c>
    </row>
    <row r="444" spans="1:9" outlineLevel="2" x14ac:dyDescent="0.2">
      <c r="A444">
        <v>38002</v>
      </c>
      <c r="B444">
        <v>1997</v>
      </c>
      <c r="C444" s="89">
        <v>27.5</v>
      </c>
      <c r="D444" s="291">
        <v>5793613.7400000002</v>
      </c>
      <c r="E444" s="12">
        <v>55</v>
      </c>
      <c r="F444" s="12">
        <v>30.830190000000002</v>
      </c>
      <c r="G444" s="330">
        <f>'Proposed Rates'!$O$24/100</f>
        <v>-0.75</v>
      </c>
      <c r="H444" s="291">
        <f t="shared" si="44"/>
        <v>4455517.2871105717</v>
      </c>
      <c r="I444" s="291">
        <f t="shared" si="48"/>
        <v>178618212.39081061</v>
      </c>
    </row>
    <row r="445" spans="1:9" outlineLevel="2" x14ac:dyDescent="0.2">
      <c r="A445">
        <v>38002</v>
      </c>
      <c r="B445">
        <v>1996</v>
      </c>
      <c r="C445" s="89">
        <v>28.5</v>
      </c>
      <c r="D445" s="291">
        <v>4978692.4400000004</v>
      </c>
      <c r="E445" s="12">
        <v>55</v>
      </c>
      <c r="F445" s="12">
        <v>30.046896</v>
      </c>
      <c r="G445" s="330">
        <f>'Proposed Rates'!$O$24/100</f>
        <v>-0.75</v>
      </c>
      <c r="H445" s="291">
        <f t="shared" si="44"/>
        <v>3952894.5985242566</v>
      </c>
      <c r="I445" s="291">
        <f t="shared" si="48"/>
        <v>149594253.96066624</v>
      </c>
    </row>
    <row r="446" spans="1:9" outlineLevel="2" x14ac:dyDescent="0.2">
      <c r="A446">
        <v>38002</v>
      </c>
      <c r="B446">
        <v>1995</v>
      </c>
      <c r="C446" s="89">
        <v>29.5</v>
      </c>
      <c r="D446" s="291">
        <v>4686480.8600000003</v>
      </c>
      <c r="E446" s="12">
        <v>55</v>
      </c>
      <c r="F446" s="12">
        <v>29.271951000000001</v>
      </c>
      <c r="G446" s="330">
        <f>'Proposed Rates'!$O$24/100</f>
        <v>-0.75</v>
      </c>
      <c r="H446" s="291">
        <f t="shared" si="44"/>
        <v>3836445.7473886129</v>
      </c>
      <c r="I446" s="291">
        <f t="shared" si="48"/>
        <v>137182438.09635788</v>
      </c>
    </row>
    <row r="447" spans="1:9" outlineLevel="2" x14ac:dyDescent="0.2">
      <c r="A447">
        <v>38002</v>
      </c>
      <c r="B447">
        <v>1994</v>
      </c>
      <c r="C447" s="89">
        <v>30.5</v>
      </c>
      <c r="D447" s="291">
        <v>4973523.9800000004</v>
      </c>
      <c r="E447" s="12">
        <v>55</v>
      </c>
      <c r="F447" s="12">
        <v>28.505514999999999</v>
      </c>
      <c r="G447" s="330">
        <f>'Proposed Rates'!$O$24/100</f>
        <v>-0.75</v>
      </c>
      <c r="H447" s="291">
        <f t="shared" ref="H447:H515" si="55">+D447*(1-F447/E447)*(1-G447)</f>
        <v>4192712.2518034191</v>
      </c>
      <c r="I447" s="291">
        <f t="shared" si="48"/>
        <v>141772862.41474971</v>
      </c>
    </row>
    <row r="448" spans="1:9" outlineLevel="2" x14ac:dyDescent="0.2">
      <c r="A448">
        <v>38002</v>
      </c>
      <c r="B448">
        <v>1993</v>
      </c>
      <c r="C448" s="89">
        <v>31.5</v>
      </c>
      <c r="D448" s="291">
        <v>4886374.05</v>
      </c>
      <c r="E448" s="12">
        <v>55</v>
      </c>
      <c r="F448" s="12">
        <v>27.747754</v>
      </c>
      <c r="G448" s="330">
        <f>'Proposed Rates'!$O$24/100</f>
        <v>-0.75</v>
      </c>
      <c r="H448" s="291">
        <f t="shared" si="55"/>
        <v>4237057.6073196083</v>
      </c>
      <c r="I448" s="291">
        <f t="shared" si="48"/>
        <v>135585905.0913837</v>
      </c>
    </row>
    <row r="449" spans="1:9" outlineLevel="2" x14ac:dyDescent="0.2">
      <c r="A449">
        <v>38002</v>
      </c>
      <c r="B449">
        <v>1992</v>
      </c>
      <c r="C449" s="89">
        <v>32.5</v>
      </c>
      <c r="D449" s="291">
        <v>3616386.29</v>
      </c>
      <c r="E449" s="12">
        <v>55</v>
      </c>
      <c r="F449" s="12">
        <v>26.998839</v>
      </c>
      <c r="G449" s="330">
        <f>'Proposed Rates'!$O$24/100</f>
        <v>-0.75</v>
      </c>
      <c r="H449" s="291">
        <f t="shared" si="55"/>
        <v>3222005.0145971766</v>
      </c>
      <c r="I449" s="291">
        <f t="shared" si="48"/>
        <v>97638231.205517307</v>
      </c>
    </row>
    <row r="450" spans="1:9" outlineLevel="2" x14ac:dyDescent="0.2">
      <c r="A450">
        <v>38002</v>
      </c>
      <c r="B450">
        <v>1991</v>
      </c>
      <c r="C450" s="89">
        <v>33.5</v>
      </c>
      <c r="D450" s="291">
        <v>3654743.39</v>
      </c>
      <c r="E450" s="12">
        <v>55</v>
      </c>
      <c r="F450" s="12">
        <v>26.259350999999999</v>
      </c>
      <c r="G450" s="330">
        <f>'Proposed Rates'!$O$24/100</f>
        <v>-0.75</v>
      </c>
      <c r="H450" s="291">
        <f t="shared" si="55"/>
        <v>3342172.1759064579</v>
      </c>
      <c r="I450" s="291">
        <f t="shared" si="48"/>
        <v>95971189.492939889</v>
      </c>
    </row>
    <row r="451" spans="1:9" outlineLevel="2" x14ac:dyDescent="0.2">
      <c r="A451">
        <v>38002</v>
      </c>
      <c r="B451">
        <v>1990</v>
      </c>
      <c r="C451" s="89">
        <v>34.5</v>
      </c>
      <c r="D451" s="291">
        <v>3839374.61</v>
      </c>
      <c r="E451" s="12">
        <v>55</v>
      </c>
      <c r="F451" s="12">
        <v>25.529532</v>
      </c>
      <c r="G451" s="330">
        <f>'Proposed Rates'!$O$24/100</f>
        <v>-0.75</v>
      </c>
      <c r="H451" s="291">
        <f t="shared" si="55"/>
        <v>3600168.9367641928</v>
      </c>
      <c r="I451" s="291">
        <f t="shared" si="48"/>
        <v>98017436.965982512</v>
      </c>
    </row>
    <row r="452" spans="1:9" outlineLevel="2" x14ac:dyDescent="0.2">
      <c r="A452">
        <v>38002</v>
      </c>
      <c r="B452">
        <v>1989</v>
      </c>
      <c r="C452" s="89">
        <v>35.5</v>
      </c>
      <c r="D452" s="291">
        <v>2931766.99</v>
      </c>
      <c r="E452" s="12">
        <v>55</v>
      </c>
      <c r="F452" s="12">
        <v>24.80922</v>
      </c>
      <c r="G452" s="330">
        <f>'Proposed Rates'!$O$24/100</f>
        <v>-0.75</v>
      </c>
      <c r="H452" s="291">
        <f t="shared" si="55"/>
        <v>2816301.4792930246</v>
      </c>
      <c r="I452" s="291">
        <f t="shared" si="48"/>
        <v>72734852.243647799</v>
      </c>
    </row>
    <row r="453" spans="1:9" outlineLevel="2" x14ac:dyDescent="0.2">
      <c r="A453">
        <v>38002</v>
      </c>
      <c r="B453">
        <v>1988</v>
      </c>
      <c r="C453" s="89">
        <v>36.5</v>
      </c>
      <c r="D453" s="291">
        <v>3232091.47</v>
      </c>
      <c r="E453" s="12">
        <v>55</v>
      </c>
      <c r="F453" s="12">
        <v>24.098642000000002</v>
      </c>
      <c r="G453" s="330">
        <f>'Proposed Rates'!$O$24/100</f>
        <v>-0.75</v>
      </c>
      <c r="H453" s="291">
        <f t="shared" si="55"/>
        <v>3177873.2237386988</v>
      </c>
      <c r="I453" s="291">
        <f t="shared" si="48"/>
        <v>77889015.246783748</v>
      </c>
    </row>
    <row r="454" spans="1:9" outlineLevel="2" x14ac:dyDescent="0.2">
      <c r="A454">
        <v>38002</v>
      </c>
      <c r="B454">
        <v>1987</v>
      </c>
      <c r="C454" s="89">
        <v>37.5</v>
      </c>
      <c r="D454" s="291">
        <v>2663338.87</v>
      </c>
      <c r="E454" s="12">
        <v>55</v>
      </c>
      <c r="F454" s="12">
        <v>23.398046000000001</v>
      </c>
      <c r="G454" s="330">
        <f>'Proposed Rates'!$O$24/100</f>
        <v>-0.75</v>
      </c>
      <c r="H454" s="291">
        <f t="shared" si="55"/>
        <v>2678031.7599684717</v>
      </c>
      <c r="I454" s="291">
        <f t="shared" si="48"/>
        <v>62316925.393848024</v>
      </c>
    </row>
    <row r="455" spans="1:9" outlineLevel="2" x14ac:dyDescent="0.2">
      <c r="A455">
        <v>38002</v>
      </c>
      <c r="B455">
        <v>1986</v>
      </c>
      <c r="C455" s="89">
        <v>38.5</v>
      </c>
      <c r="D455" s="291">
        <v>2463685.46</v>
      </c>
      <c r="E455" s="12">
        <v>55</v>
      </c>
      <c r="F455" s="12">
        <v>22.707698000000001</v>
      </c>
      <c r="G455" s="330">
        <f>'Proposed Rates'!$O$24/100</f>
        <v>-0.75</v>
      </c>
      <c r="H455" s="291">
        <f t="shared" si="55"/>
        <v>2531393.2925059199</v>
      </c>
      <c r="I455" s="291">
        <f t="shared" si="48"/>
        <v>55944625.392671078</v>
      </c>
    </row>
    <row r="456" spans="1:9" outlineLevel="2" x14ac:dyDescent="0.2">
      <c r="A456">
        <v>38002</v>
      </c>
      <c r="B456">
        <v>1985</v>
      </c>
      <c r="C456" s="89">
        <v>39.5</v>
      </c>
      <c r="D456" s="291">
        <v>1204161.2099999995</v>
      </c>
      <c r="E456" s="12">
        <v>55</v>
      </c>
      <c r="F456" s="12">
        <v>22.028793</v>
      </c>
      <c r="G456" s="330">
        <f>'Proposed Rates'!$O$24/100</f>
        <v>-0.75</v>
      </c>
      <c r="H456" s="291">
        <f t="shared" si="55"/>
        <v>1263266.0891543778</v>
      </c>
      <c r="I456" s="291">
        <f t="shared" si="48"/>
        <v>26526218.033719521</v>
      </c>
    </row>
    <row r="457" spans="1:9" outlineLevel="2" x14ac:dyDescent="0.2">
      <c r="A457">
        <v>38002</v>
      </c>
      <c r="B457">
        <v>1984</v>
      </c>
      <c r="C457" s="89">
        <v>40.5</v>
      </c>
      <c r="D457" s="291">
        <v>0</v>
      </c>
      <c r="E457" s="12">
        <v>55</v>
      </c>
      <c r="F457" s="12">
        <v>21.360810000000001</v>
      </c>
      <c r="G457" s="330">
        <f>'Proposed Rates'!$O$24/100</f>
        <v>-0.75</v>
      </c>
      <c r="H457" s="291">
        <f t="shared" si="55"/>
        <v>0</v>
      </c>
      <c r="I457" s="291">
        <f t="shared" si="48"/>
        <v>0</v>
      </c>
    </row>
    <row r="458" spans="1:9" outlineLevel="2" x14ac:dyDescent="0.2">
      <c r="C458" s="89"/>
    </row>
    <row r="459" spans="1:9" outlineLevel="2" x14ac:dyDescent="0.2">
      <c r="C459" s="89"/>
    </row>
    <row r="460" spans="1:9" outlineLevel="2" x14ac:dyDescent="0.2">
      <c r="C460" s="89"/>
    </row>
    <row r="461" spans="1:9" outlineLevel="2" x14ac:dyDescent="0.2">
      <c r="C461" s="89"/>
    </row>
    <row r="462" spans="1:9" outlineLevel="2" x14ac:dyDescent="0.2">
      <c r="C462" s="89"/>
    </row>
    <row r="463" spans="1:9" outlineLevel="2" x14ac:dyDescent="0.2">
      <c r="C463" s="89"/>
    </row>
    <row r="464" spans="1:9" outlineLevel="2" x14ac:dyDescent="0.2">
      <c r="C464" s="89"/>
    </row>
    <row r="465" spans="1:10" outlineLevel="2" x14ac:dyDescent="0.2">
      <c r="C465" s="89"/>
    </row>
    <row r="466" spans="1:10" outlineLevel="2" x14ac:dyDescent="0.2">
      <c r="C466" s="89"/>
    </row>
    <row r="467" spans="1:10" outlineLevel="2" x14ac:dyDescent="0.2">
      <c r="C467" s="89"/>
    </row>
    <row r="468" spans="1:10" outlineLevel="2" x14ac:dyDescent="0.2">
      <c r="C468" s="89"/>
    </row>
    <row r="469" spans="1:10" outlineLevel="2" x14ac:dyDescent="0.2">
      <c r="C469" s="89"/>
    </row>
    <row r="470" spans="1:10" outlineLevel="2" x14ac:dyDescent="0.2">
      <c r="C470" s="89"/>
    </row>
    <row r="471" spans="1:10" outlineLevel="2" x14ac:dyDescent="0.2">
      <c r="C471" s="89"/>
    </row>
    <row r="472" spans="1:10" outlineLevel="2" x14ac:dyDescent="0.2">
      <c r="C472" s="89"/>
    </row>
    <row r="473" spans="1:10" outlineLevel="2" x14ac:dyDescent="0.2">
      <c r="C473" s="89"/>
    </row>
    <row r="474" spans="1:10" outlineLevel="2" x14ac:dyDescent="0.2">
      <c r="C474" s="89"/>
    </row>
    <row r="475" spans="1:10" s="143" customFormat="1" outlineLevel="1" x14ac:dyDescent="0.2">
      <c r="A475" s="20" t="s">
        <v>1187</v>
      </c>
      <c r="C475" s="89"/>
      <c r="D475" s="291">
        <f>SUBTOTAL(9,D417:D474)</f>
        <v>667590895.32999992</v>
      </c>
      <c r="E475" s="12"/>
      <c r="F475" s="12"/>
      <c r="G475" s="330"/>
      <c r="H475" s="291">
        <f>SUBTOTAL(9,H417:H474)</f>
        <v>185714204.14471656</v>
      </c>
      <c r="I475" s="291">
        <f>SUBTOTAL(9,I417:I474)</f>
        <v>30880767112.887482</v>
      </c>
      <c r="J475" s="291">
        <f>+I475/D475</f>
        <v>46.257022570121585</v>
      </c>
    </row>
    <row r="476" spans="1:10" outlineLevel="2" x14ac:dyDescent="0.2">
      <c r="A476">
        <v>38100</v>
      </c>
      <c r="B476">
        <v>2024</v>
      </c>
      <c r="C476" s="89">
        <v>0.5</v>
      </c>
      <c r="D476" s="291">
        <v>15370700.000665599</v>
      </c>
      <c r="E476" s="12">
        <v>20</v>
      </c>
      <c r="F476" s="12">
        <v>19.54824</v>
      </c>
      <c r="G476" s="330">
        <f>'Proposed Rates'!$O$25/100</f>
        <v>0</v>
      </c>
      <c r="H476" s="291">
        <f t="shared" si="55"/>
        <v>347193.37161503534</v>
      </c>
      <c r="I476" s="291">
        <f t="shared" ref="I476:I531" si="56">+D476*F476</f>
        <v>300470132.5810113</v>
      </c>
    </row>
    <row r="477" spans="1:10" outlineLevel="2" x14ac:dyDescent="0.2">
      <c r="A477">
        <v>38100</v>
      </c>
      <c r="B477">
        <v>2023</v>
      </c>
      <c r="C477" s="89">
        <v>1.5</v>
      </c>
      <c r="D477" s="291">
        <v>7270521.6099999994</v>
      </c>
      <c r="E477" s="12">
        <v>20</v>
      </c>
      <c r="F477" s="12">
        <v>18.654191999999998</v>
      </c>
      <c r="G477" s="330">
        <f>'Proposed Rates'!$O$25/100</f>
        <v>0</v>
      </c>
      <c r="H477" s="291">
        <f t="shared" si="55"/>
        <v>489236.30734554457</v>
      </c>
      <c r="I477" s="291">
        <f t="shared" si="56"/>
        <v>135625706.05308908</v>
      </c>
    </row>
    <row r="478" spans="1:10" outlineLevel="2" x14ac:dyDescent="0.2">
      <c r="A478">
        <v>38100</v>
      </c>
      <c r="B478">
        <v>2022</v>
      </c>
      <c r="C478" s="89">
        <v>2.5</v>
      </c>
      <c r="D478" s="291">
        <v>7955614.290000001</v>
      </c>
      <c r="E478" s="12">
        <v>20</v>
      </c>
      <c r="F478" s="12">
        <v>17.773679999999999</v>
      </c>
      <c r="G478" s="330">
        <f>'Proposed Rates'!$O$25/100</f>
        <v>0</v>
      </c>
      <c r="H478" s="291">
        <f t="shared" si="55"/>
        <v>885587.16030564078</v>
      </c>
      <c r="I478" s="291">
        <f t="shared" si="56"/>
        <v>141400542.59388721</v>
      </c>
    </row>
    <row r="479" spans="1:10" s="143" customFormat="1" outlineLevel="2" x14ac:dyDescent="0.2">
      <c r="A479" s="143">
        <v>38100</v>
      </c>
      <c r="B479" s="143">
        <v>2021</v>
      </c>
      <c r="C479" s="89">
        <v>3.5</v>
      </c>
      <c r="D479" s="291">
        <v>6363475.7999999998</v>
      </c>
      <c r="E479" s="12">
        <v>20</v>
      </c>
      <c r="F479" s="12">
        <v>16.907615</v>
      </c>
      <c r="G479" s="330">
        <f>'Proposed Rates'!$O$25/100</f>
        <v>0</v>
      </c>
      <c r="H479" s="291">
        <f t="shared" ref="H479:H488" si="57">+D479*(1-F479/E479)*(1-G479)</f>
        <v>983915.85558914987</v>
      </c>
      <c r="I479" s="291">
        <f t="shared" ref="I479:I488" si="58">+D479*F479</f>
        <v>107591198.888217</v>
      </c>
      <c r="J479" s="291"/>
    </row>
    <row r="480" spans="1:10" s="143" customFormat="1" outlineLevel="2" x14ac:dyDescent="0.2">
      <c r="A480" s="143">
        <v>38100</v>
      </c>
      <c r="B480" s="143">
        <v>2020</v>
      </c>
      <c r="C480" s="89">
        <v>4.5</v>
      </c>
      <c r="D480" s="291">
        <v>4880024.6900000004</v>
      </c>
      <c r="E480" s="12">
        <v>20</v>
      </c>
      <c r="F480" s="12">
        <v>16.056894</v>
      </c>
      <c r="G480" s="330">
        <f>'Proposed Rates'!$O$25/100</f>
        <v>0</v>
      </c>
      <c r="H480" s="291">
        <f t="shared" si="57"/>
        <v>962122.73176435719</v>
      </c>
      <c r="I480" s="291">
        <f t="shared" si="58"/>
        <v>78358039.164712861</v>
      </c>
      <c r="J480" s="291"/>
    </row>
    <row r="481" spans="1:10" s="143" customFormat="1" outlineLevel="2" x14ac:dyDescent="0.2">
      <c r="A481" s="143">
        <v>38100</v>
      </c>
      <c r="B481" s="143">
        <v>2019</v>
      </c>
      <c r="C481" s="89">
        <v>5.5</v>
      </c>
      <c r="D481" s="291">
        <v>5992488.0499999998</v>
      </c>
      <c r="E481" s="12">
        <v>20</v>
      </c>
      <c r="F481" s="12">
        <v>15.2224</v>
      </c>
      <c r="G481" s="330">
        <f>'Proposed Rates'!$O$25/100</f>
        <v>0</v>
      </c>
      <c r="H481" s="291">
        <f t="shared" si="57"/>
        <v>1431485.5453839998</v>
      </c>
      <c r="I481" s="291">
        <f t="shared" si="58"/>
        <v>91220050.092319995</v>
      </c>
      <c r="J481" s="291"/>
    </row>
    <row r="482" spans="1:10" s="143" customFormat="1" outlineLevel="2" x14ac:dyDescent="0.2">
      <c r="A482" s="143">
        <v>38100</v>
      </c>
      <c r="B482" s="143">
        <v>2018</v>
      </c>
      <c r="C482" s="89">
        <v>6.5</v>
      </c>
      <c r="D482" s="291">
        <v>3781157.14</v>
      </c>
      <c r="E482" s="12">
        <v>20</v>
      </c>
      <c r="F482" s="12">
        <v>14.405016</v>
      </c>
      <c r="G482" s="330">
        <f>'Proposed Rates'!$O$25/100</f>
        <v>0</v>
      </c>
      <c r="H482" s="291">
        <f t="shared" si="57"/>
        <v>1057775.6849892882</v>
      </c>
      <c r="I482" s="291">
        <f t="shared" si="58"/>
        <v>54467629.100214243</v>
      </c>
      <c r="J482" s="291"/>
    </row>
    <row r="483" spans="1:10" s="143" customFormat="1" outlineLevel="2" x14ac:dyDescent="0.2">
      <c r="A483" s="143">
        <v>38100</v>
      </c>
      <c r="B483" s="143">
        <v>2017</v>
      </c>
      <c r="C483" s="89">
        <v>7.5</v>
      </c>
      <c r="D483" s="291">
        <v>5069819.4800000004</v>
      </c>
      <c r="E483" s="12">
        <v>20</v>
      </c>
      <c r="F483" s="12">
        <v>13.605627</v>
      </c>
      <c r="G483" s="330">
        <f>'Proposed Rates'!$O$25/100</f>
        <v>0</v>
      </c>
      <c r="H483" s="291">
        <f t="shared" si="57"/>
        <v>1620915.8398893022</v>
      </c>
      <c r="I483" s="291">
        <f t="shared" si="58"/>
        <v>68978072.802213967</v>
      </c>
      <c r="J483" s="291"/>
    </row>
    <row r="484" spans="1:10" s="143" customFormat="1" outlineLevel="2" x14ac:dyDescent="0.2">
      <c r="A484" s="143">
        <v>38100</v>
      </c>
      <c r="B484" s="143">
        <v>2016</v>
      </c>
      <c r="C484" s="89">
        <v>8.5</v>
      </c>
      <c r="D484" s="291">
        <v>3923394.52</v>
      </c>
      <c r="E484" s="12">
        <v>20</v>
      </c>
      <c r="F484" s="12">
        <v>12.825138000000001</v>
      </c>
      <c r="G484" s="330">
        <f>'Proposed Rates'!$O$25/100</f>
        <v>0</v>
      </c>
      <c r="H484" s="291">
        <f t="shared" si="57"/>
        <v>1407490.7126278118</v>
      </c>
      <c r="I484" s="291">
        <f t="shared" si="58"/>
        <v>50318076.147443764</v>
      </c>
      <c r="J484" s="291"/>
    </row>
    <row r="485" spans="1:10" s="143" customFormat="1" outlineLevel="2" x14ac:dyDescent="0.2">
      <c r="A485" s="143">
        <v>38100</v>
      </c>
      <c r="B485" s="143">
        <v>2015</v>
      </c>
      <c r="C485" s="89">
        <v>9.5</v>
      </c>
      <c r="D485" s="291">
        <v>4293558.7300000004</v>
      </c>
      <c r="E485" s="12">
        <v>20</v>
      </c>
      <c r="F485" s="12">
        <v>12.064488000000001</v>
      </c>
      <c r="G485" s="330">
        <f>'Proposed Rates'!$O$25/100</f>
        <v>0</v>
      </c>
      <c r="H485" s="291">
        <f t="shared" si="57"/>
        <v>1703579.3412309883</v>
      </c>
      <c r="I485" s="291">
        <f t="shared" si="58"/>
        <v>51799587.775380246</v>
      </c>
      <c r="J485" s="291"/>
    </row>
    <row r="486" spans="1:10" s="143" customFormat="1" outlineLevel="2" x14ac:dyDescent="0.2">
      <c r="A486" s="143">
        <v>38100</v>
      </c>
      <c r="B486" s="143">
        <v>2014</v>
      </c>
      <c r="C486" s="89">
        <v>10.5</v>
      </c>
      <c r="D486" s="291">
        <v>2359484.58</v>
      </c>
      <c r="E486" s="12">
        <v>20</v>
      </c>
      <c r="F486" s="12">
        <v>11.324655</v>
      </c>
      <c r="G486" s="330">
        <f>'Proposed Rates'!$O$25/100</f>
        <v>0</v>
      </c>
      <c r="H486" s="291">
        <f t="shared" si="57"/>
        <v>1023467.1376840052</v>
      </c>
      <c r="I486" s="291">
        <f t="shared" si="58"/>
        <v>26720348.846319899</v>
      </c>
      <c r="J486" s="291"/>
    </row>
    <row r="487" spans="1:10" s="143" customFormat="1" outlineLevel="2" x14ac:dyDescent="0.2">
      <c r="A487" s="143">
        <v>38100</v>
      </c>
      <c r="B487" s="143">
        <v>2013</v>
      </c>
      <c r="C487" s="89">
        <v>11.5</v>
      </c>
      <c r="D487" s="291">
        <v>2991226.1</v>
      </c>
      <c r="E487" s="12">
        <v>20</v>
      </c>
      <c r="F487" s="12">
        <v>10.606671</v>
      </c>
      <c r="G487" s="330">
        <f>'Proposed Rates'!$O$25/100</f>
        <v>0</v>
      </c>
      <c r="H487" s="291">
        <f t="shared" si="57"/>
        <v>1404878.543534345</v>
      </c>
      <c r="I487" s="291">
        <f t="shared" si="58"/>
        <v>31726951.129313104</v>
      </c>
      <c r="J487" s="291"/>
    </row>
    <row r="488" spans="1:10" outlineLevel="2" x14ac:dyDescent="0.2">
      <c r="A488" s="143">
        <v>38100</v>
      </c>
      <c r="B488">
        <v>2012</v>
      </c>
      <c r="C488" s="89">
        <v>12.5</v>
      </c>
      <c r="D488" s="291">
        <v>4915452.76</v>
      </c>
      <c r="E488" s="12">
        <v>20</v>
      </c>
      <c r="F488" s="12">
        <v>9.9116210000000002</v>
      </c>
      <c r="G488" s="330">
        <f>'Proposed Rates'!$O$25/100</f>
        <v>0</v>
      </c>
      <c r="H488" s="291">
        <f t="shared" si="57"/>
        <v>2479447.5199738019</v>
      </c>
      <c r="I488" s="291">
        <f t="shared" si="58"/>
        <v>48720104.800523959</v>
      </c>
    </row>
    <row r="489" spans="1:10" outlineLevel="2" x14ac:dyDescent="0.2">
      <c r="A489" s="143">
        <v>38100</v>
      </c>
      <c r="B489">
        <v>2011</v>
      </c>
      <c r="C489" s="89">
        <v>13.5</v>
      </c>
      <c r="D489" s="291">
        <v>8431805.2899999991</v>
      </c>
      <c r="E489" s="12">
        <v>20</v>
      </c>
      <c r="F489" s="12">
        <v>9.2406349999999993</v>
      </c>
      <c r="G489" s="330">
        <f>'Proposed Rates'!$O$25/100</f>
        <v>0</v>
      </c>
      <c r="H489" s="291">
        <f t="shared" si="55"/>
        <v>4536043.5362020424</v>
      </c>
      <c r="I489" s="291">
        <f t="shared" si="56"/>
        <v>77915235.075959131</v>
      </c>
    </row>
    <row r="490" spans="1:10" outlineLevel="2" x14ac:dyDescent="0.2">
      <c r="A490" s="143">
        <v>38100</v>
      </c>
      <c r="B490">
        <v>2010</v>
      </c>
      <c r="C490" s="89">
        <v>14.5</v>
      </c>
      <c r="D490" s="291">
        <v>5179866.3600000003</v>
      </c>
      <c r="E490" s="12">
        <v>20</v>
      </c>
      <c r="F490" s="12">
        <v>8.5948670000000007</v>
      </c>
      <c r="G490" s="330">
        <f>'Proposed Rates'!$O$25/100</f>
        <v>0</v>
      </c>
      <c r="H490" s="291">
        <f t="shared" si="55"/>
        <v>2953853.2379012937</v>
      </c>
      <c r="I490" s="291">
        <f t="shared" si="56"/>
        <v>44520262.441974126</v>
      </c>
    </row>
    <row r="491" spans="1:10" outlineLevel="2" x14ac:dyDescent="0.2">
      <c r="A491" s="143">
        <v>38100</v>
      </c>
      <c r="B491">
        <v>2009</v>
      </c>
      <c r="C491" s="89">
        <v>15.5</v>
      </c>
      <c r="D491" s="291">
        <v>1718648.02</v>
      </c>
      <c r="E491" s="12">
        <v>20</v>
      </c>
      <c r="F491" s="12">
        <v>7.9754639999999997</v>
      </c>
      <c r="G491" s="330">
        <f>'Proposed Rates'!$O$25/100</f>
        <v>0</v>
      </c>
      <c r="H491" s="291">
        <f t="shared" si="55"/>
        <v>1033297.2493909361</v>
      </c>
      <c r="I491" s="291">
        <f t="shared" si="56"/>
        <v>13707015.412181279</v>
      </c>
    </row>
    <row r="492" spans="1:10" outlineLevel="2" x14ac:dyDescent="0.2">
      <c r="A492" s="143">
        <v>38100</v>
      </c>
      <c r="B492">
        <v>2008</v>
      </c>
      <c r="C492" s="89">
        <v>16.5</v>
      </c>
      <c r="D492" s="291">
        <v>3289624.18</v>
      </c>
      <c r="E492" s="12">
        <v>20</v>
      </c>
      <c r="F492" s="12">
        <v>7.3835179999999996</v>
      </c>
      <c r="G492" s="330">
        <f>'Proposed Rates'!$O$25/100</f>
        <v>0</v>
      </c>
      <c r="H492" s="291">
        <f t="shared" si="55"/>
        <v>2075174.212686738</v>
      </c>
      <c r="I492" s="291">
        <f t="shared" si="56"/>
        <v>24288999.346265242</v>
      </c>
    </row>
    <row r="493" spans="1:10" outlineLevel="2" x14ac:dyDescent="0.2">
      <c r="A493">
        <v>38100</v>
      </c>
      <c r="B493">
        <v>2007</v>
      </c>
      <c r="C493" s="89">
        <v>17.5</v>
      </c>
      <c r="D493" s="291">
        <v>2734232.59</v>
      </c>
      <c r="E493" s="12">
        <v>20</v>
      </c>
      <c r="F493" s="12">
        <v>6.8200099999999999</v>
      </c>
      <c r="G493" s="330">
        <f>'Proposed Rates'!$O$25/100</f>
        <v>0</v>
      </c>
      <c r="H493" s="291">
        <f t="shared" si="55"/>
        <v>1801857.9096937047</v>
      </c>
      <c r="I493" s="291">
        <f t="shared" si="56"/>
        <v>18647493.606125899</v>
      </c>
    </row>
    <row r="494" spans="1:10" outlineLevel="2" x14ac:dyDescent="0.2">
      <c r="A494">
        <v>38100</v>
      </c>
      <c r="B494">
        <v>2006</v>
      </c>
      <c r="C494" s="89">
        <v>18.5</v>
      </c>
      <c r="D494" s="291">
        <v>3243483.56</v>
      </c>
      <c r="E494" s="12">
        <v>20</v>
      </c>
      <c r="F494" s="12">
        <v>6.2857349999999999</v>
      </c>
      <c r="G494" s="330">
        <f>'Proposed Rates'!$O$25/100</f>
        <v>0</v>
      </c>
      <c r="H494" s="291">
        <f t="shared" si="55"/>
        <v>2224099.6532491702</v>
      </c>
      <c r="I494" s="291">
        <f t="shared" si="56"/>
        <v>20387678.135016602</v>
      </c>
    </row>
    <row r="495" spans="1:10" s="143" customFormat="1" outlineLevel="2" x14ac:dyDescent="0.2">
      <c r="A495" s="143">
        <v>38100</v>
      </c>
      <c r="B495" s="143">
        <v>2005</v>
      </c>
      <c r="C495" s="89">
        <v>19.5</v>
      </c>
      <c r="D495" s="291">
        <v>2881541.76</v>
      </c>
      <c r="E495" s="12">
        <v>20</v>
      </c>
      <c r="F495" s="12">
        <v>5.7812270000000003</v>
      </c>
      <c r="G495" s="330">
        <f>'Proposed Rates'!$O$25/100</f>
        <v>0</v>
      </c>
      <c r="H495" s="291">
        <f t="shared" ref="H495:H499" si="59">+D495*(1-F495/E495)*(1-G495)</f>
        <v>2048599.4087730239</v>
      </c>
      <c r="I495" s="291">
        <f t="shared" ref="I495:I499" si="60">+D495*F495</f>
        <v>16658847.024539519</v>
      </c>
      <c r="J495" s="291"/>
    </row>
    <row r="496" spans="1:10" s="143" customFormat="1" outlineLevel="2" x14ac:dyDescent="0.2">
      <c r="A496" s="143">
        <v>38100</v>
      </c>
      <c r="B496" s="143">
        <v>2004</v>
      </c>
      <c r="C496" s="89">
        <v>20.5</v>
      </c>
      <c r="D496" s="291">
        <v>2552262.56</v>
      </c>
      <c r="E496" s="12">
        <v>20</v>
      </c>
      <c r="F496" s="12">
        <v>5.3066779999999998</v>
      </c>
      <c r="G496" s="330">
        <f>'Proposed Rates'!$O$25/100</f>
        <v>0</v>
      </c>
      <c r="H496" s="291">
        <f t="shared" si="59"/>
        <v>1875060.7811312161</v>
      </c>
      <c r="I496" s="291">
        <f t="shared" si="60"/>
        <v>13544035.57737568</v>
      </c>
      <c r="J496" s="291"/>
    </row>
    <row r="497" spans="1:10" s="143" customFormat="1" outlineLevel="2" x14ac:dyDescent="0.2">
      <c r="A497" s="143">
        <v>38100</v>
      </c>
      <c r="B497" s="143">
        <v>2003</v>
      </c>
      <c r="C497" s="89">
        <v>21.5</v>
      </c>
      <c r="D497" s="291">
        <v>2680422.5</v>
      </c>
      <c r="E497" s="12">
        <v>20</v>
      </c>
      <c r="F497" s="12">
        <v>4.8618430000000004</v>
      </c>
      <c r="G497" s="330">
        <f>'Proposed Rates'!$O$25/100</f>
        <v>0</v>
      </c>
      <c r="H497" s="291">
        <f t="shared" si="59"/>
        <v>2028832.8315666248</v>
      </c>
      <c r="I497" s="291">
        <f t="shared" si="60"/>
        <v>13031793.3686675</v>
      </c>
      <c r="J497" s="291"/>
    </row>
    <row r="498" spans="1:10" outlineLevel="2" x14ac:dyDescent="0.2">
      <c r="A498" s="143">
        <v>38100</v>
      </c>
      <c r="B498">
        <v>2002</v>
      </c>
      <c r="C498" s="89">
        <v>22.5</v>
      </c>
      <c r="D498" s="291">
        <v>2433788.38</v>
      </c>
      <c r="E498" s="12">
        <v>20</v>
      </c>
      <c r="F498" s="12">
        <v>4.4459600000000004</v>
      </c>
      <c r="G498" s="330">
        <f>'Proposed Rates'!$O$25/100</f>
        <v>0</v>
      </c>
      <c r="H498" s="291">
        <f t="shared" si="59"/>
        <v>1892762.09070276</v>
      </c>
      <c r="I498" s="291">
        <f t="shared" si="60"/>
        <v>10820525.785944801</v>
      </c>
    </row>
    <row r="499" spans="1:10" outlineLevel="2" x14ac:dyDescent="0.2">
      <c r="A499" s="143">
        <v>38100</v>
      </c>
      <c r="B499">
        <v>2000</v>
      </c>
      <c r="C499" s="89">
        <v>24.5</v>
      </c>
      <c r="D499" s="291">
        <v>3099145.3300000005</v>
      </c>
      <c r="E499" s="12">
        <v>20</v>
      </c>
      <c r="F499" s="12">
        <v>3.6948210000000001</v>
      </c>
      <c r="G499" s="330">
        <f>'Proposed Rates'!$O$25/100</f>
        <v>0</v>
      </c>
      <c r="H499" s="291">
        <f t="shared" si="59"/>
        <v>2526605.9676332041</v>
      </c>
      <c r="I499" s="291">
        <f t="shared" si="60"/>
        <v>11450787.247335933</v>
      </c>
    </row>
    <row r="500" spans="1:10" outlineLevel="2" x14ac:dyDescent="0.2">
      <c r="A500">
        <v>38100</v>
      </c>
      <c r="B500">
        <v>1999</v>
      </c>
      <c r="C500" s="89">
        <f t="shared" ref="C500" si="61">2024.5-B500</f>
        <v>25.5</v>
      </c>
      <c r="D500" s="291">
        <v>0</v>
      </c>
      <c r="E500" s="12">
        <v>20</v>
      </c>
      <c r="F500" s="12">
        <v>4.4459600000000004</v>
      </c>
      <c r="G500" s="330">
        <f>'Proposed Rates'!$O$25/100</f>
        <v>0</v>
      </c>
      <c r="H500" s="291">
        <f t="shared" si="55"/>
        <v>0</v>
      </c>
      <c r="I500" s="291">
        <f t="shared" si="56"/>
        <v>0</v>
      </c>
    </row>
    <row r="501" spans="1:10" s="143" customFormat="1" outlineLevel="1" x14ac:dyDescent="0.2">
      <c r="A501" s="20" t="s">
        <v>1188</v>
      </c>
      <c r="C501" s="89" t="s">
        <v>1230</v>
      </c>
      <c r="D501" s="291">
        <f>SUBTOTAL(9,D476:D500)</f>
        <v>113411738.28066561</v>
      </c>
      <c r="E501" s="12"/>
      <c r="F501" s="12"/>
      <c r="G501" s="330"/>
      <c r="H501" s="291">
        <f>SUBTOTAL(9,H476:H500)</f>
        <v>40793282.630863972</v>
      </c>
      <c r="I501" s="291">
        <f>SUBTOTAL(9,I476:I500)</f>
        <v>1452369112.9960322</v>
      </c>
      <c r="J501" s="291">
        <f>+I501/D501</f>
        <v>12.80616217522196</v>
      </c>
    </row>
    <row r="502" spans="1:10" outlineLevel="2" x14ac:dyDescent="0.2">
      <c r="A502">
        <v>38200</v>
      </c>
      <c r="B502">
        <v>2024</v>
      </c>
      <c r="C502" s="89">
        <v>0.5</v>
      </c>
      <c r="D502" s="291">
        <v>14527639.261068391</v>
      </c>
      <c r="E502" s="12">
        <v>45</v>
      </c>
      <c r="F502" s="12">
        <v>44.588079999999998</v>
      </c>
      <c r="G502" s="330">
        <f>'Proposed Rates'!$O$26/100</f>
        <v>-0.3</v>
      </c>
      <c r="H502" s="291">
        <f t="shared" si="55"/>
        <v>172877.6158610025</v>
      </c>
      <c r="I502" s="291">
        <f t="shared" si="56"/>
        <v>647759541.58365822</v>
      </c>
    </row>
    <row r="503" spans="1:10" outlineLevel="2" x14ac:dyDescent="0.2">
      <c r="A503">
        <v>38200</v>
      </c>
      <c r="B503">
        <v>2023</v>
      </c>
      <c r="C503" s="89">
        <v>1.5</v>
      </c>
      <c r="D503" s="291">
        <v>14647230.451392706</v>
      </c>
      <c r="E503" s="12">
        <v>45</v>
      </c>
      <c r="F503" s="12">
        <v>43.768006</v>
      </c>
      <c r="G503" s="330">
        <f>'Proposed Rates'!$O$26/100</f>
        <v>-0.3</v>
      </c>
      <c r="H503" s="291">
        <f t="shared" si="55"/>
        <v>521308.66761229007</v>
      </c>
      <c r="I503" s="291">
        <f t="shared" si="56"/>
        <v>641080070.2799387</v>
      </c>
    </row>
    <row r="504" spans="1:10" outlineLevel="2" x14ac:dyDescent="0.2">
      <c r="A504">
        <v>38200</v>
      </c>
      <c r="B504">
        <v>2022</v>
      </c>
      <c r="C504" s="89">
        <v>2.5</v>
      </c>
      <c r="D504" s="291">
        <v>10932158.810000001</v>
      </c>
      <c r="E504" s="12">
        <v>45</v>
      </c>
      <c r="F504" s="12">
        <v>42.952955000000003</v>
      </c>
      <c r="G504" s="330">
        <f>'Proposed Rates'!$O$26/100</f>
        <v>-0.3</v>
      </c>
      <c r="H504" s="291">
        <f t="shared" si="55"/>
        <v>646493.49645736336</v>
      </c>
      <c r="I504" s="291">
        <f t="shared" si="56"/>
        <v>469568525.41878361</v>
      </c>
    </row>
    <row r="505" spans="1:10" outlineLevel="2" x14ac:dyDescent="0.2">
      <c r="A505">
        <v>38200</v>
      </c>
      <c r="B505">
        <v>2021</v>
      </c>
      <c r="C505" s="89">
        <v>3.5</v>
      </c>
      <c r="D505" s="291">
        <v>8410531.6300000008</v>
      </c>
      <c r="E505" s="12">
        <v>45</v>
      </c>
      <c r="F505" s="12">
        <v>42.142937000000003</v>
      </c>
      <c r="G505" s="330">
        <f>'Proposed Rates'!$O$26/100</f>
        <v>-0.3</v>
      </c>
      <c r="H505" s="291">
        <f t="shared" si="55"/>
        <v>694183.20776718867</v>
      </c>
      <c r="I505" s="291">
        <f t="shared" si="56"/>
        <v>354444504.61959738</v>
      </c>
    </row>
    <row r="506" spans="1:10" outlineLevel="2" x14ac:dyDescent="0.2">
      <c r="A506">
        <v>38200</v>
      </c>
      <c r="B506">
        <v>2020</v>
      </c>
      <c r="C506" s="89">
        <v>4.5</v>
      </c>
      <c r="D506" s="291">
        <v>7085783.1100000003</v>
      </c>
      <c r="E506" s="12">
        <v>45</v>
      </c>
      <c r="F506" s="12">
        <v>41.337977000000002</v>
      </c>
      <c r="G506" s="330">
        <f>'Proposed Rates'!$O$26/100</f>
        <v>-0.3</v>
      </c>
      <c r="H506" s="291">
        <f t="shared" si="55"/>
        <v>749617.57640846632</v>
      </c>
      <c r="I506" s="291">
        <f t="shared" si="56"/>
        <v>292911939.22816849</v>
      </c>
    </row>
    <row r="507" spans="1:10" outlineLevel="2" x14ac:dyDescent="0.2">
      <c r="A507">
        <v>38200</v>
      </c>
      <c r="B507">
        <v>2019</v>
      </c>
      <c r="C507" s="89">
        <v>5.5</v>
      </c>
      <c r="D507" s="291">
        <v>5760374.3600000003</v>
      </c>
      <c r="E507" s="12">
        <v>45</v>
      </c>
      <c r="F507" s="12">
        <v>40.538459000000003</v>
      </c>
      <c r="G507" s="330">
        <f>'Proposed Rates'!$O$26/100</f>
        <v>-0.3</v>
      </c>
      <c r="H507" s="291">
        <f t="shared" si="55"/>
        <v>742448.67327189702</v>
      </c>
      <c r="I507" s="291">
        <f t="shared" si="56"/>
        <v>233516699.81751126</v>
      </c>
    </row>
    <row r="508" spans="1:10" outlineLevel="2" x14ac:dyDescent="0.2">
      <c r="A508">
        <v>38200</v>
      </c>
      <c r="B508">
        <v>2018</v>
      </c>
      <c r="C508" s="89">
        <v>6.5</v>
      </c>
      <c r="D508" s="291">
        <v>5206038.25</v>
      </c>
      <c r="E508" s="12">
        <v>45</v>
      </c>
      <c r="F508" s="12">
        <v>39.744045999999997</v>
      </c>
      <c r="G508" s="330">
        <f>'Proposed Rates'!$O$26/100</f>
        <v>-0.3</v>
      </c>
      <c r="H508" s="291">
        <f t="shared" si="55"/>
        <v>790477.92963361461</v>
      </c>
      <c r="I508" s="291">
        <f t="shared" si="56"/>
        <v>206909023.68575948</v>
      </c>
    </row>
    <row r="509" spans="1:10" outlineLevel="2" x14ac:dyDescent="0.2">
      <c r="A509">
        <v>38200</v>
      </c>
      <c r="B509">
        <v>2017</v>
      </c>
      <c r="C509" s="89">
        <v>7.5</v>
      </c>
      <c r="D509" s="291">
        <v>3370499.49</v>
      </c>
      <c r="E509" s="12">
        <v>45</v>
      </c>
      <c r="F509" s="12">
        <v>38.954757999999998</v>
      </c>
      <c r="G509" s="330">
        <f>'Proposed Rates'!$O$26/100</f>
        <v>-0.3</v>
      </c>
      <c r="H509" s="291">
        <f t="shared" si="55"/>
        <v>588625.12447343487</v>
      </c>
      <c r="I509" s="291">
        <f t="shared" si="56"/>
        <v>131296991.97207342</v>
      </c>
    </row>
    <row r="510" spans="1:10" outlineLevel="2" x14ac:dyDescent="0.2">
      <c r="A510">
        <v>38200</v>
      </c>
      <c r="B510">
        <v>2016</v>
      </c>
      <c r="C510" s="89">
        <v>8.5</v>
      </c>
      <c r="D510" s="291">
        <v>3590691.31</v>
      </c>
      <c r="E510" s="12">
        <v>45</v>
      </c>
      <c r="F510" s="12">
        <v>38.170605000000002</v>
      </c>
      <c r="G510" s="330">
        <f>'Proposed Rates'!$O$26/100</f>
        <v>-0.3</v>
      </c>
      <c r="H510" s="291">
        <f t="shared" si="55"/>
        <v>708420.53472832614</v>
      </c>
      <c r="I510" s="291">
        <f t="shared" si="56"/>
        <v>137058859.67094254</v>
      </c>
    </row>
    <row r="511" spans="1:10" outlineLevel="2" x14ac:dyDescent="0.2">
      <c r="A511">
        <v>38200</v>
      </c>
      <c r="B511">
        <v>2015</v>
      </c>
      <c r="C511" s="89">
        <v>9.5</v>
      </c>
      <c r="D511" s="291">
        <v>2450705.7200000002</v>
      </c>
      <c r="E511" s="12">
        <v>45</v>
      </c>
      <c r="F511" s="12">
        <v>37.39181</v>
      </c>
      <c r="G511" s="330">
        <f>'Proposed Rates'!$O$26/100</f>
        <v>-0.3</v>
      </c>
      <c r="H511" s="291">
        <f t="shared" si="55"/>
        <v>538645.89283112984</v>
      </c>
      <c r="I511" s="291">
        <f t="shared" si="56"/>
        <v>91636322.648153201</v>
      </c>
    </row>
    <row r="512" spans="1:10" outlineLevel="2" x14ac:dyDescent="0.2">
      <c r="A512">
        <v>38200</v>
      </c>
      <c r="B512">
        <v>2014</v>
      </c>
      <c r="C512" s="89">
        <v>10.5</v>
      </c>
      <c r="D512" s="291">
        <v>2327250.21</v>
      </c>
      <c r="E512" s="12">
        <v>45</v>
      </c>
      <c r="F512" s="12">
        <v>36.618388000000003</v>
      </c>
      <c r="G512" s="330">
        <f>'Proposed Rates'!$O$26/100</f>
        <v>-0.3</v>
      </c>
      <c r="H512" s="291">
        <f t="shared" si="55"/>
        <v>563509.79496177926</v>
      </c>
      <c r="I512" s="291">
        <f t="shared" si="56"/>
        <v>85220151.162861481</v>
      </c>
    </row>
    <row r="513" spans="1:9" outlineLevel="2" x14ac:dyDescent="0.2">
      <c r="A513">
        <v>38200</v>
      </c>
      <c r="B513">
        <v>2013</v>
      </c>
      <c r="C513" s="89">
        <v>11.5</v>
      </c>
      <c r="D513" s="291">
        <v>1834052</v>
      </c>
      <c r="E513" s="12">
        <v>45</v>
      </c>
      <c r="F513" s="12">
        <v>35.850178</v>
      </c>
      <c r="G513" s="330">
        <f>'Proposed Rates'!$O$26/100</f>
        <v>-0.3</v>
      </c>
      <c r="H513" s="291">
        <f t="shared" si="55"/>
        <v>484791.64756371564</v>
      </c>
      <c r="I513" s="291">
        <f t="shared" si="56"/>
        <v>65751090.661256</v>
      </c>
    </row>
    <row r="514" spans="1:9" outlineLevel="2" x14ac:dyDescent="0.2">
      <c r="A514">
        <v>38200</v>
      </c>
      <c r="B514">
        <v>2012</v>
      </c>
      <c r="C514" s="89">
        <v>12.5</v>
      </c>
      <c r="D514" s="291">
        <v>1918712.59</v>
      </c>
      <c r="E514" s="12">
        <v>45</v>
      </c>
      <c r="F514" s="12">
        <v>35.087190999999997</v>
      </c>
      <c r="G514" s="330">
        <f>'Proposed Rates'!$O$26/100</f>
        <v>-0.3</v>
      </c>
      <c r="H514" s="291">
        <f t="shared" si="55"/>
        <v>549461.79688299808</v>
      </c>
      <c r="I514" s="291">
        <f t="shared" si="56"/>
        <v>67322235.119434685</v>
      </c>
    </row>
    <row r="515" spans="1:9" outlineLevel="2" x14ac:dyDescent="0.2">
      <c r="A515">
        <v>38200</v>
      </c>
      <c r="B515">
        <v>2011</v>
      </c>
      <c r="C515" s="89">
        <v>13.5</v>
      </c>
      <c r="D515" s="291">
        <v>2197867.62</v>
      </c>
      <c r="E515" s="12">
        <v>45</v>
      </c>
      <c r="F515" s="12">
        <v>34.329459</v>
      </c>
      <c r="G515" s="330">
        <f>'Proposed Rates'!$O$26/100</f>
        <v>-0.3</v>
      </c>
      <c r="H515" s="291">
        <f t="shared" si="55"/>
        <v>677514.83371815889</v>
      </c>
      <c r="I515" s="291">
        <f t="shared" si="56"/>
        <v>75451606.348217577</v>
      </c>
    </row>
    <row r="516" spans="1:9" outlineLevel="2" x14ac:dyDescent="0.2">
      <c r="A516">
        <v>38200</v>
      </c>
      <c r="B516">
        <v>2010</v>
      </c>
      <c r="C516" s="89">
        <v>14.5</v>
      </c>
      <c r="D516" s="291">
        <v>2001925.56</v>
      </c>
      <c r="E516" s="12">
        <v>45</v>
      </c>
      <c r="F516" s="12">
        <v>33.577466000000001</v>
      </c>
      <c r="G516" s="330">
        <f>'Proposed Rates'!$O$26/100</f>
        <v>-0.3</v>
      </c>
      <c r="H516" s="291">
        <f t="shared" ref="H516:H563" si="62">+D516*(1-F516/E516)*(1-G516)</f>
        <v>660604.03570977203</v>
      </c>
      <c r="I516" s="291">
        <f t="shared" si="56"/>
        <v>67219587.425430968</v>
      </c>
    </row>
    <row r="517" spans="1:9" outlineLevel="2" x14ac:dyDescent="0.2">
      <c r="A517">
        <v>38200</v>
      </c>
      <c r="B517">
        <v>2009</v>
      </c>
      <c r="C517" s="89">
        <v>15.5</v>
      </c>
      <c r="D517" s="291">
        <v>2030124.35</v>
      </c>
      <c r="E517" s="12">
        <v>45</v>
      </c>
      <c r="F517" s="12">
        <v>32.830964999999999</v>
      </c>
      <c r="G517" s="330">
        <f>'Proposed Rates'!$O$26/100</f>
        <v>-0.3</v>
      </c>
      <c r="H517" s="291">
        <f t="shared" si="62"/>
        <v>713690.01223006495</v>
      </c>
      <c r="I517" s="291">
        <f t="shared" si="56"/>
        <v>66650941.480497748</v>
      </c>
    </row>
    <row r="518" spans="1:9" outlineLevel="2" x14ac:dyDescent="0.2">
      <c r="A518">
        <v>38200</v>
      </c>
      <c r="B518">
        <v>2008</v>
      </c>
      <c r="C518" s="89">
        <v>16.5</v>
      </c>
      <c r="D518" s="291">
        <v>2136983.83</v>
      </c>
      <c r="E518" s="12">
        <v>45</v>
      </c>
      <c r="F518" s="12">
        <v>32.090125999999998</v>
      </c>
      <c r="G518" s="330">
        <f>'Proposed Rates'!$O$26/100</f>
        <v>-0.3</v>
      </c>
      <c r="H518" s="291">
        <f t="shared" si="62"/>
        <v>796992.21290974773</v>
      </c>
      <c r="I518" s="291">
        <f t="shared" si="56"/>
        <v>68576080.364662573</v>
      </c>
    </row>
    <row r="519" spans="1:9" outlineLevel="2" x14ac:dyDescent="0.2">
      <c r="A519">
        <v>38200</v>
      </c>
      <c r="B519">
        <v>2007</v>
      </c>
      <c r="C519" s="89">
        <v>17.5</v>
      </c>
      <c r="D519" s="291">
        <v>2126369.48</v>
      </c>
      <c r="E519" s="12">
        <v>45</v>
      </c>
      <c r="F519" s="12">
        <v>31.355160999999999</v>
      </c>
      <c r="G519" s="330">
        <f>'Proposed Rates'!$O$26/100</f>
        <v>-0.3</v>
      </c>
      <c r="H519" s="291">
        <f t="shared" si="62"/>
        <v>838181.33270772977</v>
      </c>
      <c r="I519" s="291">
        <f t="shared" si="56"/>
        <v>66672657.390886277</v>
      </c>
    </row>
    <row r="520" spans="1:9" outlineLevel="2" x14ac:dyDescent="0.2">
      <c r="A520">
        <v>38200</v>
      </c>
      <c r="B520">
        <v>2006</v>
      </c>
      <c r="C520" s="89">
        <v>18.5</v>
      </c>
      <c r="D520" s="291">
        <v>2554516.2599999998</v>
      </c>
      <c r="E520" s="12">
        <v>45</v>
      </c>
      <c r="F520" s="12">
        <v>30.626531</v>
      </c>
      <c r="G520" s="330">
        <f>'Proposed Rates'!$O$26/100</f>
        <v>-0.3</v>
      </c>
      <c r="H520" s="291">
        <f t="shared" si="62"/>
        <v>1060720.8523341718</v>
      </c>
      <c r="I520" s="291">
        <f t="shared" si="56"/>
        <v>78235971.426894054</v>
      </c>
    </row>
    <row r="521" spans="1:9" outlineLevel="2" x14ac:dyDescent="0.2">
      <c r="A521">
        <v>38200</v>
      </c>
      <c r="B521">
        <v>2005</v>
      </c>
      <c r="C521" s="89">
        <v>19.5</v>
      </c>
      <c r="D521" s="291">
        <v>2891763.22</v>
      </c>
      <c r="E521" s="12">
        <v>45</v>
      </c>
      <c r="F521" s="12">
        <v>29.904506999999999</v>
      </c>
      <c r="G521" s="330">
        <f>'Proposed Rates'!$O$26/100</f>
        <v>-0.3</v>
      </c>
      <c r="H521" s="291">
        <f t="shared" si="62"/>
        <v>1261074.8639715048</v>
      </c>
      <c r="I521" s="291">
        <f t="shared" si="56"/>
        <v>86476753.454832539</v>
      </c>
    </row>
    <row r="522" spans="1:9" outlineLevel="2" x14ac:dyDescent="0.2">
      <c r="A522">
        <v>38200</v>
      </c>
      <c r="B522">
        <v>2004</v>
      </c>
      <c r="C522" s="89">
        <v>20.5</v>
      </c>
      <c r="D522" s="291">
        <v>2184983.46</v>
      </c>
      <c r="E522" s="12">
        <v>45</v>
      </c>
      <c r="F522" s="12">
        <v>29.189115999999999</v>
      </c>
      <c r="G522" s="330">
        <f>'Proposed Rates'!$O$26/100</f>
        <v>-0.3</v>
      </c>
      <c r="H522" s="291">
        <f t="shared" si="62"/>
        <v>998010.57858604984</v>
      </c>
      <c r="I522" s="291">
        <f t="shared" si="56"/>
        <v>63777735.672021359</v>
      </c>
    </row>
    <row r="523" spans="1:9" outlineLevel="2" x14ac:dyDescent="0.2">
      <c r="A523">
        <v>38200</v>
      </c>
      <c r="B523">
        <v>2003</v>
      </c>
      <c r="C523" s="89">
        <v>21.5</v>
      </c>
      <c r="D523" s="291">
        <v>2356242.9300000002</v>
      </c>
      <c r="E523" s="12">
        <v>45</v>
      </c>
      <c r="F523" s="12">
        <v>28.480613000000002</v>
      </c>
      <c r="G523" s="330">
        <f>'Proposed Rates'!$O$26/100</f>
        <v>-0.3</v>
      </c>
      <c r="H523" s="291">
        <f t="shared" si="62"/>
        <v>1124462.1216597573</v>
      </c>
      <c r="I523" s="291">
        <f t="shared" si="56"/>
        <v>67107243.0233161</v>
      </c>
    </row>
    <row r="524" spans="1:9" outlineLevel="2" x14ac:dyDescent="0.2">
      <c r="A524">
        <v>38200</v>
      </c>
      <c r="B524">
        <v>2002</v>
      </c>
      <c r="C524" s="89">
        <v>22.5</v>
      </c>
      <c r="D524" s="291">
        <v>1936021.23</v>
      </c>
      <c r="E524" s="12">
        <v>45</v>
      </c>
      <c r="F524" s="12">
        <v>27.779259</v>
      </c>
      <c r="G524" s="330">
        <f>'Proposed Rates'!$O$26/100</f>
        <v>-0.3</v>
      </c>
      <c r="H524" s="291">
        <f t="shared" si="62"/>
        <v>963147.47164513043</v>
      </c>
      <c r="I524" s="291">
        <f t="shared" si="56"/>
        <v>53781235.177668571</v>
      </c>
    </row>
    <row r="525" spans="1:9" outlineLevel="2" x14ac:dyDescent="0.2">
      <c r="A525">
        <v>38200</v>
      </c>
      <c r="B525">
        <v>2001</v>
      </c>
      <c r="C525" s="89">
        <v>23.5</v>
      </c>
      <c r="D525" s="291">
        <v>860.3</v>
      </c>
      <c r="E525" s="12">
        <v>45</v>
      </c>
      <c r="F525" s="12">
        <v>27.08587</v>
      </c>
      <c r="G525" s="330">
        <f>'Proposed Rates'!$O$26/100</f>
        <v>-0.3</v>
      </c>
      <c r="H525" s="291">
        <f t="shared" si="62"/>
        <v>445.22186334888892</v>
      </c>
      <c r="I525" s="291">
        <f t="shared" si="56"/>
        <v>23301.973961</v>
      </c>
    </row>
    <row r="526" spans="1:9" outlineLevel="2" x14ac:dyDescent="0.2">
      <c r="A526">
        <v>38200</v>
      </c>
      <c r="B526">
        <v>2000</v>
      </c>
      <c r="C526" s="89">
        <v>24.5</v>
      </c>
      <c r="D526" s="291">
        <v>3555689.47</v>
      </c>
      <c r="E526" s="12">
        <v>45</v>
      </c>
      <c r="F526" s="12">
        <v>26.400198</v>
      </c>
      <c r="G526" s="330">
        <f>'Proposed Rates'!$O$26/100</f>
        <v>-0.3</v>
      </c>
      <c r="H526" s="291">
        <f t="shared" si="62"/>
        <v>1910570.136669565</v>
      </c>
      <c r="I526" s="291">
        <f t="shared" si="56"/>
        <v>93870906.034515068</v>
      </c>
    </row>
    <row r="527" spans="1:9" outlineLevel="2" x14ac:dyDescent="0.2">
      <c r="A527">
        <v>38200</v>
      </c>
      <c r="B527">
        <v>1999</v>
      </c>
      <c r="C527" s="89">
        <v>25.5</v>
      </c>
      <c r="D527" s="291">
        <v>2960143.64</v>
      </c>
      <c r="E527" s="12">
        <v>45</v>
      </c>
      <c r="F527" s="12">
        <v>25.722498999999999</v>
      </c>
      <c r="G527" s="330">
        <f>'Proposed Rates'!$O$26/100</f>
        <v>-0.3</v>
      </c>
      <c r="H527" s="291">
        <f t="shared" si="62"/>
        <v>1648520.5238737054</v>
      </c>
      <c r="I527" s="291">
        <f t="shared" si="56"/>
        <v>76142291.819756359</v>
      </c>
    </row>
    <row r="528" spans="1:9" outlineLevel="2" x14ac:dyDescent="0.2">
      <c r="A528">
        <v>38200</v>
      </c>
      <c r="B528">
        <v>1998</v>
      </c>
      <c r="C528" s="89">
        <v>26.5</v>
      </c>
      <c r="D528" s="291">
        <v>909280.63</v>
      </c>
      <c r="E528" s="12">
        <v>45</v>
      </c>
      <c r="F528" s="12">
        <v>25.053028999999999</v>
      </c>
      <c r="G528" s="330">
        <f>'Proposed Rates'!$O$26/100</f>
        <v>-0.3</v>
      </c>
      <c r="H528" s="291">
        <f t="shared" si="62"/>
        <v>523969.17032696109</v>
      </c>
      <c r="I528" s="291">
        <f t="shared" si="56"/>
        <v>22780233.992528267</v>
      </c>
    </row>
    <row r="529" spans="1:9" outlineLevel="2" x14ac:dyDescent="0.2">
      <c r="A529">
        <v>38200</v>
      </c>
      <c r="B529">
        <v>1997</v>
      </c>
      <c r="C529" s="89">
        <v>27.5</v>
      </c>
      <c r="D529" s="291">
        <v>706298.75</v>
      </c>
      <c r="E529" s="12">
        <v>45</v>
      </c>
      <c r="F529" s="12">
        <v>24.392346</v>
      </c>
      <c r="G529" s="330">
        <f>'Proposed Rates'!$O$26/100</f>
        <v>-0.3</v>
      </c>
      <c r="H529" s="291">
        <f t="shared" si="62"/>
        <v>420482.40752938337</v>
      </c>
      <c r="I529" s="291">
        <f t="shared" si="56"/>
        <v>17228283.4893675</v>
      </c>
    </row>
    <row r="530" spans="1:9" outlineLevel="2" x14ac:dyDescent="0.2">
      <c r="A530">
        <v>38200</v>
      </c>
      <c r="B530">
        <v>1996</v>
      </c>
      <c r="C530" s="89">
        <v>28.5</v>
      </c>
      <c r="D530" s="291">
        <v>400813.82</v>
      </c>
      <c r="E530" s="12">
        <v>45</v>
      </c>
      <c r="F530" s="12">
        <v>23.740722000000002</v>
      </c>
      <c r="G530" s="330">
        <f>'Proposed Rates'!$O$26/100</f>
        <v>-0.3</v>
      </c>
      <c r="H530" s="291">
        <f t="shared" si="62"/>
        <v>246162.58118463439</v>
      </c>
      <c r="I530" s="291">
        <f t="shared" si="56"/>
        <v>9515609.4743780401</v>
      </c>
    </row>
    <row r="531" spans="1:9" outlineLevel="2" x14ac:dyDescent="0.2">
      <c r="A531">
        <v>38200</v>
      </c>
      <c r="B531">
        <v>1995</v>
      </c>
      <c r="C531" s="89">
        <v>29.5</v>
      </c>
      <c r="D531" s="291">
        <v>759707.64</v>
      </c>
      <c r="E531" s="12">
        <v>45</v>
      </c>
      <c r="F531" s="12">
        <v>23.098110999999999</v>
      </c>
      <c r="G531" s="330">
        <f>'Proposed Rates'!$O$26/100</f>
        <v>-0.3</v>
      </c>
      <c r="H531" s="291">
        <f t="shared" si="62"/>
        <v>480683.15833003452</v>
      </c>
      <c r="I531" s="291">
        <f t="shared" si="56"/>
        <v>17547811.39626804</v>
      </c>
    </row>
    <row r="532" spans="1:9" outlineLevel="2" x14ac:dyDescent="0.2">
      <c r="A532">
        <v>38200</v>
      </c>
      <c r="B532">
        <v>1994</v>
      </c>
      <c r="C532" s="89">
        <v>30.5</v>
      </c>
      <c r="D532" s="291">
        <v>890223.38</v>
      </c>
      <c r="E532" s="12">
        <v>45</v>
      </c>
      <c r="F532" s="12">
        <v>22.464752000000001</v>
      </c>
      <c r="G532" s="330">
        <f>'Proposed Rates'!$O$26/100</f>
        <v>-0.3</v>
      </c>
      <c r="H532" s="291">
        <f t="shared" si="62"/>
        <v>579551.68970683811</v>
      </c>
      <c r="I532" s="291">
        <f t="shared" ref="I532:I580" si="63">+D532*F532</f>
        <v>19998647.45630176</v>
      </c>
    </row>
    <row r="533" spans="1:9" outlineLevel="2" x14ac:dyDescent="0.2">
      <c r="A533">
        <v>38200</v>
      </c>
      <c r="B533">
        <v>1993</v>
      </c>
      <c r="C533" s="89">
        <v>31.5</v>
      </c>
      <c r="D533" s="291">
        <v>548952.93000000005</v>
      </c>
      <c r="E533" s="12">
        <v>45</v>
      </c>
      <c r="F533" s="12">
        <v>21.840875</v>
      </c>
      <c r="G533" s="330">
        <f>'Proposed Rates'!$O$26/100</f>
        <v>-0.3</v>
      </c>
      <c r="H533" s="291">
        <f t="shared" si="62"/>
        <v>367272.23072182509</v>
      </c>
      <c r="I533" s="291">
        <f t="shared" si="63"/>
        <v>11989612.325013751</v>
      </c>
    </row>
    <row r="534" spans="1:9" outlineLevel="2" x14ac:dyDescent="0.2">
      <c r="A534">
        <v>38200</v>
      </c>
      <c r="B534">
        <v>1992</v>
      </c>
      <c r="C534" s="89">
        <v>32.5</v>
      </c>
      <c r="D534" s="291">
        <v>422953.73</v>
      </c>
      <c r="E534" s="12">
        <v>45</v>
      </c>
      <c r="F534" s="12">
        <v>21.227350999999999</v>
      </c>
      <c r="G534" s="330">
        <f>'Proposed Rates'!$O$26/100</f>
        <v>-0.3</v>
      </c>
      <c r="H534" s="291">
        <f t="shared" si="62"/>
        <v>290469.99414422223</v>
      </c>
      <c r="I534" s="291">
        <f t="shared" si="63"/>
        <v>8978187.2834692299</v>
      </c>
    </row>
    <row r="535" spans="1:9" outlineLevel="2" x14ac:dyDescent="0.2">
      <c r="A535">
        <v>38200</v>
      </c>
      <c r="B535">
        <v>1991</v>
      </c>
      <c r="C535" s="89">
        <v>33.5</v>
      </c>
      <c r="D535" s="291">
        <v>356198.1</v>
      </c>
      <c r="E535" s="12">
        <v>45</v>
      </c>
      <c r="F535" s="12">
        <v>20.623787</v>
      </c>
      <c r="G535" s="330">
        <f>'Proposed Rates'!$O$26/100</f>
        <v>-0.3</v>
      </c>
      <c r="H535" s="291">
        <f t="shared" si="62"/>
        <v>250835.31072297529</v>
      </c>
      <c r="I535" s="291">
        <f t="shared" si="63"/>
        <v>7346153.7442047</v>
      </c>
    </row>
    <row r="536" spans="1:9" outlineLevel="2" x14ac:dyDescent="0.2">
      <c r="A536">
        <v>38200</v>
      </c>
      <c r="B536">
        <v>1990</v>
      </c>
      <c r="C536" s="89">
        <v>34.5</v>
      </c>
      <c r="D536" s="291">
        <v>401454.8</v>
      </c>
      <c r="E536" s="12">
        <v>45</v>
      </c>
      <c r="F536" s="12">
        <v>20.030390000000001</v>
      </c>
      <c r="G536" s="330">
        <f>'Proposed Rates'!$O$26/100</f>
        <v>-0.3</v>
      </c>
      <c r="H536" s="291">
        <f t="shared" si="62"/>
        <v>289587.1272270311</v>
      </c>
      <c r="I536" s="291">
        <f t="shared" si="63"/>
        <v>8041296.2113720002</v>
      </c>
    </row>
    <row r="537" spans="1:9" outlineLevel="2" x14ac:dyDescent="0.2">
      <c r="A537">
        <v>38200</v>
      </c>
      <c r="B537">
        <v>1989</v>
      </c>
      <c r="C537" s="89">
        <v>35.5</v>
      </c>
      <c r="D537" s="291">
        <v>310063.90000000002</v>
      </c>
      <c r="E537" s="12">
        <v>45</v>
      </c>
      <c r="F537" s="12">
        <v>19.44736</v>
      </c>
      <c r="G537" s="330">
        <f>'Proposed Rates'!$O$26/100</f>
        <v>-0.3</v>
      </c>
      <c r="H537" s="291">
        <f t="shared" si="62"/>
        <v>228885.25728455116</v>
      </c>
      <c r="I537" s="291">
        <f t="shared" si="63"/>
        <v>6029924.2863040008</v>
      </c>
    </row>
    <row r="538" spans="1:9" outlineLevel="2" x14ac:dyDescent="0.2">
      <c r="A538">
        <v>38200</v>
      </c>
      <c r="B538">
        <v>1988</v>
      </c>
      <c r="C538" s="89">
        <v>36.5</v>
      </c>
      <c r="D538" s="291">
        <v>284334.36</v>
      </c>
      <c r="E538" s="12">
        <v>45</v>
      </c>
      <c r="F538" s="12">
        <v>18.875212999999999</v>
      </c>
      <c r="G538" s="330">
        <f>'Proposed Rates'!$O$26/100</f>
        <v>-0.3</v>
      </c>
      <c r="H538" s="291">
        <f t="shared" si="62"/>
        <v>214591.71042923813</v>
      </c>
      <c r="I538" s="291">
        <f t="shared" si="63"/>
        <v>5366871.6082186792</v>
      </c>
    </row>
    <row r="539" spans="1:9" outlineLevel="2" x14ac:dyDescent="0.2">
      <c r="A539">
        <v>38200</v>
      </c>
      <c r="B539">
        <v>1987</v>
      </c>
      <c r="C539" s="89">
        <v>37.5</v>
      </c>
      <c r="D539" s="291">
        <v>277394.90999999997</v>
      </c>
      <c r="E539" s="12">
        <v>45</v>
      </c>
      <c r="F539" s="12">
        <v>18.314135</v>
      </c>
      <c r="G539" s="330">
        <f>'Proposed Rates'!$O$26/100</f>
        <v>-0.3</v>
      </c>
      <c r="H539" s="291">
        <f t="shared" si="62"/>
        <v>213850.6679095843</v>
      </c>
      <c r="I539" s="291">
        <f t="shared" si="63"/>
        <v>5080247.8300528498</v>
      </c>
    </row>
    <row r="540" spans="1:9" outlineLevel="2" x14ac:dyDescent="0.2">
      <c r="A540">
        <v>38200</v>
      </c>
      <c r="B540">
        <v>1986</v>
      </c>
      <c r="C540" s="89">
        <v>38.5</v>
      </c>
      <c r="D540" s="291">
        <v>250344.31</v>
      </c>
      <c r="E540" s="12">
        <v>45</v>
      </c>
      <c r="F540" s="12">
        <v>17.763984000000001</v>
      </c>
      <c r="G540" s="330">
        <f>'Proposed Rates'!$O$26/100</f>
        <v>-0.3</v>
      </c>
      <c r="H540" s="291">
        <f t="shared" si="62"/>
        <v>196975.46938821438</v>
      </c>
      <c r="I540" s="291">
        <f t="shared" si="63"/>
        <v>4447112.3173310403</v>
      </c>
    </row>
    <row r="541" spans="1:9" outlineLevel="2" x14ac:dyDescent="0.2">
      <c r="A541">
        <v>38200</v>
      </c>
      <c r="B541">
        <v>1985</v>
      </c>
      <c r="C541" s="89">
        <v>39.5</v>
      </c>
      <c r="D541" s="291">
        <v>466387.68</v>
      </c>
      <c r="E541" s="12">
        <v>45</v>
      </c>
      <c r="F541" s="12">
        <v>17.224910999999999</v>
      </c>
      <c r="G541" s="330">
        <f>'Proposed Rates'!$O$26/100</f>
        <v>-0.3</v>
      </c>
      <c r="H541" s="291">
        <f t="shared" si="62"/>
        <v>374225.49148121284</v>
      </c>
      <c r="I541" s="291">
        <f t="shared" si="63"/>
        <v>8033486.2794964788</v>
      </c>
    </row>
    <row r="542" spans="1:9" outlineLevel="2" x14ac:dyDescent="0.2">
      <c r="A542">
        <v>38200</v>
      </c>
      <c r="B542">
        <v>1984</v>
      </c>
      <c r="C542" s="89">
        <v>40.5</v>
      </c>
      <c r="D542" s="291">
        <v>332099.58</v>
      </c>
      <c r="E542" s="12">
        <v>45</v>
      </c>
      <c r="F542" s="12">
        <v>16.697056</v>
      </c>
      <c r="G542" s="330">
        <f>'Proposed Rates'!$O$26/100</f>
        <v>-0.3</v>
      </c>
      <c r="H542" s="291">
        <f t="shared" si="62"/>
        <v>271538.10132694617</v>
      </c>
      <c r="I542" s="291">
        <f t="shared" si="63"/>
        <v>5545085.2848364804</v>
      </c>
    </row>
    <row r="543" spans="1:9" outlineLevel="2" x14ac:dyDescent="0.2">
      <c r="A543">
        <v>38200</v>
      </c>
      <c r="B543">
        <v>1983</v>
      </c>
      <c r="C543" s="89">
        <v>41.5</v>
      </c>
      <c r="D543" s="291">
        <v>403951.26</v>
      </c>
      <c r="E543" s="12">
        <v>45</v>
      </c>
      <c r="F543" s="12">
        <v>16.18111</v>
      </c>
      <c r="G543" s="330">
        <f>'Proposed Rates'!$O$26/100</f>
        <v>-0.3</v>
      </c>
      <c r="H543" s="291">
        <f t="shared" si="62"/>
        <v>336307.88901092939</v>
      </c>
      <c r="I543" s="291">
        <f t="shared" si="63"/>
        <v>6536379.7726985998</v>
      </c>
    </row>
    <row r="544" spans="1:9" outlineLevel="2" x14ac:dyDescent="0.2">
      <c r="A544">
        <v>38200</v>
      </c>
      <c r="B544">
        <v>1982</v>
      </c>
      <c r="C544" s="89">
        <v>42.5</v>
      </c>
      <c r="D544" s="291">
        <v>317266.28999999998</v>
      </c>
      <c r="E544" s="12">
        <v>45</v>
      </c>
      <c r="F544" s="12">
        <v>15.676591</v>
      </c>
      <c r="G544" s="330">
        <f>'Proposed Rates'!$O$26/100</f>
        <v>-0.3</v>
      </c>
      <c r="H544" s="291">
        <f t="shared" si="62"/>
        <v>268762.84308127541</v>
      </c>
      <c r="I544" s="291">
        <f t="shared" si="63"/>
        <v>4973653.8664173894</v>
      </c>
    </row>
    <row r="545" spans="1:10" outlineLevel="2" x14ac:dyDescent="0.2">
      <c r="A545">
        <v>38200</v>
      </c>
      <c r="B545">
        <v>1981</v>
      </c>
      <c r="C545" s="89">
        <v>43.5</v>
      </c>
      <c r="D545" s="291">
        <v>153034.78000000009</v>
      </c>
      <c r="E545" s="12">
        <v>45</v>
      </c>
      <c r="F545" s="12">
        <v>15.183579</v>
      </c>
      <c r="G545" s="330">
        <f>'Proposed Rates'!$O$26/100</f>
        <v>-0.3</v>
      </c>
      <c r="H545" s="291">
        <f t="shared" si="62"/>
        <v>131818.53903464662</v>
      </c>
      <c r="I545" s="291">
        <f t="shared" si="63"/>
        <v>2323615.6718776212</v>
      </c>
    </row>
    <row r="546" spans="1:10" s="143" customFormat="1" outlineLevel="1" x14ac:dyDescent="0.2">
      <c r="A546" s="20" t="s">
        <v>1189</v>
      </c>
      <c r="C546" s="89" t="s">
        <v>1230</v>
      </c>
      <c r="D546" s="291">
        <f>SUBTOTAL(9,D502:D545)</f>
        <v>119185919.39246112</v>
      </c>
      <c r="E546" s="12"/>
      <c r="F546" s="12"/>
      <c r="G546" s="330"/>
      <c r="H546" s="291">
        <f>SUBTOTAL(9,H502:H545)</f>
        <v>26090765.795172412</v>
      </c>
      <c r="I546" s="291">
        <f>SUBTOTAL(9,I502:I545)</f>
        <v>4460224479.7509346</v>
      </c>
      <c r="J546" s="291">
        <f>+I546/D546</f>
        <v>37.422411158016857</v>
      </c>
    </row>
    <row r="547" spans="1:10" outlineLevel="2" x14ac:dyDescent="0.2">
      <c r="A547">
        <v>38300</v>
      </c>
      <c r="B547">
        <v>2024</v>
      </c>
      <c r="C547" s="89">
        <v>0.5</v>
      </c>
      <c r="D547" s="291">
        <v>974000.00000000012</v>
      </c>
      <c r="E547" s="12">
        <v>42</v>
      </c>
      <c r="F547" s="12">
        <v>41.500110999999997</v>
      </c>
      <c r="G547" s="330">
        <f>'Proposed Rates'!$O$27/100</f>
        <v>0</v>
      </c>
      <c r="H547" s="291">
        <f t="shared" si="62"/>
        <v>11592.663952381077</v>
      </c>
      <c r="I547" s="291">
        <f t="shared" si="63"/>
        <v>40421108.114</v>
      </c>
    </row>
    <row r="548" spans="1:10" outlineLevel="2" x14ac:dyDescent="0.2">
      <c r="A548">
        <v>38300</v>
      </c>
      <c r="B548">
        <v>2023</v>
      </c>
      <c r="C548" s="89">
        <v>1.5</v>
      </c>
      <c r="D548" s="291">
        <v>914170.26999999979</v>
      </c>
      <c r="E548" s="12">
        <v>42</v>
      </c>
      <c r="F548" s="12">
        <v>40.501942</v>
      </c>
      <c r="G548" s="330">
        <f>'Proposed Rates'!$O$27/100</f>
        <v>0</v>
      </c>
      <c r="H548" s="291">
        <f t="shared" si="62"/>
        <v>32606.66872227762</v>
      </c>
      <c r="I548" s="291">
        <f t="shared" si="63"/>
        <v>37025671.25366433</v>
      </c>
    </row>
    <row r="549" spans="1:10" outlineLevel="2" x14ac:dyDescent="0.2">
      <c r="A549">
        <v>38300</v>
      </c>
      <c r="B549">
        <v>2022</v>
      </c>
      <c r="C549" s="89">
        <v>2.5</v>
      </c>
      <c r="D549" s="291">
        <v>1638332.4799999997</v>
      </c>
      <c r="E549" s="12">
        <v>42</v>
      </c>
      <c r="F549" s="12">
        <v>39.507669999999997</v>
      </c>
      <c r="G549" s="330">
        <f>'Proposed Rates'!$O$27/100</f>
        <v>0</v>
      </c>
      <c r="H549" s="291">
        <f t="shared" si="62"/>
        <v>97220.599759009667</v>
      </c>
      <c r="I549" s="291">
        <f t="shared" si="63"/>
        <v>64726698.970121585</v>
      </c>
    </row>
    <row r="550" spans="1:10" outlineLevel="2" x14ac:dyDescent="0.2">
      <c r="A550">
        <v>38300</v>
      </c>
      <c r="B550">
        <v>2021</v>
      </c>
      <c r="C550" s="89">
        <v>3.5</v>
      </c>
      <c r="D550" s="291">
        <v>868691.52</v>
      </c>
      <c r="E550" s="12">
        <v>42</v>
      </c>
      <c r="F550" s="12">
        <v>38.519497000000001</v>
      </c>
      <c r="G550" s="330">
        <f>'Proposed Rates'!$O$27/100</f>
        <v>0</v>
      </c>
      <c r="H550" s="291">
        <f t="shared" si="62"/>
        <v>71987.700986537166</v>
      </c>
      <c r="I550" s="291">
        <f t="shared" si="63"/>
        <v>33461560.398565441</v>
      </c>
    </row>
    <row r="551" spans="1:10" outlineLevel="2" x14ac:dyDescent="0.2">
      <c r="A551">
        <v>38300</v>
      </c>
      <c r="B551">
        <v>2020</v>
      </c>
      <c r="C551" s="89">
        <v>4.5</v>
      </c>
      <c r="D551" s="291">
        <v>515586.03</v>
      </c>
      <c r="E551" s="12">
        <v>42</v>
      </c>
      <c r="F551" s="12">
        <v>37.538713999999999</v>
      </c>
      <c r="G551" s="330">
        <f>'Proposed Rates'!$O$27/100</f>
        <v>0</v>
      </c>
      <c r="H551" s="291">
        <f t="shared" si="62"/>
        <v>54766.112796061469</v>
      </c>
      <c r="I551" s="291">
        <f t="shared" si="63"/>
        <v>19354436.522565421</v>
      </c>
    </row>
    <row r="552" spans="1:10" outlineLevel="2" x14ac:dyDescent="0.2">
      <c r="A552">
        <v>38300</v>
      </c>
      <c r="B552">
        <v>2019</v>
      </c>
      <c r="C552" s="89">
        <v>5.5</v>
      </c>
      <c r="D552" s="291">
        <v>779945.35</v>
      </c>
      <c r="E552" s="12">
        <v>42</v>
      </c>
      <c r="F552" s="12">
        <v>36.566780000000001</v>
      </c>
      <c r="G552" s="330">
        <f>'Proposed Rates'!$O$27/100</f>
        <v>0</v>
      </c>
      <c r="H552" s="291">
        <f t="shared" ref="H552:H556" si="64">+D552*(1-F552/E552)*(1-G552)</f>
        <v>100895.58748873809</v>
      </c>
      <c r="I552" s="291">
        <f t="shared" ref="I552:I556" si="65">+D552*F552</f>
        <v>28520090.025472999</v>
      </c>
    </row>
    <row r="553" spans="1:10" s="143" customFormat="1" outlineLevel="2" x14ac:dyDescent="0.2">
      <c r="A553" s="143">
        <v>38300</v>
      </c>
      <c r="B553" s="143">
        <v>2018</v>
      </c>
      <c r="C553" s="89">
        <v>6.5</v>
      </c>
      <c r="D553" s="291">
        <v>575744.87</v>
      </c>
      <c r="E553" s="12">
        <v>42</v>
      </c>
      <c r="F553" s="12">
        <v>35.605392999999999</v>
      </c>
      <c r="G553" s="330">
        <f>'Proposed Rates'!$O$27/100</f>
        <v>0</v>
      </c>
      <c r="H553" s="291">
        <f t="shared" si="64"/>
        <v>87658.623236097366</v>
      </c>
      <c r="I553" s="291">
        <f t="shared" si="65"/>
        <v>20499622.364083908</v>
      </c>
      <c r="J553" s="291"/>
    </row>
    <row r="554" spans="1:10" s="143" customFormat="1" outlineLevel="2" x14ac:dyDescent="0.2">
      <c r="A554" s="143">
        <v>38300</v>
      </c>
      <c r="B554" s="143">
        <v>2017</v>
      </c>
      <c r="C554" s="89">
        <v>7.5</v>
      </c>
      <c r="D554" s="291">
        <v>698193.88</v>
      </c>
      <c r="E554" s="12">
        <v>42</v>
      </c>
      <c r="F554" s="12">
        <v>34.655172</v>
      </c>
      <c r="G554" s="330">
        <f>'Proposed Rates'!$O$27/100</f>
        <v>0</v>
      </c>
      <c r="H554" s="291">
        <f t="shared" si="64"/>
        <v>122097.95141077715</v>
      </c>
      <c r="I554" s="291">
        <f t="shared" si="65"/>
        <v>24196029.00074736</v>
      </c>
      <c r="J554" s="291"/>
    </row>
    <row r="555" spans="1:10" s="143" customFormat="1" outlineLevel="2" x14ac:dyDescent="0.2">
      <c r="A555" s="143">
        <v>38300</v>
      </c>
      <c r="B555" s="143">
        <v>2016</v>
      </c>
      <c r="C555" s="89">
        <v>8.5</v>
      </c>
      <c r="D555" s="291">
        <v>651105.68000000005</v>
      </c>
      <c r="E555" s="12">
        <v>42</v>
      </c>
      <c r="F555" s="12">
        <v>33.717793</v>
      </c>
      <c r="G555" s="330">
        <f>'Proposed Rates'!$O$27/100</f>
        <v>0</v>
      </c>
      <c r="H555" s="291">
        <f t="shared" si="64"/>
        <v>128395.04811037525</v>
      </c>
      <c r="I555" s="291">
        <f t="shared" si="65"/>
        <v>21953846.539364241</v>
      </c>
      <c r="J555" s="291"/>
    </row>
    <row r="556" spans="1:10" s="143" customFormat="1" outlineLevel="2" x14ac:dyDescent="0.2">
      <c r="A556" s="143">
        <v>38300</v>
      </c>
      <c r="B556" s="143">
        <v>2015</v>
      </c>
      <c r="C556" s="89">
        <v>9.5</v>
      </c>
      <c r="D556" s="291">
        <v>492213.31</v>
      </c>
      <c r="E556" s="12">
        <v>42</v>
      </c>
      <c r="F556" s="12">
        <v>32.794074000000002</v>
      </c>
      <c r="G556" s="330">
        <f>'Proposed Rates'!$O$27/100</f>
        <v>0</v>
      </c>
      <c r="H556" s="291">
        <f t="shared" si="64"/>
        <v>107887.60257321571</v>
      </c>
      <c r="I556" s="291">
        <f t="shared" si="65"/>
        <v>16141679.71192494</v>
      </c>
      <c r="J556" s="291"/>
    </row>
    <row r="557" spans="1:10" outlineLevel="2" x14ac:dyDescent="0.2">
      <c r="A557" s="143">
        <v>38300</v>
      </c>
      <c r="B557">
        <v>2014</v>
      </c>
      <c r="C557" s="89">
        <v>10.5</v>
      </c>
      <c r="D557" s="291">
        <v>673543.25</v>
      </c>
      <c r="E557" s="12">
        <v>42</v>
      </c>
      <c r="F557" s="12">
        <v>31.88448</v>
      </c>
      <c r="G557" s="330">
        <f>'Proposed Rates'!$O$27/100</f>
        <v>0</v>
      </c>
      <c r="H557" s="291">
        <f t="shared" si="62"/>
        <v>162220.00514857145</v>
      </c>
      <c r="I557" s="291">
        <f t="shared" si="63"/>
        <v>21475576.28376</v>
      </c>
    </row>
    <row r="558" spans="1:10" outlineLevel="2" x14ac:dyDescent="0.2">
      <c r="A558" s="143">
        <v>38300</v>
      </c>
      <c r="B558">
        <v>2013</v>
      </c>
      <c r="C558" s="89">
        <v>11.5</v>
      </c>
      <c r="D558" s="291">
        <v>624879.43999999994</v>
      </c>
      <c r="E558" s="12">
        <v>42</v>
      </c>
      <c r="F558" s="12">
        <v>30.991188000000001</v>
      </c>
      <c r="G558" s="330">
        <f>'Proposed Rates'!$O$27/100</f>
        <v>0</v>
      </c>
      <c r="H558" s="291">
        <f t="shared" ref="H558:H561" si="66">+D558*(1-F558/E558)*(1-G558)</f>
        <v>163790.00661012568</v>
      </c>
      <c r="I558" s="291">
        <f t="shared" ref="I558:I561" si="67">+D558*F558</f>
        <v>19365756.202374719</v>
      </c>
    </row>
    <row r="559" spans="1:10" outlineLevel="2" x14ac:dyDescent="0.2">
      <c r="A559" s="143">
        <v>38300</v>
      </c>
      <c r="B559">
        <v>2012</v>
      </c>
      <c r="C559" s="89">
        <v>12.5</v>
      </c>
      <c r="D559" s="291">
        <v>647202.85</v>
      </c>
      <c r="E559" s="12">
        <v>42</v>
      </c>
      <c r="F559" s="12">
        <v>30.113633</v>
      </c>
      <c r="G559" s="330">
        <f>'Proposed Rates'!$O$27/100</f>
        <v>0</v>
      </c>
      <c r="H559" s="291">
        <f t="shared" si="66"/>
        <v>183164.06187014165</v>
      </c>
      <c r="I559" s="291">
        <f t="shared" si="67"/>
        <v>19489629.101454049</v>
      </c>
    </row>
    <row r="560" spans="1:10" outlineLevel="2" x14ac:dyDescent="0.2">
      <c r="A560" s="143">
        <v>38300</v>
      </c>
      <c r="B560">
        <v>2011</v>
      </c>
      <c r="C560" s="89">
        <v>13.5</v>
      </c>
      <c r="D560" s="291">
        <v>762531.28</v>
      </c>
      <c r="E560" s="12">
        <v>42</v>
      </c>
      <c r="F560" s="12">
        <v>29.252980999999998</v>
      </c>
      <c r="G560" s="330">
        <f>'Proposed Rates'!$O$27/100</f>
        <v>0</v>
      </c>
      <c r="H560" s="291">
        <f t="shared" si="66"/>
        <v>231428.58843462676</v>
      </c>
      <c r="I560" s="291">
        <f t="shared" si="67"/>
        <v>22306313.045745678</v>
      </c>
    </row>
    <row r="561" spans="1:9" outlineLevel="2" x14ac:dyDescent="0.2">
      <c r="A561">
        <v>38300</v>
      </c>
      <c r="B561">
        <v>2010</v>
      </c>
      <c r="C561" s="89">
        <v>14.5</v>
      </c>
      <c r="D561" s="291">
        <v>576915.56999999995</v>
      </c>
      <c r="E561" s="12">
        <v>42</v>
      </c>
      <c r="F561" s="12">
        <v>28.410177000000001</v>
      </c>
      <c r="G561" s="330">
        <f>'Proposed Rates'!$O$27/100</f>
        <v>0</v>
      </c>
      <c r="H561" s="291">
        <f t="shared" si="66"/>
        <v>186670.96386295496</v>
      </c>
      <c r="I561" s="291">
        <f t="shared" si="67"/>
        <v>16390273.45775589</v>
      </c>
    </row>
    <row r="562" spans="1:9" outlineLevel="2" x14ac:dyDescent="0.2">
      <c r="A562">
        <v>38300</v>
      </c>
      <c r="B562">
        <v>2009</v>
      </c>
      <c r="C562" s="89">
        <v>15.5</v>
      </c>
      <c r="D562" s="291">
        <v>657038.13</v>
      </c>
      <c r="E562" s="12">
        <v>42</v>
      </c>
      <c r="F562" s="12">
        <v>27.584781</v>
      </c>
      <c r="G562" s="330">
        <f>'Proposed Rates'!$O$27/100</f>
        <v>0</v>
      </c>
      <c r="H562" s="291">
        <f t="shared" si="62"/>
        <v>225508.298459535</v>
      </c>
      <c r="I562" s="291">
        <f t="shared" si="63"/>
        <v>18124252.92469953</v>
      </c>
    </row>
    <row r="563" spans="1:9" outlineLevel="2" x14ac:dyDescent="0.2">
      <c r="A563">
        <v>38300</v>
      </c>
      <c r="B563">
        <v>2008</v>
      </c>
      <c r="C563" s="89">
        <v>16.5</v>
      </c>
      <c r="D563" s="291">
        <v>529731.42000000004</v>
      </c>
      <c r="E563" s="12">
        <v>42</v>
      </c>
      <c r="F563" s="12">
        <v>26.778296999999998</v>
      </c>
      <c r="G563" s="330">
        <f>'Proposed Rates'!$O$27/100</f>
        <v>0</v>
      </c>
      <c r="H563" s="291">
        <f t="shared" si="62"/>
        <v>191986.05583353006</v>
      </c>
      <c r="I563" s="291">
        <f t="shared" si="63"/>
        <v>14185305.294991741</v>
      </c>
    </row>
    <row r="564" spans="1:9" outlineLevel="2" x14ac:dyDescent="0.2">
      <c r="A564">
        <v>38300</v>
      </c>
      <c r="B564">
        <v>2007</v>
      </c>
      <c r="C564" s="89">
        <v>17.5</v>
      </c>
      <c r="D564" s="291">
        <v>508391.03</v>
      </c>
      <c r="E564" s="12">
        <v>42</v>
      </c>
      <c r="F564" s="12">
        <v>25.990255999999999</v>
      </c>
      <c r="G564" s="330">
        <f>'Proposed Rates'!$O$27/100</f>
        <v>0</v>
      </c>
      <c r="H564" s="291">
        <f t="shared" ref="H564:H617" si="68">+D564*(1-F564/E564)*(1-G564)</f>
        <v>193790.72005229333</v>
      </c>
      <c r="I564" s="291">
        <f t="shared" si="63"/>
        <v>13213213.01780368</v>
      </c>
    </row>
    <row r="565" spans="1:9" outlineLevel="2" x14ac:dyDescent="0.2">
      <c r="A565">
        <v>38300</v>
      </c>
      <c r="B565">
        <v>2006</v>
      </c>
      <c r="C565" s="89">
        <v>18.5</v>
      </c>
      <c r="D565" s="291">
        <v>465635.5</v>
      </c>
      <c r="E565" s="12">
        <v>42</v>
      </c>
      <c r="F565" s="12">
        <v>25.220632999999999</v>
      </c>
      <c r="G565" s="330">
        <f>'Proposed Rates'!$O$27/100</f>
        <v>0</v>
      </c>
      <c r="H565" s="291">
        <f t="shared" si="68"/>
        <v>186025.45101734524</v>
      </c>
      <c r="I565" s="291">
        <f t="shared" si="63"/>
        <v>11743622.057271499</v>
      </c>
    </row>
    <row r="566" spans="1:9" outlineLevel="2" x14ac:dyDescent="0.2">
      <c r="A566">
        <v>38300</v>
      </c>
      <c r="B566">
        <v>2005</v>
      </c>
      <c r="C566" s="89">
        <v>19.5</v>
      </c>
      <c r="D566" s="291">
        <v>382854.95</v>
      </c>
      <c r="E566" s="12">
        <v>42</v>
      </c>
      <c r="F566" s="12">
        <v>24.470742999999999</v>
      </c>
      <c r="G566" s="330">
        <f>'Proposed Rates'!$O$27/100</f>
        <v>0</v>
      </c>
      <c r="H566" s="291">
        <f t="shared" si="68"/>
        <v>159789.59076838454</v>
      </c>
      <c r="I566" s="291">
        <f t="shared" si="63"/>
        <v>9368745.0877278503</v>
      </c>
    </row>
    <row r="567" spans="1:9" outlineLevel="2" x14ac:dyDescent="0.2">
      <c r="A567">
        <v>38300</v>
      </c>
      <c r="B567">
        <v>2004</v>
      </c>
      <c r="C567" s="89">
        <v>20.5</v>
      </c>
      <c r="D567" s="291">
        <v>300837.45</v>
      </c>
      <c r="E567" s="12">
        <v>42</v>
      </c>
      <c r="F567" s="12">
        <v>23.739208000000001</v>
      </c>
      <c r="G567" s="330">
        <f>'Proposed Rates'!$O$27/100</f>
        <v>0</v>
      </c>
      <c r="H567" s="291">
        <f t="shared" si="68"/>
        <v>130798.33572048572</v>
      </c>
      <c r="I567" s="291">
        <f t="shared" si="63"/>
        <v>7141642.7997396011</v>
      </c>
    </row>
    <row r="568" spans="1:9" outlineLevel="2" x14ac:dyDescent="0.2">
      <c r="A568">
        <v>38300</v>
      </c>
      <c r="B568">
        <v>2003</v>
      </c>
      <c r="C568" s="89">
        <v>21.5</v>
      </c>
      <c r="D568" s="291">
        <v>207937.86</v>
      </c>
      <c r="E568" s="12">
        <v>42</v>
      </c>
      <c r="F568" s="12">
        <v>23.026776999999999</v>
      </c>
      <c r="G568" s="330">
        <f>'Proposed Rates'!$O$27/100</f>
        <v>0</v>
      </c>
      <c r="H568" s="291">
        <f t="shared" si="68"/>
        <v>93934.556855304283</v>
      </c>
      <c r="I568" s="291">
        <f t="shared" si="63"/>
        <v>4788138.7320772195</v>
      </c>
    </row>
    <row r="569" spans="1:9" outlineLevel="2" x14ac:dyDescent="0.2">
      <c r="A569">
        <v>38300</v>
      </c>
      <c r="B569">
        <v>2002</v>
      </c>
      <c r="C569" s="89">
        <v>22.5</v>
      </c>
      <c r="D569" s="291">
        <v>297269.75</v>
      </c>
      <c r="E569" s="12">
        <v>42</v>
      </c>
      <c r="F569" s="12">
        <v>22.333337</v>
      </c>
      <c r="G569" s="330">
        <f>'Proposed Rates'!$O$27/100</f>
        <v>0</v>
      </c>
      <c r="H569" s="291">
        <f t="shared" si="68"/>
        <v>139197.71412724405</v>
      </c>
      <c r="I569" s="291">
        <f t="shared" si="63"/>
        <v>6639025.5066557499</v>
      </c>
    </row>
    <row r="570" spans="1:9" outlineLevel="2" x14ac:dyDescent="0.2">
      <c r="A570">
        <v>38300</v>
      </c>
      <c r="B570">
        <v>2001</v>
      </c>
      <c r="C570" s="89">
        <v>23.5</v>
      </c>
      <c r="D570" s="291">
        <v>38881.089999999997</v>
      </c>
      <c r="E570" s="12">
        <v>42</v>
      </c>
      <c r="F570" s="12">
        <v>21.657897999999999</v>
      </c>
      <c r="G570" s="330">
        <f>'Proposed Rates'!$O$27/100</f>
        <v>0</v>
      </c>
      <c r="H570" s="291">
        <f t="shared" si="68"/>
        <v>18831.502348837617</v>
      </c>
      <c r="I570" s="291">
        <f t="shared" si="63"/>
        <v>842082.68134881987</v>
      </c>
    </row>
    <row r="571" spans="1:9" outlineLevel="2" x14ac:dyDescent="0.2">
      <c r="A571">
        <v>38300</v>
      </c>
      <c r="B571">
        <v>2000</v>
      </c>
      <c r="C571" s="89">
        <v>24.5</v>
      </c>
      <c r="D571" s="291">
        <v>1068379.6499999999</v>
      </c>
      <c r="E571" s="12">
        <v>42</v>
      </c>
      <c r="F571" s="12">
        <v>21.001615999999999</v>
      </c>
      <c r="G571" s="330">
        <f>'Proposed Rates'!$O$27/100</f>
        <v>0</v>
      </c>
      <c r="H571" s="291">
        <f t="shared" si="68"/>
        <v>534148.71782108571</v>
      </c>
      <c r="I571" s="291">
        <f t="shared" si="63"/>
        <v>22437699.151514396</v>
      </c>
    </row>
    <row r="572" spans="1:9" outlineLevel="2" x14ac:dyDescent="0.2">
      <c r="A572">
        <v>38300</v>
      </c>
      <c r="B572">
        <v>1999</v>
      </c>
      <c r="C572" s="89">
        <v>25.5</v>
      </c>
      <c r="D572" s="291">
        <v>565894.18000000005</v>
      </c>
      <c r="E572" s="12">
        <v>42</v>
      </c>
      <c r="F572" s="12">
        <v>20.363028</v>
      </c>
      <c r="G572" s="330">
        <f>'Proposed Rates'!$O$27/100</f>
        <v>0</v>
      </c>
      <c r="H572" s="291">
        <f t="shared" si="68"/>
        <v>291529.44113388006</v>
      </c>
      <c r="I572" s="291">
        <f t="shared" si="63"/>
        <v>11523319.032377042</v>
      </c>
    </row>
    <row r="573" spans="1:9" outlineLevel="2" x14ac:dyDescent="0.2">
      <c r="A573">
        <v>38300</v>
      </c>
      <c r="B573">
        <v>1998</v>
      </c>
      <c r="C573" s="89">
        <v>26.5</v>
      </c>
      <c r="D573" s="291">
        <v>478111.94</v>
      </c>
      <c r="E573" s="12">
        <v>42</v>
      </c>
      <c r="F573" s="12">
        <v>19.742003</v>
      </c>
      <c r="G573" s="330">
        <f>'Proposed Rates'!$O$27/100</f>
        <v>0</v>
      </c>
      <c r="H573" s="291">
        <f t="shared" si="68"/>
        <v>253376.526813909</v>
      </c>
      <c r="I573" s="291">
        <f t="shared" si="63"/>
        <v>9438887.3538158201</v>
      </c>
    </row>
    <row r="574" spans="1:9" outlineLevel="2" x14ac:dyDescent="0.2">
      <c r="A574">
        <v>38300</v>
      </c>
      <c r="B574">
        <v>1997</v>
      </c>
      <c r="C574" s="89">
        <v>27.5</v>
      </c>
      <c r="D574" s="291">
        <v>606083.75</v>
      </c>
      <c r="E574" s="12">
        <v>42</v>
      </c>
      <c r="F574" s="12">
        <v>19.138914</v>
      </c>
      <c r="G574" s="330">
        <f>'Proposed Rates'!$O$27/100</f>
        <v>0</v>
      </c>
      <c r="H574" s="291">
        <f t="shared" si="68"/>
        <v>329898.39837982145</v>
      </c>
      <c r="I574" s="291">
        <f t="shared" si="63"/>
        <v>11599784.7680475</v>
      </c>
    </row>
    <row r="575" spans="1:9" outlineLevel="2" x14ac:dyDescent="0.2">
      <c r="A575">
        <v>38300</v>
      </c>
      <c r="B575">
        <v>1996</v>
      </c>
      <c r="C575" s="89">
        <v>28.5</v>
      </c>
      <c r="D575" s="291">
        <v>374216.61</v>
      </c>
      <c r="E575" s="12">
        <v>42</v>
      </c>
      <c r="F575" s="12">
        <v>18.552284</v>
      </c>
      <c r="G575" s="330">
        <f>'Proposed Rates'!$O$27/100</f>
        <v>0</v>
      </c>
      <c r="H575" s="291">
        <f t="shared" si="68"/>
        <v>208917.25699435142</v>
      </c>
      <c r="I575" s="291">
        <f t="shared" si="63"/>
        <v>6942572.8262372399</v>
      </c>
    </row>
    <row r="576" spans="1:9" outlineLevel="2" x14ac:dyDescent="0.2">
      <c r="A576">
        <v>38300</v>
      </c>
      <c r="B576">
        <v>1995</v>
      </c>
      <c r="C576" s="89">
        <v>29.5</v>
      </c>
      <c r="D576" s="291">
        <v>338080.91</v>
      </c>
      <c r="E576" s="12">
        <v>42</v>
      </c>
      <c r="F576" s="12">
        <v>17.982558999999998</v>
      </c>
      <c r="G576" s="330">
        <f>'Proposed Rates'!$O$27/100</f>
        <v>0</v>
      </c>
      <c r="H576" s="291">
        <f t="shared" si="68"/>
        <v>193329.48355122164</v>
      </c>
      <c r="I576" s="291">
        <f t="shared" si="63"/>
        <v>6079559.9108486893</v>
      </c>
    </row>
    <row r="577" spans="1:9" outlineLevel="2" x14ac:dyDescent="0.2">
      <c r="A577">
        <v>38300</v>
      </c>
      <c r="B577">
        <v>1994</v>
      </c>
      <c r="C577" s="89">
        <v>30.5</v>
      </c>
      <c r="D577" s="291">
        <v>365650.8</v>
      </c>
      <c r="E577" s="12">
        <v>42</v>
      </c>
      <c r="F577" s="12">
        <v>17.428961000000001</v>
      </c>
      <c r="G577" s="330">
        <f>'Proposed Rates'!$O$27/100</f>
        <v>0</v>
      </c>
      <c r="H577" s="291">
        <f t="shared" si="68"/>
        <v>213914.76350431427</v>
      </c>
      <c r="I577" s="291">
        <f t="shared" si="63"/>
        <v>6372913.5328187998</v>
      </c>
    </row>
    <row r="578" spans="1:9" outlineLevel="2" x14ac:dyDescent="0.2">
      <c r="A578">
        <v>38300</v>
      </c>
      <c r="B578">
        <v>1993</v>
      </c>
      <c r="C578" s="89">
        <v>31.5</v>
      </c>
      <c r="D578" s="291">
        <v>392196.25</v>
      </c>
      <c r="E578" s="12">
        <v>42</v>
      </c>
      <c r="F578" s="12">
        <v>16.890585999999999</v>
      </c>
      <c r="G578" s="330">
        <f>'Proposed Rates'!$O$27/100</f>
        <v>0</v>
      </c>
      <c r="H578" s="291">
        <f t="shared" si="68"/>
        <v>234471.85739279762</v>
      </c>
      <c r="I578" s="291">
        <f t="shared" si="63"/>
        <v>6624424.4895024998</v>
      </c>
    </row>
    <row r="579" spans="1:9" outlineLevel="2" x14ac:dyDescent="0.2">
      <c r="A579">
        <v>38300</v>
      </c>
      <c r="B579">
        <v>1992</v>
      </c>
      <c r="C579" s="89">
        <v>32.5</v>
      </c>
      <c r="D579" s="291">
        <v>249601.69</v>
      </c>
      <c r="E579" s="12">
        <v>42</v>
      </c>
      <c r="F579" s="12">
        <v>16.368120999999999</v>
      </c>
      <c r="G579" s="330">
        <f>'Proposed Rates'!$O$27/100</f>
        <v>0</v>
      </c>
      <c r="H579" s="291">
        <f t="shared" si="68"/>
        <v>152327.62657798835</v>
      </c>
      <c r="I579" s="291">
        <f t="shared" si="63"/>
        <v>4085510.6637244895</v>
      </c>
    </row>
    <row r="580" spans="1:9" outlineLevel="2" x14ac:dyDescent="0.2">
      <c r="A580">
        <v>38300</v>
      </c>
      <c r="B580">
        <v>1991</v>
      </c>
      <c r="C580" s="89">
        <v>33.5</v>
      </c>
      <c r="D580" s="291">
        <v>361257.71</v>
      </c>
      <c r="E580" s="12">
        <v>42</v>
      </c>
      <c r="F580" s="12">
        <v>15.859978999999999</v>
      </c>
      <c r="G580" s="330">
        <f>'Proposed Rates'!$O$27/100</f>
        <v>0</v>
      </c>
      <c r="H580" s="291">
        <f t="shared" si="68"/>
        <v>224840.09823361691</v>
      </c>
      <c r="I580" s="291">
        <f t="shared" si="63"/>
        <v>5729539.69418809</v>
      </c>
    </row>
    <row r="581" spans="1:9" outlineLevel="2" x14ac:dyDescent="0.2">
      <c r="A581">
        <v>38300</v>
      </c>
      <c r="B581">
        <v>1990</v>
      </c>
      <c r="C581" s="89">
        <v>34.5</v>
      </c>
      <c r="D581" s="291">
        <v>263731.37</v>
      </c>
      <c r="E581" s="12">
        <v>42</v>
      </c>
      <c r="F581" s="12">
        <v>15.366085999999999</v>
      </c>
      <c r="G581" s="330">
        <f>'Proposed Rates'!$O$27/100</f>
        <v>0</v>
      </c>
      <c r="H581" s="291">
        <f t="shared" si="68"/>
        <v>167242.82446862332</v>
      </c>
      <c r="I581" s="291">
        <f t="shared" ref="I581:I642" si="69">+D581*F581</f>
        <v>4052518.9123178199</v>
      </c>
    </row>
    <row r="582" spans="1:9" outlineLevel="2" x14ac:dyDescent="0.2">
      <c r="A582">
        <v>38300</v>
      </c>
      <c r="B582">
        <v>1989</v>
      </c>
      <c r="C582" s="89">
        <v>35.5</v>
      </c>
      <c r="D582" s="291">
        <v>175379.78</v>
      </c>
      <c r="E582" s="12">
        <v>42</v>
      </c>
      <c r="F582" s="12">
        <v>14.886170999999999</v>
      </c>
      <c r="G582" s="330">
        <f>'Proposed Rates'!$O$27/100</f>
        <v>0</v>
      </c>
      <c r="H582" s="291">
        <f t="shared" si="68"/>
        <v>113219.46107089572</v>
      </c>
      <c r="I582" s="291">
        <f t="shared" si="69"/>
        <v>2610733.3950223797</v>
      </c>
    </row>
    <row r="583" spans="1:9" outlineLevel="2" x14ac:dyDescent="0.2">
      <c r="A583">
        <v>38300</v>
      </c>
      <c r="B583">
        <v>1988</v>
      </c>
      <c r="C583" s="89">
        <v>36.5</v>
      </c>
      <c r="D583" s="291">
        <v>197396.53</v>
      </c>
      <c r="E583" s="12">
        <v>42</v>
      </c>
      <c r="F583" s="12">
        <v>14.419257999999999</v>
      </c>
      <c r="G583" s="330">
        <f>'Proposed Rates'!$O$27/100</f>
        <v>0</v>
      </c>
      <c r="H583" s="291">
        <f t="shared" si="68"/>
        <v>129627.20870536334</v>
      </c>
      <c r="I583" s="291">
        <f t="shared" si="69"/>
        <v>2846311.4943747399</v>
      </c>
    </row>
    <row r="584" spans="1:9" outlineLevel="2" x14ac:dyDescent="0.2">
      <c r="A584">
        <v>38300</v>
      </c>
      <c r="B584">
        <v>1987</v>
      </c>
      <c r="C584" s="89">
        <v>37.5</v>
      </c>
      <c r="D584" s="291">
        <v>277179.63</v>
      </c>
      <c r="E584" s="12">
        <v>42</v>
      </c>
      <c r="F584" s="12">
        <v>13.965396</v>
      </c>
      <c r="G584" s="330">
        <f>'Proposed Rates'!$O$27/100</f>
        <v>0</v>
      </c>
      <c r="H584" s="291">
        <f t="shared" si="68"/>
        <v>185014.78961706001</v>
      </c>
      <c r="I584" s="291">
        <f t="shared" si="69"/>
        <v>3870923.2960834801</v>
      </c>
    </row>
    <row r="585" spans="1:9" outlineLevel="2" x14ac:dyDescent="0.2">
      <c r="A585">
        <v>38300</v>
      </c>
      <c r="B585">
        <v>1986</v>
      </c>
      <c r="C585" s="89">
        <v>38.5</v>
      </c>
      <c r="D585" s="291">
        <v>264406.53000000003</v>
      </c>
      <c r="E585" s="12">
        <v>42</v>
      </c>
      <c r="F585" s="12">
        <v>13.52379</v>
      </c>
      <c r="G585" s="330">
        <f>'Proposed Rates'!$O$27/100</f>
        <v>0</v>
      </c>
      <c r="H585" s="291">
        <f t="shared" si="68"/>
        <v>179268.94937265001</v>
      </c>
      <c r="I585" s="291">
        <f t="shared" si="69"/>
        <v>3575778.3863487002</v>
      </c>
    </row>
    <row r="586" spans="1:9" outlineLevel="2" x14ac:dyDescent="0.2">
      <c r="A586">
        <v>38300</v>
      </c>
      <c r="B586">
        <v>1985</v>
      </c>
      <c r="C586" s="89">
        <v>39.5</v>
      </c>
      <c r="D586" s="291">
        <v>182310.15</v>
      </c>
      <c r="E586" s="12">
        <v>42</v>
      </c>
      <c r="F586" s="12">
        <v>13.093954</v>
      </c>
      <c r="G586" s="330">
        <f>'Proposed Rates'!$O$27/100</f>
        <v>0</v>
      </c>
      <c r="H586" s="291">
        <f t="shared" si="68"/>
        <v>125472.99005159285</v>
      </c>
      <c r="I586" s="291">
        <f t="shared" si="69"/>
        <v>2387160.7178330999</v>
      </c>
    </row>
    <row r="587" spans="1:9" outlineLevel="2" x14ac:dyDescent="0.2">
      <c r="A587">
        <v>38300</v>
      </c>
      <c r="B587">
        <v>1984</v>
      </c>
      <c r="C587" s="89">
        <v>40.5</v>
      </c>
      <c r="D587" s="291">
        <v>129589.29</v>
      </c>
      <c r="E587" s="12">
        <v>42</v>
      </c>
      <c r="F587" s="12">
        <v>12.675682</v>
      </c>
      <c r="G587" s="330">
        <f>'Proposed Rates'!$O$27/100</f>
        <v>0</v>
      </c>
      <c r="H587" s="291">
        <f t="shared" si="68"/>
        <v>90478.98927033857</v>
      </c>
      <c r="I587" s="291">
        <f t="shared" si="69"/>
        <v>1642632.6306457799</v>
      </c>
    </row>
    <row r="588" spans="1:9" outlineLevel="2" x14ac:dyDescent="0.2">
      <c r="A588">
        <v>38300</v>
      </c>
      <c r="B588">
        <v>1983</v>
      </c>
      <c r="C588" s="89">
        <v>41.5</v>
      </c>
      <c r="D588" s="291">
        <v>59468.89</v>
      </c>
      <c r="E588" s="12">
        <v>42</v>
      </c>
      <c r="F588" s="12">
        <v>12.268280000000001</v>
      </c>
      <c r="G588" s="330">
        <f>'Proposed Rates'!$O$27/100</f>
        <v>0</v>
      </c>
      <c r="H588" s="291">
        <f t="shared" si="68"/>
        <v>42097.91395692381</v>
      </c>
      <c r="I588" s="291">
        <f t="shared" si="69"/>
        <v>729580.99380920001</v>
      </c>
    </row>
    <row r="589" spans="1:9" outlineLevel="2" x14ac:dyDescent="0.2">
      <c r="A589">
        <v>38300</v>
      </c>
      <c r="B589">
        <v>1982</v>
      </c>
      <c r="C589" s="89">
        <v>42.5</v>
      </c>
      <c r="D589" s="291">
        <v>76749.27</v>
      </c>
      <c r="E589" s="12">
        <v>42</v>
      </c>
      <c r="F589" s="12">
        <v>11.871409</v>
      </c>
      <c r="G589" s="330">
        <f>'Proposed Rates'!$O$27/100</f>
        <v>0</v>
      </c>
      <c r="H589" s="291">
        <f t="shared" si="68"/>
        <v>55055.889651870726</v>
      </c>
      <c r="I589" s="291">
        <f t="shared" si="69"/>
        <v>911121.97462143004</v>
      </c>
    </row>
    <row r="590" spans="1:9" outlineLevel="2" x14ac:dyDescent="0.2">
      <c r="A590">
        <v>38300</v>
      </c>
      <c r="B590">
        <v>1981</v>
      </c>
      <c r="C590" s="89">
        <v>43.5</v>
      </c>
      <c r="D590" s="291">
        <v>117688.66</v>
      </c>
      <c r="E590" s="12">
        <v>42</v>
      </c>
      <c r="F590" s="12">
        <v>11.484603</v>
      </c>
      <c r="G590" s="330">
        <f>'Proposed Rates'!$O$27/100</f>
        <v>0</v>
      </c>
      <c r="H590" s="291">
        <f t="shared" si="68"/>
        <v>85507.52814995285</v>
      </c>
      <c r="I590" s="291">
        <f t="shared" si="69"/>
        <v>1351607.53770198</v>
      </c>
    </row>
    <row r="591" spans="1:9" outlineLevel="2" x14ac:dyDescent="0.2">
      <c r="A591">
        <v>38300</v>
      </c>
      <c r="B591">
        <v>1980</v>
      </c>
      <c r="C591" s="89">
        <v>44.5</v>
      </c>
      <c r="D591" s="291">
        <v>85874.18</v>
      </c>
      <c r="E591" s="12">
        <v>42</v>
      </c>
      <c r="F591" s="12">
        <v>11.107554</v>
      </c>
      <c r="G591" s="330">
        <f>'Proposed Rates'!$O$27/100</f>
        <v>0</v>
      </c>
      <c r="H591" s="291">
        <f t="shared" si="68"/>
        <v>63163.415915339996</v>
      </c>
      <c r="I591" s="291">
        <f t="shared" si="69"/>
        <v>953852.09155571996</v>
      </c>
    </row>
    <row r="592" spans="1:9" outlineLevel="2" x14ac:dyDescent="0.2">
      <c r="A592">
        <v>38300</v>
      </c>
      <c r="B592">
        <v>1979</v>
      </c>
      <c r="C592" s="89">
        <v>45.5</v>
      </c>
      <c r="D592" s="291">
        <v>48170.29</v>
      </c>
      <c r="E592" s="12">
        <v>42</v>
      </c>
      <c r="F592" s="12">
        <v>10.739579000000001</v>
      </c>
      <c r="G592" s="330">
        <f>'Proposed Rates'!$O$27/100</f>
        <v>0</v>
      </c>
      <c r="H592" s="291">
        <f t="shared" si="68"/>
        <v>35852.941549811665</v>
      </c>
      <c r="I592" s="291">
        <f t="shared" si="69"/>
        <v>517328.63490791008</v>
      </c>
    </row>
    <row r="593" spans="1:10" outlineLevel="2" x14ac:dyDescent="0.2">
      <c r="A593">
        <v>38300</v>
      </c>
      <c r="B593">
        <v>1978</v>
      </c>
      <c r="C593" s="89">
        <v>46.5</v>
      </c>
      <c r="D593" s="291">
        <v>53032.49</v>
      </c>
      <c r="E593" s="12">
        <v>42</v>
      </c>
      <c r="F593" s="12">
        <v>10.380547</v>
      </c>
      <c r="G593" s="330">
        <f>'Proposed Rates'!$O$27/100</f>
        <v>0</v>
      </c>
      <c r="H593" s="291">
        <f t="shared" si="68"/>
        <v>39925.198214951663</v>
      </c>
      <c r="I593" s="291">
        <f t="shared" si="69"/>
        <v>550506.25497202994</v>
      </c>
    </row>
    <row r="594" spans="1:10" outlineLevel="2" x14ac:dyDescent="0.2">
      <c r="A594">
        <v>38300</v>
      </c>
      <c r="B594">
        <v>1977</v>
      </c>
      <c r="C594" s="89">
        <v>47.5</v>
      </c>
      <c r="D594" s="291">
        <v>45144</v>
      </c>
      <c r="E594" s="12">
        <v>42</v>
      </c>
      <c r="F594" s="12">
        <v>10.030075</v>
      </c>
      <c r="G594" s="330">
        <f>'Proposed Rates'!$O$27/100</f>
        <v>0</v>
      </c>
      <c r="H594" s="291">
        <f t="shared" si="68"/>
        <v>34363.102242857138</v>
      </c>
      <c r="I594" s="291">
        <f t="shared" si="69"/>
        <v>452797.7058</v>
      </c>
    </row>
    <row r="595" spans="1:10" outlineLevel="2" x14ac:dyDescent="0.2">
      <c r="A595">
        <v>38300</v>
      </c>
      <c r="B595">
        <v>1976</v>
      </c>
      <c r="C595" s="89">
        <v>48.5</v>
      </c>
      <c r="D595" s="291">
        <v>22156.81</v>
      </c>
      <c r="E595" s="12">
        <v>42</v>
      </c>
      <c r="F595" s="12">
        <v>9.6873679999999993</v>
      </c>
      <c r="G595" s="330">
        <f>'Proposed Rates'!$O$27/100</f>
        <v>0</v>
      </c>
      <c r="H595" s="291">
        <f t="shared" si="68"/>
        <v>17046.305900569525</v>
      </c>
      <c r="I595" s="291">
        <f t="shared" si="69"/>
        <v>214641.17217608</v>
      </c>
    </row>
    <row r="596" spans="1:10" outlineLevel="2" x14ac:dyDescent="0.2">
      <c r="A596">
        <v>38300</v>
      </c>
      <c r="B596">
        <v>1975</v>
      </c>
      <c r="C596" s="89">
        <v>49.5</v>
      </c>
      <c r="D596" s="291">
        <v>32725.68</v>
      </c>
      <c r="E596" s="12">
        <v>42</v>
      </c>
      <c r="F596" s="12">
        <v>9.3527129999999996</v>
      </c>
      <c r="G596" s="330">
        <f>'Proposed Rates'!$O$27/100</f>
        <v>0</v>
      </c>
      <c r="H596" s="291">
        <f t="shared" si="68"/>
        <v>25438.206362622859</v>
      </c>
      <c r="I596" s="291">
        <f t="shared" si="69"/>
        <v>306073.89276983996</v>
      </c>
    </row>
    <row r="597" spans="1:10" outlineLevel="2" x14ac:dyDescent="0.2">
      <c r="A597">
        <v>38300</v>
      </c>
      <c r="B597">
        <v>1974</v>
      </c>
      <c r="C597" s="89">
        <v>50.5</v>
      </c>
      <c r="D597" s="291">
        <v>31153.5</v>
      </c>
      <c r="E597" s="12">
        <v>42</v>
      </c>
      <c r="F597" s="12">
        <v>9.0251230000000007</v>
      </c>
      <c r="G597" s="330">
        <f>'Proposed Rates'!$O$27/100</f>
        <v>0</v>
      </c>
      <c r="H597" s="291">
        <f t="shared" si="68"/>
        <v>24459.115014749997</v>
      </c>
      <c r="I597" s="291">
        <f t="shared" si="69"/>
        <v>281164.16938050004</v>
      </c>
    </row>
    <row r="598" spans="1:10" outlineLevel="2" x14ac:dyDescent="0.2">
      <c r="A598">
        <v>38300</v>
      </c>
      <c r="B598">
        <v>1973</v>
      </c>
      <c r="C598" s="89">
        <v>51.5</v>
      </c>
      <c r="D598" s="291">
        <v>19633.699999999997</v>
      </c>
      <c r="E598" s="12">
        <v>42</v>
      </c>
      <c r="F598" s="12">
        <v>8.7044800000000002</v>
      </c>
      <c r="G598" s="330">
        <f>'Proposed Rates'!$O$27/100</f>
        <v>0</v>
      </c>
      <c r="H598" s="291">
        <f t="shared" si="68"/>
        <v>15564.62502438095</v>
      </c>
      <c r="I598" s="291">
        <f t="shared" si="69"/>
        <v>170901.14897599997</v>
      </c>
    </row>
    <row r="599" spans="1:10" s="143" customFormat="1" outlineLevel="1" x14ac:dyDescent="0.2">
      <c r="A599" s="20" t="s">
        <v>1190</v>
      </c>
      <c r="C599" s="89" t="s">
        <v>1230</v>
      </c>
      <c r="D599" s="291">
        <f>SUBTOTAL(9,D547:D598)</f>
        <v>21662897.199999996</v>
      </c>
      <c r="E599" s="12"/>
      <c r="F599" s="12"/>
      <c r="G599" s="330"/>
      <c r="H599" s="291">
        <f>SUBTOTAL(9,H547:H598)</f>
        <v>7147798.035088392</v>
      </c>
      <c r="I599" s="291">
        <f>SUBTOTAL(9,I547:I598)</f>
        <v>609634164.92628765</v>
      </c>
      <c r="J599" s="291">
        <f>+I599/D599</f>
        <v>28.141857448609773</v>
      </c>
    </row>
    <row r="600" spans="1:10" outlineLevel="2" x14ac:dyDescent="0.2">
      <c r="A600">
        <v>38400</v>
      </c>
      <c r="B600">
        <v>2022</v>
      </c>
      <c r="C600" s="89">
        <v>2.5</v>
      </c>
      <c r="D600" s="291">
        <v>6517029.4899999993</v>
      </c>
      <c r="E600" s="12">
        <v>47</v>
      </c>
      <c r="F600" s="12">
        <v>44.952255999999998</v>
      </c>
      <c r="G600" s="330">
        <f>'Proposed Rates'!$O$28/100</f>
        <v>-0.3</v>
      </c>
      <c r="H600" s="291">
        <f t="shared" si="68"/>
        <v>369122.77546301583</v>
      </c>
      <c r="I600" s="291">
        <f t="shared" si="69"/>
        <v>292955177.9940294</v>
      </c>
    </row>
    <row r="601" spans="1:10" outlineLevel="2" x14ac:dyDescent="0.2">
      <c r="A601">
        <v>38400</v>
      </c>
      <c r="B601">
        <v>2021</v>
      </c>
      <c r="C601" s="89">
        <v>3.5</v>
      </c>
      <c r="D601" s="291">
        <v>4440943.29</v>
      </c>
      <c r="E601" s="12">
        <v>47</v>
      </c>
      <c r="F601" s="12">
        <v>44.141668000000003</v>
      </c>
      <c r="G601" s="330">
        <f>'Proposed Rates'!$O$28/100</f>
        <v>-0.3</v>
      </c>
      <c r="H601" s="291">
        <f t="shared" si="68"/>
        <v>351102.07256999897</v>
      </c>
      <c r="I601" s="291">
        <f t="shared" si="69"/>
        <v>196030644.31400773</v>
      </c>
    </row>
    <row r="602" spans="1:10" outlineLevel="2" x14ac:dyDescent="0.2">
      <c r="A602">
        <v>38400</v>
      </c>
      <c r="B602">
        <v>2020</v>
      </c>
      <c r="C602" s="89">
        <v>4.5</v>
      </c>
      <c r="D602" s="291">
        <v>2242163.2000000002</v>
      </c>
      <c r="E602" s="12">
        <v>47</v>
      </c>
      <c r="F602" s="12">
        <v>43.335971000000001</v>
      </c>
      <c r="G602" s="330">
        <f>'Proposed Rates'!$O$28/100</f>
        <v>-0.3</v>
      </c>
      <c r="H602" s="291">
        <f t="shared" si="68"/>
        <v>227233.11242111996</v>
      </c>
      <c r="I602" s="291">
        <f t="shared" si="69"/>
        <v>97166319.412467211</v>
      </c>
    </row>
    <row r="603" spans="1:10" outlineLevel="2" x14ac:dyDescent="0.2">
      <c r="A603">
        <v>38400</v>
      </c>
      <c r="B603">
        <v>2019</v>
      </c>
      <c r="C603" s="89">
        <v>5.5</v>
      </c>
      <c r="D603" s="291">
        <v>1920126.15</v>
      </c>
      <c r="E603" s="12">
        <v>47</v>
      </c>
      <c r="F603" s="12">
        <v>42.535183000000004</v>
      </c>
      <c r="G603" s="330">
        <f>'Proposed Rates'!$O$28/100</f>
        <v>-0.3</v>
      </c>
      <c r="H603" s="291">
        <f t="shared" si="68"/>
        <v>237125.86041838088</v>
      </c>
      <c r="I603" s="291">
        <f t="shared" si="69"/>
        <v>81672917.173335448</v>
      </c>
    </row>
    <row r="604" spans="1:10" outlineLevel="2" x14ac:dyDescent="0.2">
      <c r="A604">
        <v>38400</v>
      </c>
      <c r="B604">
        <v>2018</v>
      </c>
      <c r="C604" s="89">
        <v>6.5</v>
      </c>
      <c r="D604" s="291">
        <v>1755541.61</v>
      </c>
      <c r="E604" s="12">
        <v>47</v>
      </c>
      <c r="F604" s="12">
        <v>41.739325000000001</v>
      </c>
      <c r="G604" s="330">
        <f>'Proposed Rates'!$O$28/100</f>
        <v>-0.3</v>
      </c>
      <c r="H604" s="291">
        <f t="shared" si="68"/>
        <v>255445.40461580362</v>
      </c>
      <c r="I604" s="291">
        <f t="shared" si="69"/>
        <v>73275121.810813263</v>
      </c>
    </row>
    <row r="605" spans="1:10" outlineLevel="2" x14ac:dyDescent="0.2">
      <c r="A605">
        <v>38400</v>
      </c>
      <c r="B605">
        <v>2017</v>
      </c>
      <c r="C605" s="89">
        <v>7.5</v>
      </c>
      <c r="D605" s="291">
        <v>1120608.94</v>
      </c>
      <c r="E605" s="12">
        <v>47</v>
      </c>
      <c r="F605" s="12">
        <v>40.948411</v>
      </c>
      <c r="G605" s="330">
        <f>'Proposed Rates'!$O$28/100</f>
        <v>-0.3</v>
      </c>
      <c r="H605" s="291">
        <f t="shared" si="68"/>
        <v>187572.42882951821</v>
      </c>
      <c r="I605" s="291">
        <f t="shared" si="69"/>
        <v>45887155.445394337</v>
      </c>
    </row>
    <row r="606" spans="1:10" outlineLevel="2" x14ac:dyDescent="0.2">
      <c r="A606">
        <v>38400</v>
      </c>
      <c r="B606">
        <v>2016</v>
      </c>
      <c r="C606" s="89">
        <v>8.5</v>
      </c>
      <c r="D606" s="291">
        <v>1198676.73</v>
      </c>
      <c r="E606" s="12">
        <v>47</v>
      </c>
      <c r="F606" s="12">
        <v>40.162613999999998</v>
      </c>
      <c r="G606" s="330">
        <f>'Proposed Rates'!$O$28/100</f>
        <v>-0.3</v>
      </c>
      <c r="H606" s="291">
        <f t="shared" si="68"/>
        <v>226692.76893396003</v>
      </c>
      <c r="I606" s="291">
        <f t="shared" si="69"/>
        <v>48141990.817772217</v>
      </c>
    </row>
    <row r="607" spans="1:10" outlineLevel="2" x14ac:dyDescent="0.2">
      <c r="A607">
        <v>38400</v>
      </c>
      <c r="B607">
        <v>2015</v>
      </c>
      <c r="C607" s="89">
        <v>9.5</v>
      </c>
      <c r="D607" s="291">
        <v>817036.65</v>
      </c>
      <c r="E607" s="12">
        <v>47</v>
      </c>
      <c r="F607" s="12">
        <v>39.381880000000002</v>
      </c>
      <c r="G607" s="330">
        <f>'Proposed Rates'!$O$28/100</f>
        <v>-0.3</v>
      </c>
      <c r="H607" s="291">
        <f t="shared" si="68"/>
        <v>172161.02590058293</v>
      </c>
      <c r="I607" s="291">
        <f t="shared" si="69"/>
        <v>32176439.305902004</v>
      </c>
    </row>
    <row r="608" spans="1:10" outlineLevel="2" x14ac:dyDescent="0.2">
      <c r="A608">
        <v>38400</v>
      </c>
      <c r="B608">
        <v>2014</v>
      </c>
      <c r="C608" s="89">
        <v>10.5</v>
      </c>
      <c r="D608" s="291">
        <v>776896.66</v>
      </c>
      <c r="E608" s="12">
        <v>47</v>
      </c>
      <c r="F608" s="12">
        <v>38.606158999999998</v>
      </c>
      <c r="G608" s="330">
        <f>'Proposed Rates'!$O$28/100</f>
        <v>-0.3</v>
      </c>
      <c r="H608" s="291">
        <f t="shared" si="68"/>
        <v>180372.15210026337</v>
      </c>
      <c r="I608" s="291">
        <f t="shared" si="69"/>
        <v>29992995.98252894</v>
      </c>
    </row>
    <row r="609" spans="1:10" outlineLevel="2" x14ac:dyDescent="0.2">
      <c r="A609">
        <v>38400</v>
      </c>
      <c r="B609">
        <v>2013</v>
      </c>
      <c r="C609" s="89">
        <v>11.5</v>
      </c>
      <c r="D609" s="291">
        <v>1316985.8600000001</v>
      </c>
      <c r="E609" s="12">
        <v>47</v>
      </c>
      <c r="F609" s="12">
        <v>37.835465999999997</v>
      </c>
      <c r="G609" s="330">
        <f>'Proposed Rates'!$O$28/100</f>
        <v>-0.3</v>
      </c>
      <c r="H609" s="291">
        <f t="shared" si="68"/>
        <v>333838.94040289405</v>
      </c>
      <c r="I609" s="291">
        <f t="shared" si="69"/>
        <v>49828773.72851076</v>
      </c>
    </row>
    <row r="610" spans="1:10" outlineLevel="2" x14ac:dyDescent="0.2">
      <c r="A610">
        <v>38400</v>
      </c>
      <c r="B610">
        <v>2012</v>
      </c>
      <c r="C610" s="89">
        <v>12.5</v>
      </c>
      <c r="D610" s="291">
        <v>1151122.04</v>
      </c>
      <c r="E610" s="12">
        <v>47</v>
      </c>
      <c r="F610" s="12">
        <v>37.069820999999997</v>
      </c>
      <c r="G610" s="330">
        <f>'Proposed Rates'!$O$28/100</f>
        <v>-0.3</v>
      </c>
      <c r="H610" s="291">
        <f t="shared" si="68"/>
        <v>316172.38894593011</v>
      </c>
      <c r="I610" s="291">
        <f t="shared" si="69"/>
        <v>42671887.971954837</v>
      </c>
    </row>
    <row r="611" spans="1:10" outlineLevel="2" x14ac:dyDescent="0.2">
      <c r="A611">
        <v>38400</v>
      </c>
      <c r="B611">
        <v>2011</v>
      </c>
      <c r="C611" s="89">
        <v>13.5</v>
      </c>
      <c r="D611" s="291">
        <v>738173.99</v>
      </c>
      <c r="E611" s="12">
        <v>47</v>
      </c>
      <c r="F611" s="12">
        <v>36.309244</v>
      </c>
      <c r="G611" s="330">
        <f>'Proposed Rates'!$O$28/100</f>
        <v>-0.3</v>
      </c>
      <c r="H611" s="291">
        <f t="shared" si="68"/>
        <v>218279.3492856888</v>
      </c>
      <c r="I611" s="291">
        <f t="shared" si="69"/>
        <v>26802539.517363559</v>
      </c>
    </row>
    <row r="612" spans="1:10" outlineLevel="2" x14ac:dyDescent="0.2">
      <c r="A612">
        <v>38400</v>
      </c>
      <c r="B612">
        <v>2010</v>
      </c>
      <c r="C612" s="89">
        <v>14.5</v>
      </c>
      <c r="D612" s="291">
        <v>671129.47</v>
      </c>
      <c r="E612" s="12">
        <v>47</v>
      </c>
      <c r="F612" s="12">
        <v>35.553778000000001</v>
      </c>
      <c r="G612" s="330">
        <f>'Proposed Rates'!$O$28/100</f>
        <v>-0.3</v>
      </c>
      <c r="H612" s="291">
        <f t="shared" si="68"/>
        <v>212477.99948236259</v>
      </c>
      <c r="I612" s="291">
        <f t="shared" si="69"/>
        <v>23861188.18563766</v>
      </c>
    </row>
    <row r="613" spans="1:10" outlineLevel="2" x14ac:dyDescent="0.2">
      <c r="A613">
        <v>38400</v>
      </c>
      <c r="B613">
        <v>2009</v>
      </c>
      <c r="C613" s="89">
        <v>15.5</v>
      </c>
      <c r="D613" s="291">
        <v>686919.72</v>
      </c>
      <c r="E613" s="12">
        <v>47</v>
      </c>
      <c r="F613" s="12">
        <v>34.803516000000002</v>
      </c>
      <c r="G613" s="330">
        <f>'Proposed Rates'!$O$28/100</f>
        <v>-0.3</v>
      </c>
      <c r="H613" s="291">
        <f t="shared" si="68"/>
        <v>231732.06354348559</v>
      </c>
      <c r="I613" s="291">
        <f t="shared" si="69"/>
        <v>23907221.465735521</v>
      </c>
    </row>
    <row r="614" spans="1:10" outlineLevel="2" x14ac:dyDescent="0.2">
      <c r="A614">
        <v>38400</v>
      </c>
      <c r="B614">
        <v>2008</v>
      </c>
      <c r="C614" s="89">
        <v>16.5</v>
      </c>
      <c r="D614" s="291">
        <v>732920.04</v>
      </c>
      <c r="E614" s="12">
        <v>47</v>
      </c>
      <c r="F614" s="12">
        <v>34.058822999999997</v>
      </c>
      <c r="G614" s="330">
        <f>'Proposed Rates'!$O$28/100</f>
        <v>-0.3</v>
      </c>
      <c r="H614" s="291">
        <f t="shared" si="68"/>
        <v>262346.85859219584</v>
      </c>
      <c r="I614" s="291">
        <f t="shared" si="69"/>
        <v>24962393.915512919</v>
      </c>
    </row>
    <row r="615" spans="1:10" outlineLevel="2" x14ac:dyDescent="0.2">
      <c r="A615">
        <v>38400</v>
      </c>
      <c r="B615">
        <v>2007</v>
      </c>
      <c r="C615" s="89">
        <v>17.5</v>
      </c>
      <c r="D615" s="291">
        <v>877182.82</v>
      </c>
      <c r="E615" s="12">
        <v>47</v>
      </c>
      <c r="F615" s="12">
        <v>33.319718000000002</v>
      </c>
      <c r="G615" s="330">
        <f>'Proposed Rates'!$O$28/100</f>
        <v>-0.3</v>
      </c>
      <c r="H615" s="291">
        <f t="shared" si="68"/>
        <v>331917.89034259174</v>
      </c>
      <c r="I615" s="291">
        <f t="shared" si="69"/>
        <v>29227484.19684476</v>
      </c>
    </row>
    <row r="616" spans="1:10" outlineLevel="2" x14ac:dyDescent="0.2">
      <c r="A616">
        <v>38400</v>
      </c>
      <c r="B616">
        <v>2006</v>
      </c>
      <c r="C616" s="89">
        <v>18.5</v>
      </c>
      <c r="D616" s="291">
        <v>1557909.68</v>
      </c>
      <c r="E616" s="12">
        <v>47</v>
      </c>
      <c r="F616" s="12">
        <v>32.586364000000003</v>
      </c>
      <c r="G616" s="330">
        <f>'Proposed Rates'!$O$28/100</f>
        <v>-0.3</v>
      </c>
      <c r="H616" s="291">
        <f t="shared" si="68"/>
        <v>621099.70133862586</v>
      </c>
      <c r="I616" s="291">
        <f t="shared" si="69"/>
        <v>50766611.911603525</v>
      </c>
    </row>
    <row r="617" spans="1:10" outlineLevel="2" x14ac:dyDescent="0.2">
      <c r="A617">
        <v>38400</v>
      </c>
      <c r="B617">
        <v>2005</v>
      </c>
      <c r="C617" s="89">
        <v>19.5</v>
      </c>
      <c r="D617" s="291">
        <v>919834.48</v>
      </c>
      <c r="E617" s="12">
        <v>47</v>
      </c>
      <c r="F617" s="12">
        <v>31.858978</v>
      </c>
      <c r="G617" s="330">
        <f>'Proposed Rates'!$O$28/100</f>
        <v>-0.3</v>
      </c>
      <c r="H617" s="291">
        <f t="shared" si="68"/>
        <v>385221.36866915168</v>
      </c>
      <c r="I617" s="291">
        <f t="shared" si="69"/>
        <v>29304986.461961441</v>
      </c>
    </row>
    <row r="618" spans="1:10" s="143" customFormat="1" outlineLevel="2" x14ac:dyDescent="0.2">
      <c r="A618" s="143">
        <v>38400</v>
      </c>
      <c r="B618" s="143">
        <v>2004</v>
      </c>
      <c r="C618" s="89">
        <v>20.5</v>
      </c>
      <c r="D618" s="291">
        <v>874870.58</v>
      </c>
      <c r="E618" s="12">
        <v>47</v>
      </c>
      <c r="F618" s="12">
        <v>31.137792999999999</v>
      </c>
      <c r="G618" s="330">
        <f>'Proposed Rates'!$O$28/100</f>
        <v>-0.3</v>
      </c>
      <c r="H618" s="291">
        <f t="shared" ref="H618:H624" si="70">+D618*(1-F618/E618)*(1-G618)</f>
        <v>383842.37680044846</v>
      </c>
      <c r="I618" s="291">
        <f t="shared" ref="I618:I624" si="71">+D618*F618</f>
        <v>27241539.021829937</v>
      </c>
      <c r="J618" s="291"/>
    </row>
    <row r="619" spans="1:10" s="143" customFormat="1" outlineLevel="2" x14ac:dyDescent="0.2">
      <c r="A619" s="143">
        <v>38400</v>
      </c>
      <c r="B619" s="143">
        <v>2003</v>
      </c>
      <c r="C619" s="89">
        <v>21.5</v>
      </c>
      <c r="D619" s="291">
        <v>1190767.25</v>
      </c>
      <c r="E619" s="12">
        <v>47</v>
      </c>
      <c r="F619" s="12">
        <v>30.423048000000001</v>
      </c>
      <c r="G619" s="330">
        <f>'Proposed Rates'!$O$28/100</f>
        <v>-0.3</v>
      </c>
      <c r="H619" s="291">
        <f t="shared" si="70"/>
        <v>545980.40447550209</v>
      </c>
      <c r="I619" s="291">
        <f t="shared" si="71"/>
        <v>36226769.203578003</v>
      </c>
      <c r="J619" s="291"/>
    </row>
    <row r="620" spans="1:10" s="143" customFormat="1" outlineLevel="2" x14ac:dyDescent="0.2">
      <c r="A620" s="143">
        <v>38400</v>
      </c>
      <c r="B620" s="143">
        <v>2002</v>
      </c>
      <c r="C620" s="89">
        <v>22.5</v>
      </c>
      <c r="D620" s="291">
        <v>781013.24</v>
      </c>
      <c r="E620" s="12">
        <v>47</v>
      </c>
      <c r="F620" s="12">
        <v>29.714984000000001</v>
      </c>
      <c r="G620" s="330">
        <f>'Proposed Rates'!$O$28/100</f>
        <v>-0.3</v>
      </c>
      <c r="H620" s="291">
        <f t="shared" si="70"/>
        <v>373399.45222330617</v>
      </c>
      <c r="I620" s="291">
        <f t="shared" si="71"/>
        <v>23207795.93038816</v>
      </c>
      <c r="J620" s="291"/>
    </row>
    <row r="621" spans="1:10" s="143" customFormat="1" outlineLevel="2" x14ac:dyDescent="0.2">
      <c r="A621" s="143">
        <v>38400</v>
      </c>
      <c r="B621" s="143">
        <v>2000</v>
      </c>
      <c r="C621" s="89">
        <v>24.5</v>
      </c>
      <c r="D621" s="291">
        <v>1069154.9099999999</v>
      </c>
      <c r="E621" s="12">
        <v>47</v>
      </c>
      <c r="F621" s="12">
        <v>28.320219000000002</v>
      </c>
      <c r="G621" s="330">
        <f>'Proposed Rates'!$O$28/100</f>
        <v>-0.3</v>
      </c>
      <c r="H621" s="291">
        <f t="shared" si="70"/>
        <v>552405.39246887481</v>
      </c>
      <c r="I621" s="291">
        <f t="shared" si="71"/>
        <v>30278701.196125288</v>
      </c>
      <c r="J621" s="291"/>
    </row>
    <row r="622" spans="1:10" s="143" customFormat="1" outlineLevel="2" x14ac:dyDescent="0.2">
      <c r="A622" s="143">
        <v>38400</v>
      </c>
      <c r="B622" s="143">
        <v>1999</v>
      </c>
      <c r="C622" s="89">
        <v>25.5</v>
      </c>
      <c r="D622" s="291">
        <v>471049.24</v>
      </c>
      <c r="E622" s="12">
        <v>47</v>
      </c>
      <c r="F622" s="12">
        <v>27.634041</v>
      </c>
      <c r="G622" s="330">
        <f>'Proposed Rates'!$O$28/100</f>
        <v>-0.3</v>
      </c>
      <c r="H622" s="291">
        <f t="shared" si="70"/>
        <v>252319.49679718103</v>
      </c>
      <c r="I622" s="291">
        <f t="shared" si="71"/>
        <v>13016994.01117884</v>
      </c>
      <c r="J622" s="291"/>
    </row>
    <row r="623" spans="1:10" s="143" customFormat="1" outlineLevel="2" x14ac:dyDescent="0.2">
      <c r="A623" s="143">
        <v>38400</v>
      </c>
      <c r="B623" s="143">
        <v>1998</v>
      </c>
      <c r="C623" s="89">
        <v>26.5</v>
      </c>
      <c r="D623" s="291">
        <v>383996.61</v>
      </c>
      <c r="E623" s="12">
        <v>47</v>
      </c>
      <c r="F623" s="12">
        <v>26.955552999999998</v>
      </c>
      <c r="G623" s="330">
        <f>'Proposed Rates'!$O$28/100</f>
        <v>-0.3</v>
      </c>
      <c r="H623" s="291">
        <f t="shared" si="70"/>
        <v>212895.73630898027</v>
      </c>
      <c r="I623" s="291">
        <f t="shared" si="71"/>
        <v>10350840.972675329</v>
      </c>
      <c r="J623" s="291"/>
    </row>
    <row r="624" spans="1:10" s="143" customFormat="1" outlineLevel="2" x14ac:dyDescent="0.2">
      <c r="A624" s="143">
        <v>38400</v>
      </c>
      <c r="B624" s="143">
        <v>1997</v>
      </c>
      <c r="C624" s="89">
        <v>27.5</v>
      </c>
      <c r="D624" s="291">
        <v>485085.41</v>
      </c>
      <c r="E624" s="12">
        <v>47</v>
      </c>
      <c r="F624" s="12">
        <v>26.285003</v>
      </c>
      <c r="G624" s="330">
        <f>'Proposed Rates'!$O$28/100</f>
        <v>-0.3</v>
      </c>
      <c r="H624" s="291">
        <f t="shared" si="70"/>
        <v>277938.41822897666</v>
      </c>
      <c r="I624" s="291">
        <f t="shared" si="71"/>
        <v>12750471.457106229</v>
      </c>
      <c r="J624" s="291"/>
    </row>
    <row r="625" spans="1:9" outlineLevel="2" x14ac:dyDescent="0.2">
      <c r="A625" s="143">
        <v>38400</v>
      </c>
      <c r="B625">
        <v>1996</v>
      </c>
      <c r="C625" s="89">
        <v>28.5</v>
      </c>
      <c r="D625" s="291">
        <v>459277.08</v>
      </c>
      <c r="E625" s="12">
        <v>47</v>
      </c>
      <c r="F625" s="12">
        <v>25.622624999999999</v>
      </c>
      <c r="G625" s="330">
        <f>'Proposed Rates'!$O$28/100</f>
        <v>-0.3</v>
      </c>
      <c r="H625" s="291">
        <f t="shared" ref="H625:H690" si="72">+D625*(1-F625/E625)*(1-G625)</f>
        <v>271565.52932945749</v>
      </c>
      <c r="I625" s="291">
        <f t="shared" si="69"/>
        <v>11767884.391935</v>
      </c>
    </row>
    <row r="626" spans="1:9" outlineLevel="2" x14ac:dyDescent="0.2">
      <c r="A626" s="143">
        <v>38400</v>
      </c>
      <c r="B626">
        <v>1995</v>
      </c>
      <c r="C626" s="89">
        <v>29.5</v>
      </c>
      <c r="D626" s="291">
        <v>353198.32</v>
      </c>
      <c r="E626" s="12">
        <v>47</v>
      </c>
      <c r="F626" s="12">
        <v>24.968654000000001</v>
      </c>
      <c r="G626" s="330">
        <f>'Proposed Rates'!$O$28/100</f>
        <v>-0.3</v>
      </c>
      <c r="H626" s="291">
        <f t="shared" ref="H626" si="73">+D626*(1-F626/E626)*(1-G626)</f>
        <v>215231.16410426245</v>
      </c>
      <c r="I626" s="291">
        <f t="shared" ref="I626" si="74">+D626*F626</f>
        <v>8818886.6454612799</v>
      </c>
    </row>
    <row r="627" spans="1:9" outlineLevel="2" x14ac:dyDescent="0.2">
      <c r="A627" s="143">
        <v>38400</v>
      </c>
      <c r="B627">
        <v>1994</v>
      </c>
      <c r="C627" s="89">
        <v>30.5</v>
      </c>
      <c r="D627" s="291">
        <v>347172.16</v>
      </c>
      <c r="E627" s="12">
        <v>47</v>
      </c>
      <c r="F627" s="12">
        <v>24.323322999999998</v>
      </c>
      <c r="G627" s="330">
        <f>'Proposed Rates'!$O$28/100</f>
        <v>-0.3</v>
      </c>
      <c r="H627" s="291">
        <f t="shared" si="72"/>
        <v>217755.83439204286</v>
      </c>
      <c r="I627" s="291">
        <f t="shared" si="69"/>
        <v>8444380.5842876788</v>
      </c>
    </row>
    <row r="628" spans="1:9" outlineLevel="2" x14ac:dyDescent="0.2">
      <c r="A628">
        <v>38400</v>
      </c>
      <c r="B628">
        <v>1993</v>
      </c>
      <c r="C628" s="89">
        <v>31.5</v>
      </c>
      <c r="D628" s="291">
        <v>276917.36</v>
      </c>
      <c r="E628" s="12">
        <v>47</v>
      </c>
      <c r="F628" s="12">
        <v>23.686916</v>
      </c>
      <c r="G628" s="330">
        <f>'Proposed Rates'!$O$28/100</f>
        <v>-0.3</v>
      </c>
      <c r="H628" s="291">
        <f t="shared" si="72"/>
        <v>178564.61653531302</v>
      </c>
      <c r="I628" s="291">
        <f t="shared" si="69"/>
        <v>6559318.2452617595</v>
      </c>
    </row>
    <row r="629" spans="1:9" outlineLevel="2" x14ac:dyDescent="0.2">
      <c r="A629">
        <v>38400</v>
      </c>
      <c r="B629">
        <v>1992</v>
      </c>
      <c r="C629" s="89">
        <v>32.5</v>
      </c>
      <c r="D629" s="291">
        <v>301050.49</v>
      </c>
      <c r="E629" s="12">
        <v>47</v>
      </c>
      <c r="F629" s="12">
        <v>23.059920999999999</v>
      </c>
      <c r="G629" s="330">
        <f>'Proposed Rates'!$O$28/100</f>
        <v>-0.3</v>
      </c>
      <c r="H629" s="291">
        <f t="shared" si="72"/>
        <v>199347.32484394306</v>
      </c>
      <c r="I629" s="291">
        <f t="shared" si="69"/>
        <v>6942200.5164112896</v>
      </c>
    </row>
    <row r="630" spans="1:9" outlineLevel="2" x14ac:dyDescent="0.2">
      <c r="A630">
        <v>38400</v>
      </c>
      <c r="B630">
        <v>1991</v>
      </c>
      <c r="C630" s="89">
        <v>33.5</v>
      </c>
      <c r="D630" s="291">
        <v>208658.58</v>
      </c>
      <c r="E630" s="12">
        <v>47</v>
      </c>
      <c r="F630" s="12">
        <v>22.442243000000001</v>
      </c>
      <c r="G630" s="330">
        <f>'Proposed Rates'!$O$28/100</f>
        <v>-0.3</v>
      </c>
      <c r="H630" s="291">
        <f t="shared" si="72"/>
        <v>141732.82371673567</v>
      </c>
      <c r="I630" s="291">
        <f t="shared" si="69"/>
        <v>4682766.5563949402</v>
      </c>
    </row>
    <row r="631" spans="1:9" outlineLevel="2" x14ac:dyDescent="0.2">
      <c r="A631">
        <v>38400</v>
      </c>
      <c r="B631">
        <v>1990</v>
      </c>
      <c r="C631" s="89">
        <v>34.5</v>
      </c>
      <c r="D631" s="291">
        <v>353261.45</v>
      </c>
      <c r="E631" s="12">
        <v>47</v>
      </c>
      <c r="F631" s="12">
        <v>21.834091000000001</v>
      </c>
      <c r="G631" s="330">
        <f>'Proposed Rates'!$O$28/100</f>
        <v>-0.3</v>
      </c>
      <c r="H631" s="291">
        <f t="shared" si="72"/>
        <v>245897.64159745671</v>
      </c>
      <c r="I631" s="291">
        <f t="shared" si="69"/>
        <v>7713142.6460919501</v>
      </c>
    </row>
    <row r="632" spans="1:9" outlineLevel="2" x14ac:dyDescent="0.2">
      <c r="A632">
        <v>38400</v>
      </c>
      <c r="B632">
        <v>1989</v>
      </c>
      <c r="C632" s="89">
        <v>35.5</v>
      </c>
      <c r="D632" s="291">
        <v>232637.44</v>
      </c>
      <c r="E632" s="12">
        <v>47</v>
      </c>
      <c r="F632" s="12">
        <v>21.235665000000001</v>
      </c>
      <c r="G632" s="330">
        <f>'Proposed Rates'!$O$28/100</f>
        <v>-0.3</v>
      </c>
      <c r="H632" s="291">
        <f t="shared" si="72"/>
        <v>165784.54508538553</v>
      </c>
      <c r="I632" s="291">
        <f t="shared" si="69"/>
        <v>4940210.7422976</v>
      </c>
    </row>
    <row r="633" spans="1:9" outlineLevel="2" x14ac:dyDescent="0.2">
      <c r="A633">
        <v>38400</v>
      </c>
      <c r="B633">
        <v>1988</v>
      </c>
      <c r="C633" s="89">
        <v>36.5</v>
      </c>
      <c r="D633" s="291">
        <v>196784.29</v>
      </c>
      <c r="E633" s="12">
        <v>47</v>
      </c>
      <c r="F633" s="12">
        <v>20.647155999999999</v>
      </c>
      <c r="G633" s="330">
        <f>'Proposed Rates'!$O$28/100</f>
        <v>-0.3</v>
      </c>
      <c r="H633" s="291">
        <f t="shared" si="72"/>
        <v>143437.73201759552</v>
      </c>
      <c r="I633" s="291">
        <f t="shared" si="69"/>
        <v>4063035.9339792398</v>
      </c>
    </row>
    <row r="634" spans="1:9" outlineLevel="2" x14ac:dyDescent="0.2">
      <c r="A634">
        <v>38400</v>
      </c>
      <c r="B634">
        <v>1987</v>
      </c>
      <c r="C634" s="89">
        <v>37.5</v>
      </c>
      <c r="D634" s="291">
        <v>147729.25</v>
      </c>
      <c r="E634" s="12">
        <v>47</v>
      </c>
      <c r="F634" s="12">
        <v>20.068745</v>
      </c>
      <c r="G634" s="330">
        <f>'Proposed Rates'!$O$28/100</f>
        <v>-0.3</v>
      </c>
      <c r="H634" s="291">
        <f t="shared" si="72"/>
        <v>110044.56028768883</v>
      </c>
      <c r="I634" s="291">
        <f t="shared" si="69"/>
        <v>2964740.6472912501</v>
      </c>
    </row>
    <row r="635" spans="1:9" outlineLevel="2" x14ac:dyDescent="0.2">
      <c r="A635">
        <v>38400</v>
      </c>
      <c r="B635">
        <v>1986</v>
      </c>
      <c r="C635" s="89">
        <v>38.5</v>
      </c>
      <c r="D635" s="291">
        <v>146511.46</v>
      </c>
      <c r="E635" s="12">
        <v>47</v>
      </c>
      <c r="F635" s="12">
        <v>19.500610000000002</v>
      </c>
      <c r="G635" s="330">
        <f>'Proposed Rates'!$O$28/100</f>
        <v>-0.3</v>
      </c>
      <c r="H635" s="291">
        <f t="shared" si="72"/>
        <v>111439.75556196213</v>
      </c>
      <c r="I635" s="291">
        <f t="shared" si="69"/>
        <v>2857062.8419905999</v>
      </c>
    </row>
    <row r="636" spans="1:9" outlineLevel="2" x14ac:dyDescent="0.2">
      <c r="A636">
        <v>38400</v>
      </c>
      <c r="B636">
        <v>1985</v>
      </c>
      <c r="C636" s="89">
        <v>39.5</v>
      </c>
      <c r="D636" s="291">
        <v>170597.53</v>
      </c>
      <c r="E636" s="12">
        <v>47</v>
      </c>
      <c r="F636" s="12">
        <v>18.943037</v>
      </c>
      <c r="G636" s="330">
        <f>'Proposed Rates'!$O$28/100</f>
        <v>-0.3</v>
      </c>
      <c r="H636" s="291">
        <f t="shared" si="72"/>
        <v>132391.13113259163</v>
      </c>
      <c r="I636" s="291">
        <f t="shared" si="69"/>
        <v>3231635.32289861</v>
      </c>
    </row>
    <row r="637" spans="1:9" outlineLevel="2" x14ac:dyDescent="0.2">
      <c r="A637">
        <v>38400</v>
      </c>
      <c r="B637">
        <v>1984</v>
      </c>
      <c r="C637" s="89">
        <v>40.5</v>
      </c>
      <c r="D637" s="291">
        <v>127971.21</v>
      </c>
      <c r="E637" s="12">
        <v>47</v>
      </c>
      <c r="F637" s="12">
        <v>18.396303</v>
      </c>
      <c r="G637" s="330">
        <f>'Proposed Rates'!$O$28/100</f>
        <v>-0.3</v>
      </c>
      <c r="H637" s="291">
        <f t="shared" si="72"/>
        <v>101246.48149430598</v>
      </c>
      <c r="I637" s="291">
        <f t="shared" si="69"/>
        <v>2354197.1544366302</v>
      </c>
    </row>
    <row r="638" spans="1:9" outlineLevel="2" x14ac:dyDescent="0.2">
      <c r="A638">
        <v>38400</v>
      </c>
      <c r="B638">
        <v>1983</v>
      </c>
      <c r="C638" s="89">
        <v>41.5</v>
      </c>
      <c r="D638" s="291">
        <v>87337.01</v>
      </c>
      <c r="E638" s="12">
        <v>47</v>
      </c>
      <c r="F638" s="12">
        <v>17.860298</v>
      </c>
      <c r="G638" s="330">
        <f>'Proposed Rates'!$O$28/100</f>
        <v>-0.3</v>
      </c>
      <c r="H638" s="291">
        <f t="shared" si="72"/>
        <v>70392.910180049483</v>
      </c>
      <c r="I638" s="291">
        <f t="shared" si="69"/>
        <v>1559865.0250289799</v>
      </c>
    </row>
    <row r="639" spans="1:9" outlineLevel="2" x14ac:dyDescent="0.2">
      <c r="A639">
        <v>38400</v>
      </c>
      <c r="B639">
        <v>1982</v>
      </c>
      <c r="C639" s="89">
        <v>42.5</v>
      </c>
      <c r="D639" s="291">
        <v>75868.649999999994</v>
      </c>
      <c r="E639" s="12">
        <v>47</v>
      </c>
      <c r="F639" s="12">
        <v>17.335142000000001</v>
      </c>
      <c r="G639" s="330">
        <f>'Proposed Rates'!$O$28/100</f>
        <v>-0.3</v>
      </c>
      <c r="H639" s="291">
        <f t="shared" si="72"/>
        <v>62251.54356536617</v>
      </c>
      <c r="I639" s="291">
        <f t="shared" si="69"/>
        <v>1315193.8210982999</v>
      </c>
    </row>
    <row r="640" spans="1:9" outlineLevel="2" x14ac:dyDescent="0.2">
      <c r="A640">
        <v>38400</v>
      </c>
      <c r="B640">
        <v>1981</v>
      </c>
      <c r="C640" s="89">
        <v>43.5</v>
      </c>
      <c r="D640" s="291">
        <v>64988.36</v>
      </c>
      <c r="E640" s="12">
        <v>47</v>
      </c>
      <c r="F640" s="12">
        <v>16.820936</v>
      </c>
      <c r="G640" s="330">
        <f>'Proposed Rates'!$O$28/100</f>
        <v>-0.3</v>
      </c>
      <c r="H640" s="291">
        <f t="shared" si="72"/>
        <v>54248.388051139402</v>
      </c>
      <c r="I640" s="291">
        <f t="shared" si="69"/>
        <v>1093165.0443049599</v>
      </c>
    </row>
    <row r="641" spans="1:9" outlineLevel="2" x14ac:dyDescent="0.2">
      <c r="A641">
        <v>38400</v>
      </c>
      <c r="B641">
        <v>1980</v>
      </c>
      <c r="C641" s="89">
        <v>44.5</v>
      </c>
      <c r="D641" s="291">
        <v>70727.09</v>
      </c>
      <c r="E641" s="12">
        <v>47</v>
      </c>
      <c r="F641" s="12">
        <v>16.317761000000001</v>
      </c>
      <c r="G641" s="330">
        <f>'Proposed Rates'!$O$28/100</f>
        <v>-0.3</v>
      </c>
      <c r="H641" s="291">
        <f t="shared" si="72"/>
        <v>60023.087721294949</v>
      </c>
      <c r="I641" s="291">
        <f t="shared" si="69"/>
        <v>1154107.75084549</v>
      </c>
    </row>
    <row r="642" spans="1:9" outlineLevel="2" x14ac:dyDescent="0.2">
      <c r="A642">
        <v>38400</v>
      </c>
      <c r="B642">
        <v>1979</v>
      </c>
      <c r="C642" s="89">
        <v>45.5</v>
      </c>
      <c r="D642" s="291">
        <v>39274.400000000001</v>
      </c>
      <c r="E642" s="12">
        <v>47</v>
      </c>
      <c r="F642" s="12">
        <v>15.825683</v>
      </c>
      <c r="G642" s="330">
        <f>'Proposed Rates'!$O$28/100</f>
        <v>-0.3</v>
      </c>
      <c r="H642" s="291">
        <f t="shared" si="72"/>
        <v>33865.071792771072</v>
      </c>
      <c r="I642" s="291">
        <f t="shared" si="69"/>
        <v>621544.20441520005</v>
      </c>
    </row>
    <row r="643" spans="1:9" outlineLevel="2" x14ac:dyDescent="0.2">
      <c r="A643">
        <v>38400</v>
      </c>
      <c r="B643">
        <v>1978</v>
      </c>
      <c r="C643" s="89">
        <v>46.5</v>
      </c>
      <c r="D643" s="291">
        <v>40674.449999999997</v>
      </c>
      <c r="E643" s="12">
        <v>47</v>
      </c>
      <c r="F643" s="12">
        <v>15.34474</v>
      </c>
      <c r="G643" s="330">
        <f>'Proposed Rates'!$O$28/100</f>
        <v>-0.3</v>
      </c>
      <c r="H643" s="291">
        <f t="shared" si="72"/>
        <v>35613.369726363824</v>
      </c>
      <c r="I643" s="291">
        <f t="shared" ref="I643:I709" si="75">+D643*F643</f>
        <v>624138.85989299999</v>
      </c>
    </row>
    <row r="644" spans="1:9" outlineLevel="2" x14ac:dyDescent="0.2">
      <c r="A644">
        <v>38400</v>
      </c>
      <c r="B644">
        <v>1977</v>
      </c>
      <c r="C644" s="89">
        <v>47.5</v>
      </c>
      <c r="D644" s="291">
        <v>28484.48</v>
      </c>
      <c r="E644" s="12">
        <v>47</v>
      </c>
      <c r="F644" s="12">
        <v>14.875076999999999</v>
      </c>
      <c r="G644" s="330">
        <f>'Proposed Rates'!$O$28/100</f>
        <v>-0.3</v>
      </c>
      <c r="H644" s="291">
        <f t="shared" si="72"/>
        <v>25310.217972416001</v>
      </c>
      <c r="I644" s="291">
        <f t="shared" si="75"/>
        <v>423708.83330495999</v>
      </c>
    </row>
    <row r="645" spans="1:9" outlineLevel="2" x14ac:dyDescent="0.2">
      <c r="A645">
        <v>38400</v>
      </c>
      <c r="B645">
        <v>1976</v>
      </c>
      <c r="C645" s="89">
        <v>48.5</v>
      </c>
      <c r="D645" s="291">
        <v>25776.54</v>
      </c>
      <c r="E645" s="12">
        <v>47</v>
      </c>
      <c r="F645" s="12">
        <v>14.416644</v>
      </c>
      <c r="G645" s="330">
        <f>'Proposed Rates'!$O$28/100</f>
        <v>-0.3</v>
      </c>
      <c r="H645" s="291">
        <f t="shared" si="72"/>
        <v>23230.894320185365</v>
      </c>
      <c r="I645" s="291">
        <f t="shared" si="75"/>
        <v>371611.20073176001</v>
      </c>
    </row>
    <row r="646" spans="1:9" outlineLevel="2" x14ac:dyDescent="0.2">
      <c r="A646">
        <v>38400</v>
      </c>
      <c r="B646">
        <v>1975</v>
      </c>
      <c r="C646" s="89">
        <v>49.5</v>
      </c>
      <c r="D646" s="291">
        <v>28854.75</v>
      </c>
      <c r="E646" s="12">
        <v>47</v>
      </c>
      <c r="F646" s="12">
        <v>13.969262000000001</v>
      </c>
      <c r="G646" s="330">
        <f>'Proposed Rates'!$O$28/100</f>
        <v>-0.3</v>
      </c>
      <c r="H646" s="291">
        <f t="shared" si="72"/>
        <v>26362.165819088295</v>
      </c>
      <c r="I646" s="291">
        <f t="shared" si="75"/>
        <v>403079.56269450003</v>
      </c>
    </row>
    <row r="647" spans="1:9" outlineLevel="2" x14ac:dyDescent="0.2">
      <c r="A647">
        <v>38400</v>
      </c>
      <c r="B647">
        <v>1974</v>
      </c>
      <c r="C647" s="89">
        <v>50.5</v>
      </c>
      <c r="D647" s="291">
        <v>23369.85</v>
      </c>
      <c r="E647" s="12">
        <v>47</v>
      </c>
      <c r="F647" s="12">
        <v>13.53285</v>
      </c>
      <c r="G647" s="330">
        <f>'Proposed Rates'!$O$28/100</f>
        <v>-0.3</v>
      </c>
      <c r="H647" s="291">
        <f t="shared" si="72"/>
        <v>21633.169320335106</v>
      </c>
      <c r="I647" s="291">
        <f t="shared" si="75"/>
        <v>316260.67457249999</v>
      </c>
    </row>
    <row r="648" spans="1:9" outlineLevel="2" x14ac:dyDescent="0.2">
      <c r="A648">
        <v>38400</v>
      </c>
      <c r="B648">
        <v>1973</v>
      </c>
      <c r="C648" s="89">
        <v>51.5</v>
      </c>
      <c r="D648" s="291">
        <v>38660.97</v>
      </c>
      <c r="E648" s="12">
        <v>47</v>
      </c>
      <c r="F648" s="12">
        <v>13.107293</v>
      </c>
      <c r="G648" s="330">
        <f>'Proposed Rates'!$O$28/100</f>
        <v>-0.3</v>
      </c>
      <c r="H648" s="291">
        <f t="shared" si="72"/>
        <v>36243.029938500578</v>
      </c>
      <c r="I648" s="291">
        <f t="shared" si="75"/>
        <v>506740.66145421</v>
      </c>
    </row>
    <row r="649" spans="1:9" outlineLevel="2" x14ac:dyDescent="0.2">
      <c r="A649">
        <v>38400</v>
      </c>
      <c r="B649">
        <v>1972</v>
      </c>
      <c r="C649" s="89">
        <v>52.5</v>
      </c>
      <c r="D649" s="291">
        <v>12165.82</v>
      </c>
      <c r="E649" s="12">
        <v>47</v>
      </c>
      <c r="F649" s="12">
        <v>12.692432999999999</v>
      </c>
      <c r="G649" s="330">
        <f>'Proposed Rates'!$O$28/100</f>
        <v>-0.3</v>
      </c>
      <c r="H649" s="291">
        <f t="shared" si="72"/>
        <v>11544.544472083446</v>
      </c>
      <c r="I649" s="291">
        <f t="shared" si="75"/>
        <v>154413.85524005999</v>
      </c>
    </row>
    <row r="650" spans="1:9" outlineLevel="2" x14ac:dyDescent="0.2">
      <c r="A650">
        <v>38400</v>
      </c>
      <c r="B650">
        <v>1971</v>
      </c>
      <c r="C650" s="89">
        <v>53.5</v>
      </c>
      <c r="D650" s="291">
        <v>13928.55</v>
      </c>
      <c r="E650" s="12">
        <v>47</v>
      </c>
      <c r="F650" s="12">
        <v>12.288080000000001</v>
      </c>
      <c r="G650" s="330">
        <f>'Proposed Rates'!$O$28/100</f>
        <v>-0.3</v>
      </c>
      <c r="H650" s="291">
        <f t="shared" si="72"/>
        <v>13373.036751293617</v>
      </c>
      <c r="I650" s="291">
        <f t="shared" si="75"/>
        <v>171155.136684</v>
      </c>
    </row>
    <row r="651" spans="1:9" outlineLevel="2" x14ac:dyDescent="0.2">
      <c r="A651">
        <v>38400</v>
      </c>
      <c r="B651">
        <v>1970</v>
      </c>
      <c r="C651" s="89">
        <v>54.5</v>
      </c>
      <c r="D651" s="291">
        <v>6544.32</v>
      </c>
      <c r="E651" s="12">
        <v>47</v>
      </c>
      <c r="F651" s="12">
        <v>11.894005</v>
      </c>
      <c r="G651" s="330">
        <f>'Proposed Rates'!$O$28/100</f>
        <v>-0.3</v>
      </c>
      <c r="H651" s="291">
        <f t="shared" si="72"/>
        <v>6354.64520761532</v>
      </c>
      <c r="I651" s="291">
        <f t="shared" si="75"/>
        <v>77838.174801599991</v>
      </c>
    </row>
    <row r="652" spans="1:9" outlineLevel="2" x14ac:dyDescent="0.2">
      <c r="A652">
        <v>38400</v>
      </c>
      <c r="B652">
        <v>1969</v>
      </c>
      <c r="C652" s="89">
        <v>55.5</v>
      </c>
      <c r="D652" s="291">
        <v>6340.25</v>
      </c>
      <c r="E652" s="12">
        <v>47</v>
      </c>
      <c r="F652" s="12">
        <v>11.509881</v>
      </c>
      <c r="G652" s="330">
        <f>'Proposed Rates'!$O$28/100</f>
        <v>-0.3</v>
      </c>
      <c r="H652" s="291">
        <f t="shared" si="72"/>
        <v>6223.8530869505321</v>
      </c>
      <c r="I652" s="291">
        <f t="shared" si="75"/>
        <v>72975.523010250006</v>
      </c>
    </row>
    <row r="653" spans="1:9" outlineLevel="2" x14ac:dyDescent="0.2">
      <c r="A653">
        <v>38400</v>
      </c>
      <c r="B653">
        <v>1968</v>
      </c>
      <c r="C653" s="89">
        <v>56.5</v>
      </c>
      <c r="D653" s="291">
        <v>2622.74</v>
      </c>
      <c r="E653" s="12">
        <v>47</v>
      </c>
      <c r="F653" s="12">
        <v>11.135322</v>
      </c>
      <c r="G653" s="330">
        <f>'Proposed Rates'!$O$28/100</f>
        <v>-0.3</v>
      </c>
      <c r="H653" s="291">
        <f t="shared" si="72"/>
        <v>2601.7626223624679</v>
      </c>
      <c r="I653" s="291">
        <f t="shared" si="75"/>
        <v>29205.054422279998</v>
      </c>
    </row>
    <row r="654" spans="1:9" outlineLevel="2" x14ac:dyDescent="0.2">
      <c r="A654">
        <v>38400</v>
      </c>
      <c r="B654">
        <v>1967</v>
      </c>
      <c r="C654" s="89">
        <v>57.5</v>
      </c>
      <c r="D654" s="291">
        <v>4619.18</v>
      </c>
      <c r="E654" s="12">
        <v>47</v>
      </c>
      <c r="F654" s="12">
        <v>10.769989000000001</v>
      </c>
      <c r="G654" s="330">
        <f>'Proposed Rates'!$O$28/100</f>
        <v>-0.3</v>
      </c>
      <c r="H654" s="291">
        <f t="shared" si="72"/>
        <v>4628.9111675377453</v>
      </c>
      <c r="I654" s="291">
        <f t="shared" si="75"/>
        <v>49748.517789020007</v>
      </c>
    </row>
    <row r="655" spans="1:9" outlineLevel="2" x14ac:dyDescent="0.2">
      <c r="A655">
        <v>38400</v>
      </c>
      <c r="B655">
        <v>1966</v>
      </c>
      <c r="C655" s="89">
        <v>58.5</v>
      </c>
      <c r="D655" s="291">
        <v>4903.5600000000004</v>
      </c>
      <c r="E655" s="12">
        <v>47</v>
      </c>
      <c r="F655" s="12">
        <v>10.413481000000001</v>
      </c>
      <c r="G655" s="330">
        <f>'Proposed Rates'!$O$28/100</f>
        <v>-0.3</v>
      </c>
      <c r="H655" s="291">
        <f t="shared" si="72"/>
        <v>4962.2435838283409</v>
      </c>
      <c r="I655" s="291">
        <f t="shared" si="75"/>
        <v>51063.128892360008</v>
      </c>
    </row>
    <row r="656" spans="1:9" outlineLevel="2" x14ac:dyDescent="0.2">
      <c r="A656">
        <v>38400</v>
      </c>
      <c r="B656">
        <v>1965</v>
      </c>
      <c r="C656" s="89">
        <v>59.5</v>
      </c>
      <c r="D656" s="291">
        <v>3694.46</v>
      </c>
      <c r="E656" s="12">
        <v>47</v>
      </c>
      <c r="F656" s="12">
        <v>10.065353999999999</v>
      </c>
      <c r="G656" s="330">
        <f>'Proposed Rates'!$O$28/100</f>
        <v>-0.3</v>
      </c>
      <c r="H656" s="291">
        <f t="shared" si="72"/>
        <v>3774.2477433937875</v>
      </c>
      <c r="I656" s="291">
        <f t="shared" si="75"/>
        <v>37186.047738839996</v>
      </c>
    </row>
    <row r="657" spans="1:10" outlineLevel="2" x14ac:dyDescent="0.2">
      <c r="A657">
        <v>38400</v>
      </c>
      <c r="B657">
        <v>1964</v>
      </c>
      <c r="C657" s="89">
        <v>60.5</v>
      </c>
      <c r="D657" s="291">
        <v>4963.21</v>
      </c>
      <c r="E657" s="12">
        <v>47</v>
      </c>
      <c r="F657" s="12">
        <v>9.7251550000000009</v>
      </c>
      <c r="G657" s="330">
        <f>'Proposed Rates'!$O$28/100</f>
        <v>-0.3</v>
      </c>
      <c r="H657" s="291">
        <f t="shared" si="72"/>
        <v>5117.1010316635102</v>
      </c>
      <c r="I657" s="291">
        <f t="shared" si="75"/>
        <v>48267.986547550005</v>
      </c>
    </row>
    <row r="658" spans="1:10" outlineLevel="2" x14ac:dyDescent="0.2">
      <c r="A658">
        <v>38400</v>
      </c>
      <c r="B658">
        <v>1963</v>
      </c>
      <c r="C658" s="89">
        <v>61.5</v>
      </c>
      <c r="D658" s="291">
        <v>4372.3100000000004</v>
      </c>
      <c r="E658" s="12">
        <v>47</v>
      </c>
      <c r="F658" s="12">
        <v>9.3925149999999995</v>
      </c>
      <c r="G658" s="330">
        <f>'Proposed Rates'!$O$28/100</f>
        <v>-0.3</v>
      </c>
      <c r="H658" s="291">
        <f t="shared" si="72"/>
        <v>4548.1076077118096</v>
      </c>
      <c r="I658" s="291">
        <f t="shared" si="75"/>
        <v>41066.987259649999</v>
      </c>
    </row>
    <row r="659" spans="1:10" outlineLevel="2" x14ac:dyDescent="0.2">
      <c r="A659">
        <v>38400</v>
      </c>
      <c r="B659">
        <v>1962</v>
      </c>
      <c r="C659" s="89">
        <v>62.5</v>
      </c>
      <c r="D659" s="291">
        <v>30396.61</v>
      </c>
      <c r="E659" s="12">
        <v>47</v>
      </c>
      <c r="F659" s="12">
        <v>9.0666519999999995</v>
      </c>
      <c r="G659" s="330">
        <f>'Proposed Rates'!$O$28/100</f>
        <v>-0.3</v>
      </c>
      <c r="H659" s="291">
        <f t="shared" si="72"/>
        <v>31892.739163731152</v>
      </c>
      <c r="I659" s="291">
        <f t="shared" si="75"/>
        <v>275595.48484971997</v>
      </c>
    </row>
    <row r="660" spans="1:10" outlineLevel="2" x14ac:dyDescent="0.2">
      <c r="A660">
        <v>38400</v>
      </c>
      <c r="B660">
        <v>1961</v>
      </c>
      <c r="C660" s="89">
        <v>63.5</v>
      </c>
      <c r="D660" s="291">
        <v>5605.81</v>
      </c>
      <c r="E660" s="12">
        <v>47</v>
      </c>
      <c r="F660" s="12">
        <v>8.74681</v>
      </c>
      <c r="G660" s="330">
        <f>'Proposed Rates'!$O$28/100</f>
        <v>-0.3</v>
      </c>
      <c r="H660" s="291">
        <f t="shared" si="72"/>
        <v>5931.3223307248936</v>
      </c>
      <c r="I660" s="291">
        <f t="shared" si="75"/>
        <v>49032.954966100006</v>
      </c>
    </row>
    <row r="661" spans="1:10" outlineLevel="2" x14ac:dyDescent="0.2">
      <c r="A661">
        <v>38400</v>
      </c>
      <c r="B661">
        <v>1960</v>
      </c>
      <c r="C661" s="89">
        <v>64.5</v>
      </c>
      <c r="D661" s="291">
        <v>9552.76</v>
      </c>
      <c r="E661" s="12">
        <v>47</v>
      </c>
      <c r="F661" s="12">
        <v>8.4326819999999998</v>
      </c>
      <c r="G661" s="330">
        <f>'Proposed Rates'!$O$28/100</f>
        <v>-0.3</v>
      </c>
      <c r="H661" s="291">
        <f t="shared" si="72"/>
        <v>10190.460266106043</v>
      </c>
      <c r="I661" s="291">
        <f t="shared" si="75"/>
        <v>80555.387302319999</v>
      </c>
    </row>
    <row r="662" spans="1:10" outlineLevel="2" x14ac:dyDescent="0.2">
      <c r="A662">
        <v>38400</v>
      </c>
      <c r="B662">
        <v>1959</v>
      </c>
      <c r="C662" s="89">
        <v>65.5</v>
      </c>
      <c r="D662" s="291">
        <v>21695.01</v>
      </c>
      <c r="E662" s="12">
        <v>47</v>
      </c>
      <c r="F662" s="12">
        <v>8.1239070000000009</v>
      </c>
      <c r="G662" s="330">
        <f>'Proposed Rates'!$O$28/100</f>
        <v>-0.3</v>
      </c>
      <c r="H662" s="291">
        <f t="shared" si="72"/>
        <v>23328.56158116402</v>
      </c>
      <c r="I662" s="291">
        <f t="shared" si="75"/>
        <v>176248.24360407001</v>
      </c>
    </row>
    <row r="663" spans="1:10" outlineLevel="2" x14ac:dyDescent="0.2">
      <c r="A663" s="143">
        <v>38400</v>
      </c>
      <c r="B663">
        <v>1958</v>
      </c>
      <c r="C663" s="89">
        <v>66.5</v>
      </c>
      <c r="D663" s="291">
        <v>2829.11</v>
      </c>
      <c r="E663" s="12">
        <v>47</v>
      </c>
      <c r="F663" s="12">
        <v>7.8200830000000003</v>
      </c>
      <c r="G663" s="330">
        <f>'Proposed Rates'!$O$28/100</f>
        <v>-0.3</v>
      </c>
      <c r="H663" s="291">
        <f t="shared" ref="H663" si="76">+D663*(1-F663/E663)*(1-G663)</f>
        <v>3065.9060314687449</v>
      </c>
      <c r="I663" s="291">
        <f t="shared" ref="I663" si="77">+D663*F663</f>
        <v>22123.875016130001</v>
      </c>
    </row>
    <row r="664" spans="1:10" outlineLevel="2" x14ac:dyDescent="0.2">
      <c r="C664" s="89"/>
    </row>
    <row r="665" spans="1:10" outlineLevel="2" x14ac:dyDescent="0.2">
      <c r="C665" s="89"/>
    </row>
    <row r="666" spans="1:10" outlineLevel="2" x14ac:dyDescent="0.2">
      <c r="C666" s="89"/>
    </row>
    <row r="667" spans="1:10" s="143" customFormat="1" outlineLevel="1" x14ac:dyDescent="0.2">
      <c r="A667" s="20" t="s">
        <v>1191</v>
      </c>
      <c r="C667" s="89"/>
      <c r="D667" s="291">
        <f>SUBTOTAL(9,D600:D666)</f>
        <v>38677154.929999985</v>
      </c>
      <c r="E667" s="12"/>
      <c r="F667" s="12"/>
      <c r="G667" s="330"/>
      <c r="H667" s="291">
        <f>SUBTOTAL(9,H600:H666)</f>
        <v>10539845.870312724</v>
      </c>
      <c r="I667" s="291">
        <f>SUBTOTAL(9,I600:I666)</f>
        <v>1436770315.6294632</v>
      </c>
      <c r="J667" s="291">
        <f>+I667/D667</f>
        <v>37.147776723231274</v>
      </c>
    </row>
    <row r="668" spans="1:10" s="12" customFormat="1" outlineLevel="2" x14ac:dyDescent="0.2">
      <c r="A668" s="12">
        <v>38500</v>
      </c>
      <c r="B668" s="12">
        <v>2022</v>
      </c>
      <c r="C668" s="119">
        <v>2.5</v>
      </c>
      <c r="D668" s="268">
        <v>147096.76</v>
      </c>
      <c r="E668" s="12">
        <v>39</v>
      </c>
      <c r="F668" s="12">
        <v>36.650075000000001</v>
      </c>
      <c r="G668" s="330">
        <f>'Proposed Rates'!$O$29/100</f>
        <v>0</v>
      </c>
      <c r="H668" s="268">
        <f t="shared" si="72"/>
        <v>8863.2398395640939</v>
      </c>
      <c r="I668" s="268">
        <f t="shared" si="75"/>
        <v>5391107.2862570006</v>
      </c>
      <c r="J668" s="268"/>
    </row>
    <row r="669" spans="1:10" s="143" customFormat="1" outlineLevel="2" x14ac:dyDescent="0.2">
      <c r="A669" s="143">
        <v>38500</v>
      </c>
      <c r="B669" s="143">
        <v>2021</v>
      </c>
      <c r="C669" s="89">
        <v>3.5</v>
      </c>
      <c r="D669" s="291">
        <v>9121.3799999999992</v>
      </c>
      <c r="E669" s="12">
        <v>39</v>
      </c>
      <c r="F669" s="12">
        <v>35.718960000000003</v>
      </c>
      <c r="G669" s="330">
        <f>'Proposed Rates'!$O$29/100</f>
        <v>0</v>
      </c>
      <c r="H669" s="291">
        <f t="shared" ref="H669" si="78">+D669*(1-F669/E669)*(1-G669)</f>
        <v>767.37468295384576</v>
      </c>
      <c r="I669" s="291">
        <f t="shared" ref="I669" si="79">+D669*F669</f>
        <v>325806.20736479998</v>
      </c>
      <c r="J669" s="291"/>
    </row>
    <row r="670" spans="1:10" outlineLevel="2" x14ac:dyDescent="0.2">
      <c r="A670">
        <v>38500</v>
      </c>
      <c r="B670">
        <v>2020</v>
      </c>
      <c r="C670" s="89">
        <v>4.5</v>
      </c>
      <c r="D670" s="291">
        <v>74719.59</v>
      </c>
      <c r="E670" s="12">
        <v>39</v>
      </c>
      <c r="F670" s="12">
        <v>34.793787000000002</v>
      </c>
      <c r="G670" s="330">
        <f>'Proposed Rates'!$O$29/100</f>
        <v>0</v>
      </c>
      <c r="H670" s="291">
        <f t="shared" si="72"/>
        <v>8058.6284823761471</v>
      </c>
      <c r="I670" s="291">
        <f t="shared" si="75"/>
        <v>2599777.4991873298</v>
      </c>
    </row>
    <row r="671" spans="1:10" outlineLevel="2" x14ac:dyDescent="0.2">
      <c r="A671">
        <v>38500</v>
      </c>
      <c r="B671">
        <v>2019</v>
      </c>
      <c r="C671" s="89">
        <v>5.5</v>
      </c>
      <c r="D671" s="291">
        <v>5547454.9000000004</v>
      </c>
      <c r="E671" s="12">
        <v>39</v>
      </c>
      <c r="F671" s="12">
        <v>33.874457</v>
      </c>
      <c r="G671" s="330">
        <f>'Proposed Rates'!$O$29/100</f>
        <v>0</v>
      </c>
      <c r="H671" s="291">
        <f t="shared" si="72"/>
        <v>729069.70847463375</v>
      </c>
      <c r="I671" s="291">
        <f t="shared" si="75"/>
        <v>187917022.46948931</v>
      </c>
    </row>
    <row r="672" spans="1:10" s="143" customFormat="1" outlineLevel="2" x14ac:dyDescent="0.2">
      <c r="A672" s="143">
        <v>38500</v>
      </c>
      <c r="B672" s="143">
        <v>2018</v>
      </c>
      <c r="C672" s="89">
        <v>6.5</v>
      </c>
      <c r="D672" s="291">
        <v>394881.58</v>
      </c>
      <c r="E672" s="12">
        <v>39</v>
      </c>
      <c r="F672" s="12">
        <v>32.961762</v>
      </c>
      <c r="G672" s="330">
        <f>'Proposed Rates'!$O$29/100</f>
        <v>0</v>
      </c>
      <c r="H672" s="291">
        <f t="shared" ref="H672:H675" si="80">+D672*(1-F672/E672)*(1-G672)</f>
        <v>61138.17850912924</v>
      </c>
      <c r="I672" s="291">
        <f t="shared" ref="I672:I675" si="81">+D672*F672</f>
        <v>13015992.65814396</v>
      </c>
      <c r="J672" s="291"/>
    </row>
    <row r="673" spans="1:10" s="143" customFormat="1" outlineLevel="2" x14ac:dyDescent="0.2">
      <c r="A673" s="143">
        <v>38500</v>
      </c>
      <c r="B673" s="143">
        <v>2017</v>
      </c>
      <c r="C673" s="89">
        <v>7.5</v>
      </c>
      <c r="D673" s="291">
        <v>463.33</v>
      </c>
      <c r="E673" s="12">
        <v>39</v>
      </c>
      <c r="F673" s="12">
        <v>32.055804999999999</v>
      </c>
      <c r="G673" s="330">
        <f>'Proposed Rates'!$O$29/100</f>
        <v>0</v>
      </c>
      <c r="H673" s="291">
        <f t="shared" si="80"/>
        <v>82.498817162820529</v>
      </c>
      <c r="I673" s="291">
        <f t="shared" si="81"/>
        <v>14852.416130649999</v>
      </c>
      <c r="J673" s="291"/>
    </row>
    <row r="674" spans="1:10" s="143" customFormat="1" outlineLevel="2" x14ac:dyDescent="0.2">
      <c r="A674" s="143">
        <v>38500</v>
      </c>
      <c r="B674" s="143">
        <v>2016</v>
      </c>
      <c r="C674" s="89">
        <v>8.5</v>
      </c>
      <c r="D674" s="291">
        <v>599736.89</v>
      </c>
      <c r="E674" s="12">
        <v>39</v>
      </c>
      <c r="F674" s="12">
        <v>31.157108999999998</v>
      </c>
      <c r="G674" s="330">
        <f>'Proposed Rates'!$O$29/100</f>
        <v>0</v>
      </c>
      <c r="H674" s="291">
        <f t="shared" si="80"/>
        <v>120606.95017817922</v>
      </c>
      <c r="I674" s="291">
        <f t="shared" si="81"/>
        <v>18686067.653051011</v>
      </c>
      <c r="J674" s="291"/>
    </row>
    <row r="675" spans="1:10" s="143" customFormat="1" outlineLevel="2" x14ac:dyDescent="0.2">
      <c r="A675" s="143">
        <v>38500</v>
      </c>
      <c r="B675" s="143">
        <v>2014</v>
      </c>
      <c r="C675" s="89">
        <v>10.5</v>
      </c>
      <c r="D675" s="291">
        <v>1327.53</v>
      </c>
      <c r="E675" s="12">
        <v>39</v>
      </c>
      <c r="F675" s="12">
        <v>29.383009999999999</v>
      </c>
      <c r="G675" s="330">
        <f>'Proposed Rates'!$O$29/100</f>
        <v>0</v>
      </c>
      <c r="H675" s="291">
        <f t="shared" si="80"/>
        <v>327.3549419153847</v>
      </c>
      <c r="I675" s="291">
        <f t="shared" si="81"/>
        <v>39006.827265299995</v>
      </c>
      <c r="J675" s="291"/>
    </row>
    <row r="676" spans="1:10" outlineLevel="2" x14ac:dyDescent="0.2">
      <c r="A676" s="143">
        <v>38500</v>
      </c>
      <c r="B676">
        <v>2013</v>
      </c>
      <c r="C676" s="89">
        <v>11.5</v>
      </c>
      <c r="D676" s="291">
        <v>102723.49</v>
      </c>
      <c r="E676" s="12">
        <v>39</v>
      </c>
      <c r="F676" s="12">
        <v>28.508637</v>
      </c>
      <c r="G676" s="330">
        <f>'Proposed Rates'!$O$29/100</f>
        <v>0</v>
      </c>
      <c r="H676" s="291">
        <f t="shared" si="72"/>
        <v>27633.574928637692</v>
      </c>
      <c r="I676" s="291">
        <f t="shared" si="75"/>
        <v>2928506.68778313</v>
      </c>
    </row>
    <row r="677" spans="1:10" outlineLevel="2" x14ac:dyDescent="0.2">
      <c r="A677" s="143">
        <v>38500</v>
      </c>
      <c r="B677">
        <v>2008</v>
      </c>
      <c r="C677" s="89">
        <v>16.5</v>
      </c>
      <c r="D677" s="291">
        <v>36582.050000000003</v>
      </c>
      <c r="E677" s="12">
        <v>39</v>
      </c>
      <c r="F677" s="12">
        <v>24.276204</v>
      </c>
      <c r="G677" s="330">
        <f>'Proposed Rates'!$O$29/100</f>
        <v>0</v>
      </c>
      <c r="H677" s="291">
        <f t="shared" si="72"/>
        <v>13810.939524661539</v>
      </c>
      <c r="I677" s="291">
        <f t="shared" si="75"/>
        <v>888073.3085382001</v>
      </c>
    </row>
    <row r="678" spans="1:10" outlineLevel="2" x14ac:dyDescent="0.2">
      <c r="A678" s="143">
        <v>38500</v>
      </c>
      <c r="B678">
        <v>2007</v>
      </c>
      <c r="C678" s="89">
        <v>17.5</v>
      </c>
      <c r="D678" s="291">
        <v>100970.91</v>
      </c>
      <c r="E678" s="12">
        <v>39</v>
      </c>
      <c r="F678" s="12">
        <v>23.460222999999999</v>
      </c>
      <c r="G678" s="330">
        <f>'Proposed Rates'!$O$29/100</f>
        <v>0</v>
      </c>
      <c r="H678" s="291">
        <f t="shared" si="72"/>
        <v>40232.446791976159</v>
      </c>
      <c r="I678" s="291">
        <f t="shared" si="75"/>
        <v>2368800.0651129298</v>
      </c>
    </row>
    <row r="679" spans="1:10" outlineLevel="2" x14ac:dyDescent="0.2">
      <c r="A679">
        <v>38500</v>
      </c>
      <c r="B679">
        <v>2006</v>
      </c>
      <c r="C679" s="89">
        <v>18.5</v>
      </c>
      <c r="D679" s="291">
        <v>426246.06</v>
      </c>
      <c r="E679" s="12">
        <v>39</v>
      </c>
      <c r="F679" s="12">
        <v>22.655553000000001</v>
      </c>
      <c r="G679" s="330">
        <f>'Proposed Rates'!$O$29/100</f>
        <v>0</v>
      </c>
      <c r="H679" s="291">
        <f t="shared" si="72"/>
        <v>178634.77273407229</v>
      </c>
      <c r="I679" s="291">
        <f t="shared" si="75"/>
        <v>9656840.2033711802</v>
      </c>
    </row>
    <row r="680" spans="1:10" outlineLevel="2" x14ac:dyDescent="0.2">
      <c r="A680">
        <v>38500</v>
      </c>
      <c r="B680">
        <v>2005</v>
      </c>
      <c r="C680" s="89">
        <v>19.5</v>
      </c>
      <c r="D680" s="291">
        <v>307717.42</v>
      </c>
      <c r="E680" s="12">
        <v>39</v>
      </c>
      <c r="F680" s="12">
        <v>21.861743000000001</v>
      </c>
      <c r="G680" s="330">
        <f>'Proposed Rates'!$O$29/100</f>
        <v>0</v>
      </c>
      <c r="H680" s="291">
        <f t="shared" si="72"/>
        <v>135224.10839325486</v>
      </c>
      <c r="I680" s="291">
        <f t="shared" si="75"/>
        <v>6727239.1526630595</v>
      </c>
    </row>
    <row r="681" spans="1:10" outlineLevel="2" x14ac:dyDescent="0.2">
      <c r="A681">
        <v>38500</v>
      </c>
      <c r="B681">
        <v>2004</v>
      </c>
      <c r="C681" s="89">
        <v>20.5</v>
      </c>
      <c r="D681" s="291">
        <v>176234.88</v>
      </c>
      <c r="E681" s="12">
        <v>39</v>
      </c>
      <c r="F681" s="12">
        <v>21.080269000000001</v>
      </c>
      <c r="G681" s="330">
        <f>'Proposed Rates'!$O$29/100</f>
        <v>0</v>
      </c>
      <c r="H681" s="291">
        <f t="shared" si="72"/>
        <v>80976.452369673832</v>
      </c>
      <c r="I681" s="291">
        <f t="shared" si="75"/>
        <v>3715078.6775827203</v>
      </c>
    </row>
    <row r="682" spans="1:10" outlineLevel="2" x14ac:dyDescent="0.2">
      <c r="A682">
        <v>38500</v>
      </c>
      <c r="B682">
        <v>2003</v>
      </c>
      <c r="C682" s="89">
        <v>21.5</v>
      </c>
      <c r="D682" s="291">
        <v>600207.4</v>
      </c>
      <c r="E682" s="12">
        <v>39</v>
      </c>
      <c r="F682" s="12">
        <v>20.310316</v>
      </c>
      <c r="G682" s="330">
        <f>'Proposed Rates'!$O$29/100</f>
        <v>0</v>
      </c>
      <c r="H682" s="291">
        <f t="shared" si="72"/>
        <v>287632.99078106671</v>
      </c>
      <c r="I682" s="291">
        <f t="shared" si="75"/>
        <v>12190401.9595384</v>
      </c>
    </row>
    <row r="683" spans="1:10" outlineLevel="2" x14ac:dyDescent="0.2">
      <c r="A683">
        <v>38500</v>
      </c>
      <c r="B683">
        <v>2002</v>
      </c>
      <c r="C683" s="89">
        <v>22.5</v>
      </c>
      <c r="D683" s="291">
        <v>212974.43</v>
      </c>
      <c r="E683" s="12">
        <v>39</v>
      </c>
      <c r="F683" s="12">
        <v>19.553070000000002</v>
      </c>
      <c r="G683" s="330">
        <f>'Proposed Rates'!$O$29/100</f>
        <v>0</v>
      </c>
      <c r="H683" s="291">
        <f t="shared" si="72"/>
        <v>106197.40594871539</v>
      </c>
      <c r="I683" s="291">
        <f t="shared" si="75"/>
        <v>4164303.9380001002</v>
      </c>
    </row>
    <row r="684" spans="1:10" outlineLevel="2" x14ac:dyDescent="0.2">
      <c r="A684">
        <v>38500</v>
      </c>
      <c r="B684">
        <v>2001</v>
      </c>
      <c r="C684" s="89">
        <v>23.5</v>
      </c>
      <c r="D684" s="291">
        <v>68811.039999999994</v>
      </c>
      <c r="E684" s="12">
        <v>39</v>
      </c>
      <c r="F684" s="12">
        <v>18.808411</v>
      </c>
      <c r="G684" s="330">
        <f>'Proposed Rates'!$O$29/100</f>
        <v>0</v>
      </c>
      <c r="H684" s="291">
        <f t="shared" si="72"/>
        <v>35625.749701091278</v>
      </c>
      <c r="I684" s="291">
        <f t="shared" si="75"/>
        <v>1294226.3216574399</v>
      </c>
    </row>
    <row r="685" spans="1:10" outlineLevel="2" x14ac:dyDescent="0.2">
      <c r="A685">
        <v>38500</v>
      </c>
      <c r="B685">
        <v>2000</v>
      </c>
      <c r="C685" s="89">
        <v>24.5</v>
      </c>
      <c r="D685" s="291">
        <v>695612.81</v>
      </c>
      <c r="E685" s="12">
        <v>39</v>
      </c>
      <c r="F685" s="12">
        <v>18.076878000000001</v>
      </c>
      <c r="G685" s="330">
        <f>'Proposed Rates'!$O$29/100</f>
        <v>0</v>
      </c>
      <c r="H685" s="291">
        <f t="shared" si="72"/>
        <v>373189.53047161078</v>
      </c>
      <c r="I685" s="291">
        <f t="shared" si="75"/>
        <v>12574507.901607182</v>
      </c>
    </row>
    <row r="686" spans="1:10" outlineLevel="2" x14ac:dyDescent="0.2">
      <c r="A686">
        <v>38500</v>
      </c>
      <c r="B686">
        <v>1999</v>
      </c>
      <c r="C686" s="89">
        <v>25.5</v>
      </c>
      <c r="D686" s="291">
        <v>472881.47</v>
      </c>
      <c r="E686" s="12">
        <v>39</v>
      </c>
      <c r="F686" s="12">
        <v>17.359171</v>
      </c>
      <c r="G686" s="330">
        <f>'Proposed Rates'!$O$29/100</f>
        <v>0</v>
      </c>
      <c r="H686" s="291">
        <f t="shared" si="72"/>
        <v>262398.64178304182</v>
      </c>
      <c r="I686" s="291">
        <f t="shared" si="75"/>
        <v>8208830.3004613696</v>
      </c>
    </row>
    <row r="687" spans="1:10" outlineLevel="2" x14ac:dyDescent="0.2">
      <c r="A687">
        <v>38500</v>
      </c>
      <c r="B687">
        <v>1998</v>
      </c>
      <c r="C687" s="89">
        <v>26.5</v>
      </c>
      <c r="D687" s="291">
        <v>359267.11</v>
      </c>
      <c r="E687" s="12">
        <v>39</v>
      </c>
      <c r="F687" s="12">
        <v>16.655111999999999</v>
      </c>
      <c r="G687" s="330">
        <f>'Proposed Rates'!$O$29/100</f>
        <v>0</v>
      </c>
      <c r="H687" s="291">
        <f t="shared" si="72"/>
        <v>205840.5983341969</v>
      </c>
      <c r="I687" s="291">
        <f t="shared" si="75"/>
        <v>5983633.9549663197</v>
      </c>
    </row>
    <row r="688" spans="1:10" outlineLevel="2" x14ac:dyDescent="0.2">
      <c r="A688">
        <v>38500</v>
      </c>
      <c r="B688">
        <v>1997</v>
      </c>
      <c r="C688" s="89">
        <v>27.5</v>
      </c>
      <c r="D688" s="291">
        <v>292567.28999999998</v>
      </c>
      <c r="E688" s="12">
        <v>39</v>
      </c>
      <c r="F688" s="12">
        <v>15.966365</v>
      </c>
      <c r="G688" s="330">
        <f>'Proposed Rates'!$O$29/100</f>
        <v>0</v>
      </c>
      <c r="H688" s="291">
        <f t="shared" si="72"/>
        <v>172792.00437946539</v>
      </c>
      <c r="I688" s="291">
        <f t="shared" si="75"/>
        <v>4671236.1392008495</v>
      </c>
    </row>
    <row r="689" spans="1:9" outlineLevel="2" x14ac:dyDescent="0.2">
      <c r="A689">
        <v>38500</v>
      </c>
      <c r="B689">
        <v>1996</v>
      </c>
      <c r="C689" s="89">
        <v>28.5</v>
      </c>
      <c r="D689" s="291">
        <v>238512.58</v>
      </c>
      <c r="E689" s="12">
        <v>39</v>
      </c>
      <c r="F689" s="12">
        <v>15.29224</v>
      </c>
      <c r="G689" s="330">
        <f>'Proposed Rates'!$O$29/100</f>
        <v>0</v>
      </c>
      <c r="H689" s="291">
        <f t="shared" si="72"/>
        <v>144989.71804155898</v>
      </c>
      <c r="I689" s="291">
        <f t="shared" si="75"/>
        <v>3647391.6163791995</v>
      </c>
    </row>
    <row r="690" spans="1:9" outlineLevel="2" x14ac:dyDescent="0.2">
      <c r="A690">
        <v>38500</v>
      </c>
      <c r="B690">
        <v>1995</v>
      </c>
      <c r="C690" s="89">
        <v>29.5</v>
      </c>
      <c r="D690" s="291">
        <v>207956.66</v>
      </c>
      <c r="E690" s="12">
        <v>39</v>
      </c>
      <c r="F690" s="12">
        <v>14.634646</v>
      </c>
      <c r="G690" s="330">
        <f>'Proposed Rates'!$O$29/100</f>
        <v>0</v>
      </c>
      <c r="H690" s="291">
        <f t="shared" si="72"/>
        <v>129921.47788609334</v>
      </c>
      <c r="I690" s="291">
        <f t="shared" si="75"/>
        <v>3043372.10244236</v>
      </c>
    </row>
    <row r="691" spans="1:9" outlineLevel="2" x14ac:dyDescent="0.2">
      <c r="A691">
        <v>38500</v>
      </c>
      <c r="B691">
        <v>1994</v>
      </c>
      <c r="C691" s="89">
        <v>30.5</v>
      </c>
      <c r="D691" s="291">
        <v>656860</v>
      </c>
      <c r="E691" s="12">
        <v>39</v>
      </c>
      <c r="F691" s="12">
        <v>13.993316999999999</v>
      </c>
      <c r="G691" s="330">
        <f>'Proposed Rates'!$O$29/100</f>
        <v>0</v>
      </c>
      <c r="H691" s="291">
        <f t="shared" ref="H691:H724" si="82">+D691*(1-F691/E691)*(1-G691)</f>
        <v>421176.66142000002</v>
      </c>
      <c r="I691" s="291">
        <f t="shared" si="75"/>
        <v>9191650.20462</v>
      </c>
    </row>
    <row r="692" spans="1:9" outlineLevel="2" x14ac:dyDescent="0.2">
      <c r="A692">
        <v>38500</v>
      </c>
      <c r="B692">
        <v>1993</v>
      </c>
      <c r="C692" s="89">
        <v>31.5</v>
      </c>
      <c r="D692" s="291">
        <v>352865.07</v>
      </c>
      <c r="E692" s="12">
        <v>39</v>
      </c>
      <c r="F692" s="12">
        <v>13.369560999999999</v>
      </c>
      <c r="G692" s="330">
        <f>'Proposed Rates'!$O$29/100</f>
        <v>0</v>
      </c>
      <c r="H692" s="291">
        <f t="shared" si="82"/>
        <v>231899.65774014694</v>
      </c>
      <c r="I692" s="291">
        <f t="shared" si="75"/>
        <v>4717651.0781342695</v>
      </c>
    </row>
    <row r="693" spans="1:9" outlineLevel="2" x14ac:dyDescent="0.2">
      <c r="A693">
        <v>38500</v>
      </c>
      <c r="B693">
        <v>1992</v>
      </c>
      <c r="C693" s="89">
        <v>32.5</v>
      </c>
      <c r="D693" s="291">
        <v>234841.1</v>
      </c>
      <c r="E693" s="12">
        <v>39</v>
      </c>
      <c r="F693" s="12">
        <v>12.764093000000001</v>
      </c>
      <c r="G693" s="330">
        <f>'Proposed Rates'!$O$29/100</f>
        <v>0</v>
      </c>
      <c r="H693" s="291">
        <f t="shared" si="82"/>
        <v>157981.26306096665</v>
      </c>
      <c r="I693" s="291">
        <f t="shared" si="75"/>
        <v>2997533.6406223001</v>
      </c>
    </row>
    <row r="694" spans="1:9" outlineLevel="2" x14ac:dyDescent="0.2">
      <c r="A694">
        <v>38500</v>
      </c>
      <c r="B694">
        <v>1991</v>
      </c>
      <c r="C694" s="89">
        <v>33.5</v>
      </c>
      <c r="D694" s="291">
        <v>328532.15999999997</v>
      </c>
      <c r="E694" s="12">
        <v>39</v>
      </c>
      <c r="F694" s="12">
        <v>12.17731</v>
      </c>
      <c r="G694" s="330">
        <f>'Proposed Rates'!$O$29/100</f>
        <v>0</v>
      </c>
      <c r="H694" s="291">
        <f t="shared" si="82"/>
        <v>225951.6995566769</v>
      </c>
      <c r="I694" s="291">
        <f t="shared" si="75"/>
        <v>4000637.9572895998</v>
      </c>
    </row>
    <row r="695" spans="1:9" outlineLevel="2" x14ac:dyDescent="0.2">
      <c r="A695">
        <v>38500</v>
      </c>
      <c r="B695">
        <v>1990</v>
      </c>
      <c r="C695" s="89">
        <v>34.5</v>
      </c>
      <c r="D695" s="291">
        <v>660172.68999999994</v>
      </c>
      <c r="E695" s="12">
        <v>39</v>
      </c>
      <c r="F695" s="12">
        <v>11.610889999999999</v>
      </c>
      <c r="G695" s="330">
        <f>'Proposed Rates'!$O$29/100</f>
        <v>0</v>
      </c>
      <c r="H695" s="291">
        <f t="shared" si="82"/>
        <v>463629.2929591256</v>
      </c>
      <c r="I695" s="291">
        <f t="shared" si="75"/>
        <v>7665192.4845940992</v>
      </c>
    </row>
    <row r="696" spans="1:9" outlineLevel="2" x14ac:dyDescent="0.2">
      <c r="A696">
        <v>38500</v>
      </c>
      <c r="B696">
        <v>1989</v>
      </c>
      <c r="C696" s="89">
        <v>35.5</v>
      </c>
      <c r="D696" s="291">
        <v>269563.17</v>
      </c>
      <c r="E696" s="12">
        <v>39</v>
      </c>
      <c r="F696" s="12">
        <v>11.064299999999999</v>
      </c>
      <c r="G696" s="330">
        <f>'Proposed Rates'!$O$29/100</f>
        <v>0</v>
      </c>
      <c r="H696" s="291">
        <f t="shared" si="82"/>
        <v>193088.09867099999</v>
      </c>
      <c r="I696" s="291">
        <f t="shared" si="75"/>
        <v>2982527.7818309995</v>
      </c>
    </row>
    <row r="697" spans="1:9" outlineLevel="2" x14ac:dyDescent="0.2">
      <c r="A697">
        <v>38500</v>
      </c>
      <c r="B697">
        <v>1988</v>
      </c>
      <c r="C697" s="89">
        <v>36.5</v>
      </c>
      <c r="D697" s="291">
        <v>502416.81</v>
      </c>
      <c r="E697" s="12">
        <v>39</v>
      </c>
      <c r="F697" s="12">
        <v>10.539731</v>
      </c>
      <c r="G697" s="330">
        <f>'Proposed Rates'!$O$29/100</f>
        <v>0</v>
      </c>
      <c r="H697" s="291">
        <f t="shared" si="82"/>
        <v>366638.91186466388</v>
      </c>
      <c r="I697" s="291">
        <f t="shared" si="75"/>
        <v>5295338.0272781095</v>
      </c>
    </row>
    <row r="698" spans="1:9" outlineLevel="2" x14ac:dyDescent="0.2">
      <c r="A698">
        <v>38500</v>
      </c>
      <c r="B698">
        <v>1987</v>
      </c>
      <c r="C698" s="89">
        <v>37.5</v>
      </c>
      <c r="D698" s="291">
        <v>229133.04</v>
      </c>
      <c r="E698" s="12">
        <v>39</v>
      </c>
      <c r="F698" s="12">
        <v>10.036345000000001</v>
      </c>
      <c r="G698" s="330">
        <f>'Proposed Rates'!$O$29/100</f>
        <v>0</v>
      </c>
      <c r="H698" s="291">
        <f t="shared" si="82"/>
        <v>170167.44409387693</v>
      </c>
      <c r="I698" s="291">
        <f t="shared" si="75"/>
        <v>2299658.2403388005</v>
      </c>
    </row>
    <row r="699" spans="1:9" outlineLevel="2" x14ac:dyDescent="0.2">
      <c r="A699">
        <v>38500</v>
      </c>
      <c r="B699">
        <v>1986</v>
      </c>
      <c r="C699" s="89">
        <v>38.5</v>
      </c>
      <c r="D699" s="291">
        <v>354147.05</v>
      </c>
      <c r="E699" s="12">
        <v>39</v>
      </c>
      <c r="F699" s="12">
        <v>9.5554400000000008</v>
      </c>
      <c r="G699" s="330">
        <f>'Proposed Rates'!$O$29/100</f>
        <v>0</v>
      </c>
      <c r="H699" s="291">
        <f t="shared" si="82"/>
        <v>267377.02724482049</v>
      </c>
      <c r="I699" s="291">
        <f t="shared" si="75"/>
        <v>3384030.8874520003</v>
      </c>
    </row>
    <row r="700" spans="1:9" outlineLevel="2" x14ac:dyDescent="0.2">
      <c r="A700">
        <v>38500</v>
      </c>
      <c r="B700">
        <v>1985</v>
      </c>
      <c r="C700" s="89">
        <v>39.5</v>
      </c>
      <c r="D700" s="291">
        <v>176580.69</v>
      </c>
      <c r="E700" s="12">
        <v>39</v>
      </c>
      <c r="F700" s="12">
        <v>9.0968210000000003</v>
      </c>
      <c r="G700" s="330">
        <f>'Proposed Rates'!$O$29/100</f>
        <v>0</v>
      </c>
      <c r="H700" s="291">
        <f t="shared" si="82"/>
        <v>135392.92259009002</v>
      </c>
      <c r="I700" s="291">
        <f t="shared" si="75"/>
        <v>1606322.92898649</v>
      </c>
    </row>
    <row r="701" spans="1:9" outlineLevel="2" x14ac:dyDescent="0.2">
      <c r="A701">
        <v>38500</v>
      </c>
      <c r="B701">
        <v>1984</v>
      </c>
      <c r="C701" s="89">
        <v>40.5</v>
      </c>
      <c r="D701" s="291">
        <v>114096.57</v>
      </c>
      <c r="E701" s="12">
        <v>39</v>
      </c>
      <c r="F701" s="12">
        <v>8.6605899999999991</v>
      </c>
      <c r="G701" s="330">
        <f>'Proposed Rates'!$O$29/100</f>
        <v>0</v>
      </c>
      <c r="H701" s="291">
        <f t="shared" si="82"/>
        <v>88759.554277530769</v>
      </c>
      <c r="I701" s="291">
        <f t="shared" si="75"/>
        <v>988143.61317629996</v>
      </c>
    </row>
    <row r="702" spans="1:9" outlineLevel="2" x14ac:dyDescent="0.2">
      <c r="A702">
        <v>38500</v>
      </c>
      <c r="B702">
        <v>1983</v>
      </c>
      <c r="C702" s="89">
        <v>41.5</v>
      </c>
      <c r="D702" s="291">
        <v>88578.93</v>
      </c>
      <c r="E702" s="12">
        <v>39</v>
      </c>
      <c r="F702" s="12">
        <v>8.2467729999999992</v>
      </c>
      <c r="G702" s="330">
        <f>'Proposed Rates'!$O$29/100</f>
        <v>0</v>
      </c>
      <c r="H702" s="291">
        <f t="shared" si="82"/>
        <v>69848.408761720755</v>
      </c>
      <c r="I702" s="291">
        <f t="shared" si="75"/>
        <v>730490.32829288987</v>
      </c>
    </row>
    <row r="703" spans="1:9" outlineLevel="2" x14ac:dyDescent="0.2">
      <c r="A703">
        <v>38500</v>
      </c>
      <c r="B703">
        <v>1982</v>
      </c>
      <c r="C703" s="89">
        <v>42.5</v>
      </c>
      <c r="D703" s="291">
        <v>86063.71</v>
      </c>
      <c r="E703" s="12">
        <v>39</v>
      </c>
      <c r="F703" s="12">
        <v>7.8546610000000001</v>
      </c>
      <c r="G703" s="330">
        <f>'Proposed Rates'!$O$29/100</f>
        <v>0</v>
      </c>
      <c r="H703" s="291">
        <f t="shared" si="82"/>
        <v>68730.344193530516</v>
      </c>
      <c r="I703" s="291">
        <f t="shared" si="75"/>
        <v>676001.26645231002</v>
      </c>
    </row>
    <row r="704" spans="1:9" outlineLevel="2" x14ac:dyDescent="0.2">
      <c r="A704">
        <v>38500</v>
      </c>
      <c r="B704">
        <v>1981</v>
      </c>
      <c r="C704" s="89">
        <v>43.5</v>
      </c>
      <c r="D704" s="291">
        <v>29721.03</v>
      </c>
      <c r="E704" s="12">
        <v>39</v>
      </c>
      <c r="F704" s="12">
        <v>7.4837939999999996</v>
      </c>
      <c r="G704" s="330">
        <f>'Proposed Rates'!$O$29/100</f>
        <v>0</v>
      </c>
      <c r="H704" s="291">
        <f t="shared" si="82"/>
        <v>24017.797538773848</v>
      </c>
      <c r="I704" s="291">
        <f t="shared" si="75"/>
        <v>222426.06598781998</v>
      </c>
    </row>
    <row r="705" spans="1:10" outlineLevel="2" x14ac:dyDescent="0.2">
      <c r="A705">
        <v>38500</v>
      </c>
      <c r="B705">
        <v>1980</v>
      </c>
      <c r="C705" s="89">
        <v>44.5</v>
      </c>
      <c r="D705" s="291">
        <v>4431.1899999999996</v>
      </c>
      <c r="E705" s="12">
        <v>39</v>
      </c>
      <c r="F705" s="12">
        <v>7.1332409999999999</v>
      </c>
      <c r="G705" s="330">
        <f>'Proposed Rates'!$O$29/100</f>
        <v>0</v>
      </c>
      <c r="H705" s="291">
        <f t="shared" si="82"/>
        <v>3620.7093285438459</v>
      </c>
      <c r="I705" s="291">
        <f t="shared" si="75"/>
        <v>31608.746186789998</v>
      </c>
    </row>
    <row r="706" spans="1:10" outlineLevel="2" x14ac:dyDescent="0.2">
      <c r="A706">
        <v>38500</v>
      </c>
      <c r="B706">
        <v>1979</v>
      </c>
      <c r="C706" s="89">
        <v>45.5</v>
      </c>
      <c r="D706" s="291">
        <v>301.47000000000003</v>
      </c>
      <c r="E706" s="12">
        <v>39</v>
      </c>
      <c r="F706" s="12">
        <v>6.801545</v>
      </c>
      <c r="G706" s="330">
        <f>'Proposed Rates'!$O$29/100</f>
        <v>0</v>
      </c>
      <c r="H706" s="291">
        <f t="shared" si="82"/>
        <v>248.89405715000001</v>
      </c>
      <c r="I706" s="291">
        <f t="shared" si="75"/>
        <v>2050.46177115</v>
      </c>
    </row>
    <row r="707" spans="1:10" outlineLevel="2" x14ac:dyDescent="0.2">
      <c r="A707">
        <v>38500</v>
      </c>
      <c r="B707">
        <v>1977</v>
      </c>
      <c r="C707" s="89">
        <v>47.5</v>
      </c>
      <c r="D707" s="291">
        <v>6344.39</v>
      </c>
      <c r="E707" s="12">
        <v>39</v>
      </c>
      <c r="F707" s="12">
        <v>6.1897219999999997</v>
      </c>
      <c r="G707" s="330">
        <f>'Proposed Rates'!$O$29/100</f>
        <v>0</v>
      </c>
      <c r="H707" s="291">
        <f t="shared" si="82"/>
        <v>5337.4666574466673</v>
      </c>
      <c r="I707" s="291">
        <f t="shared" si="75"/>
        <v>39270.010359580003</v>
      </c>
    </row>
    <row r="708" spans="1:10" outlineLevel="2" x14ac:dyDescent="0.2">
      <c r="A708">
        <v>38500</v>
      </c>
      <c r="B708">
        <v>1976</v>
      </c>
      <c r="C708" s="89">
        <v>48.5</v>
      </c>
      <c r="D708" s="291">
        <v>1302.27</v>
      </c>
      <c r="E708" s="12">
        <v>39</v>
      </c>
      <c r="F708" s="12">
        <v>5.905735</v>
      </c>
      <c r="G708" s="330">
        <f>'Proposed Rates'!$O$29/100</f>
        <v>0</v>
      </c>
      <c r="H708" s="291">
        <f t="shared" si="82"/>
        <v>1105.0684226038461</v>
      </c>
      <c r="I708" s="291">
        <f t="shared" si="75"/>
        <v>7690.8615184499995</v>
      </c>
    </row>
    <row r="709" spans="1:10" outlineLevel="2" x14ac:dyDescent="0.2">
      <c r="A709">
        <v>38500</v>
      </c>
      <c r="B709">
        <v>1975</v>
      </c>
      <c r="C709" s="89">
        <v>49.5</v>
      </c>
      <c r="D709" s="291">
        <v>3536.71</v>
      </c>
      <c r="E709" s="12">
        <v>39</v>
      </c>
      <c r="F709" s="12">
        <v>5.6348770000000004</v>
      </c>
      <c r="G709" s="330">
        <f>'Proposed Rates'!$O$29/100</f>
        <v>0</v>
      </c>
      <c r="H709" s="291">
        <f t="shared" si="82"/>
        <v>3025.7119016751285</v>
      </c>
      <c r="I709" s="291">
        <f t="shared" si="75"/>
        <v>19928.925834670001</v>
      </c>
    </row>
    <row r="710" spans="1:10" outlineLevel="2" x14ac:dyDescent="0.2">
      <c r="A710">
        <v>38500</v>
      </c>
      <c r="B710">
        <v>1974</v>
      </c>
      <c r="C710" s="89">
        <v>50.5</v>
      </c>
      <c r="D710" s="291">
        <v>8987.32</v>
      </c>
      <c r="E710" s="12">
        <v>39</v>
      </c>
      <c r="F710" s="12">
        <v>5.3731220000000004</v>
      </c>
      <c r="G710" s="330">
        <f>'Proposed Rates'!$O$29/100</f>
        <v>0</v>
      </c>
      <c r="H710" s="291">
        <f t="shared" si="82"/>
        <v>7749.1157227425638</v>
      </c>
      <c r="I710" s="291">
        <f t="shared" ref="I710:I768" si="83">+D710*F710</f>
        <v>48289.966813040002</v>
      </c>
    </row>
    <row r="711" spans="1:10" outlineLevel="2" x14ac:dyDescent="0.2">
      <c r="A711">
        <v>38500</v>
      </c>
      <c r="B711">
        <v>1972</v>
      </c>
      <c r="C711" s="89">
        <v>52.5</v>
      </c>
      <c r="D711" s="291">
        <v>711.03</v>
      </c>
      <c r="E711" s="12">
        <v>39</v>
      </c>
      <c r="F711" s="12">
        <v>4.8754879999999998</v>
      </c>
      <c r="G711" s="330">
        <f>'Proposed Rates'!$O$29/100</f>
        <v>0</v>
      </c>
      <c r="H711" s="291">
        <f t="shared" si="82"/>
        <v>622.14235300923076</v>
      </c>
      <c r="I711" s="291">
        <f t="shared" si="83"/>
        <v>3466.6182326399999</v>
      </c>
    </row>
    <row r="712" spans="1:10" outlineLevel="2" x14ac:dyDescent="0.2">
      <c r="A712">
        <v>38500</v>
      </c>
      <c r="B712">
        <v>1971</v>
      </c>
      <c r="C712" s="89">
        <v>53.5</v>
      </c>
      <c r="D712" s="291">
        <v>6882.95</v>
      </c>
      <c r="E712" s="12">
        <v>39</v>
      </c>
      <c r="F712" s="12">
        <v>4.6365030000000003</v>
      </c>
      <c r="G712" s="330">
        <f>'Proposed Rates'!$O$29/100</f>
        <v>0</v>
      </c>
      <c r="H712" s="291">
        <f t="shared" si="82"/>
        <v>6064.672607080769</v>
      </c>
      <c r="I712" s="291">
        <f t="shared" si="83"/>
        <v>31912.818323850002</v>
      </c>
    </row>
    <row r="713" spans="1:10" outlineLevel="2" x14ac:dyDescent="0.2">
      <c r="A713">
        <v>38500</v>
      </c>
      <c r="B713">
        <v>1970</v>
      </c>
      <c r="C713" s="89">
        <v>54.5</v>
      </c>
      <c r="D713" s="291">
        <v>5759.09</v>
      </c>
      <c r="E713" s="12">
        <v>39</v>
      </c>
      <c r="F713" s="12">
        <v>4.401618</v>
      </c>
      <c r="G713" s="330">
        <f>'Proposed Rates'!$O$29/100</f>
        <v>0</v>
      </c>
      <c r="H713" s="291">
        <f t="shared" si="82"/>
        <v>5109.1075844200004</v>
      </c>
      <c r="I713" s="291">
        <f t="shared" si="83"/>
        <v>25349.314207620002</v>
      </c>
    </row>
    <row r="714" spans="1:10" outlineLevel="2" x14ac:dyDescent="0.2">
      <c r="A714">
        <v>38500</v>
      </c>
      <c r="B714">
        <v>1969</v>
      </c>
      <c r="C714" s="89">
        <v>55.5</v>
      </c>
      <c r="D714" s="291">
        <v>930.64</v>
      </c>
      <c r="E714" s="12">
        <v>39</v>
      </c>
      <c r="F714" s="12">
        <v>4.1710380000000002</v>
      </c>
      <c r="G714" s="330">
        <f>'Proposed Rates'!$O$29/100</f>
        <v>0</v>
      </c>
      <c r="H714" s="291">
        <f t="shared" si="82"/>
        <v>831.10833835076915</v>
      </c>
      <c r="I714" s="291">
        <f t="shared" si="83"/>
        <v>3881.73480432</v>
      </c>
    </row>
    <row r="715" spans="1:10" s="143" customFormat="1" outlineLevel="1" x14ac:dyDescent="0.2">
      <c r="A715" s="20" t="s">
        <v>1192</v>
      </c>
      <c r="C715" s="89" t="s">
        <v>1230</v>
      </c>
      <c r="D715" s="291">
        <f>SUBTOTAL(9,D668:D714)</f>
        <v>15196826.639999999</v>
      </c>
      <c r="E715" s="12"/>
      <c r="F715" s="12"/>
      <c r="G715" s="330"/>
      <c r="H715" s="291">
        <f>SUBTOTAL(9,H668:H714)</f>
        <v>6042387.4269409757</v>
      </c>
      <c r="I715" s="291">
        <f>SUBTOTAL(9,I668:I714)</f>
        <v>357023129.30930191</v>
      </c>
      <c r="J715" s="291">
        <f>+I715/D715</f>
        <v>23.493268546577429</v>
      </c>
    </row>
    <row r="716" spans="1:10" outlineLevel="2" x14ac:dyDescent="0.2">
      <c r="A716">
        <v>38700</v>
      </c>
      <c r="B716">
        <v>2022</v>
      </c>
      <c r="C716" s="89">
        <v>2.5</v>
      </c>
      <c r="D716" s="291">
        <v>506839.74000000005</v>
      </c>
      <c r="E716" s="12">
        <v>27</v>
      </c>
      <c r="F716" s="12">
        <v>24.619824000000001</v>
      </c>
      <c r="G716" s="330">
        <f>'Proposed Rates'!$O$31/100</f>
        <v>0</v>
      </c>
      <c r="H716" s="291">
        <f t="shared" si="82"/>
        <v>44680.28833311997</v>
      </c>
      <c r="I716" s="291">
        <f t="shared" si="83"/>
        <v>12478305.195005761</v>
      </c>
    </row>
    <row r="717" spans="1:10" s="143" customFormat="1" outlineLevel="2" x14ac:dyDescent="0.2">
      <c r="A717" s="143">
        <v>38700</v>
      </c>
      <c r="B717" s="143">
        <v>2021</v>
      </c>
      <c r="C717" s="89">
        <v>3.5</v>
      </c>
      <c r="D717" s="291">
        <v>1821650.02</v>
      </c>
      <c r="E717" s="12">
        <v>27</v>
      </c>
      <c r="F717" s="12">
        <v>23.707391000000001</v>
      </c>
      <c r="G717" s="330">
        <f>'Proposed Rates'!$O$31/100</f>
        <v>0</v>
      </c>
      <c r="H717" s="291">
        <f t="shared" ref="H717:H721" si="84">+D717*(1-F717/E717)*(1-G717)</f>
        <v>222147.45372971025</v>
      </c>
      <c r="I717" s="291">
        <f t="shared" ref="I717:I721" si="85">+D717*F717</f>
        <v>43186569.289297819</v>
      </c>
      <c r="J717" s="291"/>
    </row>
    <row r="718" spans="1:10" s="143" customFormat="1" outlineLevel="2" x14ac:dyDescent="0.2">
      <c r="A718" s="143">
        <v>38700</v>
      </c>
      <c r="B718" s="143">
        <v>2020</v>
      </c>
      <c r="C718" s="89">
        <v>4.5</v>
      </c>
      <c r="D718" s="291">
        <v>984702.63</v>
      </c>
      <c r="E718" s="12">
        <v>27</v>
      </c>
      <c r="F718" s="12">
        <v>22.824318000000002</v>
      </c>
      <c r="G718" s="330">
        <f>'Proposed Rates'!$O$31/100</f>
        <v>0</v>
      </c>
      <c r="H718" s="291">
        <f t="shared" si="84"/>
        <v>152289.07583124656</v>
      </c>
      <c r="I718" s="291">
        <f t="shared" si="85"/>
        <v>22475165.962556344</v>
      </c>
      <c r="J718" s="291"/>
    </row>
    <row r="719" spans="1:10" s="143" customFormat="1" outlineLevel="2" x14ac:dyDescent="0.2">
      <c r="A719" s="143">
        <v>38700</v>
      </c>
      <c r="B719" s="143">
        <v>2019</v>
      </c>
      <c r="C719" s="89">
        <v>5.5</v>
      </c>
      <c r="D719" s="291">
        <v>1243321.68</v>
      </c>
      <c r="E719" s="12">
        <v>27</v>
      </c>
      <c r="F719" s="12">
        <v>21.972497000000001</v>
      </c>
      <c r="G719" s="330">
        <f>'Proposed Rates'!$O$31/100</f>
        <v>0</v>
      </c>
      <c r="H719" s="291">
        <f t="shared" si="84"/>
        <v>231511.23985796433</v>
      </c>
      <c r="I719" s="291">
        <f t="shared" si="85"/>
        <v>27318881.883834958</v>
      </c>
      <c r="J719" s="291"/>
    </row>
    <row r="720" spans="1:10" s="143" customFormat="1" outlineLevel="2" x14ac:dyDescent="0.2">
      <c r="A720" s="143">
        <v>38700</v>
      </c>
      <c r="B720" s="143">
        <v>2018</v>
      </c>
      <c r="C720" s="89">
        <v>6.5</v>
      </c>
      <c r="D720" s="291">
        <v>1520325.52</v>
      </c>
      <c r="E720" s="12">
        <v>27</v>
      </c>
      <c r="F720" s="12">
        <v>21.153324999999999</v>
      </c>
      <c r="G720" s="330">
        <f>'Proposed Rates'!$O$31/100</f>
        <v>0</v>
      </c>
      <c r="H720" s="291">
        <f t="shared" si="84"/>
        <v>329216.63739429641</v>
      </c>
      <c r="I720" s="291">
        <f t="shared" si="85"/>
        <v>32159939.830353998</v>
      </c>
      <c r="J720" s="291"/>
    </row>
    <row r="721" spans="1:10" s="143" customFormat="1" outlineLevel="2" x14ac:dyDescent="0.2">
      <c r="A721" s="143">
        <v>38700</v>
      </c>
      <c r="B721" s="143">
        <v>2017</v>
      </c>
      <c r="C721" s="89">
        <v>7.5</v>
      </c>
      <c r="D721" s="291">
        <v>625901.17000000004</v>
      </c>
      <c r="E721" s="12">
        <v>27</v>
      </c>
      <c r="F721" s="12">
        <v>20.367936</v>
      </c>
      <c r="G721" s="330">
        <f>'Proposed Rates'!$O$31/100</f>
        <v>0</v>
      </c>
      <c r="H721" s="291">
        <f t="shared" si="84"/>
        <v>153741.35618943998</v>
      </c>
      <c r="I721" s="291">
        <f t="shared" si="85"/>
        <v>12748314.972885121</v>
      </c>
      <c r="J721" s="291"/>
    </row>
    <row r="722" spans="1:10" outlineLevel="2" x14ac:dyDescent="0.2">
      <c r="A722" s="143">
        <v>38700</v>
      </c>
      <c r="B722">
        <v>2016</v>
      </c>
      <c r="C722" s="89">
        <v>8.5</v>
      </c>
      <c r="D722" s="291">
        <v>497048.71</v>
      </c>
      <c r="E722" s="12">
        <v>27</v>
      </c>
      <c r="F722" s="12">
        <v>19.615556999999999</v>
      </c>
      <c r="G722" s="330">
        <f>'Proposed Rates'!$O$31/100</f>
        <v>0</v>
      </c>
      <c r="H722" s="291">
        <f t="shared" si="82"/>
        <v>135941.77285994557</v>
      </c>
      <c r="I722" s="291">
        <f t="shared" si="83"/>
        <v>9749887.3027814701</v>
      </c>
    </row>
    <row r="723" spans="1:10" outlineLevel="2" x14ac:dyDescent="0.2">
      <c r="A723" s="143">
        <v>38700</v>
      </c>
      <c r="B723">
        <v>2015</v>
      </c>
      <c r="C723" s="89">
        <v>9.5</v>
      </c>
      <c r="D723" s="291">
        <v>491827.7</v>
      </c>
      <c r="E723" s="12">
        <v>27</v>
      </c>
      <c r="F723" s="12">
        <v>18.895634000000001</v>
      </c>
      <c r="G723" s="330">
        <f>'Proposed Rates'!$O$31/100</f>
        <v>0</v>
      </c>
      <c r="H723" s="291">
        <f t="shared" si="82"/>
        <v>147627.84036067405</v>
      </c>
      <c r="I723" s="291">
        <f t="shared" si="83"/>
        <v>9293396.2102618013</v>
      </c>
    </row>
    <row r="724" spans="1:10" outlineLevel="2" x14ac:dyDescent="0.2">
      <c r="A724" s="143">
        <v>38700</v>
      </c>
      <c r="B724">
        <v>2014</v>
      </c>
      <c r="C724" s="89">
        <v>10.5</v>
      </c>
      <c r="D724" s="291">
        <v>1084921.98</v>
      </c>
      <c r="E724" s="12">
        <v>27</v>
      </c>
      <c r="F724" s="12">
        <v>18.21123</v>
      </c>
      <c r="G724" s="330">
        <f>'Proposed Rates'!$O$31/100</f>
        <v>0</v>
      </c>
      <c r="H724" s="291">
        <f t="shared" si="82"/>
        <v>353152.95370979997</v>
      </c>
      <c r="I724" s="291">
        <f t="shared" si="83"/>
        <v>19757763.709835399</v>
      </c>
    </row>
    <row r="725" spans="1:10" s="143" customFormat="1" outlineLevel="2" x14ac:dyDescent="0.2">
      <c r="A725" s="143">
        <v>38700</v>
      </c>
      <c r="B725" s="143">
        <v>2013</v>
      </c>
      <c r="C725" s="89">
        <f>2024.5-B725</f>
        <v>11.5</v>
      </c>
      <c r="D725" s="291">
        <v>307418.8</v>
      </c>
      <c r="E725" s="12">
        <v>27</v>
      </c>
      <c r="F725" s="12">
        <v>17.566966000000001</v>
      </c>
      <c r="G725" s="330">
        <f>'Proposed Rates'!$O$31/100</f>
        <v>0</v>
      </c>
      <c r="H725" s="291">
        <f t="shared" ref="H725:H758" si="86">+D725*(1-F725/E725)*(1-G725)</f>
        <v>107403.40713478519</v>
      </c>
      <c r="I725" s="291">
        <f t="shared" ref="I725:I758" si="87">+D725*F725</f>
        <v>5400415.6073607998</v>
      </c>
      <c r="J725" s="291"/>
    </row>
    <row r="726" spans="1:10" s="143" customFormat="1" outlineLevel="2" x14ac:dyDescent="0.2">
      <c r="A726" s="143">
        <v>38700</v>
      </c>
      <c r="B726" s="143">
        <v>2012</v>
      </c>
      <c r="C726" s="89">
        <f t="shared" ref="C726:C758" si="88">2024.5-B726</f>
        <v>12.5</v>
      </c>
      <c r="D726" s="291">
        <v>520523.51</v>
      </c>
      <c r="E726" s="12">
        <v>27</v>
      </c>
      <c r="F726" s="12">
        <v>16.965181999999999</v>
      </c>
      <c r="G726" s="330">
        <f>'Proposed Rates'!$O$31/100</f>
        <v>0</v>
      </c>
      <c r="H726" s="291">
        <f t="shared" si="86"/>
        <v>193457.729169303</v>
      </c>
      <c r="I726" s="291">
        <f t="shared" si="87"/>
        <v>8830776.0824288186</v>
      </c>
      <c r="J726" s="291"/>
    </row>
    <row r="727" spans="1:10" s="143" customFormat="1" outlineLevel="2" x14ac:dyDescent="0.2">
      <c r="A727" s="143">
        <v>38700</v>
      </c>
      <c r="B727" s="143">
        <v>2011</v>
      </c>
      <c r="C727" s="89">
        <f t="shared" si="88"/>
        <v>13.5</v>
      </c>
      <c r="D727" s="291">
        <v>536464.85</v>
      </c>
      <c r="E727" s="12">
        <v>27</v>
      </c>
      <c r="F727" s="12">
        <v>16.406782</v>
      </c>
      <c r="G727" s="330">
        <f>'Proposed Rates'!$O$31/100</f>
        <v>0</v>
      </c>
      <c r="H727" s="291">
        <f t="shared" si="86"/>
        <v>210477.37427360369</v>
      </c>
      <c r="I727" s="291">
        <f t="shared" si="87"/>
        <v>8801661.844612699</v>
      </c>
      <c r="J727" s="291"/>
    </row>
    <row r="728" spans="1:10" s="143" customFormat="1" outlineLevel="2" x14ac:dyDescent="0.2">
      <c r="A728" s="143">
        <v>38700</v>
      </c>
      <c r="B728" s="143">
        <v>2010</v>
      </c>
      <c r="C728" s="89">
        <f t="shared" si="88"/>
        <v>14.5</v>
      </c>
      <c r="D728" s="291">
        <v>539022.11</v>
      </c>
      <c r="E728" s="12">
        <v>27</v>
      </c>
      <c r="F728" s="12">
        <v>15.891529</v>
      </c>
      <c r="G728" s="330">
        <f>'Proposed Rates'!$O$31/100</f>
        <v>0</v>
      </c>
      <c r="H728" s="291">
        <f t="shared" si="86"/>
        <v>221767.09175162259</v>
      </c>
      <c r="I728" s="291">
        <f t="shared" si="87"/>
        <v>8565885.4927061908</v>
      </c>
      <c r="J728" s="291"/>
    </row>
    <row r="729" spans="1:10" s="143" customFormat="1" outlineLevel="2" x14ac:dyDescent="0.2">
      <c r="A729" s="143">
        <v>38700</v>
      </c>
      <c r="B729" s="143">
        <v>2009</v>
      </c>
      <c r="C729" s="89">
        <f t="shared" si="88"/>
        <v>15.5</v>
      </c>
      <c r="D729" s="291">
        <v>668413.77</v>
      </c>
      <c r="E729" s="12">
        <v>27</v>
      </c>
      <c r="F729" s="12">
        <v>15.415426</v>
      </c>
      <c r="G729" s="330">
        <f>'Proposed Rates'!$O$31/100</f>
        <v>0</v>
      </c>
      <c r="H729" s="291">
        <f t="shared" si="86"/>
        <v>286788.47337718448</v>
      </c>
      <c r="I729" s="291">
        <f t="shared" si="87"/>
        <v>10303883.008816021</v>
      </c>
      <c r="J729" s="291"/>
    </row>
    <row r="730" spans="1:10" s="143" customFormat="1" outlineLevel="2" x14ac:dyDescent="0.2">
      <c r="A730" s="143">
        <v>38700</v>
      </c>
      <c r="B730" s="143">
        <v>2008</v>
      </c>
      <c r="C730" s="89">
        <f t="shared" si="88"/>
        <v>16.5</v>
      </c>
      <c r="D730" s="291">
        <v>148017.06</v>
      </c>
      <c r="E730" s="12">
        <v>27</v>
      </c>
      <c r="F730" s="12">
        <v>14.974061000000001</v>
      </c>
      <c r="G730" s="330">
        <f>'Proposed Rates'!$O$31/100</f>
        <v>0</v>
      </c>
      <c r="H730" s="291">
        <f t="shared" si="86"/>
        <v>65927.560537753336</v>
      </c>
      <c r="I730" s="291">
        <f t="shared" si="87"/>
        <v>2216416.4854806601</v>
      </c>
      <c r="J730" s="291"/>
    </row>
    <row r="731" spans="1:10" s="143" customFormat="1" outlineLevel="2" x14ac:dyDescent="0.2">
      <c r="A731" s="143">
        <v>38700</v>
      </c>
      <c r="B731" s="143">
        <v>2007</v>
      </c>
      <c r="C731" s="89">
        <f t="shared" si="88"/>
        <v>17.5</v>
      </c>
      <c r="D731" s="291">
        <v>329322.34999999998</v>
      </c>
      <c r="E731" s="12">
        <v>27</v>
      </c>
      <c r="F731" s="12">
        <v>14.563381</v>
      </c>
      <c r="G731" s="330">
        <f>'Proposed Rates'!$O$31/100</f>
        <v>0</v>
      </c>
      <c r="H731" s="291">
        <f t="shared" si="86"/>
        <v>151690.98500498704</v>
      </c>
      <c r="I731" s="291">
        <f t="shared" si="87"/>
        <v>4796046.8548653498</v>
      </c>
      <c r="J731" s="291"/>
    </row>
    <row r="732" spans="1:10" s="143" customFormat="1" outlineLevel="2" x14ac:dyDescent="0.2">
      <c r="A732" s="143">
        <v>38700</v>
      </c>
      <c r="B732" s="143">
        <v>2006</v>
      </c>
      <c r="C732" s="89">
        <f t="shared" si="88"/>
        <v>18.5</v>
      </c>
      <c r="D732" s="291">
        <v>346776.93</v>
      </c>
      <c r="E732" s="12">
        <v>27</v>
      </c>
      <c r="F732" s="12">
        <v>14.180161</v>
      </c>
      <c r="G732" s="330">
        <f>'Proposed Rates'!$O$31/100</f>
        <v>0</v>
      </c>
      <c r="H732" s="291">
        <f t="shared" si="86"/>
        <v>164652.75598200999</v>
      </c>
      <c r="I732" s="291">
        <f t="shared" si="87"/>
        <v>4917352.6984857302</v>
      </c>
      <c r="J732" s="291"/>
    </row>
    <row r="733" spans="1:10" s="143" customFormat="1" outlineLevel="2" x14ac:dyDescent="0.2">
      <c r="A733" s="143">
        <v>38700</v>
      </c>
      <c r="B733" s="143">
        <v>2005</v>
      </c>
      <c r="C733" s="89">
        <f t="shared" si="88"/>
        <v>19.5</v>
      </c>
      <c r="D733" s="291">
        <v>139566.21</v>
      </c>
      <c r="E733" s="12">
        <v>27</v>
      </c>
      <c r="F733" s="12">
        <v>13.821171</v>
      </c>
      <c r="G733" s="330">
        <f>'Proposed Rates'!$O$31/100</f>
        <v>0</v>
      </c>
      <c r="H733" s="291">
        <f t="shared" si="86"/>
        <v>68122.933917336675</v>
      </c>
      <c r="I733" s="291">
        <f t="shared" si="87"/>
        <v>1928968.4542319099</v>
      </c>
      <c r="J733" s="291"/>
    </row>
    <row r="734" spans="1:10" s="143" customFormat="1" outlineLevel="2" x14ac:dyDescent="0.2">
      <c r="A734" s="143">
        <v>38700</v>
      </c>
      <c r="B734" s="143">
        <v>2004</v>
      </c>
      <c r="C734" s="89">
        <f t="shared" si="88"/>
        <v>20.5</v>
      </c>
      <c r="D734" s="291">
        <v>202102.66</v>
      </c>
      <c r="E734" s="12">
        <v>27</v>
      </c>
      <c r="F734" s="12">
        <v>13.483267</v>
      </c>
      <c r="G734" s="330">
        <f>'Proposed Rates'!$O$31/100</f>
        <v>0</v>
      </c>
      <c r="H734" s="291">
        <f t="shared" si="86"/>
        <v>101176.58125221406</v>
      </c>
      <c r="I734" s="291">
        <f t="shared" si="87"/>
        <v>2725004.12619022</v>
      </c>
      <c r="J734" s="291"/>
    </row>
    <row r="735" spans="1:10" s="143" customFormat="1" outlineLevel="2" x14ac:dyDescent="0.2">
      <c r="A735" s="143">
        <v>38700</v>
      </c>
      <c r="B735" s="143">
        <v>2003</v>
      </c>
      <c r="C735" s="89">
        <f t="shared" si="88"/>
        <v>21.5</v>
      </c>
      <c r="D735" s="291">
        <v>190802.76</v>
      </c>
      <c r="E735" s="12">
        <v>27</v>
      </c>
      <c r="F735" s="12">
        <v>13.163162</v>
      </c>
      <c r="G735" s="330">
        <f>'Proposed Rates'!$O$31/100</f>
        <v>0</v>
      </c>
      <c r="H735" s="291">
        <f t="shared" si="86"/>
        <v>97781.736298995558</v>
      </c>
      <c r="I735" s="291">
        <f t="shared" si="87"/>
        <v>2511567.6399271199</v>
      </c>
      <c r="J735" s="291"/>
    </row>
    <row r="736" spans="1:10" s="143" customFormat="1" outlineLevel="2" x14ac:dyDescent="0.2">
      <c r="A736" s="143">
        <v>38700</v>
      </c>
      <c r="B736" s="143">
        <v>2002</v>
      </c>
      <c r="C736" s="89">
        <f t="shared" si="88"/>
        <v>22.5</v>
      </c>
      <c r="D736" s="291">
        <v>78107.23</v>
      </c>
      <c r="E736" s="12">
        <v>27</v>
      </c>
      <c r="F736" s="12">
        <v>12.857765000000001</v>
      </c>
      <c r="G736" s="330">
        <f>'Proposed Rates'!$O$31/100</f>
        <v>0</v>
      </c>
      <c r="H736" s="291">
        <f t="shared" si="86"/>
        <v>40911.511179964808</v>
      </c>
      <c r="I736" s="291">
        <f t="shared" si="87"/>
        <v>1004284.40814095</v>
      </c>
      <c r="J736" s="291"/>
    </row>
    <row r="737" spans="1:10" s="143" customFormat="1" outlineLevel="2" x14ac:dyDescent="0.2">
      <c r="A737" s="143">
        <v>38700</v>
      </c>
      <c r="B737" s="143">
        <v>2001</v>
      </c>
      <c r="C737" s="89">
        <f t="shared" si="88"/>
        <v>23.5</v>
      </c>
      <c r="D737" s="291">
        <v>96049.079999999987</v>
      </c>
      <c r="E737" s="12">
        <v>27</v>
      </c>
      <c r="F737" s="12">
        <v>12.564323</v>
      </c>
      <c r="G737" s="330">
        <f>'Proposed Rates'!$O$31/100</f>
        <v>0</v>
      </c>
      <c r="H737" s="291">
        <f t="shared" si="86"/>
        <v>51353.092408413329</v>
      </c>
      <c r="I737" s="291">
        <f t="shared" si="87"/>
        <v>1206791.6649728399</v>
      </c>
      <c r="J737" s="291"/>
    </row>
    <row r="738" spans="1:10" s="143" customFormat="1" outlineLevel="2" x14ac:dyDescent="0.2">
      <c r="A738" s="143">
        <v>38700</v>
      </c>
      <c r="B738" s="143">
        <v>2000</v>
      </c>
      <c r="C738" s="89">
        <f t="shared" si="88"/>
        <v>24.5</v>
      </c>
      <c r="D738" s="291">
        <v>156360.82</v>
      </c>
      <c r="E738" s="12">
        <v>27</v>
      </c>
      <c r="F738" s="12">
        <v>12.27998</v>
      </c>
      <c r="G738" s="330">
        <f>'Proposed Rates'!$O$31/100</f>
        <v>0</v>
      </c>
      <c r="H738" s="291">
        <f t="shared" si="86"/>
        <v>85245.718430237044</v>
      </c>
      <c r="I738" s="291">
        <f t="shared" si="87"/>
        <v>1920107.7423836002</v>
      </c>
      <c r="J738" s="291"/>
    </row>
    <row r="739" spans="1:10" s="143" customFormat="1" outlineLevel="2" x14ac:dyDescent="0.2">
      <c r="A739" s="143">
        <v>38700</v>
      </c>
      <c r="B739" s="143">
        <v>1999</v>
      </c>
      <c r="C739" s="89">
        <f t="shared" si="88"/>
        <v>25.5</v>
      </c>
      <c r="D739" s="291">
        <v>79657.95</v>
      </c>
      <c r="E739" s="12">
        <v>27</v>
      </c>
      <c r="F739" s="12">
        <v>12.002717000000001</v>
      </c>
      <c r="G739" s="330">
        <f>'Proposed Rates'!$O$31/100</f>
        <v>0</v>
      </c>
      <c r="H739" s="291">
        <f t="shared" si="86"/>
        <v>44246.400716661105</v>
      </c>
      <c r="I739" s="291">
        <f t="shared" si="87"/>
        <v>956111.83065014996</v>
      </c>
      <c r="J739" s="291"/>
    </row>
    <row r="740" spans="1:10" s="143" customFormat="1" outlineLevel="2" x14ac:dyDescent="0.2">
      <c r="A740" s="143">
        <v>38700</v>
      </c>
      <c r="B740" s="143">
        <v>1998</v>
      </c>
      <c r="C740" s="89">
        <f t="shared" si="88"/>
        <v>26.5</v>
      </c>
      <c r="D740" s="291">
        <v>33665.1</v>
      </c>
      <c r="E740" s="12">
        <v>27</v>
      </c>
      <c r="F740" s="12">
        <v>11.730784999999999</v>
      </c>
      <c r="G740" s="330">
        <f>'Proposed Rates'!$O$31/100</f>
        <v>0</v>
      </c>
      <c r="H740" s="291">
        <f t="shared" si="86"/>
        <v>19038.505551722224</v>
      </c>
      <c r="I740" s="291">
        <f t="shared" si="87"/>
        <v>394918.05010349996</v>
      </c>
      <c r="J740" s="291"/>
    </row>
    <row r="741" spans="1:10" s="143" customFormat="1" outlineLevel="2" x14ac:dyDescent="0.2">
      <c r="A741" s="143">
        <v>38700</v>
      </c>
      <c r="B741" s="143">
        <v>1997</v>
      </c>
      <c r="C741" s="89">
        <f t="shared" si="88"/>
        <v>27.5</v>
      </c>
      <c r="D741" s="291">
        <v>79003.23</v>
      </c>
      <c r="E741" s="12">
        <v>27</v>
      </c>
      <c r="F741" s="12">
        <v>11.462444</v>
      </c>
      <c r="G741" s="330">
        <f>'Proposed Rates'!$O$31/100</f>
        <v>0</v>
      </c>
      <c r="H741" s="291">
        <f t="shared" si="86"/>
        <v>45463.596677995556</v>
      </c>
      <c r="I741" s="291">
        <f t="shared" si="87"/>
        <v>905570.09969411988</v>
      </c>
      <c r="J741" s="291"/>
    </row>
    <row r="742" spans="1:10" s="143" customFormat="1" outlineLevel="2" x14ac:dyDescent="0.2">
      <c r="A742" s="143">
        <v>38700</v>
      </c>
      <c r="B742" s="143">
        <v>1996</v>
      </c>
      <c r="C742" s="89">
        <f t="shared" si="88"/>
        <v>28.5</v>
      </c>
      <c r="D742" s="291">
        <v>35736.370000000003</v>
      </c>
      <c r="E742" s="12">
        <v>27</v>
      </c>
      <c r="F742" s="12">
        <v>11.196512999999999</v>
      </c>
      <c r="G742" s="330">
        <f>'Proposed Rates'!$O$31/100</f>
        <v>0</v>
      </c>
      <c r="H742" s="291">
        <f t="shared" si="86"/>
        <v>20917.009582303333</v>
      </c>
      <c r="I742" s="291">
        <f t="shared" si="87"/>
        <v>400122.73127781</v>
      </c>
      <c r="J742" s="291"/>
    </row>
    <row r="743" spans="1:10" s="143" customFormat="1" outlineLevel="2" x14ac:dyDescent="0.2">
      <c r="A743" s="143">
        <v>38700</v>
      </c>
      <c r="B743" s="143">
        <v>1995</v>
      </c>
      <c r="C743" s="89">
        <f t="shared" si="88"/>
        <v>29.5</v>
      </c>
      <c r="D743" s="291">
        <v>26792.02</v>
      </c>
      <c r="E743" s="12">
        <v>27</v>
      </c>
      <c r="F743" s="12">
        <v>10.932515</v>
      </c>
      <c r="G743" s="330">
        <f>'Proposed Rates'!$O$31/100</f>
        <v>0</v>
      </c>
      <c r="H743" s="291">
        <f t="shared" si="86"/>
        <v>15943.717758137034</v>
      </c>
      <c r="I743" s="291">
        <f t="shared" si="87"/>
        <v>292904.1605303</v>
      </c>
      <c r="J743" s="291"/>
    </row>
    <row r="744" spans="1:10" s="143" customFormat="1" outlineLevel="2" x14ac:dyDescent="0.2">
      <c r="A744" s="143">
        <v>38700</v>
      </c>
      <c r="B744" s="143">
        <v>1994</v>
      </c>
      <c r="C744" s="89">
        <f t="shared" si="88"/>
        <v>30.5</v>
      </c>
      <c r="D744" s="291">
        <v>41201.18</v>
      </c>
      <c r="E744" s="12">
        <v>27</v>
      </c>
      <c r="F744" s="12">
        <v>10.669924</v>
      </c>
      <c r="G744" s="330">
        <f>'Proposed Rates'!$O$31/100</f>
        <v>0</v>
      </c>
      <c r="H744" s="291">
        <f t="shared" si="86"/>
        <v>24919.200025543709</v>
      </c>
      <c r="I744" s="291">
        <f t="shared" si="87"/>
        <v>439613.45931031997</v>
      </c>
      <c r="J744" s="291"/>
    </row>
    <row r="745" spans="1:10" s="143" customFormat="1" outlineLevel="2" x14ac:dyDescent="0.2">
      <c r="A745" s="143">
        <v>38700</v>
      </c>
      <c r="B745" s="143">
        <v>1993</v>
      </c>
      <c r="C745" s="89">
        <f t="shared" si="88"/>
        <v>31.5</v>
      </c>
      <c r="D745" s="291">
        <v>21490.94</v>
      </c>
      <c r="E745" s="12">
        <v>27</v>
      </c>
      <c r="F745" s="12">
        <v>10.407983</v>
      </c>
      <c r="G745" s="330">
        <f>'Proposed Rates'!$O$31/100</f>
        <v>0</v>
      </c>
      <c r="H745" s="291">
        <f t="shared" si="86"/>
        <v>13206.594141702964</v>
      </c>
      <c r="I745" s="291">
        <f t="shared" si="87"/>
        <v>223677.33817401997</v>
      </c>
      <c r="J745" s="291"/>
    </row>
    <row r="746" spans="1:10" s="143" customFormat="1" outlineLevel="2" x14ac:dyDescent="0.2">
      <c r="A746" s="143">
        <v>38700</v>
      </c>
      <c r="B746" s="143">
        <v>1992</v>
      </c>
      <c r="C746" s="89">
        <f t="shared" si="88"/>
        <v>32.5</v>
      </c>
      <c r="D746" s="291">
        <v>16379.55</v>
      </c>
      <c r="E746" s="12">
        <v>27</v>
      </c>
      <c r="F746" s="12">
        <v>10.147294</v>
      </c>
      <c r="G746" s="330">
        <f>'Proposed Rates'!$O$31/100</f>
        <v>0</v>
      </c>
      <c r="H746" s="291">
        <f t="shared" si="86"/>
        <v>10223.6940949</v>
      </c>
      <c r="I746" s="291">
        <f t="shared" si="87"/>
        <v>166208.10943770001</v>
      </c>
      <c r="J746" s="291"/>
    </row>
    <row r="747" spans="1:10" s="143" customFormat="1" outlineLevel="2" x14ac:dyDescent="0.2">
      <c r="A747" s="143">
        <v>38700</v>
      </c>
      <c r="B747" s="143">
        <v>1991</v>
      </c>
      <c r="C747" s="89">
        <f t="shared" si="88"/>
        <v>33.5</v>
      </c>
      <c r="D747" s="291">
        <v>17681.57</v>
      </c>
      <c r="E747" s="12">
        <v>27</v>
      </c>
      <c r="F747" s="12">
        <v>9.8880719999999993</v>
      </c>
      <c r="G747" s="330">
        <f>'Proposed Rates'!$O$31/100</f>
        <v>0</v>
      </c>
      <c r="H747" s="291">
        <f t="shared" si="86"/>
        <v>11206.138991368889</v>
      </c>
      <c r="I747" s="291">
        <f t="shared" si="87"/>
        <v>174836.63723303998</v>
      </c>
      <c r="J747" s="291"/>
    </row>
    <row r="748" spans="1:10" s="143" customFormat="1" outlineLevel="2" x14ac:dyDescent="0.2">
      <c r="A748" s="143">
        <v>38700</v>
      </c>
      <c r="B748" s="143">
        <v>1990</v>
      </c>
      <c r="C748" s="89">
        <f t="shared" si="88"/>
        <v>34.5</v>
      </c>
      <c r="D748" s="291">
        <v>8597.36</v>
      </c>
      <c r="E748" s="12">
        <v>27</v>
      </c>
      <c r="F748" s="12">
        <v>9.6300509999999999</v>
      </c>
      <c r="G748" s="330">
        <f>'Proposed Rates'!$O$31/100</f>
        <v>0</v>
      </c>
      <c r="H748" s="291">
        <f t="shared" si="86"/>
        <v>5530.9520272088894</v>
      </c>
      <c r="I748" s="291">
        <f t="shared" si="87"/>
        <v>82793.015265360009</v>
      </c>
      <c r="J748" s="291"/>
    </row>
    <row r="749" spans="1:10" s="143" customFormat="1" outlineLevel="2" x14ac:dyDescent="0.2">
      <c r="A749" s="143">
        <v>38700</v>
      </c>
      <c r="B749" s="143">
        <v>1989</v>
      </c>
      <c r="C749" s="89">
        <f t="shared" si="88"/>
        <v>35.5</v>
      </c>
      <c r="D749" s="291">
        <v>2004.48</v>
      </c>
      <c r="E749" s="12">
        <v>27</v>
      </c>
      <c r="F749" s="12">
        <v>9.3739500000000007</v>
      </c>
      <c r="G749" s="330">
        <f>'Proposed Rates'!$O$31/100</f>
        <v>0</v>
      </c>
      <c r="H749" s="291">
        <f t="shared" si="86"/>
        <v>1308.5579519999999</v>
      </c>
      <c r="I749" s="291">
        <f t="shared" si="87"/>
        <v>18789.895296000002</v>
      </c>
      <c r="J749" s="291"/>
    </row>
    <row r="750" spans="1:10" s="143" customFormat="1" outlineLevel="2" x14ac:dyDescent="0.2">
      <c r="A750" s="143">
        <v>38700</v>
      </c>
      <c r="B750" s="143">
        <v>1988</v>
      </c>
      <c r="C750" s="89">
        <f t="shared" si="88"/>
        <v>36.5</v>
      </c>
      <c r="D750" s="291">
        <v>4612.16</v>
      </c>
      <c r="E750" s="12">
        <v>27</v>
      </c>
      <c r="F750" s="12">
        <v>9.1204029999999996</v>
      </c>
      <c r="G750" s="330">
        <f>'Proposed Rates'!$O$31/100</f>
        <v>0</v>
      </c>
      <c r="H750" s="291">
        <f t="shared" si="86"/>
        <v>3054.2060036859261</v>
      </c>
      <c r="I750" s="291">
        <f t="shared" si="87"/>
        <v>42064.757900479999</v>
      </c>
      <c r="J750" s="291"/>
    </row>
    <row r="751" spans="1:10" s="143" customFormat="1" outlineLevel="2" x14ac:dyDescent="0.2">
      <c r="A751" s="143">
        <v>38700</v>
      </c>
      <c r="B751" s="143">
        <v>1986</v>
      </c>
      <c r="C751" s="89">
        <f t="shared" si="88"/>
        <v>38.5</v>
      </c>
      <c r="D751" s="291">
        <v>7400.34</v>
      </c>
      <c r="E751" s="12">
        <v>27</v>
      </c>
      <c r="F751" s="12">
        <v>8.6214779999999998</v>
      </c>
      <c r="G751" s="330">
        <f>'Proposed Rates'!$O$31/100</f>
        <v>0</v>
      </c>
      <c r="H751" s="291">
        <f t="shared" si="86"/>
        <v>5037.30783324</v>
      </c>
      <c r="I751" s="291">
        <f t="shared" si="87"/>
        <v>63801.868502520003</v>
      </c>
      <c r="J751" s="291"/>
    </row>
    <row r="752" spans="1:10" s="143" customFormat="1" outlineLevel="2" x14ac:dyDescent="0.2">
      <c r="A752" s="143">
        <v>38700</v>
      </c>
      <c r="B752" s="143">
        <v>1985</v>
      </c>
      <c r="C752" s="89">
        <f t="shared" si="88"/>
        <v>39.5</v>
      </c>
      <c r="D752" s="291">
        <v>1881.03</v>
      </c>
      <c r="E752" s="12">
        <v>27</v>
      </c>
      <c r="F752" s="12">
        <v>8.3771090000000008</v>
      </c>
      <c r="G752" s="330">
        <f>'Proposed Rates'!$O$31/100</f>
        <v>0</v>
      </c>
      <c r="H752" s="291">
        <f t="shared" si="86"/>
        <v>1297.4154317677776</v>
      </c>
      <c r="I752" s="291">
        <f t="shared" si="87"/>
        <v>15757.593342270002</v>
      </c>
      <c r="J752" s="291"/>
    </row>
    <row r="753" spans="1:16" s="143" customFormat="1" outlineLevel="2" x14ac:dyDescent="0.2">
      <c r="A753" s="143">
        <v>38700</v>
      </c>
      <c r="B753" s="143">
        <v>1983</v>
      </c>
      <c r="C753" s="89">
        <f t="shared" si="88"/>
        <v>41.5</v>
      </c>
      <c r="D753" s="291">
        <v>1376.02</v>
      </c>
      <c r="E753" s="12">
        <v>27</v>
      </c>
      <c r="F753" s="12">
        <v>7.8997109999999999</v>
      </c>
      <c r="G753" s="330">
        <f>'Proposed Rates'!$O$31/100</f>
        <v>0</v>
      </c>
      <c r="H753" s="291">
        <f t="shared" si="86"/>
        <v>973.42146925111103</v>
      </c>
      <c r="I753" s="291">
        <f t="shared" si="87"/>
        <v>10870.16033022</v>
      </c>
      <c r="J753" s="291"/>
    </row>
    <row r="754" spans="1:16" s="143" customFormat="1" outlineLevel="2" x14ac:dyDescent="0.2">
      <c r="A754" s="143">
        <v>38700</v>
      </c>
      <c r="B754" s="143">
        <v>1982</v>
      </c>
      <c r="C754" s="89">
        <f t="shared" si="88"/>
        <v>42.5</v>
      </c>
      <c r="D754" s="291">
        <v>880.94</v>
      </c>
      <c r="E754" s="12">
        <v>27</v>
      </c>
      <c r="F754" s="12">
        <v>7.6669900000000002</v>
      </c>
      <c r="G754" s="330">
        <f>'Proposed Rates'!$O$31/100</f>
        <v>0</v>
      </c>
      <c r="H754" s="291">
        <f t="shared" si="86"/>
        <v>630.7859936814815</v>
      </c>
      <c r="I754" s="291">
        <f t="shared" si="87"/>
        <v>6754.1581706000006</v>
      </c>
      <c r="J754" s="291"/>
    </row>
    <row r="755" spans="1:16" s="143" customFormat="1" outlineLevel="2" x14ac:dyDescent="0.2">
      <c r="A755" s="143">
        <v>38700</v>
      </c>
      <c r="B755" s="143">
        <v>1981</v>
      </c>
      <c r="C755" s="89">
        <f t="shared" si="88"/>
        <v>43.5</v>
      </c>
      <c r="D755" s="291">
        <v>1900.94</v>
      </c>
      <c r="E755" s="12">
        <v>27</v>
      </c>
      <c r="F755" s="12">
        <v>7.4387939999999997</v>
      </c>
      <c r="G755" s="330">
        <f>'Proposed Rates'!$O$31/100</f>
        <v>0</v>
      </c>
      <c r="H755" s="291">
        <f t="shared" si="86"/>
        <v>1377.2103308755557</v>
      </c>
      <c r="I755" s="291">
        <f t="shared" si="87"/>
        <v>14140.701066359999</v>
      </c>
      <c r="J755" s="291"/>
    </row>
    <row r="756" spans="1:16" s="143" customFormat="1" outlineLevel="2" x14ac:dyDescent="0.2">
      <c r="A756" s="12">
        <v>38700</v>
      </c>
      <c r="B756" s="12">
        <v>1979</v>
      </c>
      <c r="C756" s="119">
        <f t="shared" si="88"/>
        <v>45.5</v>
      </c>
      <c r="D756" s="268">
        <v>2403.2800000000002</v>
      </c>
      <c r="E756" s="12">
        <v>27</v>
      </c>
      <c r="F756" s="12">
        <v>6.9942659999999997</v>
      </c>
      <c r="G756" s="330">
        <f>'Proposed Rates'!$O$31/100</f>
        <v>0</v>
      </c>
      <c r="H756" s="268">
        <f t="shared" si="86"/>
        <v>1780.7177928711114</v>
      </c>
      <c r="I756" s="268">
        <f t="shared" si="87"/>
        <v>16809.179592479999</v>
      </c>
      <c r="J756" s="268"/>
      <c r="K756" s="12"/>
      <c r="L756" s="12"/>
      <c r="M756" s="12"/>
      <c r="N756" s="12"/>
      <c r="O756" s="12"/>
      <c r="P756" s="12"/>
    </row>
    <row r="757" spans="1:16" s="143" customFormat="1" outlineLevel="2" x14ac:dyDescent="0.2">
      <c r="A757" s="12">
        <v>38700</v>
      </c>
      <c r="B757" s="12">
        <v>1977</v>
      </c>
      <c r="C757" s="119">
        <f t="shared" si="88"/>
        <v>47.5</v>
      </c>
      <c r="D757" s="268">
        <v>9036.84</v>
      </c>
      <c r="E757" s="12">
        <v>27</v>
      </c>
      <c r="F757" s="12">
        <v>6.5672519999999999</v>
      </c>
      <c r="G757" s="330">
        <f>'Proposed Rates'!$O$31/100</f>
        <v>0</v>
      </c>
      <c r="H757" s="268">
        <f t="shared" si="86"/>
        <v>6838.7953494933336</v>
      </c>
      <c r="I757" s="268">
        <f t="shared" si="87"/>
        <v>59347.20556368</v>
      </c>
      <c r="J757" s="268"/>
      <c r="K757" s="12"/>
      <c r="L757" s="12"/>
      <c r="M757" s="12"/>
      <c r="N757" s="12"/>
      <c r="O757" s="12"/>
      <c r="P757" s="12"/>
    </row>
    <row r="758" spans="1:16" s="143" customFormat="1" outlineLevel="2" x14ac:dyDescent="0.2">
      <c r="A758" s="12">
        <v>38700</v>
      </c>
      <c r="B758" s="12">
        <v>1975</v>
      </c>
      <c r="C758" s="119">
        <f t="shared" si="88"/>
        <v>49.5</v>
      </c>
      <c r="D758" s="268">
        <v>4654.4399999999996</v>
      </c>
      <c r="E758" s="12">
        <v>27</v>
      </c>
      <c r="F758" s="12">
        <v>6.1557599999999999</v>
      </c>
      <c r="G758" s="330">
        <f>'Proposed Rates'!$O$31/100</f>
        <v>0</v>
      </c>
      <c r="H758" s="268">
        <f t="shared" si="86"/>
        <v>3593.2690527999994</v>
      </c>
      <c r="I758" s="268">
        <f t="shared" si="87"/>
        <v>28651.615574399999</v>
      </c>
      <c r="J758" s="268"/>
      <c r="K758" s="12"/>
      <c r="L758" s="12"/>
      <c r="M758" s="12"/>
      <c r="N758" s="12"/>
      <c r="O758" s="12"/>
      <c r="P758" s="12"/>
    </row>
    <row r="759" spans="1:16" s="143" customFormat="1" outlineLevel="1" x14ac:dyDescent="0.2">
      <c r="A759" s="22" t="s">
        <v>1193</v>
      </c>
      <c r="B759" s="12"/>
      <c r="C759" s="119"/>
      <c r="D759" s="268">
        <f>SUBTOTAL(9,D716:D758)</f>
        <v>13431843.029999996</v>
      </c>
      <c r="E759" s="12"/>
      <c r="F759" s="12"/>
      <c r="G759" s="330"/>
      <c r="H759" s="268">
        <f>SUBTOTAL(9,H716:H758)</f>
        <v>3853653.0657618181</v>
      </c>
      <c r="I759" s="268">
        <f>SUBTOTAL(9,I716:I758)</f>
        <v>258611129.03443098</v>
      </c>
      <c r="J759" s="268">
        <f>+I759/D759</f>
        <v>19.25358481757295</v>
      </c>
      <c r="K759" s="12"/>
      <c r="L759" s="12"/>
      <c r="M759" s="12"/>
      <c r="N759" s="12"/>
      <c r="O759" s="12"/>
      <c r="P759" s="12"/>
    </row>
    <row r="760" spans="1:16" outlineLevel="2" x14ac:dyDescent="0.2">
      <c r="A760" s="12">
        <v>39000</v>
      </c>
      <c r="B760" s="12">
        <v>2023</v>
      </c>
      <c r="C760" s="119">
        <v>1.5</v>
      </c>
      <c r="D760" s="268">
        <v>544265.86</v>
      </c>
      <c r="E760" s="12">
        <v>25</v>
      </c>
      <c r="F760" s="12">
        <v>23.850247</v>
      </c>
      <c r="G760" s="330">
        <f>'Proposed Rates'!$O$49/100</f>
        <v>0</v>
      </c>
      <c r="H760" s="268">
        <f t="shared" ref="H760:H835" si="89">+D760*(1-F760/E760)*(1-G760)</f>
        <v>25030.852213303213</v>
      </c>
      <c r="I760" s="268">
        <f t="shared" si="83"/>
        <v>12980875.194667419</v>
      </c>
      <c r="J760" s="268"/>
      <c r="K760" s="12"/>
      <c r="L760" s="12"/>
      <c r="M760" s="12"/>
      <c r="N760" s="12"/>
      <c r="O760" s="12"/>
      <c r="P760" s="12"/>
    </row>
    <row r="761" spans="1:16" s="143" customFormat="1" outlineLevel="2" x14ac:dyDescent="0.2">
      <c r="A761" s="12">
        <v>39000</v>
      </c>
      <c r="B761" s="12">
        <v>2016</v>
      </c>
      <c r="C761" s="119">
        <v>8.5</v>
      </c>
      <c r="D761" s="268">
        <v>12393.52</v>
      </c>
      <c r="E761" s="12">
        <v>25</v>
      </c>
      <c r="F761" s="12">
        <v>20.166761999999999</v>
      </c>
      <c r="G761" s="330">
        <f>'Proposed Rates'!$O$49/100</f>
        <v>0</v>
      </c>
      <c r="H761" s="268">
        <f t="shared" ref="H761:H766" si="90">+D761*(1-F761/E761)*(1-G761)</f>
        <v>2396.0332727104005</v>
      </c>
      <c r="I761" s="268">
        <f t="shared" ref="I761:I766" si="91">+D761*F761</f>
        <v>249937.16818223998</v>
      </c>
      <c r="J761" s="268"/>
      <c r="K761" s="12"/>
      <c r="L761" s="12"/>
      <c r="M761" s="12"/>
      <c r="N761" s="12"/>
      <c r="O761" s="12"/>
      <c r="P761" s="12"/>
    </row>
    <row r="762" spans="1:16" s="143" customFormat="1" outlineLevel="2" x14ac:dyDescent="0.2">
      <c r="A762" s="12">
        <v>39000</v>
      </c>
      <c r="B762" s="12">
        <v>2015</v>
      </c>
      <c r="C762" s="119">
        <v>9.5</v>
      </c>
      <c r="D762" s="268">
        <v>18604.02</v>
      </c>
      <c r="E762" s="12">
        <v>25</v>
      </c>
      <c r="F762" s="12">
        <v>19.744567</v>
      </c>
      <c r="G762" s="330">
        <f>'Proposed Rates'!$O$49/100</f>
        <v>0</v>
      </c>
      <c r="H762" s="268">
        <f t="shared" ref="H762:H764" si="92">+D762*(1-F762/E762)*(1-G762)</f>
        <v>3910.8872256264008</v>
      </c>
      <c r="I762" s="268">
        <f t="shared" ref="I762:I764" si="93">+D762*F762</f>
        <v>367328.31935934001</v>
      </c>
      <c r="J762" s="268"/>
      <c r="K762" s="12"/>
      <c r="L762" s="12"/>
      <c r="M762" s="12"/>
      <c r="N762" s="12"/>
      <c r="O762" s="12"/>
      <c r="P762" s="12"/>
    </row>
    <row r="763" spans="1:16" s="143" customFormat="1" outlineLevel="2" x14ac:dyDescent="0.2">
      <c r="A763" s="12">
        <v>39000</v>
      </c>
      <c r="B763" s="12">
        <v>2012</v>
      </c>
      <c r="C763" s="119">
        <v>12.5</v>
      </c>
      <c r="D763" s="268">
        <v>50788.77</v>
      </c>
      <c r="E763" s="12">
        <v>25</v>
      </c>
      <c r="F763" s="12">
        <v>18.559066000000001</v>
      </c>
      <c r="G763" s="330">
        <f>'Proposed Rates'!$O$49/100</f>
        <v>0</v>
      </c>
      <c r="H763" s="268">
        <f t="shared" si="92"/>
        <v>13085.084620447195</v>
      </c>
      <c r="I763" s="268">
        <f t="shared" si="93"/>
        <v>942592.13448881998</v>
      </c>
      <c r="J763" s="268"/>
      <c r="K763" s="12"/>
      <c r="L763" s="12"/>
      <c r="M763" s="12"/>
      <c r="N763" s="12"/>
      <c r="O763" s="12"/>
      <c r="P763" s="12"/>
    </row>
    <row r="764" spans="1:16" s="143" customFormat="1" outlineLevel="2" x14ac:dyDescent="0.2">
      <c r="A764" s="12">
        <v>39000</v>
      </c>
      <c r="B764" s="12">
        <v>2009</v>
      </c>
      <c r="C764" s="119">
        <v>15.5</v>
      </c>
      <c r="D764" s="268">
        <v>9582.32</v>
      </c>
      <c r="E764" s="12">
        <v>25</v>
      </c>
      <c r="F764" s="12">
        <v>17.453707000000001</v>
      </c>
      <c r="G764" s="330">
        <f>'Proposed Rates'!$O$49/100</f>
        <v>0</v>
      </c>
      <c r="H764" s="268">
        <f t="shared" si="92"/>
        <v>2892.4397735903995</v>
      </c>
      <c r="I764" s="268">
        <f t="shared" si="93"/>
        <v>167247.00566024001</v>
      </c>
      <c r="J764" s="268"/>
      <c r="K764" s="12"/>
      <c r="L764" s="12"/>
      <c r="M764" s="12"/>
      <c r="N764" s="12"/>
      <c r="O764" s="12"/>
      <c r="P764" s="12"/>
    </row>
    <row r="765" spans="1:16" s="143" customFormat="1" outlineLevel="2" x14ac:dyDescent="0.2">
      <c r="A765" s="12">
        <v>39000</v>
      </c>
      <c r="B765" s="12">
        <v>2008</v>
      </c>
      <c r="C765" s="119">
        <v>16.5</v>
      </c>
      <c r="D765" s="268">
        <v>2319.3000000000002</v>
      </c>
      <c r="E765" s="12">
        <v>25</v>
      </c>
      <c r="F765" s="12">
        <v>17.100109</v>
      </c>
      <c r="G765" s="330">
        <f>'Proposed Rates'!$O$49/100</f>
        <v>0</v>
      </c>
      <c r="H765" s="268">
        <f t="shared" si="90"/>
        <v>732.88868785200009</v>
      </c>
      <c r="I765" s="268">
        <f t="shared" si="91"/>
        <v>39660.2828037</v>
      </c>
      <c r="J765" s="268"/>
      <c r="K765" s="12"/>
      <c r="L765" s="12"/>
      <c r="M765" s="12"/>
      <c r="N765" s="12"/>
      <c r="O765" s="12"/>
      <c r="P765" s="12"/>
    </row>
    <row r="766" spans="1:16" s="143" customFormat="1" outlineLevel="2" x14ac:dyDescent="0.2">
      <c r="A766" s="143">
        <v>39000</v>
      </c>
      <c r="B766" s="143">
        <v>2007</v>
      </c>
      <c r="C766" s="89">
        <v>17.5</v>
      </c>
      <c r="D766" s="291">
        <v>25115.11</v>
      </c>
      <c r="E766" s="12">
        <v>25</v>
      </c>
      <c r="F766" s="12">
        <v>16.753630999999999</v>
      </c>
      <c r="G766" s="330">
        <f>'Proposed Rates'!$O$49/100</f>
        <v>0</v>
      </c>
      <c r="H766" s="291">
        <f t="shared" si="90"/>
        <v>8284.3385814236008</v>
      </c>
      <c r="I766" s="291">
        <f t="shared" si="91"/>
        <v>420769.28546440997</v>
      </c>
      <c r="J766" s="291"/>
    </row>
    <row r="767" spans="1:16" s="143" customFormat="1" outlineLevel="1" x14ac:dyDescent="0.2">
      <c r="A767" s="20" t="s">
        <v>1194</v>
      </c>
      <c r="C767" s="89" t="s">
        <v>1230</v>
      </c>
      <c r="D767" s="291">
        <f>SUBTOTAL(9,D760:D766)</f>
        <v>663068.9</v>
      </c>
      <c r="E767" s="12"/>
      <c r="F767" s="12"/>
      <c r="G767" s="330"/>
      <c r="H767" s="291">
        <f>SUBTOTAL(9,H760:H766)</f>
        <v>56332.524374953209</v>
      </c>
      <c r="I767" s="291">
        <f>SUBTOTAL(9,I760:I766)</f>
        <v>15168409.390626168</v>
      </c>
      <c r="J767" s="291">
        <f>+I767/D767</f>
        <v>22.876068219495995</v>
      </c>
    </row>
    <row r="768" spans="1:16" outlineLevel="2" x14ac:dyDescent="0.2">
      <c r="A768">
        <v>39100</v>
      </c>
      <c r="B768">
        <v>2024</v>
      </c>
      <c r="C768" s="89">
        <f t="shared" ref="C768:C795" si="94">2024.5-B768</f>
        <v>0.5</v>
      </c>
      <c r="D768" s="291">
        <v>40500.000000000029</v>
      </c>
      <c r="E768" s="12">
        <v>15</v>
      </c>
      <c r="F768" s="12">
        <f t="shared" ref="F768:F811" si="95">+E768-C768</f>
        <v>14.5</v>
      </c>
      <c r="G768" s="330">
        <f>'Proposed Rates'!$O$50/100</f>
        <v>0</v>
      </c>
      <c r="H768" s="291">
        <f t="shared" si="89"/>
        <v>1350.0000000000007</v>
      </c>
      <c r="I768" s="291">
        <f t="shared" si="83"/>
        <v>587250.00000000047</v>
      </c>
    </row>
    <row r="769" spans="1:10" outlineLevel="2" x14ac:dyDescent="0.2">
      <c r="A769">
        <v>39100</v>
      </c>
      <c r="B769">
        <v>2023</v>
      </c>
      <c r="C769" s="89">
        <f t="shared" si="94"/>
        <v>1.5</v>
      </c>
      <c r="D769" s="291">
        <v>241700.3300000001</v>
      </c>
      <c r="E769" s="12">
        <v>15</v>
      </c>
      <c r="F769" s="12">
        <f t="shared" si="95"/>
        <v>13.5</v>
      </c>
      <c r="G769" s="330">
        <f>'Proposed Rates'!$O$50/100</f>
        <v>0</v>
      </c>
      <c r="H769" s="291">
        <f t="shared" ref="H769:H784" si="96">+D769*(1-F769/E769)*(1-G769)</f>
        <v>24170.033000000007</v>
      </c>
      <c r="I769" s="291">
        <f t="shared" ref="I769:I784" si="97">+D769*F769</f>
        <v>3262954.4550000015</v>
      </c>
    </row>
    <row r="770" spans="1:10" s="143" customFormat="1" outlineLevel="2" x14ac:dyDescent="0.2">
      <c r="A770" s="143">
        <v>39100</v>
      </c>
      <c r="B770" s="143">
        <v>2022</v>
      </c>
      <c r="C770" s="89">
        <f t="shared" si="94"/>
        <v>2.5</v>
      </c>
      <c r="D770" s="291">
        <v>31734.79</v>
      </c>
      <c r="E770" s="12">
        <v>15</v>
      </c>
      <c r="F770" s="12">
        <f t="shared" ref="F770:F774" si="98">+E770-C770</f>
        <v>12.5</v>
      </c>
      <c r="G770" s="330">
        <f>'Proposed Rates'!$O$50/100</f>
        <v>0</v>
      </c>
      <c r="H770" s="291">
        <f t="shared" ref="H770:H774" si="99">+D770*(1-F770/E770)*(1-G770)</f>
        <v>5289.1316666666653</v>
      </c>
      <c r="I770" s="291">
        <f t="shared" ref="I770:I774" si="100">+D770*F770</f>
        <v>396684.875</v>
      </c>
      <c r="J770" s="291"/>
    </row>
    <row r="771" spans="1:10" s="143" customFormat="1" outlineLevel="2" x14ac:dyDescent="0.2">
      <c r="A771" s="143">
        <v>39100</v>
      </c>
      <c r="B771" s="143">
        <v>2020</v>
      </c>
      <c r="C771" s="89">
        <f t="shared" si="94"/>
        <v>4.5</v>
      </c>
      <c r="D771" s="291">
        <v>71253.88</v>
      </c>
      <c r="E771" s="12">
        <v>15</v>
      </c>
      <c r="F771" s="12">
        <f t="shared" si="98"/>
        <v>10.5</v>
      </c>
      <c r="G771" s="330">
        <f>'Proposed Rates'!$O$50/100</f>
        <v>0</v>
      </c>
      <c r="H771" s="291">
        <f t="shared" si="99"/>
        <v>21376.164000000004</v>
      </c>
      <c r="I771" s="291">
        <f t="shared" si="100"/>
        <v>748165.74</v>
      </c>
      <c r="J771" s="291"/>
    </row>
    <row r="772" spans="1:10" s="143" customFormat="1" outlineLevel="2" x14ac:dyDescent="0.2">
      <c r="A772" s="143">
        <v>39100</v>
      </c>
      <c r="B772" s="143">
        <v>2019</v>
      </c>
      <c r="C772" s="89">
        <f t="shared" si="94"/>
        <v>5.5</v>
      </c>
      <c r="D772" s="291">
        <v>135016.5</v>
      </c>
      <c r="E772" s="12">
        <v>15</v>
      </c>
      <c r="F772" s="12">
        <f t="shared" si="98"/>
        <v>9.5</v>
      </c>
      <c r="G772" s="330">
        <f>'Proposed Rates'!$O$50/100</f>
        <v>0</v>
      </c>
      <c r="H772" s="291">
        <f t="shared" si="99"/>
        <v>49506.05</v>
      </c>
      <c r="I772" s="291">
        <f t="shared" si="100"/>
        <v>1282656.75</v>
      </c>
      <c r="J772" s="291"/>
    </row>
    <row r="773" spans="1:10" s="143" customFormat="1" outlineLevel="2" x14ac:dyDescent="0.2">
      <c r="A773" s="143">
        <v>39100</v>
      </c>
      <c r="B773" s="143">
        <v>2018</v>
      </c>
      <c r="C773" s="89">
        <f t="shared" si="94"/>
        <v>6.5</v>
      </c>
      <c r="D773" s="291">
        <v>575028.36</v>
      </c>
      <c r="E773" s="12">
        <v>15</v>
      </c>
      <c r="F773" s="12">
        <f t="shared" si="98"/>
        <v>8.5</v>
      </c>
      <c r="G773" s="330">
        <f>'Proposed Rates'!$O$50/100</f>
        <v>0</v>
      </c>
      <c r="H773" s="291">
        <f t="shared" si="99"/>
        <v>249178.95600000001</v>
      </c>
      <c r="I773" s="291">
        <f t="shared" si="100"/>
        <v>4887741.0599999996</v>
      </c>
      <c r="J773" s="291"/>
    </row>
    <row r="774" spans="1:10" s="143" customFormat="1" outlineLevel="2" x14ac:dyDescent="0.2">
      <c r="A774" s="143">
        <v>39100</v>
      </c>
      <c r="B774" s="143">
        <v>2017</v>
      </c>
      <c r="C774" s="89">
        <f t="shared" si="94"/>
        <v>7.5</v>
      </c>
      <c r="D774" s="291">
        <v>91250.94</v>
      </c>
      <c r="E774" s="12">
        <v>15</v>
      </c>
      <c r="F774" s="12">
        <f t="shared" si="98"/>
        <v>7.5</v>
      </c>
      <c r="G774" s="330">
        <f>'Proposed Rates'!$O$50/100</f>
        <v>0</v>
      </c>
      <c r="H774" s="291">
        <f t="shared" si="99"/>
        <v>45625.47</v>
      </c>
      <c r="I774" s="291">
        <f t="shared" si="100"/>
        <v>684382.05</v>
      </c>
      <c r="J774" s="291"/>
    </row>
    <row r="775" spans="1:10" s="143" customFormat="1" outlineLevel="2" x14ac:dyDescent="0.2">
      <c r="A775" s="143">
        <v>39100</v>
      </c>
      <c r="B775" s="143">
        <v>2016</v>
      </c>
      <c r="C775" s="89">
        <f t="shared" si="94"/>
        <v>8.5</v>
      </c>
      <c r="D775" s="291">
        <v>305779.15999999997</v>
      </c>
      <c r="E775" s="12">
        <v>15</v>
      </c>
      <c r="F775" s="12">
        <f t="shared" si="95"/>
        <v>6.5</v>
      </c>
      <c r="G775" s="330">
        <f>'Proposed Rates'!$O$50/100</f>
        <v>0</v>
      </c>
      <c r="H775" s="291">
        <f t="shared" si="96"/>
        <v>173274.85733333332</v>
      </c>
      <c r="I775" s="291">
        <f t="shared" si="97"/>
        <v>1987564.5399999998</v>
      </c>
      <c r="J775" s="291"/>
    </row>
    <row r="776" spans="1:10" s="143" customFormat="1" outlineLevel="2" x14ac:dyDescent="0.2">
      <c r="A776" s="143">
        <v>39100</v>
      </c>
      <c r="B776" s="143">
        <v>2015</v>
      </c>
      <c r="C776" s="89">
        <f t="shared" si="94"/>
        <v>9.5</v>
      </c>
      <c r="D776" s="291">
        <v>52030.62</v>
      </c>
      <c r="E776" s="12">
        <v>15</v>
      </c>
      <c r="F776" s="12">
        <f t="shared" si="95"/>
        <v>5.5</v>
      </c>
      <c r="G776" s="330">
        <f>'Proposed Rates'!$O$50/100</f>
        <v>0</v>
      </c>
      <c r="H776" s="291">
        <f t="shared" si="96"/>
        <v>32952.726000000002</v>
      </c>
      <c r="I776" s="291">
        <f t="shared" si="97"/>
        <v>286168.41000000003</v>
      </c>
      <c r="J776" s="291"/>
    </row>
    <row r="777" spans="1:10" s="143" customFormat="1" outlineLevel="2" x14ac:dyDescent="0.2">
      <c r="A777" s="143">
        <v>39100</v>
      </c>
      <c r="B777" s="143">
        <v>2014</v>
      </c>
      <c r="C777" s="89">
        <f t="shared" si="94"/>
        <v>10.5</v>
      </c>
      <c r="D777" s="291">
        <v>17304.09</v>
      </c>
      <c r="E777" s="12">
        <v>15</v>
      </c>
      <c r="F777" s="12">
        <f t="shared" si="95"/>
        <v>4.5</v>
      </c>
      <c r="G777" s="330">
        <f>'Proposed Rates'!$O$50/100</f>
        <v>0</v>
      </c>
      <c r="H777" s="291">
        <f t="shared" si="96"/>
        <v>12112.862999999999</v>
      </c>
      <c r="I777" s="291">
        <f t="shared" si="97"/>
        <v>77868.404999999999</v>
      </c>
      <c r="J777" s="291"/>
    </row>
    <row r="778" spans="1:10" s="143" customFormat="1" outlineLevel="2" x14ac:dyDescent="0.2">
      <c r="A778" s="143">
        <v>39100</v>
      </c>
      <c r="B778" s="143">
        <v>2013</v>
      </c>
      <c r="C778" s="89">
        <f t="shared" si="94"/>
        <v>11.5</v>
      </c>
      <c r="D778" s="291">
        <v>54887.66</v>
      </c>
      <c r="E778" s="12">
        <v>15</v>
      </c>
      <c r="F778" s="12">
        <f t="shared" si="95"/>
        <v>3.5</v>
      </c>
      <c r="G778" s="330">
        <f>'Proposed Rates'!$O$50/100</f>
        <v>0</v>
      </c>
      <c r="H778" s="291">
        <f t="shared" si="96"/>
        <v>42080.539333333334</v>
      </c>
      <c r="I778" s="291">
        <f t="shared" si="97"/>
        <v>192106.81</v>
      </c>
      <c r="J778" s="291"/>
    </row>
    <row r="779" spans="1:10" s="143" customFormat="1" outlineLevel="2" x14ac:dyDescent="0.2">
      <c r="A779" s="143">
        <v>39100</v>
      </c>
      <c r="B779" s="143">
        <v>2012</v>
      </c>
      <c r="C779" s="89">
        <f t="shared" si="94"/>
        <v>12.5</v>
      </c>
      <c r="D779" s="291">
        <v>46697.45</v>
      </c>
      <c r="E779" s="12">
        <v>15</v>
      </c>
      <c r="F779" s="12">
        <f t="shared" si="95"/>
        <v>2.5</v>
      </c>
      <c r="G779" s="330">
        <f>'Proposed Rates'!$O$50/100</f>
        <v>0</v>
      </c>
      <c r="H779" s="291">
        <f t="shared" si="96"/>
        <v>38914.541666666664</v>
      </c>
      <c r="I779" s="291">
        <f t="shared" si="97"/>
        <v>116743.625</v>
      </c>
      <c r="J779" s="291"/>
    </row>
    <row r="780" spans="1:10" s="143" customFormat="1" outlineLevel="2" x14ac:dyDescent="0.2">
      <c r="A780" s="143">
        <v>39100</v>
      </c>
      <c r="B780" s="143">
        <v>2011</v>
      </c>
      <c r="C780" s="89">
        <f t="shared" si="94"/>
        <v>13.5</v>
      </c>
      <c r="D780" s="291">
        <v>271246.45</v>
      </c>
      <c r="E780" s="12">
        <v>15</v>
      </c>
      <c r="F780" s="12">
        <f t="shared" si="95"/>
        <v>1.5</v>
      </c>
      <c r="G780" s="330">
        <f>'Proposed Rates'!$O$50/100</f>
        <v>0</v>
      </c>
      <c r="H780" s="291">
        <f t="shared" si="96"/>
        <v>244121.80500000002</v>
      </c>
      <c r="I780" s="291">
        <f t="shared" si="97"/>
        <v>406869.67500000005</v>
      </c>
      <c r="J780" s="291"/>
    </row>
    <row r="781" spans="1:10" s="143" customFormat="1" outlineLevel="2" x14ac:dyDescent="0.2">
      <c r="A781" s="143">
        <v>39100</v>
      </c>
      <c r="B781" s="143">
        <v>2010</v>
      </c>
      <c r="C781" s="89">
        <f t="shared" si="94"/>
        <v>14.5</v>
      </c>
      <c r="D781" s="291">
        <v>40633.46</v>
      </c>
      <c r="E781" s="12">
        <v>15</v>
      </c>
      <c r="F781" s="12">
        <f t="shared" si="95"/>
        <v>0.5</v>
      </c>
      <c r="G781" s="330">
        <f>'Proposed Rates'!$O$50/100</f>
        <v>0</v>
      </c>
      <c r="H781" s="291">
        <f t="shared" si="96"/>
        <v>39279.011333333336</v>
      </c>
      <c r="I781" s="291">
        <f t="shared" si="97"/>
        <v>20316.73</v>
      </c>
      <c r="J781" s="291"/>
    </row>
    <row r="782" spans="1:10" s="143" customFormat="1" outlineLevel="2" x14ac:dyDescent="0.2">
      <c r="A782" s="143">
        <v>39100</v>
      </c>
      <c r="B782" s="143">
        <v>2009</v>
      </c>
      <c r="C782" s="89">
        <f t="shared" si="94"/>
        <v>15.5</v>
      </c>
      <c r="D782" s="291">
        <v>19483.57</v>
      </c>
      <c r="E782" s="12">
        <v>15</v>
      </c>
      <c r="F782" s="12">
        <v>0</v>
      </c>
      <c r="G782" s="330">
        <f>'Proposed Rates'!$O$50/100</f>
        <v>0</v>
      </c>
      <c r="H782" s="291">
        <f t="shared" si="96"/>
        <v>19483.57</v>
      </c>
      <c r="I782" s="291">
        <f t="shared" si="97"/>
        <v>0</v>
      </c>
      <c r="J782" s="291"/>
    </row>
    <row r="783" spans="1:10" outlineLevel="2" x14ac:dyDescent="0.2">
      <c r="A783" s="143">
        <v>39100</v>
      </c>
      <c r="B783">
        <v>2007</v>
      </c>
      <c r="C783" s="89">
        <f t="shared" si="94"/>
        <v>17.5</v>
      </c>
      <c r="D783" s="291">
        <v>118417.47</v>
      </c>
      <c r="E783" s="12">
        <v>15</v>
      </c>
      <c r="F783" s="12">
        <v>0</v>
      </c>
      <c r="G783" s="330">
        <f>'Proposed Rates'!$O$50/100</f>
        <v>0</v>
      </c>
      <c r="H783" s="291">
        <f t="shared" si="96"/>
        <v>118417.47</v>
      </c>
      <c r="I783" s="291">
        <f t="shared" si="97"/>
        <v>0</v>
      </c>
    </row>
    <row r="784" spans="1:10" outlineLevel="2" x14ac:dyDescent="0.2">
      <c r="A784" s="143">
        <v>39100</v>
      </c>
      <c r="B784">
        <v>2006</v>
      </c>
      <c r="C784" s="89">
        <f t="shared" si="94"/>
        <v>18.5</v>
      </c>
      <c r="D784" s="291">
        <v>79485</v>
      </c>
      <c r="E784" s="12">
        <v>15</v>
      </c>
      <c r="F784" s="12">
        <v>0</v>
      </c>
      <c r="G784" s="330">
        <f>'Proposed Rates'!$O$50/100</f>
        <v>0</v>
      </c>
      <c r="H784" s="291">
        <f t="shared" si="96"/>
        <v>79485</v>
      </c>
      <c r="I784" s="291">
        <f t="shared" si="97"/>
        <v>0</v>
      </c>
    </row>
    <row r="785" spans="1:10" s="143" customFormat="1" outlineLevel="1" x14ac:dyDescent="0.2">
      <c r="A785" s="20" t="s">
        <v>1195</v>
      </c>
      <c r="C785" s="89" t="s">
        <v>1230</v>
      </c>
      <c r="D785" s="291">
        <f>SUBTOTAL(9,D768:D784)</f>
        <v>2192449.73</v>
      </c>
      <c r="E785" s="12"/>
      <c r="F785" s="119" t="s">
        <v>1230</v>
      </c>
      <c r="G785" s="330"/>
      <c r="H785" s="291">
        <f>SUBTOTAL(9,H768:H784)</f>
        <v>1196618.1883333335</v>
      </c>
      <c r="I785" s="291">
        <f>SUBTOTAL(9,I768:I784)</f>
        <v>14937473.125000004</v>
      </c>
      <c r="J785" s="291">
        <f>+I785/D785</f>
        <v>6.8131428149096056</v>
      </c>
    </row>
    <row r="786" spans="1:10" outlineLevel="2" x14ac:dyDescent="0.2">
      <c r="A786">
        <v>39101</v>
      </c>
      <c r="B786">
        <v>2024</v>
      </c>
      <c r="C786" s="89">
        <f t="shared" si="94"/>
        <v>0.5</v>
      </c>
      <c r="D786" s="291">
        <v>491651.28750897286</v>
      </c>
      <c r="E786" s="12">
        <v>9</v>
      </c>
      <c r="F786" s="12">
        <f t="shared" ref="F786:F794" si="101">+E786-C786</f>
        <v>8.5</v>
      </c>
      <c r="G786" s="330">
        <f>'Proposed Rates'!$O$51/100</f>
        <v>0</v>
      </c>
      <c r="H786" s="291">
        <f t="shared" si="89"/>
        <v>27313.96041716517</v>
      </c>
      <c r="I786" s="291">
        <f t="shared" ref="I786:I856" si="102">+D786*F786</f>
        <v>4179035.9438262694</v>
      </c>
    </row>
    <row r="787" spans="1:10" s="143" customFormat="1" outlineLevel="2" x14ac:dyDescent="0.2">
      <c r="A787" s="143">
        <v>39101</v>
      </c>
      <c r="B787" s="143">
        <v>2023</v>
      </c>
      <c r="C787" s="89">
        <v>1.5</v>
      </c>
      <c r="D787" s="291">
        <v>2673941.5974910171</v>
      </c>
      <c r="E787" s="12">
        <v>9</v>
      </c>
      <c r="F787" s="12">
        <f t="shared" ref="F787:F788" si="103">+E787-C787</f>
        <v>7.5</v>
      </c>
      <c r="G787" s="330">
        <f>'Proposed Rates'!$O$51/100</f>
        <v>0</v>
      </c>
      <c r="H787" s="291">
        <f t="shared" ref="H787:H788" si="104">+D787*(1-F787/E787)*(1-G787)</f>
        <v>445656.9329151694</v>
      </c>
      <c r="I787" s="291">
        <f t="shared" ref="I787:I788" si="105">+D787*F787</f>
        <v>20054561.981182627</v>
      </c>
      <c r="J787" s="291"/>
    </row>
    <row r="788" spans="1:10" s="143" customFormat="1" outlineLevel="2" x14ac:dyDescent="0.2">
      <c r="A788" s="143">
        <v>39101</v>
      </c>
      <c r="B788" s="143">
        <v>2022</v>
      </c>
      <c r="C788" s="89">
        <v>2.5</v>
      </c>
      <c r="D788" s="291">
        <v>47509.97</v>
      </c>
      <c r="E788" s="12">
        <v>9</v>
      </c>
      <c r="F788" s="12">
        <f t="shared" si="103"/>
        <v>6.5</v>
      </c>
      <c r="G788" s="330">
        <f>'Proposed Rates'!$O$51/100</f>
        <v>0</v>
      </c>
      <c r="H788" s="291">
        <f t="shared" si="104"/>
        <v>13197.213888888889</v>
      </c>
      <c r="I788" s="291">
        <f t="shared" si="105"/>
        <v>308814.80499999999</v>
      </c>
      <c r="J788" s="291"/>
    </row>
    <row r="789" spans="1:10" s="143" customFormat="1" outlineLevel="2" x14ac:dyDescent="0.2">
      <c r="A789" s="143">
        <v>39101</v>
      </c>
      <c r="B789" s="143">
        <v>2021</v>
      </c>
      <c r="C789" s="89">
        <f t="shared" si="94"/>
        <v>3.5</v>
      </c>
      <c r="D789" s="291">
        <v>8106.39</v>
      </c>
      <c r="E789" s="12">
        <v>9</v>
      </c>
      <c r="F789" s="12">
        <f t="shared" si="101"/>
        <v>5.5</v>
      </c>
      <c r="G789" s="330">
        <f>'Proposed Rates'!$O$51/100</f>
        <v>0</v>
      </c>
      <c r="H789" s="291">
        <f t="shared" ref="H789" si="106">+D789*(1-F789/E789)*(1-G789)</f>
        <v>3152.4849999999997</v>
      </c>
      <c r="I789" s="291">
        <f t="shared" ref="I789" si="107">+D789*F789</f>
        <v>44585.145000000004</v>
      </c>
      <c r="J789" s="291"/>
    </row>
    <row r="790" spans="1:10" outlineLevel="2" x14ac:dyDescent="0.2">
      <c r="A790" s="143">
        <v>39101</v>
      </c>
      <c r="B790">
        <v>2020</v>
      </c>
      <c r="C790" s="89">
        <f t="shared" si="94"/>
        <v>4.5</v>
      </c>
      <c r="D790" s="291">
        <v>138455</v>
      </c>
      <c r="E790" s="12">
        <v>9</v>
      </c>
      <c r="F790" s="12">
        <f t="shared" si="101"/>
        <v>4.5</v>
      </c>
      <c r="G790" s="330">
        <f>'Proposed Rates'!$O$51/100</f>
        <v>0</v>
      </c>
      <c r="H790" s="291">
        <f t="shared" si="89"/>
        <v>69227.5</v>
      </c>
      <c r="I790" s="291">
        <f t="shared" si="102"/>
        <v>623047.5</v>
      </c>
    </row>
    <row r="791" spans="1:10" s="143" customFormat="1" outlineLevel="2" x14ac:dyDescent="0.2">
      <c r="A791" s="143">
        <v>39101</v>
      </c>
      <c r="B791" s="143">
        <v>2019</v>
      </c>
      <c r="C791" s="89">
        <f t="shared" si="94"/>
        <v>5.5</v>
      </c>
      <c r="D791" s="291">
        <v>1630801.36</v>
      </c>
      <c r="E791" s="12">
        <v>9</v>
      </c>
      <c r="F791" s="12">
        <f t="shared" si="101"/>
        <v>3.5</v>
      </c>
      <c r="G791" s="330">
        <f>'Proposed Rates'!$O$51/100</f>
        <v>0</v>
      </c>
      <c r="H791" s="291">
        <f t="shared" ref="H791:H798" si="108">+D791*(1-F791/E791)*(1-G791)</f>
        <v>996600.83111111121</v>
      </c>
      <c r="I791" s="291">
        <f t="shared" ref="I791:I798" si="109">+D791*F791</f>
        <v>5707804.7600000007</v>
      </c>
      <c r="J791" s="291"/>
    </row>
    <row r="792" spans="1:10" s="143" customFormat="1" outlineLevel="2" x14ac:dyDescent="0.2">
      <c r="A792" s="143">
        <v>39101</v>
      </c>
      <c r="B792" s="143">
        <v>2018</v>
      </c>
      <c r="C792" s="89">
        <f t="shared" si="94"/>
        <v>6.5</v>
      </c>
      <c r="D792" s="291">
        <v>82269.73</v>
      </c>
      <c r="E792" s="12">
        <v>9</v>
      </c>
      <c r="F792" s="12">
        <f t="shared" si="101"/>
        <v>2.5</v>
      </c>
      <c r="G792" s="330">
        <f>'Proposed Rates'!$O$51/100</f>
        <v>0</v>
      </c>
      <c r="H792" s="291">
        <f t="shared" si="108"/>
        <v>59417.027222222219</v>
      </c>
      <c r="I792" s="291">
        <f t="shared" si="109"/>
        <v>205674.32499999998</v>
      </c>
      <c r="J792" s="291"/>
    </row>
    <row r="793" spans="1:10" s="143" customFormat="1" outlineLevel="2" x14ac:dyDescent="0.2">
      <c r="A793" s="143">
        <v>39101</v>
      </c>
      <c r="B793" s="143">
        <v>2017</v>
      </c>
      <c r="C793" s="89">
        <f t="shared" si="94"/>
        <v>7.5</v>
      </c>
      <c r="D793" s="291">
        <v>11535.38</v>
      </c>
      <c r="E793" s="12">
        <v>9</v>
      </c>
      <c r="F793" s="12">
        <f t="shared" si="101"/>
        <v>1.5</v>
      </c>
      <c r="G793" s="330">
        <f>'Proposed Rates'!$O$51/100</f>
        <v>0</v>
      </c>
      <c r="H793" s="291">
        <f t="shared" si="108"/>
        <v>9612.8166666666657</v>
      </c>
      <c r="I793" s="291">
        <f t="shared" si="109"/>
        <v>17303.07</v>
      </c>
      <c r="J793" s="291"/>
    </row>
    <row r="794" spans="1:10" s="143" customFormat="1" outlineLevel="2" x14ac:dyDescent="0.2">
      <c r="A794" s="143">
        <v>39101</v>
      </c>
      <c r="B794" s="143">
        <v>2016</v>
      </c>
      <c r="C794" s="89">
        <f t="shared" si="94"/>
        <v>8.5</v>
      </c>
      <c r="D794" s="291">
        <v>175832.21</v>
      </c>
      <c r="E794" s="12">
        <v>9</v>
      </c>
      <c r="F794" s="12">
        <f t="shared" si="101"/>
        <v>0.5</v>
      </c>
      <c r="G794" s="330">
        <f>'Proposed Rates'!$O$51/100</f>
        <v>0</v>
      </c>
      <c r="H794" s="291">
        <f t="shared" si="108"/>
        <v>166063.75388888887</v>
      </c>
      <c r="I794" s="291">
        <f t="shared" si="109"/>
        <v>87916.104999999996</v>
      </c>
      <c r="J794" s="291"/>
    </row>
    <row r="795" spans="1:10" s="143" customFormat="1" outlineLevel="2" x14ac:dyDescent="0.2">
      <c r="A795" s="143">
        <v>39101</v>
      </c>
      <c r="B795" s="143">
        <v>2015</v>
      </c>
      <c r="C795" s="89">
        <f t="shared" si="94"/>
        <v>9.5</v>
      </c>
      <c r="D795" s="291">
        <v>574371.25</v>
      </c>
      <c r="E795" s="12">
        <v>9</v>
      </c>
      <c r="F795" s="12">
        <v>0</v>
      </c>
      <c r="G795" s="330">
        <f>'Proposed Rates'!$O$51/100</f>
        <v>0</v>
      </c>
      <c r="H795" s="291">
        <f t="shared" si="108"/>
        <v>574371.25</v>
      </c>
      <c r="I795" s="291">
        <f t="shared" si="109"/>
        <v>0</v>
      </c>
      <c r="J795" s="291"/>
    </row>
    <row r="796" spans="1:10" s="143" customFormat="1" outlineLevel="2" x14ac:dyDescent="0.2">
      <c r="A796" s="143">
        <v>39101</v>
      </c>
      <c r="B796" s="143">
        <v>2014</v>
      </c>
      <c r="C796" s="89">
        <f t="shared" ref="C796:C818" si="110">2024.5-B796</f>
        <v>10.5</v>
      </c>
      <c r="D796" s="291">
        <v>431635.95</v>
      </c>
      <c r="E796" s="12">
        <v>9</v>
      </c>
      <c r="F796" s="12">
        <v>0</v>
      </c>
      <c r="G796" s="330">
        <f>'Proposed Rates'!$O$51/100</f>
        <v>0</v>
      </c>
      <c r="H796" s="291">
        <f t="shared" si="108"/>
        <v>431635.95</v>
      </c>
      <c r="I796" s="291">
        <f t="shared" si="109"/>
        <v>0</v>
      </c>
      <c r="J796" s="291"/>
    </row>
    <row r="797" spans="1:10" outlineLevel="2" x14ac:dyDescent="0.2">
      <c r="A797" s="143">
        <v>39101</v>
      </c>
      <c r="B797">
        <v>2013</v>
      </c>
      <c r="C797" s="89">
        <f t="shared" si="110"/>
        <v>11.5</v>
      </c>
      <c r="D797" s="291">
        <v>100249.64</v>
      </c>
      <c r="E797" s="12">
        <v>9</v>
      </c>
      <c r="F797" s="12">
        <v>0</v>
      </c>
      <c r="G797" s="330">
        <f>'Proposed Rates'!$O$51/100</f>
        <v>0</v>
      </c>
      <c r="H797" s="291">
        <f t="shared" si="108"/>
        <v>100249.64</v>
      </c>
      <c r="I797" s="291">
        <f t="shared" si="109"/>
        <v>0</v>
      </c>
    </row>
    <row r="798" spans="1:10" outlineLevel="2" x14ac:dyDescent="0.2">
      <c r="A798" s="143">
        <v>39101</v>
      </c>
      <c r="B798">
        <v>2012</v>
      </c>
      <c r="C798" s="89">
        <f t="shared" si="110"/>
        <v>12.5</v>
      </c>
      <c r="D798" s="291">
        <v>57597.38</v>
      </c>
      <c r="E798" s="12">
        <v>9</v>
      </c>
      <c r="F798" s="12">
        <v>0</v>
      </c>
      <c r="G798" s="330">
        <f>'Proposed Rates'!$O$51/100</f>
        <v>0</v>
      </c>
      <c r="H798" s="291">
        <f t="shared" si="108"/>
        <v>57597.38</v>
      </c>
      <c r="I798" s="291">
        <f t="shared" si="109"/>
        <v>0</v>
      </c>
    </row>
    <row r="799" spans="1:10" s="143" customFormat="1" outlineLevel="1" x14ac:dyDescent="0.2">
      <c r="A799" s="20" t="s">
        <v>1196</v>
      </c>
      <c r="C799" s="89" t="s">
        <v>1230</v>
      </c>
      <c r="D799" s="291">
        <f>SUBTOTAL(9,D786:D798)</f>
        <v>6423957.1449999902</v>
      </c>
      <c r="E799" s="12"/>
      <c r="F799" s="12"/>
      <c r="G799" s="330"/>
      <c r="H799" s="291">
        <f>SUBTOTAL(9,H786:H798)</f>
        <v>2954096.7411101125</v>
      </c>
      <c r="I799" s="291">
        <f>SUBTOTAL(9,I786:I798)</f>
        <v>31228743.635008898</v>
      </c>
      <c r="J799" s="291">
        <f>+I799/D799</f>
        <v>4.8612938925527258</v>
      </c>
    </row>
    <row r="800" spans="1:10" outlineLevel="2" x14ac:dyDescent="0.2">
      <c r="A800">
        <v>39102</v>
      </c>
      <c r="B800">
        <v>2022</v>
      </c>
      <c r="C800" s="89">
        <f t="shared" si="110"/>
        <v>2.5</v>
      </c>
      <c r="D800" s="291">
        <v>67254.5</v>
      </c>
      <c r="E800" s="12">
        <v>15</v>
      </c>
      <c r="F800" s="12">
        <f t="shared" si="95"/>
        <v>12.5</v>
      </c>
      <c r="G800" s="330">
        <f>'Proposed Rates'!$O$52/100</f>
        <v>0</v>
      </c>
      <c r="H800" s="291">
        <f t="shared" si="89"/>
        <v>11209.08333333333</v>
      </c>
      <c r="I800" s="291">
        <f t="shared" si="102"/>
        <v>840681.25</v>
      </c>
    </row>
    <row r="801" spans="1:10" s="143" customFormat="1" outlineLevel="2" x14ac:dyDescent="0.2">
      <c r="A801" s="143">
        <v>39102</v>
      </c>
      <c r="B801" s="143">
        <v>2020</v>
      </c>
      <c r="C801" s="89">
        <f t="shared" si="110"/>
        <v>4.5</v>
      </c>
      <c r="D801" s="291">
        <v>16678.310000000001</v>
      </c>
      <c r="E801" s="12">
        <v>15</v>
      </c>
      <c r="F801" s="12">
        <f t="shared" si="95"/>
        <v>10.5</v>
      </c>
      <c r="G801" s="330">
        <f>'Proposed Rates'!$O$52/100</f>
        <v>0</v>
      </c>
      <c r="H801" s="291">
        <f t="shared" ref="H801:H806" si="111">+D801*(1-F801/E801)*(1-G801)</f>
        <v>5003.4930000000013</v>
      </c>
      <c r="I801" s="291">
        <f t="shared" ref="I801:I806" si="112">+D801*F801</f>
        <v>175122.255</v>
      </c>
      <c r="J801" s="291"/>
    </row>
    <row r="802" spans="1:10" s="143" customFormat="1" outlineLevel="2" x14ac:dyDescent="0.2">
      <c r="A802" s="143">
        <v>39102</v>
      </c>
      <c r="B802" s="143">
        <v>2019</v>
      </c>
      <c r="C802" s="89">
        <f t="shared" si="110"/>
        <v>5.5</v>
      </c>
      <c r="D802" s="291">
        <v>123272.16</v>
      </c>
      <c r="E802" s="12">
        <v>15</v>
      </c>
      <c r="F802" s="12">
        <f t="shared" si="95"/>
        <v>9.5</v>
      </c>
      <c r="G802" s="330">
        <f>'Proposed Rates'!$O$52/100</f>
        <v>0</v>
      </c>
      <c r="H802" s="291">
        <f t="shared" si="111"/>
        <v>45199.792000000009</v>
      </c>
      <c r="I802" s="291">
        <f t="shared" si="112"/>
        <v>1171085.52</v>
      </c>
      <c r="J802" s="291"/>
    </row>
    <row r="803" spans="1:10" s="143" customFormat="1" outlineLevel="2" x14ac:dyDescent="0.2">
      <c r="A803" s="143">
        <v>39102</v>
      </c>
      <c r="B803" s="143">
        <v>2018</v>
      </c>
      <c r="C803" s="89">
        <f t="shared" si="110"/>
        <v>6.5</v>
      </c>
      <c r="D803" s="291">
        <v>16931.7</v>
      </c>
      <c r="E803" s="12">
        <v>15</v>
      </c>
      <c r="F803" s="12">
        <f t="shared" si="95"/>
        <v>8.5</v>
      </c>
      <c r="G803" s="330">
        <f>'Proposed Rates'!$O$52/100</f>
        <v>0</v>
      </c>
      <c r="H803" s="291">
        <f t="shared" si="111"/>
        <v>7337.0700000000006</v>
      </c>
      <c r="I803" s="291">
        <f t="shared" si="112"/>
        <v>143919.45000000001</v>
      </c>
      <c r="J803" s="291"/>
    </row>
    <row r="804" spans="1:10" s="143" customFormat="1" outlineLevel="2" x14ac:dyDescent="0.2">
      <c r="A804" s="143">
        <v>39102</v>
      </c>
      <c r="B804" s="143">
        <v>2017</v>
      </c>
      <c r="C804" s="89">
        <f t="shared" si="110"/>
        <v>7.5</v>
      </c>
      <c r="D804" s="291">
        <v>443681.45</v>
      </c>
      <c r="E804" s="12">
        <v>15</v>
      </c>
      <c r="F804" s="12">
        <f t="shared" si="95"/>
        <v>7.5</v>
      </c>
      <c r="G804" s="330">
        <f>'Proposed Rates'!$O$52/100</f>
        <v>0</v>
      </c>
      <c r="H804" s="291">
        <f t="shared" si="111"/>
        <v>221840.72500000001</v>
      </c>
      <c r="I804" s="291">
        <f t="shared" si="112"/>
        <v>3327610.875</v>
      </c>
      <c r="J804" s="291"/>
    </row>
    <row r="805" spans="1:10" s="143" customFormat="1" outlineLevel="2" x14ac:dyDescent="0.2">
      <c r="A805" s="143">
        <v>39102</v>
      </c>
      <c r="B805" s="143">
        <v>2016</v>
      </c>
      <c r="C805" s="89">
        <f t="shared" si="110"/>
        <v>8.5</v>
      </c>
      <c r="D805" s="291">
        <v>65264.69</v>
      </c>
      <c r="E805" s="12">
        <v>15</v>
      </c>
      <c r="F805" s="12">
        <f t="shared" si="95"/>
        <v>6.5</v>
      </c>
      <c r="G805" s="330">
        <f>'Proposed Rates'!$O$52/100</f>
        <v>0</v>
      </c>
      <c r="H805" s="291">
        <f t="shared" si="111"/>
        <v>36983.32433333333</v>
      </c>
      <c r="I805" s="291">
        <f t="shared" si="112"/>
        <v>424220.48499999999</v>
      </c>
      <c r="J805" s="291"/>
    </row>
    <row r="806" spans="1:10" s="143" customFormat="1" outlineLevel="2" x14ac:dyDescent="0.2">
      <c r="A806" s="143">
        <v>39102</v>
      </c>
      <c r="B806" s="143">
        <v>2015</v>
      </c>
      <c r="C806" s="89">
        <f t="shared" si="110"/>
        <v>9.5</v>
      </c>
      <c r="D806" s="291">
        <v>32576.23</v>
      </c>
      <c r="E806" s="12">
        <v>15</v>
      </c>
      <c r="F806" s="12">
        <f t="shared" si="95"/>
        <v>5.5</v>
      </c>
      <c r="G806" s="330">
        <f>'Proposed Rates'!$O$52/100</f>
        <v>0</v>
      </c>
      <c r="H806" s="291">
        <f t="shared" si="111"/>
        <v>20631.612333333331</v>
      </c>
      <c r="I806" s="291">
        <f t="shared" si="112"/>
        <v>179169.26499999998</v>
      </c>
      <c r="J806" s="291"/>
    </row>
    <row r="807" spans="1:10" outlineLevel="2" x14ac:dyDescent="0.2">
      <c r="A807" s="143">
        <v>39102</v>
      </c>
      <c r="B807">
        <v>2014</v>
      </c>
      <c r="C807" s="89">
        <f t="shared" si="110"/>
        <v>10.5</v>
      </c>
      <c r="D807" s="291">
        <v>15220.5</v>
      </c>
      <c r="E807" s="12">
        <v>15</v>
      </c>
      <c r="F807" s="12">
        <f t="shared" si="95"/>
        <v>4.5</v>
      </c>
      <c r="G807" s="330">
        <f>'Proposed Rates'!$O$52/100</f>
        <v>0</v>
      </c>
      <c r="H807" s="291">
        <f t="shared" si="89"/>
        <v>10654.349999999999</v>
      </c>
      <c r="I807" s="291">
        <f t="shared" si="102"/>
        <v>68492.25</v>
      </c>
    </row>
    <row r="808" spans="1:10" outlineLevel="2" x14ac:dyDescent="0.2">
      <c r="A808" s="143">
        <v>39102</v>
      </c>
      <c r="B808">
        <v>2013</v>
      </c>
      <c r="C808" s="89">
        <f t="shared" si="110"/>
        <v>11.5</v>
      </c>
      <c r="D808" s="291">
        <v>257470.04</v>
      </c>
      <c r="E808" s="12">
        <v>15</v>
      </c>
      <c r="F808" s="12">
        <f t="shared" si="95"/>
        <v>3.5</v>
      </c>
      <c r="G808" s="330">
        <f>'Proposed Rates'!$O$52/100</f>
        <v>0</v>
      </c>
      <c r="H808" s="291">
        <f t="shared" ref="H808:H810" si="113">+D808*(1-F808/E808)*(1-G808)</f>
        <v>197393.69733333332</v>
      </c>
      <c r="I808" s="291">
        <f t="shared" ref="I808:I810" si="114">+D808*F808</f>
        <v>901145.14</v>
      </c>
    </row>
    <row r="809" spans="1:10" s="143" customFormat="1" outlineLevel="2" x14ac:dyDescent="0.2">
      <c r="A809" s="143">
        <v>39102</v>
      </c>
      <c r="B809" s="143">
        <v>2012</v>
      </c>
      <c r="C809" s="89">
        <f t="shared" si="110"/>
        <v>12.5</v>
      </c>
      <c r="D809" s="291">
        <v>9286.1299999999992</v>
      </c>
      <c r="E809" s="12">
        <v>15</v>
      </c>
      <c r="F809" s="12">
        <f t="shared" ref="F809" si="115">+E809-C809</f>
        <v>2.5</v>
      </c>
      <c r="G809" s="330">
        <f>'Proposed Rates'!$O$52/100</f>
        <v>0</v>
      </c>
      <c r="H809" s="291">
        <f t="shared" ref="H809" si="116">+D809*(1-F809/E809)*(1-G809)</f>
        <v>7738.4416666666666</v>
      </c>
      <c r="I809" s="291">
        <f t="shared" ref="I809" si="117">+D809*F809</f>
        <v>23215.324999999997</v>
      </c>
      <c r="J809" s="291"/>
    </row>
    <row r="810" spans="1:10" outlineLevel="2" x14ac:dyDescent="0.2">
      <c r="A810" s="143">
        <v>39102</v>
      </c>
      <c r="B810">
        <v>2011</v>
      </c>
      <c r="C810" s="89">
        <f t="shared" si="110"/>
        <v>13.5</v>
      </c>
      <c r="D810" s="291">
        <v>277041.59000000003</v>
      </c>
      <c r="E810" s="12">
        <v>15</v>
      </c>
      <c r="F810" s="12">
        <f t="shared" si="95"/>
        <v>1.5</v>
      </c>
      <c r="G810" s="330">
        <f>'Proposed Rates'!$O$52/100</f>
        <v>0</v>
      </c>
      <c r="H810" s="291">
        <f t="shared" si="113"/>
        <v>249337.43100000004</v>
      </c>
      <c r="I810" s="291">
        <f t="shared" si="114"/>
        <v>415562.38500000001</v>
      </c>
    </row>
    <row r="811" spans="1:10" outlineLevel="2" x14ac:dyDescent="0.2">
      <c r="A811">
        <v>39102</v>
      </c>
      <c r="B811">
        <v>2010</v>
      </c>
      <c r="C811" s="89">
        <f t="shared" si="110"/>
        <v>14.5</v>
      </c>
      <c r="D811" s="291">
        <v>11701.77</v>
      </c>
      <c r="E811" s="12">
        <v>15</v>
      </c>
      <c r="F811" s="12">
        <f t="shared" si="95"/>
        <v>0.5</v>
      </c>
      <c r="G811" s="330">
        <f>'Proposed Rates'!$O$52/100</f>
        <v>0</v>
      </c>
      <c r="H811" s="291">
        <f t="shared" si="89"/>
        <v>11311.711000000001</v>
      </c>
      <c r="I811" s="291">
        <f t="shared" si="102"/>
        <v>5850.8850000000002</v>
      </c>
    </row>
    <row r="812" spans="1:10" outlineLevel="2" x14ac:dyDescent="0.2">
      <c r="A812">
        <v>39102</v>
      </c>
      <c r="B812">
        <v>2009</v>
      </c>
      <c r="C812" s="89">
        <f t="shared" si="110"/>
        <v>15.5</v>
      </c>
      <c r="D812" s="291">
        <v>3389.84</v>
      </c>
      <c r="E812" s="12">
        <v>15</v>
      </c>
      <c r="F812" s="12">
        <v>0</v>
      </c>
      <c r="G812" s="330">
        <f>'Proposed Rates'!$O$52/100</f>
        <v>0</v>
      </c>
      <c r="H812" s="291">
        <f t="shared" si="89"/>
        <v>3389.84</v>
      </c>
      <c r="I812" s="291">
        <f t="shared" si="102"/>
        <v>0</v>
      </c>
    </row>
    <row r="813" spans="1:10" outlineLevel="2" x14ac:dyDescent="0.2">
      <c r="A813">
        <v>39102</v>
      </c>
      <c r="B813">
        <v>2008</v>
      </c>
      <c r="C813" s="89">
        <f t="shared" si="110"/>
        <v>16.5</v>
      </c>
      <c r="D813" s="291">
        <v>3705.13</v>
      </c>
      <c r="E813" s="12">
        <v>15</v>
      </c>
      <c r="F813" s="12">
        <v>0</v>
      </c>
      <c r="G813" s="330">
        <f>'Proposed Rates'!$O$52/100</f>
        <v>0</v>
      </c>
      <c r="H813" s="291">
        <f t="shared" si="89"/>
        <v>3705.13</v>
      </c>
      <c r="I813" s="291">
        <f t="shared" si="102"/>
        <v>0</v>
      </c>
    </row>
    <row r="814" spans="1:10" outlineLevel="2" x14ac:dyDescent="0.2">
      <c r="A814">
        <v>39102</v>
      </c>
      <c r="B814">
        <v>2007</v>
      </c>
      <c r="C814" s="89">
        <f t="shared" si="110"/>
        <v>17.5</v>
      </c>
      <c r="D814" s="291">
        <v>100172.03</v>
      </c>
      <c r="E814" s="12">
        <v>15</v>
      </c>
      <c r="F814" s="12">
        <v>0</v>
      </c>
      <c r="G814" s="330">
        <f>'Proposed Rates'!$O$52/100</f>
        <v>0</v>
      </c>
      <c r="H814" s="291">
        <f t="shared" si="89"/>
        <v>100172.03</v>
      </c>
      <c r="I814" s="291">
        <f t="shared" si="102"/>
        <v>0</v>
      </c>
    </row>
    <row r="815" spans="1:10" outlineLevel="2" x14ac:dyDescent="0.2">
      <c r="A815">
        <v>39102</v>
      </c>
      <c r="B815">
        <v>2006</v>
      </c>
      <c r="C815" s="89">
        <f t="shared" si="110"/>
        <v>18.5</v>
      </c>
      <c r="D815" s="291">
        <v>10052.629999999999</v>
      </c>
      <c r="E815" s="12">
        <v>15</v>
      </c>
      <c r="F815" s="12">
        <v>0</v>
      </c>
      <c r="G815" s="330">
        <f>'Proposed Rates'!$O$52/100</f>
        <v>0</v>
      </c>
      <c r="H815" s="291">
        <f t="shared" si="89"/>
        <v>10052.629999999999</v>
      </c>
      <c r="I815" s="291">
        <f t="shared" si="102"/>
        <v>0</v>
      </c>
    </row>
    <row r="816" spans="1:10" outlineLevel="2" x14ac:dyDescent="0.2">
      <c r="A816">
        <v>39102</v>
      </c>
      <c r="B816">
        <v>2005</v>
      </c>
      <c r="C816" s="89">
        <f t="shared" si="110"/>
        <v>19.5</v>
      </c>
      <c r="D816" s="291">
        <v>15753.720000000001</v>
      </c>
      <c r="E816" s="12">
        <v>15</v>
      </c>
      <c r="F816" s="12">
        <v>0</v>
      </c>
      <c r="G816" s="330">
        <f>'Proposed Rates'!$O$52/100</f>
        <v>0</v>
      </c>
      <c r="H816" s="291">
        <f t="shared" si="89"/>
        <v>15753.720000000001</v>
      </c>
      <c r="I816" s="291">
        <f t="shared" si="102"/>
        <v>0</v>
      </c>
    </row>
    <row r="817" spans="1:22" outlineLevel="2" x14ac:dyDescent="0.2">
      <c r="A817">
        <v>39102</v>
      </c>
      <c r="B817">
        <v>2004</v>
      </c>
      <c r="C817" s="89">
        <f t="shared" si="110"/>
        <v>20.5</v>
      </c>
      <c r="D817" s="291">
        <v>50945.45</v>
      </c>
      <c r="E817" s="12">
        <v>15</v>
      </c>
      <c r="F817" s="12">
        <v>0</v>
      </c>
      <c r="G817" s="330">
        <f>'Proposed Rates'!$O$52/100</f>
        <v>0</v>
      </c>
      <c r="H817" s="291">
        <f t="shared" si="89"/>
        <v>50945.45</v>
      </c>
      <c r="I817" s="291">
        <f t="shared" si="102"/>
        <v>0</v>
      </c>
    </row>
    <row r="818" spans="1:22" outlineLevel="2" x14ac:dyDescent="0.2">
      <c r="A818">
        <v>39102</v>
      </c>
      <c r="B818">
        <v>2002</v>
      </c>
      <c r="C818" s="89">
        <f t="shared" si="110"/>
        <v>22.5</v>
      </c>
      <c r="D818" s="291">
        <v>9275.92</v>
      </c>
      <c r="E818" s="12">
        <v>15</v>
      </c>
      <c r="F818" s="12">
        <v>0</v>
      </c>
      <c r="G818" s="330">
        <f>'Proposed Rates'!$O$52/100</f>
        <v>0</v>
      </c>
      <c r="H818" s="291">
        <f t="shared" si="89"/>
        <v>9275.92</v>
      </c>
      <c r="I818" s="291">
        <f t="shared" si="102"/>
        <v>0</v>
      </c>
    </row>
    <row r="819" spans="1:22" s="143" customFormat="1" outlineLevel="1" x14ac:dyDescent="0.2">
      <c r="A819" s="20" t="s">
        <v>1197</v>
      </c>
      <c r="C819" s="89"/>
      <c r="D819" s="291">
        <f>SUBTOTAL(9,D800:D818)</f>
        <v>1529673.7899999998</v>
      </c>
      <c r="E819" s="12"/>
      <c r="F819" s="12"/>
      <c r="G819" s="330"/>
      <c r="H819" s="291">
        <f>SUBTOTAL(9,H800:H818)</f>
        <v>1017935.451</v>
      </c>
      <c r="I819" s="291">
        <f>SUBTOTAL(9,I800:I818)</f>
        <v>7676075.084999999</v>
      </c>
      <c r="J819" s="291">
        <f>+I819/D819</f>
        <v>5.0181124467066933</v>
      </c>
    </row>
    <row r="820" spans="1:22" outlineLevel="2" x14ac:dyDescent="0.2">
      <c r="A820">
        <v>39201</v>
      </c>
      <c r="B820" s="143">
        <v>2024</v>
      </c>
      <c r="C820" s="89">
        <v>0.5</v>
      </c>
      <c r="D820" s="323">
        <v>8319999.639862583</v>
      </c>
      <c r="E820" s="12">
        <v>8</v>
      </c>
      <c r="F820" s="12">
        <v>7.5299659999999999</v>
      </c>
      <c r="G820" s="330">
        <f>'Proposed Rates'!$O$38/100</f>
        <v>0.11</v>
      </c>
      <c r="H820" s="291">
        <f t="shared" si="89"/>
        <v>435063.4515679527</v>
      </c>
      <c r="I820" s="291">
        <f t="shared" si="102"/>
        <v>62649314.408177495</v>
      </c>
    </row>
    <row r="821" spans="1:22" outlineLevel="2" x14ac:dyDescent="0.2">
      <c r="A821">
        <v>39201</v>
      </c>
      <c r="B821" s="143">
        <v>2023</v>
      </c>
      <c r="C821" s="89">
        <v>1.5</v>
      </c>
      <c r="D821" s="323">
        <v>6169828.3810883248</v>
      </c>
      <c r="E821" s="12">
        <v>8</v>
      </c>
      <c r="F821" s="12">
        <v>6.610773</v>
      </c>
      <c r="G821" s="330">
        <f>'Proposed Rates'!$O$38/100</f>
        <v>0.11</v>
      </c>
      <c r="H821" s="291">
        <f t="shared" si="89"/>
        <v>953556.25417662878</v>
      </c>
      <c r="I821" s="291">
        <f t="shared" si="102"/>
        <v>40787334.87633241</v>
      </c>
    </row>
    <row r="822" spans="1:22" outlineLevel="2" x14ac:dyDescent="0.2">
      <c r="A822">
        <v>39201</v>
      </c>
      <c r="B822" s="143">
        <v>2022</v>
      </c>
      <c r="C822" s="89">
        <v>2.5</v>
      </c>
      <c r="D822" s="323">
        <v>1724117.87</v>
      </c>
      <c r="E822" s="12">
        <v>8</v>
      </c>
      <c r="F822" s="12">
        <v>5.726839</v>
      </c>
      <c r="G822" s="330">
        <f>'Proposed Rates'!$O$38/100</f>
        <v>0.11</v>
      </c>
      <c r="H822" s="291">
        <f t="shared" si="89"/>
        <v>436010.72204043658</v>
      </c>
      <c r="I822" s="291">
        <f t="shared" si="102"/>
        <v>9873745.4585129302</v>
      </c>
    </row>
    <row r="823" spans="1:22" s="143" customFormat="1" outlineLevel="2" x14ac:dyDescent="0.2">
      <c r="A823" s="143">
        <v>39201</v>
      </c>
      <c r="B823" s="143">
        <v>2021</v>
      </c>
      <c r="C823" s="89">
        <v>3.5</v>
      </c>
      <c r="D823" s="323">
        <v>444941.58</v>
      </c>
      <c r="E823" s="12">
        <v>8</v>
      </c>
      <c r="F823" s="12">
        <v>4.887626</v>
      </c>
      <c r="G823" s="330">
        <f>'Proposed Rates'!$O$38/100</f>
        <v>0.11</v>
      </c>
      <c r="H823" s="291">
        <f t="shared" ref="H823:H829" si="118">+D823*(1-F823/E823)*(1-G823)</f>
        <v>154061.73731858985</v>
      </c>
      <c r="I823" s="291">
        <f t="shared" ref="I823:I829" si="119">+D823*F823</f>
        <v>2174708.0348890801</v>
      </c>
      <c r="J823" s="291"/>
    </row>
    <row r="824" spans="1:22" s="143" customFormat="1" outlineLevel="2" x14ac:dyDescent="0.2">
      <c r="A824" s="143">
        <v>39201</v>
      </c>
      <c r="B824" s="143">
        <v>2020</v>
      </c>
      <c r="C824" s="89">
        <v>4.5</v>
      </c>
      <c r="D824" s="323">
        <v>905277.36</v>
      </c>
      <c r="E824" s="12">
        <v>8</v>
      </c>
      <c r="F824" s="12">
        <v>4.1019170000000003</v>
      </c>
      <c r="G824" s="330">
        <f>'Proposed Rates'!$O$38/100</f>
        <v>0.11</v>
      </c>
      <c r="H824" s="291">
        <f t="shared" si="118"/>
        <v>392584.14946222288</v>
      </c>
      <c r="I824" s="291">
        <f t="shared" si="119"/>
        <v>3713372.5926991203</v>
      </c>
      <c r="J824" s="291"/>
    </row>
    <row r="825" spans="1:22" s="143" customFormat="1" outlineLevel="2" x14ac:dyDescent="0.2">
      <c r="A825" s="143">
        <v>39201</v>
      </c>
      <c r="B825" s="143">
        <v>2019</v>
      </c>
      <c r="C825" s="89">
        <v>5.5</v>
      </c>
      <c r="D825" s="323">
        <v>644561.13</v>
      </c>
      <c r="E825" s="12">
        <v>8</v>
      </c>
      <c r="F825" s="12">
        <v>3.3784649999999998</v>
      </c>
      <c r="G825" s="330">
        <f>'Proposed Rates'!$O$38/100</f>
        <v>0.11</v>
      </c>
      <c r="H825" s="291">
        <f t="shared" si="118"/>
        <v>331398.37769021868</v>
      </c>
      <c r="I825" s="291">
        <f t="shared" si="119"/>
        <v>2177627.21806545</v>
      </c>
      <c r="J825" s="291"/>
    </row>
    <row r="826" spans="1:22" s="143" customFormat="1" outlineLevel="2" x14ac:dyDescent="0.2">
      <c r="A826" s="143">
        <v>39201</v>
      </c>
      <c r="B826" s="143">
        <v>2018</v>
      </c>
      <c r="C826" s="89">
        <v>6.5</v>
      </c>
      <c r="D826" s="323">
        <v>332369.98</v>
      </c>
      <c r="E826" s="12">
        <v>8</v>
      </c>
      <c r="F826" s="12">
        <v>2.7293980000000002</v>
      </c>
      <c r="G826" s="330">
        <f>'Proposed Rates'!$O$38/100</f>
        <v>0.11</v>
      </c>
      <c r="H826" s="291">
        <f t="shared" si="118"/>
        <v>194886.62429773554</v>
      </c>
      <c r="I826" s="291">
        <f t="shared" si="119"/>
        <v>907169.95867204003</v>
      </c>
      <c r="J826" s="291"/>
    </row>
    <row r="827" spans="1:22" s="143" customFormat="1" outlineLevel="2" x14ac:dyDescent="0.2">
      <c r="A827" s="143">
        <v>39201</v>
      </c>
      <c r="B827" s="143">
        <v>2017</v>
      </c>
      <c r="C827" s="89">
        <v>7.5</v>
      </c>
      <c r="D827" s="323">
        <v>740847.12</v>
      </c>
      <c r="E827" s="12">
        <v>8</v>
      </c>
      <c r="F827" s="12">
        <v>2.1723710000000001</v>
      </c>
      <c r="G827" s="330">
        <f>'Proposed Rates'!$O$38/100</f>
        <v>0.11</v>
      </c>
      <c r="H827" s="291">
        <f t="shared" si="118"/>
        <v>480308.76541998092</v>
      </c>
      <c r="I827" s="291">
        <f t="shared" si="119"/>
        <v>1609394.7989215201</v>
      </c>
      <c r="J827" s="291"/>
    </row>
    <row r="828" spans="1:22" s="143" customFormat="1" outlineLevel="2" x14ac:dyDescent="0.2">
      <c r="A828" s="143">
        <v>39201</v>
      </c>
      <c r="B828" s="143">
        <v>2016</v>
      </c>
      <c r="C828" s="89">
        <v>8.5</v>
      </c>
      <c r="D828" s="323">
        <v>792209.89</v>
      </c>
      <c r="E828" s="12">
        <v>8</v>
      </c>
      <c r="F828" s="12">
        <v>1.7234769999999999</v>
      </c>
      <c r="G828" s="330">
        <f>'Proposed Rates'!$O$38/100</f>
        <v>0.11</v>
      </c>
      <c r="H828" s="291">
        <f t="shared" si="118"/>
        <v>553170.99998963729</v>
      </c>
      <c r="I828" s="291">
        <f t="shared" si="119"/>
        <v>1365355.5245875299</v>
      </c>
      <c r="J828" s="291"/>
    </row>
    <row r="829" spans="1:22" s="143" customFormat="1" outlineLevel="2" x14ac:dyDescent="0.2">
      <c r="A829" s="143">
        <v>39201</v>
      </c>
      <c r="B829" s="143">
        <v>2015</v>
      </c>
      <c r="C829" s="89">
        <v>9.5</v>
      </c>
      <c r="D829" s="323">
        <v>1016083.2100000001</v>
      </c>
      <c r="E829" s="12">
        <v>8</v>
      </c>
      <c r="F829" s="12">
        <v>1.3816120000000001</v>
      </c>
      <c r="G829" s="330">
        <f>'Proposed Rates'!$O$38/100</f>
        <v>0.11</v>
      </c>
      <c r="H829" s="291">
        <f t="shared" si="118"/>
        <v>748137.6628022847</v>
      </c>
      <c r="I829" s="291">
        <f t="shared" si="119"/>
        <v>1403832.7559345202</v>
      </c>
      <c r="J829" s="291"/>
      <c r="V829" s="89" t="s">
        <v>1230</v>
      </c>
    </row>
    <row r="830" spans="1:22" outlineLevel="2" x14ac:dyDescent="0.2">
      <c r="A830" s="143">
        <v>39201</v>
      </c>
      <c r="B830" s="143">
        <v>2014</v>
      </c>
      <c r="C830" s="89">
        <v>10.5</v>
      </c>
      <c r="D830" s="323">
        <v>168286.89</v>
      </c>
      <c r="E830" s="12">
        <v>8</v>
      </c>
      <c r="F830" s="12">
        <v>1.118409</v>
      </c>
      <c r="G830" s="330">
        <f>'Proposed Rates'!$O$38/100</f>
        <v>0.11</v>
      </c>
      <c r="H830" s="291">
        <f t="shared" si="89"/>
        <v>128836.57217517142</v>
      </c>
      <c r="I830" s="291">
        <f t="shared" si="102"/>
        <v>188213.57235801002</v>
      </c>
    </row>
    <row r="831" spans="1:22" outlineLevel="2" x14ac:dyDescent="0.2">
      <c r="A831" s="143">
        <v>39201</v>
      </c>
      <c r="B831" s="143">
        <v>2013</v>
      </c>
      <c r="C831" s="89">
        <v>11.5</v>
      </c>
      <c r="D831" s="323">
        <v>742667.23</v>
      </c>
      <c r="E831" s="12">
        <v>8</v>
      </c>
      <c r="F831" s="12">
        <v>0.89404099999999997</v>
      </c>
      <c r="G831" s="330">
        <f>'Proposed Rates'!$O$38/100</f>
        <v>0.11</v>
      </c>
      <c r="H831" s="291">
        <f t="shared" si="89"/>
        <v>587106.6211813722</v>
      </c>
      <c r="I831" s="291">
        <f t="shared" si="102"/>
        <v>663974.95297642995</v>
      </c>
    </row>
    <row r="832" spans="1:22" outlineLevel="2" x14ac:dyDescent="0.2">
      <c r="A832" s="143">
        <v>39201</v>
      </c>
      <c r="B832" s="143">
        <v>2012</v>
      </c>
      <c r="C832" s="89">
        <v>12.5</v>
      </c>
      <c r="D832" s="323">
        <v>152253.15999999997</v>
      </c>
      <c r="E832" s="12">
        <v>8</v>
      </c>
      <c r="F832" s="12">
        <v>0.67883400000000005</v>
      </c>
      <c r="G832" s="330">
        <f>'Proposed Rates'!$O$38/100</f>
        <v>0.11</v>
      </c>
      <c r="H832" s="291">
        <f t="shared" si="89"/>
        <v>124007.11074528226</v>
      </c>
      <c r="I832" s="291">
        <f t="shared" si="102"/>
        <v>103354.62161543999</v>
      </c>
    </row>
    <row r="833" spans="1:10" outlineLevel="2" x14ac:dyDescent="0.2">
      <c r="A833">
        <v>39201</v>
      </c>
      <c r="B833" s="143">
        <v>2011</v>
      </c>
      <c r="C833" s="89">
        <v>13.5</v>
      </c>
      <c r="D833" s="323">
        <v>504980.21000000008</v>
      </c>
      <c r="E833" s="12">
        <v>8</v>
      </c>
      <c r="F833" s="12">
        <v>0.330289</v>
      </c>
      <c r="G833" s="330">
        <f>'Proposed Rates'!$O$38/100</f>
        <v>0.11</v>
      </c>
      <c r="H833" s="291">
        <f t="shared" si="89"/>
        <v>430877.06519539835</v>
      </c>
      <c r="I833" s="291">
        <f t="shared" si="102"/>
        <v>166789.40858069004</v>
      </c>
    </row>
    <row r="834" spans="1:10" outlineLevel="2" x14ac:dyDescent="0.2">
      <c r="A834">
        <v>39201</v>
      </c>
      <c r="B834" s="143">
        <v>2010</v>
      </c>
      <c r="C834" s="89">
        <v>14.5</v>
      </c>
      <c r="D834" s="323">
        <v>424184.03</v>
      </c>
      <c r="E834" s="12">
        <v>8</v>
      </c>
      <c r="F834" s="12">
        <v>0</v>
      </c>
      <c r="G834" s="330">
        <f>'Proposed Rates'!$O$38/100</f>
        <v>0.11</v>
      </c>
      <c r="H834" s="291">
        <f t="shared" si="89"/>
        <v>377523.78670000006</v>
      </c>
      <c r="I834" s="291">
        <f t="shared" si="102"/>
        <v>0</v>
      </c>
    </row>
    <row r="835" spans="1:10" outlineLevel="2" x14ac:dyDescent="0.2">
      <c r="A835">
        <v>39201</v>
      </c>
      <c r="B835" s="143">
        <v>2009</v>
      </c>
      <c r="C835" s="89">
        <v>15.5</v>
      </c>
      <c r="D835" s="323">
        <v>246695.28999999998</v>
      </c>
      <c r="E835" s="12">
        <v>8</v>
      </c>
      <c r="F835" s="12">
        <v>0</v>
      </c>
      <c r="G835" s="330">
        <f>'Proposed Rates'!$O$38/100</f>
        <v>0.11</v>
      </c>
      <c r="H835" s="291">
        <f t="shared" si="89"/>
        <v>219558.80809999999</v>
      </c>
      <c r="I835" s="291">
        <f t="shared" si="102"/>
        <v>0</v>
      </c>
    </row>
    <row r="836" spans="1:10" s="143" customFormat="1" outlineLevel="2" x14ac:dyDescent="0.2">
      <c r="A836" s="143">
        <v>39201</v>
      </c>
      <c r="B836" s="143">
        <v>2008</v>
      </c>
      <c r="C836" s="89">
        <f>2024.5-B836</f>
        <v>16.5</v>
      </c>
      <c r="D836" s="323">
        <v>71314.789999999994</v>
      </c>
      <c r="E836" s="12">
        <v>8</v>
      </c>
      <c r="F836" s="12">
        <v>0</v>
      </c>
      <c r="G836" s="330">
        <f>'Proposed Rates'!$O$38/100</f>
        <v>0.11</v>
      </c>
      <c r="H836" s="291">
        <f t="shared" ref="H836:H842" si="120">+D836*(1-F836/E836)*(1-G836)</f>
        <v>63470.163099999998</v>
      </c>
      <c r="I836" s="291">
        <f t="shared" ref="I836:I842" si="121">+D836*F836</f>
        <v>0</v>
      </c>
      <c r="J836" s="291"/>
    </row>
    <row r="837" spans="1:10" s="143" customFormat="1" outlineLevel="2" x14ac:dyDescent="0.2">
      <c r="A837" s="143">
        <v>39201</v>
      </c>
      <c r="B837" s="143">
        <v>2007</v>
      </c>
      <c r="C837" s="89">
        <f t="shared" ref="C837:C842" si="122">2024.5-B837</f>
        <v>17.5</v>
      </c>
      <c r="D837" s="323">
        <v>37028.729999999996</v>
      </c>
      <c r="E837" s="12">
        <v>8</v>
      </c>
      <c r="F837" s="12">
        <v>0</v>
      </c>
      <c r="G837" s="330">
        <f>'Proposed Rates'!$O$38/100</f>
        <v>0.11</v>
      </c>
      <c r="H837" s="291">
        <f t="shared" si="120"/>
        <v>32955.5697</v>
      </c>
      <c r="I837" s="291">
        <f t="shared" si="121"/>
        <v>0</v>
      </c>
      <c r="J837" s="291"/>
    </row>
    <row r="838" spans="1:10" s="143" customFormat="1" outlineLevel="2" x14ac:dyDescent="0.2">
      <c r="A838" s="143">
        <v>39201</v>
      </c>
      <c r="B838" s="143">
        <v>2006</v>
      </c>
      <c r="C838" s="89">
        <f t="shared" si="122"/>
        <v>18.5</v>
      </c>
      <c r="D838" s="323">
        <v>87562.87999999999</v>
      </c>
      <c r="E838" s="12">
        <v>8</v>
      </c>
      <c r="F838" s="12">
        <v>0</v>
      </c>
      <c r="G838" s="330">
        <f>'Proposed Rates'!$O$38/100</f>
        <v>0.11</v>
      </c>
      <c r="H838" s="291">
        <f t="shared" si="120"/>
        <v>77930.963199999998</v>
      </c>
      <c r="I838" s="291">
        <f t="shared" si="121"/>
        <v>0</v>
      </c>
      <c r="J838" s="291"/>
    </row>
    <row r="839" spans="1:10" s="143" customFormat="1" outlineLevel="2" x14ac:dyDescent="0.2">
      <c r="A839" s="143">
        <v>39201</v>
      </c>
      <c r="B839" s="143">
        <v>2005</v>
      </c>
      <c r="C839" s="89">
        <f t="shared" si="122"/>
        <v>19.5</v>
      </c>
      <c r="D839" s="323">
        <v>22425.81</v>
      </c>
      <c r="E839" s="12">
        <v>8</v>
      </c>
      <c r="F839" s="12">
        <v>0</v>
      </c>
      <c r="G839" s="330">
        <f>'Proposed Rates'!$O$38/100</f>
        <v>0.11</v>
      </c>
      <c r="H839" s="291">
        <f t="shared" si="120"/>
        <v>19958.9709</v>
      </c>
      <c r="I839" s="291">
        <f t="shared" si="121"/>
        <v>0</v>
      </c>
      <c r="J839" s="291"/>
    </row>
    <row r="840" spans="1:10" s="143" customFormat="1" outlineLevel="2" x14ac:dyDescent="0.2">
      <c r="A840" s="143">
        <v>39201</v>
      </c>
      <c r="B840" s="143">
        <v>2004</v>
      </c>
      <c r="C840" s="89">
        <f t="shared" si="122"/>
        <v>20.5</v>
      </c>
      <c r="D840" s="323">
        <v>74529.36</v>
      </c>
      <c r="E840" s="12">
        <v>8</v>
      </c>
      <c r="F840" s="12">
        <v>0</v>
      </c>
      <c r="G840" s="330">
        <f>'Proposed Rates'!$O$38/100</f>
        <v>0.11</v>
      </c>
      <c r="H840" s="291">
        <f t="shared" si="120"/>
        <v>66331.130399999995</v>
      </c>
      <c r="I840" s="291">
        <f t="shared" si="121"/>
        <v>0</v>
      </c>
      <c r="J840" s="291"/>
    </row>
    <row r="841" spans="1:10" s="143" customFormat="1" outlineLevel="2" x14ac:dyDescent="0.2">
      <c r="A841" s="143">
        <v>39201</v>
      </c>
      <c r="B841" s="143">
        <v>2002</v>
      </c>
      <c r="C841" s="89">
        <f t="shared" si="122"/>
        <v>22.5</v>
      </c>
      <c r="D841" s="323">
        <v>42654.92</v>
      </c>
      <c r="E841" s="12">
        <v>8</v>
      </c>
      <c r="F841" s="12">
        <v>0</v>
      </c>
      <c r="G841" s="330">
        <f>'Proposed Rates'!$O$38/100</f>
        <v>0.11</v>
      </c>
      <c r="H841" s="291">
        <f t="shared" si="120"/>
        <v>37962.878799999999</v>
      </c>
      <c r="I841" s="291">
        <f t="shared" si="121"/>
        <v>0</v>
      </c>
      <c r="J841" s="291"/>
    </row>
    <row r="842" spans="1:10" s="143" customFormat="1" outlineLevel="2" x14ac:dyDescent="0.2">
      <c r="A842" s="143">
        <v>39201</v>
      </c>
      <c r="B842" s="143">
        <v>2001</v>
      </c>
      <c r="C842" s="89">
        <f t="shared" si="122"/>
        <v>23.5</v>
      </c>
      <c r="D842" s="323">
        <v>36755.440000000002</v>
      </c>
      <c r="E842" s="12">
        <v>8</v>
      </c>
      <c r="F842" s="12">
        <v>0</v>
      </c>
      <c r="G842" s="330">
        <f>'Proposed Rates'!$O$38/100</f>
        <v>0.11</v>
      </c>
      <c r="H842" s="291">
        <f t="shared" si="120"/>
        <v>32712.341600000003</v>
      </c>
      <c r="I842" s="291">
        <f t="shared" si="121"/>
        <v>0</v>
      </c>
      <c r="J842" s="291"/>
    </row>
    <row r="843" spans="1:10" s="143" customFormat="1" outlineLevel="1" x14ac:dyDescent="0.2">
      <c r="A843" s="20" t="s">
        <v>1198</v>
      </c>
      <c r="C843" s="89" t="s">
        <v>1230</v>
      </c>
      <c r="D843" s="291">
        <f>SUBTOTAL(9,D820:D842)</f>
        <v>23701574.900950912</v>
      </c>
      <c r="E843" s="12"/>
      <c r="F843" s="12"/>
      <c r="G843" s="330"/>
      <c r="H843" s="291">
        <f>SUBTOTAL(9,H820:H842)</f>
        <v>6878410.7265629126</v>
      </c>
      <c r="I843" s="291">
        <f>SUBTOTAL(9,I820:I842)</f>
        <v>127784188.1823227</v>
      </c>
      <c r="J843" s="291">
        <f>+I843/D843</f>
        <v>5.3913796326334404</v>
      </c>
    </row>
    <row r="844" spans="1:10" outlineLevel="2" x14ac:dyDescent="0.2">
      <c r="A844">
        <v>39202</v>
      </c>
      <c r="B844">
        <v>2022</v>
      </c>
      <c r="C844" s="89">
        <v>2.5</v>
      </c>
      <c r="D844" s="291">
        <v>2475253.83</v>
      </c>
      <c r="E844" s="12">
        <v>10</v>
      </c>
      <c r="F844" s="12">
        <v>7.5197130000000003</v>
      </c>
      <c r="G844" s="330">
        <f>'Proposed Rates'!$O$39/100</f>
        <v>0.11</v>
      </c>
      <c r="H844" s="291">
        <f t="shared" ref="H844:H905" si="123">+D844*(1-F844/E844)*(1-G844)</f>
        <v>546401.25076617964</v>
      </c>
      <c r="I844" s="291">
        <f t="shared" si="102"/>
        <v>18613198.403750792</v>
      </c>
    </row>
    <row r="845" spans="1:10" outlineLevel="2" x14ac:dyDescent="0.2">
      <c r="A845">
        <v>39202</v>
      </c>
      <c r="B845">
        <v>2021</v>
      </c>
      <c r="C845" s="89">
        <v>3.5</v>
      </c>
      <c r="D845" s="291">
        <v>2259093.98</v>
      </c>
      <c r="E845" s="12">
        <v>10</v>
      </c>
      <c r="F845" s="12">
        <v>6.5766720000000003</v>
      </c>
      <c r="G845" s="330">
        <f>'Proposed Rates'!$O$39/100</f>
        <v>0.11</v>
      </c>
      <c r="H845" s="291">
        <f t="shared" si="123"/>
        <v>688292.15119652415</v>
      </c>
      <c r="I845" s="291">
        <f t="shared" si="102"/>
        <v>14857320.12363456</v>
      </c>
    </row>
    <row r="846" spans="1:10" outlineLevel="2" x14ac:dyDescent="0.2">
      <c r="A846">
        <v>39202</v>
      </c>
      <c r="B846">
        <v>2020</v>
      </c>
      <c r="C846" s="89">
        <v>4.5</v>
      </c>
      <c r="D846" s="291">
        <v>2150749.91</v>
      </c>
      <c r="E846" s="12">
        <v>10</v>
      </c>
      <c r="F846" s="12">
        <v>5.6848380000000001</v>
      </c>
      <c r="G846" s="330">
        <f>'Proposed Rates'!$O$39/100</f>
        <v>0.11</v>
      </c>
      <c r="H846" s="291">
        <f t="shared" si="123"/>
        <v>825994.25119905255</v>
      </c>
      <c r="I846" s="291">
        <f t="shared" si="102"/>
        <v>12226664.816864582</v>
      </c>
    </row>
    <row r="847" spans="1:10" outlineLevel="2" x14ac:dyDescent="0.2">
      <c r="A847">
        <v>39202</v>
      </c>
      <c r="B847">
        <v>2019</v>
      </c>
      <c r="C847" s="89">
        <v>5.5</v>
      </c>
      <c r="D847" s="291">
        <v>3533710.6</v>
      </c>
      <c r="E847" s="12">
        <v>10</v>
      </c>
      <c r="F847" s="12">
        <v>4.8689450000000001</v>
      </c>
      <c r="G847" s="330">
        <f>'Proposed Rates'!$O$39/100</f>
        <v>0.11</v>
      </c>
      <c r="H847" s="291">
        <f t="shared" si="123"/>
        <v>1613718.0463987871</v>
      </c>
      <c r="I847" s="291">
        <f t="shared" si="102"/>
        <v>17205442.557317</v>
      </c>
    </row>
    <row r="848" spans="1:10" outlineLevel="2" x14ac:dyDescent="0.2">
      <c r="A848">
        <v>39202</v>
      </c>
      <c r="B848">
        <v>2018</v>
      </c>
      <c r="C848" s="89">
        <v>6.5</v>
      </c>
      <c r="D848" s="291">
        <v>1935383.29</v>
      </c>
      <c r="E848" s="12">
        <v>10</v>
      </c>
      <c r="F848" s="12">
        <v>4.1828209999999997</v>
      </c>
      <c r="G848" s="330">
        <f>'Proposed Rates'!$O$39/100</f>
        <v>0.11</v>
      </c>
      <c r="H848" s="291">
        <f t="shared" ref="H848:H855" si="124">+D848*(1-F848/E848)*(1-G848)</f>
        <v>1002003.9218069629</v>
      </c>
      <c r="I848" s="291">
        <f t="shared" ref="I848:I855" si="125">+D848*F848</f>
        <v>8095361.8684610892</v>
      </c>
    </row>
    <row r="849" spans="1:10" outlineLevel="2" x14ac:dyDescent="0.2">
      <c r="A849">
        <v>39202</v>
      </c>
      <c r="B849">
        <v>2017</v>
      </c>
      <c r="C849" s="89">
        <v>7.5</v>
      </c>
      <c r="D849" s="291">
        <v>1279351.26</v>
      </c>
      <c r="E849" s="12">
        <v>10</v>
      </c>
      <c r="F849" s="12">
        <v>3.6712199999999999</v>
      </c>
      <c r="G849" s="330">
        <f>'Proposed Rates'!$O$39/100</f>
        <v>0.11</v>
      </c>
      <c r="H849" s="291">
        <f t="shared" si="124"/>
        <v>720609.20738638926</v>
      </c>
      <c r="I849" s="291">
        <f t="shared" si="125"/>
        <v>4696779.9327371996</v>
      </c>
    </row>
    <row r="850" spans="1:10" s="143" customFormat="1" outlineLevel="2" x14ac:dyDescent="0.2">
      <c r="A850" s="143">
        <v>39202</v>
      </c>
      <c r="B850" s="143">
        <v>2016</v>
      </c>
      <c r="C850" s="89">
        <v>8.5</v>
      </c>
      <c r="D850" s="291">
        <v>1068257.92</v>
      </c>
      <c r="E850" s="12">
        <v>10</v>
      </c>
      <c r="F850" s="12">
        <v>3.330425</v>
      </c>
      <c r="G850" s="330">
        <f>'Proposed Rates'!$O$39/100</f>
        <v>0.11</v>
      </c>
      <c r="H850" s="291">
        <f t="shared" si="124"/>
        <v>634109.542193776</v>
      </c>
      <c r="I850" s="291">
        <f t="shared" si="125"/>
        <v>3557752.8832159997</v>
      </c>
      <c r="J850" s="291"/>
    </row>
    <row r="851" spans="1:10" s="143" customFormat="1" outlineLevel="2" x14ac:dyDescent="0.2">
      <c r="A851" s="143">
        <v>39202</v>
      </c>
      <c r="B851" s="143">
        <v>2015</v>
      </c>
      <c r="C851" s="89">
        <v>9.5</v>
      </c>
      <c r="D851" s="291">
        <v>792939.6</v>
      </c>
      <c r="E851" s="12">
        <v>10</v>
      </c>
      <c r="F851" s="12">
        <v>3.11158</v>
      </c>
      <c r="G851" s="330">
        <f>'Proposed Rates'!$O$39/100</f>
        <v>0.11</v>
      </c>
      <c r="H851" s="291">
        <f t="shared" si="124"/>
        <v>486126.98894944793</v>
      </c>
      <c r="I851" s="291">
        <f t="shared" si="125"/>
        <v>2467295.0005680001</v>
      </c>
      <c r="J851" s="291"/>
    </row>
    <row r="852" spans="1:10" s="143" customFormat="1" outlineLevel="2" x14ac:dyDescent="0.2">
      <c r="A852" s="143">
        <v>39202</v>
      </c>
      <c r="B852" s="143">
        <v>2014</v>
      </c>
      <c r="C852" s="89">
        <v>10.5</v>
      </c>
      <c r="D852" s="291">
        <v>540415.86</v>
      </c>
      <c r="E852" s="12">
        <v>10</v>
      </c>
      <c r="F852" s="12">
        <v>2.9432559999999999</v>
      </c>
      <c r="G852" s="330">
        <f>'Proposed Rates'!$O$39/100</f>
        <v>0.11</v>
      </c>
      <c r="H852" s="291">
        <f t="shared" si="124"/>
        <v>339408.2976028258</v>
      </c>
      <c r="I852" s="291">
        <f t="shared" si="125"/>
        <v>1590582.2224401599</v>
      </c>
      <c r="J852" s="291"/>
    </row>
    <row r="853" spans="1:10" s="143" customFormat="1" outlineLevel="2" x14ac:dyDescent="0.2">
      <c r="A853" s="143">
        <v>39202</v>
      </c>
      <c r="B853" s="143">
        <v>2013</v>
      </c>
      <c r="C853" s="89">
        <v>11.5</v>
      </c>
      <c r="D853" s="291">
        <v>543449.20000000007</v>
      </c>
      <c r="E853" s="12">
        <v>10</v>
      </c>
      <c r="F853" s="12">
        <v>2.7621199999999999</v>
      </c>
      <c r="G853" s="330">
        <f>'Proposed Rates'!$O$39/100</f>
        <v>0.11</v>
      </c>
      <c r="H853" s="291">
        <f t="shared" si="124"/>
        <v>350074.38851694408</v>
      </c>
      <c r="I853" s="291">
        <f t="shared" si="125"/>
        <v>1501071.9043040001</v>
      </c>
      <c r="J853" s="291"/>
    </row>
    <row r="854" spans="1:10" s="143" customFormat="1" outlineLevel="2" x14ac:dyDescent="0.2">
      <c r="A854" s="143">
        <v>39202</v>
      </c>
      <c r="B854" s="143">
        <v>2012</v>
      </c>
      <c r="C854" s="89">
        <v>12.5</v>
      </c>
      <c r="D854" s="291">
        <v>164947.66</v>
      </c>
      <c r="E854" s="12">
        <v>10</v>
      </c>
      <c r="F854" s="12">
        <v>2.5417860000000001</v>
      </c>
      <c r="G854" s="330">
        <f>'Proposed Rates'!$O$39/100</f>
        <v>0.11</v>
      </c>
      <c r="H854" s="291">
        <f t="shared" si="124"/>
        <v>109489.13029005236</v>
      </c>
      <c r="I854" s="291">
        <f t="shared" si="125"/>
        <v>419261.65292076004</v>
      </c>
      <c r="J854" s="291"/>
    </row>
    <row r="855" spans="1:10" s="143" customFormat="1" outlineLevel="2" x14ac:dyDescent="0.2">
      <c r="A855" s="143">
        <v>39202</v>
      </c>
      <c r="B855" s="143">
        <v>2011</v>
      </c>
      <c r="C855" s="89">
        <v>13.5</v>
      </c>
      <c r="D855" s="291">
        <v>427348.14</v>
      </c>
      <c r="E855" s="12">
        <v>10</v>
      </c>
      <c r="F855" s="12">
        <v>2.2926169999999999</v>
      </c>
      <c r="G855" s="330">
        <f>'Proposed Rates'!$O$39/100</f>
        <v>0.11</v>
      </c>
      <c r="H855" s="291">
        <f t="shared" si="124"/>
        <v>293142.48524926818</v>
      </c>
      <c r="I855" s="291">
        <f t="shared" si="125"/>
        <v>979745.61068238004</v>
      </c>
      <c r="J855" s="291"/>
    </row>
    <row r="856" spans="1:10" outlineLevel="2" x14ac:dyDescent="0.2">
      <c r="A856" s="143">
        <v>39202</v>
      </c>
      <c r="B856">
        <v>2010</v>
      </c>
      <c r="C856" s="89">
        <v>14.5</v>
      </c>
      <c r="D856" s="291">
        <v>274641.56000000006</v>
      </c>
      <c r="E856" s="12">
        <v>10</v>
      </c>
      <c r="F856" s="12">
        <v>2.036397</v>
      </c>
      <c r="G856" s="330">
        <f>'Proposed Rates'!$O$39/100</f>
        <v>0.11</v>
      </c>
      <c r="H856" s="291">
        <f t="shared" si="123"/>
        <v>194655.13525152058</v>
      </c>
      <c r="I856" s="291">
        <f t="shared" si="102"/>
        <v>559279.24885932007</v>
      </c>
    </row>
    <row r="857" spans="1:10" outlineLevel="2" x14ac:dyDescent="0.2">
      <c r="A857" s="143">
        <v>39202</v>
      </c>
      <c r="B857">
        <v>2008</v>
      </c>
      <c r="C857" s="89">
        <v>16.5</v>
      </c>
      <c r="D857" s="291">
        <v>73253.509999999995</v>
      </c>
      <c r="E857" s="12">
        <v>10</v>
      </c>
      <c r="F857" s="12">
        <v>1.5527820000000001</v>
      </c>
      <c r="G857" s="330">
        <f>'Proposed Rates'!$O$39/100</f>
        <v>0.11</v>
      </c>
      <c r="H857" s="291">
        <f t="shared" ref="H857:H862" si="126">+D857*(1-F857/E857)*(1-G857)</f>
        <v>55072.164772931013</v>
      </c>
      <c r="I857" s="291">
        <f t="shared" ref="I857:I862" si="127">+D857*F857</f>
        <v>113746.73176482</v>
      </c>
    </row>
    <row r="858" spans="1:10" outlineLevel="2" x14ac:dyDescent="0.2">
      <c r="A858">
        <v>39202</v>
      </c>
      <c r="B858">
        <v>2007</v>
      </c>
      <c r="C858" s="89">
        <v>17.5</v>
      </c>
      <c r="D858" s="291">
        <v>147650.81</v>
      </c>
      <c r="E858" s="12">
        <v>10</v>
      </c>
      <c r="F858" s="12">
        <v>1.3320380000000001</v>
      </c>
      <c r="G858" s="330">
        <f>'Proposed Rates'!$O$39/100</f>
        <v>0.11</v>
      </c>
      <c r="H858" s="291">
        <f t="shared" si="126"/>
        <v>113905.01332108058</v>
      </c>
      <c r="I858" s="291">
        <f t="shared" si="127"/>
        <v>196676.48965078001</v>
      </c>
    </row>
    <row r="859" spans="1:10" s="143" customFormat="1" outlineLevel="2" x14ac:dyDescent="0.2">
      <c r="A859" s="143">
        <v>39202</v>
      </c>
      <c r="B859" s="143">
        <v>2006</v>
      </c>
      <c r="C859" s="89">
        <v>18.5</v>
      </c>
      <c r="D859" s="291">
        <v>24202.13</v>
      </c>
      <c r="E859" s="12">
        <v>10</v>
      </c>
      <c r="F859" s="12">
        <v>1.1253789999999999</v>
      </c>
      <c r="G859" s="330">
        <f>'Proposed Rates'!$O$39/100</f>
        <v>0.11</v>
      </c>
      <c r="H859" s="291">
        <f t="shared" ref="H859:H861" si="128">+D859*(1-F859/E859)*(1-G859)</f>
        <v>19115.841071702973</v>
      </c>
      <c r="I859" s="291">
        <f t="shared" ref="I859:I861" si="129">+D859*F859</f>
        <v>27236.568857269998</v>
      </c>
      <c r="J859" s="291"/>
    </row>
    <row r="860" spans="1:10" s="143" customFormat="1" outlineLevel="2" x14ac:dyDescent="0.2">
      <c r="A860" s="143">
        <v>39202</v>
      </c>
      <c r="B860" s="143">
        <v>2005</v>
      </c>
      <c r="C860" s="89">
        <v>19.5</v>
      </c>
      <c r="D860" s="291">
        <v>34520.57</v>
      </c>
      <c r="E860" s="12">
        <v>10</v>
      </c>
      <c r="F860" s="12">
        <v>0.93314399999999997</v>
      </c>
      <c r="G860" s="330">
        <f>'Proposed Rates'!$O$39/100</f>
        <v>0.11</v>
      </c>
      <c r="H860" s="291">
        <f t="shared" si="128"/>
        <v>27856.380313284881</v>
      </c>
      <c r="I860" s="291">
        <f t="shared" si="129"/>
        <v>32212.662772079999</v>
      </c>
      <c r="J860" s="291"/>
    </row>
    <row r="861" spans="1:10" s="143" customFormat="1" outlineLevel="2" x14ac:dyDescent="0.2">
      <c r="A861" s="143">
        <v>39202</v>
      </c>
      <c r="B861" s="143">
        <v>2002</v>
      </c>
      <c r="C861" s="89">
        <f>2024.5-B861</f>
        <v>22.5</v>
      </c>
      <c r="D861" s="291">
        <v>50180.97</v>
      </c>
      <c r="E861" s="12">
        <v>10</v>
      </c>
      <c r="F861" s="12">
        <v>0.50681500000000002</v>
      </c>
      <c r="G861" s="330">
        <f>'Proposed Rates'!$O$39/100</f>
        <v>0.11</v>
      </c>
      <c r="H861" s="291">
        <f t="shared" si="128"/>
        <v>42397.57362036105</v>
      </c>
      <c r="I861" s="291">
        <f t="shared" si="129"/>
        <v>25432.468310550001</v>
      </c>
      <c r="J861" s="291"/>
    </row>
    <row r="862" spans="1:10" outlineLevel="2" x14ac:dyDescent="0.2">
      <c r="A862" s="143">
        <v>39202</v>
      </c>
      <c r="B862">
        <v>1999</v>
      </c>
      <c r="C862" s="89">
        <f>2024.5-B862</f>
        <v>25.5</v>
      </c>
      <c r="D862" s="291">
        <v>28303.89</v>
      </c>
      <c r="E862" s="12">
        <v>10</v>
      </c>
      <c r="F862" s="12">
        <v>0</v>
      </c>
      <c r="G862" s="330">
        <f>'Proposed Rates'!$O$39/100</f>
        <v>0.11</v>
      </c>
      <c r="H862" s="291">
        <f t="shared" si="126"/>
        <v>25190.462100000001</v>
      </c>
      <c r="I862" s="291">
        <f t="shared" si="127"/>
        <v>0</v>
      </c>
    </row>
    <row r="863" spans="1:10" s="143" customFormat="1" outlineLevel="1" x14ac:dyDescent="0.2">
      <c r="A863" s="20" t="s">
        <v>1199</v>
      </c>
      <c r="C863" s="89"/>
      <c r="D863" s="291">
        <f>SUBTOTAL(9,D844:D862)</f>
        <v>17803654.689999994</v>
      </c>
      <c r="E863" s="12"/>
      <c r="F863" s="12"/>
      <c r="G863" s="330"/>
      <c r="H863" s="291">
        <f>SUBTOTAL(9,H844:H862)</f>
        <v>8087562.2320070891</v>
      </c>
      <c r="I863" s="291">
        <f>SUBTOTAL(9,I844:I862)</f>
        <v>87165061.147111326</v>
      </c>
      <c r="J863" s="291">
        <f>+I863/D863</f>
        <v>4.8959083213442938</v>
      </c>
    </row>
    <row r="864" spans="1:10" outlineLevel="2" x14ac:dyDescent="0.2">
      <c r="A864">
        <v>39204</v>
      </c>
      <c r="B864">
        <v>2024</v>
      </c>
      <c r="C864" s="89">
        <v>0.5</v>
      </c>
      <c r="D864" s="291">
        <v>69941.248751477717</v>
      </c>
      <c r="E864" s="12">
        <v>30</v>
      </c>
      <c r="F864" s="12">
        <v>29.588438</v>
      </c>
      <c r="G864" s="330">
        <f>'Proposed Rates'!$O$40/100</f>
        <v>0.2</v>
      </c>
      <c r="H864" s="291">
        <f t="shared" si="123"/>
        <v>767.60427249748216</v>
      </c>
      <c r="I864" s="291">
        <f t="shared" ref="I864:I923" si="130">+D864*F864</f>
        <v>2069452.3023256757</v>
      </c>
    </row>
    <row r="865" spans="1:10" outlineLevel="2" x14ac:dyDescent="0.2">
      <c r="A865">
        <v>39204</v>
      </c>
      <c r="B865">
        <v>2023</v>
      </c>
      <c r="C865" s="89">
        <v>1.5</v>
      </c>
      <c r="D865" s="291">
        <v>1315163.5615047601</v>
      </c>
      <c r="E865" s="12">
        <v>30</v>
      </c>
      <c r="F865" s="12">
        <v>28.770717000000001</v>
      </c>
      <c r="G865" s="330">
        <f>'Proposed Rates'!$O$40/100</f>
        <v>0.2</v>
      </c>
      <c r="H865" s="291">
        <f t="shared" si="123"/>
        <v>43112.218890060118</v>
      </c>
      <c r="I865" s="291">
        <f t="shared" si="130"/>
        <v>37838198.636765547</v>
      </c>
    </row>
    <row r="866" spans="1:10" outlineLevel="2" x14ac:dyDescent="0.2">
      <c r="A866">
        <v>39204</v>
      </c>
      <c r="B866">
        <v>2022</v>
      </c>
      <c r="C866" s="89">
        <v>2.5</v>
      </c>
      <c r="D866" s="291">
        <v>14459.36</v>
      </c>
      <c r="E866" s="12">
        <v>30</v>
      </c>
      <c r="F866" s="12">
        <v>27.960895000000001</v>
      </c>
      <c r="G866" s="330">
        <f>'Proposed Rates'!$O$40/100</f>
        <v>0.2</v>
      </c>
      <c r="H866" s="291">
        <f t="shared" si="123"/>
        <v>786.24408727466675</v>
      </c>
      <c r="I866" s="291">
        <f t="shared" si="130"/>
        <v>404296.64672720002</v>
      </c>
    </row>
    <row r="867" spans="1:10" outlineLevel="2" x14ac:dyDescent="0.2">
      <c r="A867">
        <v>39204</v>
      </c>
      <c r="B867">
        <v>2021</v>
      </c>
      <c r="C867" s="89">
        <v>3.5</v>
      </c>
      <c r="D867" s="291">
        <v>29471.59</v>
      </c>
      <c r="E867" s="12">
        <v>30</v>
      </c>
      <c r="F867" s="12">
        <v>27.158677999999998</v>
      </c>
      <c r="G867" s="330">
        <f>'Proposed Rates'!$O$40/100</f>
        <v>0.2</v>
      </c>
      <c r="H867" s="291">
        <f t="shared" si="123"/>
        <v>2233.0207211194675</v>
      </c>
      <c r="I867" s="291">
        <f t="shared" si="130"/>
        <v>800409.42295802</v>
      </c>
    </row>
    <row r="868" spans="1:10" outlineLevel="2" x14ac:dyDescent="0.2">
      <c r="A868">
        <v>39204</v>
      </c>
      <c r="B868">
        <v>2020</v>
      </c>
      <c r="C868" s="89">
        <v>4.5</v>
      </c>
      <c r="D868" s="291">
        <v>895773.72</v>
      </c>
      <c r="E868" s="12">
        <v>30</v>
      </c>
      <c r="F868" s="12">
        <v>26.364101000000002</v>
      </c>
      <c r="G868" s="330">
        <f>'Proposed Rates'!$O$40/100</f>
        <v>0.2</v>
      </c>
      <c r="H868" s="291">
        <f t="shared" si="123"/>
        <v>86851.807273980783</v>
      </c>
      <c r="I868" s="291">
        <f t="shared" si="130"/>
        <v>23616268.827225722</v>
      </c>
    </row>
    <row r="869" spans="1:10" outlineLevel="2" x14ac:dyDescent="0.2">
      <c r="A869">
        <v>39204</v>
      </c>
      <c r="B869">
        <v>2019</v>
      </c>
      <c r="C869" s="89">
        <v>5.5</v>
      </c>
      <c r="D869" s="291">
        <v>1077081.04</v>
      </c>
      <c r="E869" s="12">
        <v>30</v>
      </c>
      <c r="F869" s="12">
        <v>25.577590000000001</v>
      </c>
      <c r="G869" s="330">
        <f>'Proposed Rates'!$O$40/100</f>
        <v>0.2</v>
      </c>
      <c r="H869" s="291">
        <f t="shared" si="123"/>
        <v>127021.17232283734</v>
      </c>
      <c r="I869" s="291">
        <f t="shared" si="130"/>
        <v>27549137.2378936</v>
      </c>
    </row>
    <row r="870" spans="1:10" outlineLevel="2" x14ac:dyDescent="0.2">
      <c r="A870">
        <v>39204</v>
      </c>
      <c r="B870">
        <v>2018</v>
      </c>
      <c r="C870" s="89">
        <v>6.5</v>
      </c>
      <c r="D870" s="291">
        <v>20800.900000000001</v>
      </c>
      <c r="E870" s="12">
        <v>30</v>
      </c>
      <c r="F870" s="12">
        <v>24.798822000000001</v>
      </c>
      <c r="G870" s="330">
        <f>'Proposed Rates'!$O$40/100</f>
        <v>0.2</v>
      </c>
      <c r="H870" s="291">
        <f t="shared" si="123"/>
        <v>2885.0448922720002</v>
      </c>
      <c r="I870" s="291">
        <f t="shared" si="130"/>
        <v>515837.81653980009</v>
      </c>
    </row>
    <row r="871" spans="1:10" outlineLevel="2" x14ac:dyDescent="0.2">
      <c r="A871">
        <v>39204</v>
      </c>
      <c r="B871">
        <v>2017</v>
      </c>
      <c r="C871" s="89">
        <v>7.5</v>
      </c>
      <c r="D871" s="291">
        <v>94323.73</v>
      </c>
      <c r="E871" s="12">
        <v>30</v>
      </c>
      <c r="F871" s="12">
        <v>24.027832</v>
      </c>
      <c r="G871" s="330">
        <f>'Proposed Rates'!$O$40/100</f>
        <v>0.2</v>
      </c>
      <c r="H871" s="291">
        <f t="shared" si="123"/>
        <v>15021.790985243733</v>
      </c>
      <c r="I871" s="291">
        <f t="shared" si="130"/>
        <v>2266394.73805336</v>
      </c>
    </row>
    <row r="872" spans="1:10" outlineLevel="2" x14ac:dyDescent="0.2">
      <c r="A872">
        <v>39204</v>
      </c>
      <c r="B872">
        <v>2016</v>
      </c>
      <c r="C872" s="89">
        <v>8.5</v>
      </c>
      <c r="D872" s="291">
        <v>23325.99</v>
      </c>
      <c r="E872" s="12">
        <v>30</v>
      </c>
      <c r="F872" s="12">
        <v>23.265070999999999</v>
      </c>
      <c r="G872" s="330">
        <f>'Proposed Rates'!$O$40/100</f>
        <v>0.2</v>
      </c>
      <c r="H872" s="291">
        <f t="shared" si="123"/>
        <v>4189.3036401256022</v>
      </c>
      <c r="I872" s="291">
        <f t="shared" si="130"/>
        <v>542680.81349529</v>
      </c>
    </row>
    <row r="873" spans="1:10" outlineLevel="2" x14ac:dyDescent="0.2">
      <c r="A873">
        <v>39204</v>
      </c>
      <c r="B873">
        <v>2015</v>
      </c>
      <c r="C873" s="89">
        <v>9.5</v>
      </c>
      <c r="D873" s="291">
        <v>5738.84</v>
      </c>
      <c r="E873" s="12">
        <v>30</v>
      </c>
      <c r="F873" s="12">
        <v>22.510234000000001</v>
      </c>
      <c r="G873" s="330">
        <f>'Proposed Rates'!$O$40/100</f>
        <v>0.2</v>
      </c>
      <c r="H873" s="291">
        <f t="shared" si="123"/>
        <v>1146.2018323050668</v>
      </c>
      <c r="I873" s="291">
        <f t="shared" si="130"/>
        <v>129182.63128856001</v>
      </c>
    </row>
    <row r="874" spans="1:10" outlineLevel="2" x14ac:dyDescent="0.2">
      <c r="A874">
        <v>39204</v>
      </c>
      <c r="B874">
        <v>2014</v>
      </c>
      <c r="C874" s="89">
        <v>10.5</v>
      </c>
      <c r="D874" s="291">
        <v>818004.33</v>
      </c>
      <c r="E874" s="12">
        <v>30</v>
      </c>
      <c r="F874" s="12">
        <v>21.763556999999999</v>
      </c>
      <c r="G874" s="330">
        <f>'Proposed Rates'!$O$40/100</f>
        <v>0.2</v>
      </c>
      <c r="H874" s="291">
        <f t="shared" si="123"/>
        <v>179665.22767461845</v>
      </c>
      <c r="I874" s="291">
        <f t="shared" si="130"/>
        <v>17802683.86220181</v>
      </c>
    </row>
    <row r="875" spans="1:10" outlineLevel="2" x14ac:dyDescent="0.2">
      <c r="A875">
        <v>39204</v>
      </c>
      <c r="B875">
        <v>2013</v>
      </c>
      <c r="C875" s="89">
        <v>11.5</v>
      </c>
      <c r="D875" s="291">
        <v>13995.21</v>
      </c>
      <c r="E875" s="12">
        <v>30</v>
      </c>
      <c r="F875" s="12">
        <v>21.025891999999999</v>
      </c>
      <c r="G875" s="330">
        <f>'Proposed Rates'!$O$40/100</f>
        <v>0.2</v>
      </c>
      <c r="H875" s="291">
        <f t="shared" si="123"/>
        <v>3349.1873606048002</v>
      </c>
      <c r="I875" s="291">
        <f t="shared" si="130"/>
        <v>294261.77397731994</v>
      </c>
    </row>
    <row r="876" spans="1:10" s="143" customFormat="1" outlineLevel="2" x14ac:dyDescent="0.2">
      <c r="A876" s="143">
        <v>39204</v>
      </c>
      <c r="B876" s="143">
        <v>2012</v>
      </c>
      <c r="C876" s="89">
        <v>12.5</v>
      </c>
      <c r="D876" s="291">
        <v>3189.24</v>
      </c>
      <c r="E876" s="12">
        <v>30</v>
      </c>
      <c r="F876" s="12">
        <v>20.297322000000001</v>
      </c>
      <c r="G876" s="330">
        <f>'Proposed Rates'!$O$40/100</f>
        <v>0.2</v>
      </c>
      <c r="H876" s="291">
        <f t="shared" ref="H876:H889" si="131">+D876*(1-F876/E876)*(1-G876)</f>
        <v>825.17783425919993</v>
      </c>
      <c r="I876" s="291">
        <f t="shared" ref="I876:I889" si="132">+D876*F876</f>
        <v>64733.031215279996</v>
      </c>
      <c r="J876" s="291"/>
    </row>
    <row r="877" spans="1:10" s="143" customFormat="1" outlineLevel="2" x14ac:dyDescent="0.2">
      <c r="A877" s="143">
        <v>39204</v>
      </c>
      <c r="B877" s="143">
        <v>2011</v>
      </c>
      <c r="C877" s="89">
        <v>13.5</v>
      </c>
      <c r="D877" s="291">
        <v>63338.54</v>
      </c>
      <c r="E877" s="12">
        <v>30</v>
      </c>
      <c r="F877" s="12">
        <v>19.578389000000001</v>
      </c>
      <c r="G877" s="330">
        <f>'Proposed Rates'!$O$40/100</f>
        <v>0.2</v>
      </c>
      <c r="H877" s="291">
        <f t="shared" si="131"/>
        <v>17602.390005011734</v>
      </c>
      <c r="I877" s="291">
        <f t="shared" si="132"/>
        <v>1240066.57481206</v>
      </c>
      <c r="J877" s="291"/>
    </row>
    <row r="878" spans="1:10" s="143" customFormat="1" outlineLevel="2" x14ac:dyDescent="0.2">
      <c r="A878" s="143">
        <v>39204</v>
      </c>
      <c r="B878" s="143">
        <v>2010</v>
      </c>
      <c r="C878" s="89">
        <v>14.5</v>
      </c>
      <c r="D878" s="291">
        <v>2115.2600000000002</v>
      </c>
      <c r="E878" s="12">
        <v>30</v>
      </c>
      <c r="F878" s="12">
        <v>18.870199</v>
      </c>
      <c r="G878" s="330">
        <f>'Proposed Rates'!$O$40/100</f>
        <v>0.2</v>
      </c>
      <c r="H878" s="291">
        <f t="shared" si="131"/>
        <v>627.79794302026687</v>
      </c>
      <c r="I878" s="291">
        <f t="shared" si="132"/>
        <v>39915.377136740004</v>
      </c>
      <c r="J878" s="291"/>
    </row>
    <row r="879" spans="1:10" s="143" customFormat="1" outlineLevel="2" x14ac:dyDescent="0.2">
      <c r="A879" s="143">
        <v>39204</v>
      </c>
      <c r="B879" s="143">
        <v>2009</v>
      </c>
      <c r="C879" s="89">
        <v>15.5</v>
      </c>
      <c r="D879" s="291">
        <v>4641.83</v>
      </c>
      <c r="E879" s="12">
        <v>30</v>
      </c>
      <c r="F879" s="12">
        <v>18.172865999999999</v>
      </c>
      <c r="G879" s="330">
        <f>'Proposed Rates'!$O$40/100</f>
        <v>0.2</v>
      </c>
      <c r="H879" s="291">
        <f t="shared" si="131"/>
        <v>1463.9878777392005</v>
      </c>
      <c r="I879" s="291">
        <f t="shared" si="132"/>
        <v>84355.354584779998</v>
      </c>
      <c r="J879" s="291"/>
    </row>
    <row r="880" spans="1:10" s="143" customFormat="1" outlineLevel="2" x14ac:dyDescent="0.2">
      <c r="A880" s="143">
        <v>39204</v>
      </c>
      <c r="B880" s="143">
        <v>2008</v>
      </c>
      <c r="C880" s="89">
        <v>16.5</v>
      </c>
      <c r="D880" s="291">
        <v>6491.02</v>
      </c>
      <c r="E880" s="12">
        <v>30</v>
      </c>
      <c r="F880" s="12">
        <v>17.486981</v>
      </c>
      <c r="G880" s="330">
        <f>'Proposed Rates'!$O$40/100</f>
        <v>0.2</v>
      </c>
      <c r="H880" s="291">
        <f t="shared" si="131"/>
        <v>2165.9268423834669</v>
      </c>
      <c r="I880" s="291">
        <f t="shared" si="132"/>
        <v>113508.34341062001</v>
      </c>
      <c r="J880" s="291"/>
    </row>
    <row r="881" spans="1:10" s="143" customFormat="1" outlineLevel="2" x14ac:dyDescent="0.2">
      <c r="A881" s="143">
        <v>39204</v>
      </c>
      <c r="B881" s="143">
        <v>2007</v>
      </c>
      <c r="C881" s="89">
        <v>17.5</v>
      </c>
      <c r="D881" s="291">
        <v>11864.93</v>
      </c>
      <c r="E881" s="12">
        <v>30</v>
      </c>
      <c r="F881" s="12">
        <v>16.813723</v>
      </c>
      <c r="G881" s="330">
        <f>'Proposed Rates'!$O$40/100</f>
        <v>0.2</v>
      </c>
      <c r="H881" s="291">
        <f t="shared" si="131"/>
        <v>4172.1134284162672</v>
      </c>
      <c r="I881" s="291">
        <f t="shared" si="132"/>
        <v>199493.64643438999</v>
      </c>
      <c r="J881" s="291"/>
    </row>
    <row r="882" spans="1:10" s="143" customFormat="1" outlineLevel="2" x14ac:dyDescent="0.2">
      <c r="A882" s="143">
        <v>39204</v>
      </c>
      <c r="B882" s="143">
        <v>2006</v>
      </c>
      <c r="C882" s="89">
        <v>18.5</v>
      </c>
      <c r="D882" s="291">
        <v>3047.57</v>
      </c>
      <c r="E882" s="12">
        <v>30</v>
      </c>
      <c r="F882" s="12">
        <v>16.153130000000001</v>
      </c>
      <c r="G882" s="330">
        <f>'Proposed Rates'!$O$40/100</f>
        <v>0.2</v>
      </c>
      <c r="H882" s="291">
        <f t="shared" si="131"/>
        <v>1125.3148161573333</v>
      </c>
      <c r="I882" s="291">
        <f t="shared" si="132"/>
        <v>49227.794394100005</v>
      </c>
      <c r="J882" s="291"/>
    </row>
    <row r="883" spans="1:10" s="143" customFormat="1" outlineLevel="2" x14ac:dyDescent="0.2">
      <c r="A883" s="143">
        <v>39204</v>
      </c>
      <c r="B883" s="143">
        <v>2005</v>
      </c>
      <c r="C883" s="89">
        <v>19.5</v>
      </c>
      <c r="D883" s="291">
        <v>4071</v>
      </c>
      <c r="E883" s="12">
        <v>30</v>
      </c>
      <c r="F883" s="12">
        <v>15.505763</v>
      </c>
      <c r="G883" s="330">
        <f>'Proposed Rates'!$O$40/100</f>
        <v>0.2</v>
      </c>
      <c r="H883" s="291">
        <f t="shared" si="131"/>
        <v>1573.4943687200002</v>
      </c>
      <c r="I883" s="291">
        <f t="shared" si="132"/>
        <v>63123.961173000003</v>
      </c>
      <c r="J883" s="291"/>
    </row>
    <row r="884" spans="1:10" s="143" customFormat="1" outlineLevel="2" x14ac:dyDescent="0.2">
      <c r="A884" s="143">
        <v>39204</v>
      </c>
      <c r="B884" s="143">
        <v>2004</v>
      </c>
      <c r="C884" s="89">
        <v>20.5</v>
      </c>
      <c r="D884" s="291">
        <v>3983.48</v>
      </c>
      <c r="E884" s="12">
        <v>30</v>
      </c>
      <c r="F884" s="12">
        <v>14.872802999999999</v>
      </c>
      <c r="G884" s="330">
        <f>'Proposed Rates'!$O$40/100</f>
        <v>0.2</v>
      </c>
      <c r="H884" s="291">
        <f t="shared" si="131"/>
        <v>1606.9036454816001</v>
      </c>
      <c r="I884" s="291">
        <f t="shared" si="132"/>
        <v>59245.513294439996</v>
      </c>
      <c r="J884" s="291"/>
    </row>
    <row r="885" spans="1:10" s="143" customFormat="1" outlineLevel="2" x14ac:dyDescent="0.2">
      <c r="A885" s="143">
        <v>39204</v>
      </c>
      <c r="B885" s="143">
        <v>2003</v>
      </c>
      <c r="C885" s="89">
        <v>21.5</v>
      </c>
      <c r="D885" s="291">
        <v>4435.24</v>
      </c>
      <c r="E885" s="12">
        <v>30</v>
      </c>
      <c r="F885" s="12">
        <v>14.254186000000001</v>
      </c>
      <c r="G885" s="330">
        <f>'Proposed Rates'!$O$40/100</f>
        <v>0.2</v>
      </c>
      <c r="H885" s="291">
        <f t="shared" si="131"/>
        <v>1862.3057089429331</v>
      </c>
      <c r="I885" s="291">
        <f t="shared" si="132"/>
        <v>63220.735914639998</v>
      </c>
      <c r="J885" s="291"/>
    </row>
    <row r="886" spans="1:10" s="143" customFormat="1" outlineLevel="2" x14ac:dyDescent="0.2">
      <c r="A886" s="143">
        <v>39204</v>
      </c>
      <c r="B886" s="143">
        <v>2001</v>
      </c>
      <c r="C886" s="89">
        <v>23.5</v>
      </c>
      <c r="D886" s="291">
        <v>19226.38</v>
      </c>
      <c r="E886" s="12">
        <v>30</v>
      </c>
      <c r="F886" s="12">
        <v>13.062602999999999</v>
      </c>
      <c r="G886" s="330">
        <f>'Proposed Rates'!$O$40/100</f>
        <v>0.2</v>
      </c>
      <c r="H886" s="291">
        <f t="shared" si="131"/>
        <v>8683.8621582096002</v>
      </c>
      <c r="I886" s="291">
        <f t="shared" si="132"/>
        <v>251146.56906713999</v>
      </c>
      <c r="J886" s="291"/>
    </row>
    <row r="887" spans="1:10" s="143" customFormat="1" outlineLevel="2" x14ac:dyDescent="0.2">
      <c r="A887" s="143">
        <v>39204</v>
      </c>
      <c r="B887" s="143">
        <v>2000</v>
      </c>
      <c r="C887" s="89">
        <v>24.5</v>
      </c>
      <c r="D887" s="291">
        <v>6398.95</v>
      </c>
      <c r="E887" s="12">
        <v>30</v>
      </c>
      <c r="F887" s="12">
        <v>12.490591999999999</v>
      </c>
      <c r="G887" s="330">
        <f>'Proposed Rates'!$O$40/100</f>
        <v>0.2</v>
      </c>
      <c r="H887" s="291">
        <f t="shared" si="131"/>
        <v>2987.782035242667</v>
      </c>
      <c r="I887" s="291">
        <f t="shared" si="132"/>
        <v>79926.673678399995</v>
      </c>
      <c r="J887" s="291"/>
    </row>
    <row r="888" spans="1:10" outlineLevel="2" x14ac:dyDescent="0.2">
      <c r="A888" s="143">
        <v>39204</v>
      </c>
      <c r="B888">
        <v>1999</v>
      </c>
      <c r="C888" s="89">
        <v>25.5</v>
      </c>
      <c r="D888" s="291">
        <v>5017.6400000000003</v>
      </c>
      <c r="E888" s="12">
        <v>30</v>
      </c>
      <c r="F888" s="12">
        <v>11.93478</v>
      </c>
      <c r="G888" s="330">
        <f>'Proposed Rates'!$O$40/100</f>
        <v>0.2</v>
      </c>
      <c r="H888" s="291">
        <f t="shared" si="131"/>
        <v>2417.1938794880002</v>
      </c>
      <c r="I888" s="291">
        <f t="shared" si="132"/>
        <v>59884.429519200006</v>
      </c>
    </row>
    <row r="889" spans="1:10" outlineLevel="2" x14ac:dyDescent="0.2">
      <c r="A889" s="143">
        <v>39204</v>
      </c>
      <c r="B889">
        <v>1998</v>
      </c>
      <c r="C889" s="89">
        <v>26.5</v>
      </c>
      <c r="D889" s="291">
        <v>14707.84</v>
      </c>
      <c r="E889" s="12">
        <v>30</v>
      </c>
      <c r="F889" s="12">
        <v>11.39615</v>
      </c>
      <c r="G889" s="330">
        <f>'Proposed Rates'!$O$40/100</f>
        <v>0.2</v>
      </c>
      <c r="H889" s="291">
        <f t="shared" si="131"/>
        <v>7296.5986449066686</v>
      </c>
      <c r="I889" s="291">
        <f t="shared" si="132"/>
        <v>167612.75081600001</v>
      </c>
    </row>
    <row r="890" spans="1:10" outlineLevel="2" x14ac:dyDescent="0.2">
      <c r="A890" s="143">
        <v>39204</v>
      </c>
      <c r="B890">
        <v>1997</v>
      </c>
      <c r="C890" s="89">
        <v>27.5</v>
      </c>
      <c r="D890" s="291">
        <v>14299.11</v>
      </c>
      <c r="E890" s="12">
        <v>30</v>
      </c>
      <c r="F890" s="12">
        <v>10.874404</v>
      </c>
      <c r="G890" s="330">
        <f>'Proposed Rates'!$O$40/100</f>
        <v>0.2</v>
      </c>
      <c r="H890" s="291">
        <f t="shared" si="123"/>
        <v>7292.7733605215999</v>
      </c>
      <c r="I890" s="291">
        <f t="shared" si="130"/>
        <v>155494.29898044001</v>
      </c>
    </row>
    <row r="891" spans="1:10" outlineLevel="2" x14ac:dyDescent="0.2">
      <c r="A891" s="143">
        <v>39204</v>
      </c>
      <c r="B891">
        <v>1996</v>
      </c>
      <c r="C891" s="89">
        <v>28.5</v>
      </c>
      <c r="D891" s="291">
        <v>58319.86</v>
      </c>
      <c r="E891" s="12">
        <v>30</v>
      </c>
      <c r="F891" s="12">
        <v>10.369785</v>
      </c>
      <c r="G891" s="330">
        <f>'Proposed Rates'!$O$40/100</f>
        <v>0.2</v>
      </c>
      <c r="H891" s="291">
        <f t="shared" si="123"/>
        <v>30528.837081864</v>
      </c>
      <c r="I891" s="291">
        <f t="shared" si="130"/>
        <v>604764.4094301</v>
      </c>
    </row>
    <row r="892" spans="1:10" outlineLevel="2" x14ac:dyDescent="0.2">
      <c r="A892" s="143">
        <v>39204</v>
      </c>
      <c r="B892">
        <v>1995</v>
      </c>
      <c r="C892" s="89">
        <v>29.5</v>
      </c>
      <c r="D892" s="291">
        <v>7475</v>
      </c>
      <c r="E892" s="12">
        <v>30</v>
      </c>
      <c r="F892" s="12">
        <v>9.8829670000000007</v>
      </c>
      <c r="G892" s="330">
        <f>'Proposed Rates'!$O$40/100</f>
        <v>0.2</v>
      </c>
      <c r="H892" s="291">
        <f t="shared" si="123"/>
        <v>4009.9952446666666</v>
      </c>
      <c r="I892" s="291">
        <f t="shared" si="130"/>
        <v>73875.178325000001</v>
      </c>
    </row>
    <row r="893" spans="1:10" outlineLevel="2" x14ac:dyDescent="0.2">
      <c r="A893" s="143">
        <v>39204</v>
      </c>
      <c r="B893">
        <v>1994</v>
      </c>
      <c r="C893" s="89">
        <v>30.5</v>
      </c>
      <c r="D893" s="291">
        <v>34745.96</v>
      </c>
      <c r="E893" s="12">
        <v>30</v>
      </c>
      <c r="F893" s="12">
        <v>9.4135019999999994</v>
      </c>
      <c r="G893" s="330">
        <f>'Proposed Rates'!$O$40/100</f>
        <v>0.2</v>
      </c>
      <c r="H893" s="291">
        <f t="shared" si="123"/>
        <v>19074.6036279488</v>
      </c>
      <c r="I893" s="291">
        <f t="shared" si="130"/>
        <v>327081.16395192</v>
      </c>
    </row>
    <row r="894" spans="1:10" outlineLevel="2" x14ac:dyDescent="0.2">
      <c r="A894" s="143">
        <v>39204</v>
      </c>
      <c r="B894">
        <v>1991</v>
      </c>
      <c r="C894" s="89">
        <v>33.5</v>
      </c>
      <c r="D894" s="291">
        <v>6535.4</v>
      </c>
      <c r="E894" s="12">
        <v>30</v>
      </c>
      <c r="F894" s="12">
        <v>8.1089190000000002</v>
      </c>
      <c r="G894" s="330">
        <f>'Proposed Rates'!$O$40/100</f>
        <v>0.2</v>
      </c>
      <c r="H894" s="291">
        <f t="shared" si="123"/>
        <v>3815.1192204640001</v>
      </c>
      <c r="I894" s="291">
        <f t="shared" si="130"/>
        <v>52995.029232599998</v>
      </c>
    </row>
    <row r="895" spans="1:10" outlineLevel="2" x14ac:dyDescent="0.2">
      <c r="A895" s="143">
        <v>39204</v>
      </c>
      <c r="B895">
        <v>1990</v>
      </c>
      <c r="C895" s="89">
        <v>34.5</v>
      </c>
      <c r="D895" s="291">
        <v>3623.68</v>
      </c>
      <c r="E895" s="12">
        <v>30</v>
      </c>
      <c r="F895" s="12">
        <v>7.7075779999999998</v>
      </c>
      <c r="G895" s="330">
        <f>'Proposed Rates'!$O$40/100</f>
        <v>0.2</v>
      </c>
      <c r="H895" s="291">
        <f t="shared" si="123"/>
        <v>2154.1494334122667</v>
      </c>
      <c r="I895" s="291">
        <f t="shared" si="130"/>
        <v>27929.796247039998</v>
      </c>
    </row>
    <row r="896" spans="1:10" s="143" customFormat="1" outlineLevel="2" x14ac:dyDescent="0.2">
      <c r="A896" s="143">
        <v>39204</v>
      </c>
      <c r="B896" s="143">
        <v>1988</v>
      </c>
      <c r="C896" s="89">
        <v>36.5</v>
      </c>
      <c r="D896" s="291">
        <v>6252.55</v>
      </c>
      <c r="E896" s="12">
        <v>30</v>
      </c>
      <c r="F896" s="12">
        <v>6.951498</v>
      </c>
      <c r="G896" s="330">
        <f>'Proposed Rates'!$O$40/100</f>
        <v>0.2</v>
      </c>
      <c r="H896" s="291">
        <f t="shared" ref="H896:H901" si="133">+D896*(1-F896/E896)*(1-G896)</f>
        <v>3842.9842981360002</v>
      </c>
      <c r="I896" s="291">
        <f t="shared" ref="I896:I901" si="134">+D896*F896</f>
        <v>43464.588819900004</v>
      </c>
      <c r="J896" s="291"/>
    </row>
    <row r="897" spans="1:10" s="143" customFormat="1" outlineLevel="2" x14ac:dyDescent="0.2">
      <c r="A897" s="143">
        <v>39204</v>
      </c>
      <c r="B897" s="143">
        <v>1987</v>
      </c>
      <c r="C897" s="89">
        <v>37.5</v>
      </c>
      <c r="D897" s="291">
        <v>4914.45</v>
      </c>
      <c r="E897" s="12">
        <v>30</v>
      </c>
      <c r="F897" s="12">
        <v>6.5951740000000001</v>
      </c>
      <c r="G897" s="330">
        <f>'Proposed Rates'!$O$40/100</f>
        <v>0.2</v>
      </c>
      <c r="H897" s="291">
        <f t="shared" si="133"/>
        <v>3067.249256952</v>
      </c>
      <c r="I897" s="291">
        <f t="shared" si="134"/>
        <v>32411.652864299998</v>
      </c>
      <c r="J897" s="291"/>
    </row>
    <row r="898" spans="1:10" s="143" customFormat="1" outlineLevel="2" x14ac:dyDescent="0.2">
      <c r="A898" s="143">
        <v>39204</v>
      </c>
      <c r="B898" s="143">
        <v>1986</v>
      </c>
      <c r="C898" s="89">
        <v>38.5</v>
      </c>
      <c r="D898" s="291">
        <v>1577.73</v>
      </c>
      <c r="E898" s="12">
        <v>30</v>
      </c>
      <c r="F898" s="12">
        <v>6.2514260000000004</v>
      </c>
      <c r="G898" s="330">
        <f>'Proposed Rates'!$O$40/100</f>
        <v>0.2</v>
      </c>
      <c r="H898" s="291">
        <f t="shared" si="133"/>
        <v>999.16900418720002</v>
      </c>
      <c r="I898" s="291">
        <f t="shared" si="134"/>
        <v>9863.0623429799998</v>
      </c>
      <c r="J898" s="291"/>
    </row>
    <row r="899" spans="1:10" s="143" customFormat="1" outlineLevel="2" x14ac:dyDescent="0.2">
      <c r="A899" s="143">
        <v>39204</v>
      </c>
      <c r="B899" s="143">
        <v>1984</v>
      </c>
      <c r="C899" s="89">
        <v>40.5</v>
      </c>
      <c r="D899" s="291">
        <v>1671.8</v>
      </c>
      <c r="E899" s="12">
        <v>30</v>
      </c>
      <c r="F899" s="12">
        <v>5.5984040000000004</v>
      </c>
      <c r="G899" s="330">
        <f>'Proposed Rates'!$O$40/100</f>
        <v>0.2</v>
      </c>
      <c r="H899" s="291">
        <f t="shared" si="133"/>
        <v>1087.8556851413334</v>
      </c>
      <c r="I899" s="291">
        <f t="shared" si="134"/>
        <v>9359.4118072000001</v>
      </c>
      <c r="J899" s="291"/>
    </row>
    <row r="900" spans="1:10" outlineLevel="2" x14ac:dyDescent="0.2">
      <c r="A900" s="143">
        <v>39204</v>
      </c>
      <c r="B900">
        <v>1982</v>
      </c>
      <c r="C900" s="89">
        <v>42.5</v>
      </c>
      <c r="D900" s="291">
        <v>6121.82</v>
      </c>
      <c r="E900" s="12">
        <v>30</v>
      </c>
      <c r="F900" s="12">
        <v>4.9813539999999996</v>
      </c>
      <c r="G900" s="330">
        <f>'Proposed Rates'!$O$40/100</f>
        <v>0.2</v>
      </c>
      <c r="H900" s="291">
        <f t="shared" si="133"/>
        <v>4084.2572654858668</v>
      </c>
      <c r="I900" s="291">
        <f t="shared" si="134"/>
        <v>30494.952544279997</v>
      </c>
    </row>
    <row r="901" spans="1:10" outlineLevel="2" x14ac:dyDescent="0.2">
      <c r="A901" s="143">
        <v>39204</v>
      </c>
      <c r="B901">
        <v>1978</v>
      </c>
      <c r="C901" s="89">
        <v>46.5</v>
      </c>
      <c r="D901" s="291">
        <v>3068</v>
      </c>
      <c r="E901" s="12">
        <v>30</v>
      </c>
      <c r="F901" s="12">
        <v>3.8314319999999999</v>
      </c>
      <c r="G901" s="330">
        <f>'Proposed Rates'!$O$40/100</f>
        <v>0.2</v>
      </c>
      <c r="H901" s="291">
        <f t="shared" si="133"/>
        <v>2140.9377766400003</v>
      </c>
      <c r="I901" s="291">
        <f t="shared" si="134"/>
        <v>11754.833376</v>
      </c>
    </row>
    <row r="902" spans="1:10" outlineLevel="2" x14ac:dyDescent="0.2">
      <c r="A902" s="143">
        <v>39204</v>
      </c>
      <c r="B902">
        <v>1976</v>
      </c>
      <c r="C902" s="89">
        <v>48.5</v>
      </c>
      <c r="D902" s="291">
        <v>1425.84</v>
      </c>
      <c r="E902" s="12">
        <v>30</v>
      </c>
      <c r="F902" s="12">
        <v>3.2951030000000001</v>
      </c>
      <c r="G902" s="330">
        <f>'Proposed Rates'!$O$40/100</f>
        <v>0.2</v>
      </c>
      <c r="H902" s="291">
        <f t="shared" si="123"/>
        <v>1015.3842756928</v>
      </c>
      <c r="I902" s="291">
        <f t="shared" si="130"/>
        <v>4698.2896615199998</v>
      </c>
    </row>
    <row r="903" spans="1:10" outlineLevel="2" x14ac:dyDescent="0.2">
      <c r="A903" s="143">
        <v>39204</v>
      </c>
      <c r="B903">
        <v>1974</v>
      </c>
      <c r="C903" s="89">
        <v>50.5</v>
      </c>
      <c r="D903" s="291">
        <v>927.68</v>
      </c>
      <c r="E903" s="12">
        <v>30</v>
      </c>
      <c r="F903" s="12">
        <v>2.786216</v>
      </c>
      <c r="G903" s="330">
        <f>'Proposed Rates'!$O$40/100</f>
        <v>0.2</v>
      </c>
      <c r="H903" s="291">
        <f t="shared" si="123"/>
        <v>673.21821709653341</v>
      </c>
      <c r="I903" s="291">
        <f t="shared" si="130"/>
        <v>2584.71685888</v>
      </c>
    </row>
    <row r="904" spans="1:10" s="143" customFormat="1" outlineLevel="1" x14ac:dyDescent="0.2">
      <c r="A904" s="20" t="s">
        <v>1200</v>
      </c>
      <c r="C904" s="89"/>
      <c r="D904" s="291">
        <f>SUBTOTAL(9,D864:D903)</f>
        <v>4681567.3202562388</v>
      </c>
      <c r="E904" s="12"/>
      <c r="F904" s="12"/>
      <c r="G904" s="330"/>
      <c r="H904" s="291">
        <f>SUBTOTAL(9,H864:H903)</f>
        <v>605226.20688912738</v>
      </c>
      <c r="I904" s="291">
        <f>SUBTOTAL(9,I864:I903)</f>
        <v>117751036.84934489</v>
      </c>
      <c r="J904" s="291">
        <f>+I904/D904</f>
        <v>25.152054599291752</v>
      </c>
    </row>
    <row r="905" spans="1:10" outlineLevel="2" x14ac:dyDescent="0.2">
      <c r="A905">
        <v>39205</v>
      </c>
      <c r="B905">
        <v>2020</v>
      </c>
      <c r="C905" s="89">
        <v>4.5</v>
      </c>
      <c r="D905" s="291">
        <v>571330.16999999993</v>
      </c>
      <c r="E905" s="12">
        <v>13</v>
      </c>
      <c r="F905" s="12">
        <v>8.8521900000000002</v>
      </c>
      <c r="G905" s="330">
        <f>'Proposed Rates'!$O$41/100</f>
        <v>7.0000000000000007E-2</v>
      </c>
      <c r="H905" s="291">
        <f t="shared" si="123"/>
        <v>169529.62791982773</v>
      </c>
      <c r="I905" s="291">
        <f t="shared" si="130"/>
        <v>5057523.2175722998</v>
      </c>
    </row>
    <row r="906" spans="1:10" s="143" customFormat="1" outlineLevel="2" x14ac:dyDescent="0.2">
      <c r="A906" s="143">
        <v>39205</v>
      </c>
      <c r="B906" s="143">
        <v>2019</v>
      </c>
      <c r="C906" s="89">
        <v>5.5</v>
      </c>
      <c r="D906" s="291">
        <v>623444.4</v>
      </c>
      <c r="E906" s="12">
        <v>13</v>
      </c>
      <c r="F906" s="12">
        <v>8.0790439999999997</v>
      </c>
      <c r="G906" s="330">
        <f>'Proposed Rates'!$O$41/100</f>
        <v>7.0000000000000007E-2</v>
      </c>
      <c r="H906" s="291">
        <f t="shared" ref="H906:H911" si="135">+D906*(1-F906/E906)*(1-G906)</f>
        <v>219475.88373747325</v>
      </c>
      <c r="I906" s="291">
        <f t="shared" ref="I906:I911" si="136">+D906*F906</f>
        <v>5036834.7391536003</v>
      </c>
      <c r="J906" s="291"/>
    </row>
    <row r="907" spans="1:10" s="143" customFormat="1" outlineLevel="2" x14ac:dyDescent="0.2">
      <c r="A907" s="143">
        <v>39205</v>
      </c>
      <c r="B907" s="143">
        <v>2018</v>
      </c>
      <c r="C907" s="89">
        <v>6.5</v>
      </c>
      <c r="D907" s="291">
        <v>130825.56</v>
      </c>
      <c r="E907" s="12">
        <v>13</v>
      </c>
      <c r="F907" s="12">
        <v>7.4063299999999996</v>
      </c>
      <c r="G907" s="330">
        <f>'Proposed Rates'!$O$41/100</f>
        <v>7.0000000000000007E-2</v>
      </c>
      <c r="H907" s="291">
        <f t="shared" si="135"/>
        <v>52351.48919160277</v>
      </c>
      <c r="I907" s="291">
        <f t="shared" si="136"/>
        <v>968937.26979479997</v>
      </c>
      <c r="J907" s="291"/>
    </row>
    <row r="908" spans="1:10" s="143" customFormat="1" outlineLevel="2" x14ac:dyDescent="0.2">
      <c r="A908" s="143">
        <v>39205</v>
      </c>
      <c r="B908" s="143">
        <v>2016</v>
      </c>
      <c r="C908" s="89">
        <v>8.5</v>
      </c>
      <c r="D908" s="291">
        <v>202698.33000000002</v>
      </c>
      <c r="E908" s="12">
        <v>13</v>
      </c>
      <c r="F908" s="12">
        <v>6.39208</v>
      </c>
      <c r="G908" s="330">
        <f>'Proposed Rates'!$O$41/100</f>
        <v>7.0000000000000007E-2</v>
      </c>
      <c r="H908" s="291">
        <f t="shared" si="135"/>
        <v>95819.641873803688</v>
      </c>
      <c r="I908" s="291">
        <f t="shared" si="136"/>
        <v>1295663.9412264002</v>
      </c>
      <c r="J908" s="291"/>
    </row>
    <row r="909" spans="1:10" s="143" customFormat="1" outlineLevel="2" x14ac:dyDescent="0.2">
      <c r="A909" s="143">
        <v>39205</v>
      </c>
      <c r="B909" s="143">
        <v>2015</v>
      </c>
      <c r="C909" s="89">
        <v>9.5</v>
      </c>
      <c r="D909" s="291">
        <v>576414.01</v>
      </c>
      <c r="E909" s="12">
        <v>13</v>
      </c>
      <c r="F909" s="12">
        <v>6.0204089999999999</v>
      </c>
      <c r="G909" s="330">
        <f>'Proposed Rates'!$O$41/100</f>
        <v>7.0000000000000007E-2</v>
      </c>
      <c r="H909" s="291">
        <f t="shared" si="135"/>
        <v>287808.81953207817</v>
      </c>
      <c r="I909" s="291">
        <f t="shared" si="136"/>
        <v>3470248.0935300901</v>
      </c>
      <c r="J909" s="291"/>
    </row>
    <row r="910" spans="1:10" s="143" customFormat="1" outlineLevel="2" x14ac:dyDescent="0.2">
      <c r="A910" s="143">
        <v>39205</v>
      </c>
      <c r="B910" s="143">
        <v>2014</v>
      </c>
      <c r="C910" s="89">
        <v>10.5</v>
      </c>
      <c r="D910" s="291">
        <v>134191.32</v>
      </c>
      <c r="E910" s="12">
        <v>13</v>
      </c>
      <c r="F910" s="12">
        <v>5.7101009999999999</v>
      </c>
      <c r="G910" s="330">
        <f>'Proposed Rates'!$O$41/100</f>
        <v>7.0000000000000007E-2</v>
      </c>
      <c r="H910" s="291">
        <f t="shared" si="135"/>
        <v>69981.868277947113</v>
      </c>
      <c r="I910" s="291">
        <f t="shared" si="136"/>
        <v>766245.99052332004</v>
      </c>
      <c r="J910" s="291"/>
    </row>
    <row r="911" spans="1:10" s="143" customFormat="1" outlineLevel="2" x14ac:dyDescent="0.2">
      <c r="A911" s="143">
        <v>39205</v>
      </c>
      <c r="B911" s="143">
        <v>2013</v>
      </c>
      <c r="C911" s="89">
        <f>2024.5-B911</f>
        <v>11.5</v>
      </c>
      <c r="D911" s="291">
        <v>67792.77</v>
      </c>
      <c r="E911" s="12">
        <v>13</v>
      </c>
      <c r="F911" s="12">
        <v>5.4398479999999996</v>
      </c>
      <c r="G911" s="330">
        <f>'Proposed Rates'!$O$41/100</f>
        <v>7.0000000000000007E-2</v>
      </c>
      <c r="H911" s="291">
        <f t="shared" si="135"/>
        <v>36665.153115535941</v>
      </c>
      <c r="I911" s="291">
        <f t="shared" si="136"/>
        <v>368782.36429896002</v>
      </c>
      <c r="J911" s="291"/>
    </row>
    <row r="912" spans="1:10" s="143" customFormat="1" outlineLevel="2" x14ac:dyDescent="0.2">
      <c r="A912" s="143">
        <v>39205</v>
      </c>
      <c r="B912" s="143">
        <v>2011</v>
      </c>
      <c r="C912" s="89">
        <f t="shared" ref="C912:C919" si="137">2024.5-B912</f>
        <v>13.5</v>
      </c>
      <c r="D912" s="291">
        <v>0</v>
      </c>
      <c r="E912" s="12">
        <v>13</v>
      </c>
      <c r="F912" s="12">
        <v>4.95221</v>
      </c>
      <c r="G912" s="330">
        <f>'Proposed Rates'!$O$41/100</f>
        <v>7.0000000000000007E-2</v>
      </c>
      <c r="H912" s="291">
        <f t="shared" ref="H912:H917" si="138">+D912*(1-F912/E912)*(1-G912)</f>
        <v>0</v>
      </c>
      <c r="I912" s="291">
        <f t="shared" ref="I912:I917" si="139">+D912*F912</f>
        <v>0</v>
      </c>
      <c r="J912" s="291"/>
    </row>
    <row r="913" spans="1:12" s="143" customFormat="1" outlineLevel="2" x14ac:dyDescent="0.2">
      <c r="A913" s="143">
        <v>39205</v>
      </c>
      <c r="B913" s="143">
        <v>2010</v>
      </c>
      <c r="C913" s="89">
        <f t="shared" si="137"/>
        <v>14.5</v>
      </c>
      <c r="D913" s="291">
        <v>8912.49</v>
      </c>
      <c r="E913" s="12">
        <v>13</v>
      </c>
      <c r="F913" s="12">
        <v>4.7122089999999996</v>
      </c>
      <c r="G913" s="330">
        <f>'Proposed Rates'!$O$41/100</f>
        <v>7.0000000000000007E-2</v>
      </c>
      <c r="H913" s="291">
        <f t="shared" si="138"/>
        <v>5284.1780462245142</v>
      </c>
      <c r="I913" s="291">
        <f t="shared" si="139"/>
        <v>41997.515590409996</v>
      </c>
      <c r="J913" s="291"/>
    </row>
    <row r="914" spans="1:12" s="143" customFormat="1" outlineLevel="2" x14ac:dyDescent="0.2">
      <c r="A914" s="143">
        <v>39205</v>
      </c>
      <c r="B914" s="143">
        <v>2007</v>
      </c>
      <c r="C914" s="89">
        <f t="shared" si="137"/>
        <v>17.5</v>
      </c>
      <c r="D914" s="291">
        <v>71334.69</v>
      </c>
      <c r="E914" s="12">
        <v>13</v>
      </c>
      <c r="F914" s="12">
        <v>3.9680840000000002</v>
      </c>
      <c r="G914" s="330">
        <f>'Proposed Rates'!$O$41/100</f>
        <v>7.0000000000000007E-2</v>
      </c>
      <c r="H914" s="291">
        <f t="shared" si="138"/>
        <v>46091.438692955169</v>
      </c>
      <c r="I914" s="291">
        <f t="shared" si="139"/>
        <v>283062.04203396</v>
      </c>
      <c r="J914" s="291"/>
    </row>
    <row r="915" spans="1:12" s="143" customFormat="1" outlineLevel="2" x14ac:dyDescent="0.2">
      <c r="A915" s="143">
        <v>39205</v>
      </c>
      <c r="B915" s="143">
        <v>2006</v>
      </c>
      <c r="C915" s="89">
        <f t="shared" si="137"/>
        <v>18.5</v>
      </c>
      <c r="D915" s="291">
        <v>120234.03000000001</v>
      </c>
      <c r="E915" s="12">
        <v>13</v>
      </c>
      <c r="F915" s="12">
        <v>3.7180040000000001</v>
      </c>
      <c r="G915" s="330">
        <f>'Proposed Rates'!$O$41/100</f>
        <v>7.0000000000000007E-2</v>
      </c>
      <c r="H915" s="291">
        <f t="shared" si="138"/>
        <v>79837.766195169883</v>
      </c>
      <c r="I915" s="291">
        <f t="shared" si="139"/>
        <v>447030.60447612003</v>
      </c>
      <c r="J915" s="291"/>
    </row>
    <row r="916" spans="1:12" outlineLevel="2" x14ac:dyDescent="0.2">
      <c r="A916" s="143">
        <v>39205</v>
      </c>
      <c r="B916">
        <v>2005</v>
      </c>
      <c r="C916" s="89">
        <f t="shared" si="137"/>
        <v>19.5</v>
      </c>
      <c r="D916" s="291">
        <v>10202.86</v>
      </c>
      <c r="E916" s="12">
        <v>13</v>
      </c>
      <c r="F916" s="12">
        <v>3.4721950000000001</v>
      </c>
      <c r="G916" s="330">
        <f>'Proposed Rates'!$O$41/100</f>
        <v>7.0000000000000007E-2</v>
      </c>
      <c r="H916" s="291">
        <f t="shared" si="138"/>
        <v>6954.3154065953076</v>
      </c>
      <c r="I916" s="291">
        <f t="shared" si="139"/>
        <v>35426.319477700003</v>
      </c>
      <c r="K916" s="143"/>
      <c r="L916" s="143"/>
    </row>
    <row r="917" spans="1:12" outlineLevel="2" x14ac:dyDescent="0.2">
      <c r="A917" s="143">
        <v>39205</v>
      </c>
      <c r="B917">
        <v>2001</v>
      </c>
      <c r="C917" s="89">
        <f t="shared" si="137"/>
        <v>23.5</v>
      </c>
      <c r="D917" s="291">
        <v>0</v>
      </c>
      <c r="E917" s="12">
        <v>13</v>
      </c>
      <c r="F917" s="12">
        <v>2.5593360000000001</v>
      </c>
      <c r="G917" s="330">
        <f>'Proposed Rates'!$O$41/100</f>
        <v>7.0000000000000007E-2</v>
      </c>
      <c r="H917" s="291">
        <f t="shared" si="138"/>
        <v>0</v>
      </c>
      <c r="I917" s="291">
        <f t="shared" si="139"/>
        <v>0</v>
      </c>
      <c r="K917" s="143"/>
      <c r="L917" s="143"/>
    </row>
    <row r="918" spans="1:12" outlineLevel="2" x14ac:dyDescent="0.2">
      <c r="A918" s="143">
        <v>39205</v>
      </c>
      <c r="B918">
        <v>1993</v>
      </c>
      <c r="C918" s="89">
        <f t="shared" si="137"/>
        <v>31.5</v>
      </c>
      <c r="D918" s="291">
        <v>0</v>
      </c>
      <c r="E918" s="12">
        <v>13</v>
      </c>
      <c r="F918" s="12">
        <v>1.050556</v>
      </c>
      <c r="G918" s="330">
        <f>'Proposed Rates'!$O$41/100</f>
        <v>7.0000000000000007E-2</v>
      </c>
      <c r="H918" s="291">
        <f t="shared" ref="H918:H986" si="140">+D918*(1-F918/E918)*(1-G918)</f>
        <v>0</v>
      </c>
      <c r="I918" s="291">
        <f t="shared" si="130"/>
        <v>0</v>
      </c>
    </row>
    <row r="919" spans="1:12" outlineLevel="2" x14ac:dyDescent="0.2">
      <c r="A919" s="143">
        <v>39205</v>
      </c>
      <c r="B919">
        <v>1992</v>
      </c>
      <c r="C919" s="89">
        <f t="shared" si="137"/>
        <v>32.5</v>
      </c>
      <c r="D919" s="291">
        <v>46758.6</v>
      </c>
      <c r="E919" s="12">
        <v>13</v>
      </c>
      <c r="F919" s="12">
        <v>0.89119899999999996</v>
      </c>
      <c r="G919" s="330">
        <f>'Proposed Rates'!$O$41/100</f>
        <v>7.0000000000000007E-2</v>
      </c>
      <c r="H919" s="291">
        <f t="shared" si="140"/>
        <v>40504.403205222923</v>
      </c>
      <c r="I919" s="291">
        <f t="shared" si="130"/>
        <v>41671.217561399993</v>
      </c>
    </row>
    <row r="920" spans="1:12" s="143" customFormat="1" outlineLevel="1" x14ac:dyDescent="0.2">
      <c r="A920" s="20" t="s">
        <v>1201</v>
      </c>
      <c r="C920" s="89"/>
      <c r="D920" s="291">
        <f>SUBTOTAL(9,D905:D919)</f>
        <v>2564139.2299999995</v>
      </c>
      <c r="E920" s="12"/>
      <c r="F920" s="12"/>
      <c r="G920" s="330"/>
      <c r="H920" s="291">
        <f>SUBTOTAL(9,H905:H919)</f>
        <v>1110304.5851944366</v>
      </c>
      <c r="I920" s="291">
        <f>SUBTOTAL(9,I905:I919)</f>
        <v>17813423.315239061</v>
      </c>
      <c r="J920" s="291">
        <f>+I920/D920</f>
        <v>6.9471357509861367</v>
      </c>
    </row>
    <row r="921" spans="1:12" outlineLevel="2" x14ac:dyDescent="0.2">
      <c r="A921">
        <v>39300</v>
      </c>
      <c r="B921">
        <v>2012</v>
      </c>
      <c r="C921" s="89">
        <f t="shared" ref="C921:C927" si="141">2024.5-B921</f>
        <v>12.5</v>
      </c>
      <c r="D921" s="291">
        <v>1283.3900000000001</v>
      </c>
      <c r="E921" s="12">
        <v>24</v>
      </c>
      <c r="F921" s="12">
        <f t="shared" ref="F921:F951" si="142">+E921-C921</f>
        <v>11.5</v>
      </c>
      <c r="G921" s="330">
        <f>'Proposed Rates'!$O$53/100</f>
        <v>0</v>
      </c>
      <c r="H921" s="291">
        <f t="shared" si="140"/>
        <v>668.43229166666663</v>
      </c>
      <c r="I921" s="291">
        <f t="shared" si="130"/>
        <v>14758.985000000001</v>
      </c>
    </row>
    <row r="922" spans="1:12" s="143" customFormat="1" outlineLevel="1" x14ac:dyDescent="0.2">
      <c r="A922" s="20" t="s">
        <v>1202</v>
      </c>
      <c r="C922" s="89"/>
      <c r="D922" s="291">
        <f>SUBTOTAL(9,D921:D921)</f>
        <v>1283.3900000000001</v>
      </c>
      <c r="E922" s="12"/>
      <c r="F922" s="12">
        <f t="shared" si="142"/>
        <v>0</v>
      </c>
      <c r="G922" s="330"/>
      <c r="H922" s="291">
        <f>SUBTOTAL(9,H921:H921)</f>
        <v>668.43229166666663</v>
      </c>
      <c r="I922" s="291">
        <f>SUBTOTAL(9,I921:I921)</f>
        <v>14758.985000000001</v>
      </c>
      <c r="J922" s="291">
        <f>+I922/D922</f>
        <v>11.5</v>
      </c>
    </row>
    <row r="923" spans="1:12" outlineLevel="2" x14ac:dyDescent="0.2">
      <c r="A923">
        <v>39400</v>
      </c>
      <c r="B923">
        <v>2024</v>
      </c>
      <c r="C923" s="89">
        <f t="shared" si="141"/>
        <v>0.5</v>
      </c>
      <c r="D923" s="291">
        <v>823262</v>
      </c>
      <c r="E923" s="12">
        <v>18</v>
      </c>
      <c r="F923" s="12">
        <f t="shared" si="142"/>
        <v>17.5</v>
      </c>
      <c r="G923" s="330">
        <f>'Proposed Rates'!$O$54/100</f>
        <v>0</v>
      </c>
      <c r="H923" s="291">
        <f t="shared" si="140"/>
        <v>22868.388888888898</v>
      </c>
      <c r="I923" s="291">
        <f t="shared" si="130"/>
        <v>14407085</v>
      </c>
    </row>
    <row r="924" spans="1:12" outlineLevel="2" x14ac:dyDescent="0.2">
      <c r="A924">
        <v>39400</v>
      </c>
      <c r="B924">
        <v>2023</v>
      </c>
      <c r="C924" s="89">
        <f t="shared" si="141"/>
        <v>1.5</v>
      </c>
      <c r="D924" s="291">
        <v>1605734.5099999998</v>
      </c>
      <c r="E924" s="12">
        <v>18</v>
      </c>
      <c r="F924" s="12">
        <f t="shared" si="142"/>
        <v>16.5</v>
      </c>
      <c r="G924" s="330">
        <f>'Proposed Rates'!$O$54/100</f>
        <v>0</v>
      </c>
      <c r="H924" s="291">
        <f t="shared" ref="H924:H933" si="143">+D924*(1-F924/E924)*(1-G924)</f>
        <v>133811.2091666667</v>
      </c>
      <c r="I924" s="291">
        <f t="shared" ref="I924:I933" si="144">+D924*F924</f>
        <v>26494619.414999995</v>
      </c>
    </row>
    <row r="925" spans="1:12" s="143" customFormat="1" outlineLevel="2" x14ac:dyDescent="0.2">
      <c r="A925" s="143">
        <v>39400</v>
      </c>
      <c r="B925" s="143">
        <v>2022</v>
      </c>
      <c r="C925" s="89">
        <f t="shared" si="141"/>
        <v>2.5</v>
      </c>
      <c r="D925" s="291">
        <v>70095.72</v>
      </c>
      <c r="E925" s="12">
        <v>18</v>
      </c>
      <c r="F925" s="12">
        <f t="shared" si="142"/>
        <v>15.5</v>
      </c>
      <c r="G925" s="330">
        <f>'Proposed Rates'!$O$54/100</f>
        <v>0</v>
      </c>
      <c r="H925" s="291">
        <f t="shared" si="143"/>
        <v>9735.5166666666628</v>
      </c>
      <c r="I925" s="291">
        <f t="shared" si="144"/>
        <v>1086483.6599999999</v>
      </c>
      <c r="J925" s="291"/>
    </row>
    <row r="926" spans="1:12" s="143" customFormat="1" outlineLevel="2" x14ac:dyDescent="0.2">
      <c r="A926" s="143">
        <v>39400</v>
      </c>
      <c r="B926" s="143">
        <v>2021</v>
      </c>
      <c r="C926" s="89">
        <f t="shared" si="141"/>
        <v>3.5</v>
      </c>
      <c r="D926" s="291">
        <v>43089.54</v>
      </c>
      <c r="E926" s="12">
        <v>18</v>
      </c>
      <c r="F926" s="12">
        <f t="shared" si="142"/>
        <v>14.5</v>
      </c>
      <c r="G926" s="330">
        <f>'Proposed Rates'!$O$54/100</f>
        <v>0</v>
      </c>
      <c r="H926" s="291">
        <f t="shared" si="143"/>
        <v>8378.5216666666656</v>
      </c>
      <c r="I926" s="291">
        <f t="shared" si="144"/>
        <v>624798.32999999996</v>
      </c>
      <c r="J926" s="291"/>
    </row>
    <row r="927" spans="1:12" s="143" customFormat="1" outlineLevel="2" x14ac:dyDescent="0.2">
      <c r="A927" s="143">
        <v>39400</v>
      </c>
      <c r="B927" s="143">
        <v>2020</v>
      </c>
      <c r="C927" s="89">
        <f t="shared" si="141"/>
        <v>4.5</v>
      </c>
      <c r="D927" s="291">
        <v>138839.27000000002</v>
      </c>
      <c r="E927" s="12">
        <v>18</v>
      </c>
      <c r="F927" s="12">
        <f t="shared" si="142"/>
        <v>13.5</v>
      </c>
      <c r="G927" s="330">
        <f>'Proposed Rates'!$O$54/100</f>
        <v>0</v>
      </c>
      <c r="H927" s="291">
        <f t="shared" si="143"/>
        <v>34709.817500000005</v>
      </c>
      <c r="I927" s="291">
        <f t="shared" si="144"/>
        <v>1874330.1450000003</v>
      </c>
      <c r="J927" s="291"/>
    </row>
    <row r="928" spans="1:12" s="143" customFormat="1" outlineLevel="2" x14ac:dyDescent="0.2">
      <c r="A928" s="143">
        <v>39400</v>
      </c>
      <c r="B928" s="143">
        <v>2019</v>
      </c>
      <c r="C928" s="89">
        <f t="shared" ref="C928:C993" si="145">2024.5-B928</f>
        <v>5.5</v>
      </c>
      <c r="D928" s="291">
        <v>169435.99</v>
      </c>
      <c r="E928" s="12">
        <v>18</v>
      </c>
      <c r="F928" s="12">
        <f t="shared" si="142"/>
        <v>12.5</v>
      </c>
      <c r="G928" s="330">
        <f>'Proposed Rates'!$O$54/100</f>
        <v>0</v>
      </c>
      <c r="H928" s="291">
        <f t="shared" si="143"/>
        <v>51772.10805555556</v>
      </c>
      <c r="I928" s="291">
        <f t="shared" si="144"/>
        <v>2117949.875</v>
      </c>
      <c r="J928" s="291"/>
    </row>
    <row r="929" spans="1:10" s="143" customFormat="1" outlineLevel="2" x14ac:dyDescent="0.2">
      <c r="A929" s="143">
        <v>39400</v>
      </c>
      <c r="B929" s="143">
        <v>2018</v>
      </c>
      <c r="C929" s="89">
        <f t="shared" si="145"/>
        <v>6.5</v>
      </c>
      <c r="D929" s="291">
        <v>185617.31999999998</v>
      </c>
      <c r="E929" s="12">
        <v>18</v>
      </c>
      <c r="F929" s="12">
        <f t="shared" si="142"/>
        <v>11.5</v>
      </c>
      <c r="G929" s="330">
        <f>'Proposed Rates'!$O$54/100</f>
        <v>0</v>
      </c>
      <c r="H929" s="291">
        <f t="shared" si="143"/>
        <v>67028.476666666669</v>
      </c>
      <c r="I929" s="291">
        <f t="shared" si="144"/>
        <v>2134599.1799999997</v>
      </c>
      <c r="J929" s="291"/>
    </row>
    <row r="930" spans="1:10" s="143" customFormat="1" outlineLevel="2" x14ac:dyDescent="0.2">
      <c r="A930" s="143">
        <v>39400</v>
      </c>
      <c r="B930" s="143">
        <v>2017</v>
      </c>
      <c r="C930" s="89">
        <f t="shared" si="145"/>
        <v>7.5</v>
      </c>
      <c r="D930" s="291">
        <v>131580.30000000002</v>
      </c>
      <c r="E930" s="12">
        <v>18</v>
      </c>
      <c r="F930" s="12">
        <f t="shared" si="142"/>
        <v>10.5</v>
      </c>
      <c r="G930" s="330">
        <f>'Proposed Rates'!$O$54/100</f>
        <v>0</v>
      </c>
      <c r="H930" s="291">
        <f t="shared" si="143"/>
        <v>54825.125</v>
      </c>
      <c r="I930" s="291">
        <f t="shared" si="144"/>
        <v>1381593.1500000001</v>
      </c>
      <c r="J930" s="291"/>
    </row>
    <row r="931" spans="1:10" s="143" customFormat="1" outlineLevel="2" x14ac:dyDescent="0.2">
      <c r="A931" s="143">
        <v>39400</v>
      </c>
      <c r="B931" s="143">
        <v>2016</v>
      </c>
      <c r="C931" s="89">
        <f t="shared" si="145"/>
        <v>8.5</v>
      </c>
      <c r="D931" s="291">
        <v>303818.81</v>
      </c>
      <c r="E931" s="12">
        <v>18</v>
      </c>
      <c r="F931" s="12">
        <f t="shared" si="142"/>
        <v>9.5</v>
      </c>
      <c r="G931" s="330">
        <f>'Proposed Rates'!$O$54/100</f>
        <v>0</v>
      </c>
      <c r="H931" s="291">
        <f t="shared" si="143"/>
        <v>143469.9936111111</v>
      </c>
      <c r="I931" s="291">
        <f t="shared" si="144"/>
        <v>2886278.6949999998</v>
      </c>
      <c r="J931" s="291"/>
    </row>
    <row r="932" spans="1:10" outlineLevel="2" x14ac:dyDescent="0.2">
      <c r="A932" s="143">
        <v>39400</v>
      </c>
      <c r="B932">
        <v>2015</v>
      </c>
      <c r="C932" s="89">
        <f t="shared" si="145"/>
        <v>9.5</v>
      </c>
      <c r="D932" s="291">
        <v>2693626.21</v>
      </c>
      <c r="E932" s="12">
        <v>18</v>
      </c>
      <c r="F932" s="12">
        <f t="shared" si="142"/>
        <v>8.5</v>
      </c>
      <c r="G932" s="330">
        <f>'Proposed Rates'!$O$54/100</f>
        <v>0</v>
      </c>
      <c r="H932" s="291">
        <f t="shared" si="143"/>
        <v>1421636.0552777778</v>
      </c>
      <c r="I932" s="291">
        <f t="shared" si="144"/>
        <v>22895822.785</v>
      </c>
    </row>
    <row r="933" spans="1:10" outlineLevel="2" x14ac:dyDescent="0.2">
      <c r="A933" s="143">
        <v>39400</v>
      </c>
      <c r="B933">
        <v>2014</v>
      </c>
      <c r="C933" s="89">
        <f t="shared" si="145"/>
        <v>10.5</v>
      </c>
      <c r="D933" s="291">
        <v>1471365.8900000001</v>
      </c>
      <c r="E933" s="12">
        <v>18</v>
      </c>
      <c r="F933" s="12">
        <f t="shared" si="142"/>
        <v>7.5</v>
      </c>
      <c r="G933" s="330">
        <f>'Proposed Rates'!$O$54/100</f>
        <v>0</v>
      </c>
      <c r="H933" s="291">
        <f t="shared" si="143"/>
        <v>858296.76916666667</v>
      </c>
      <c r="I933" s="291">
        <f t="shared" si="144"/>
        <v>11035244.175000001</v>
      </c>
    </row>
    <row r="934" spans="1:10" s="143" customFormat="1" outlineLevel="2" x14ac:dyDescent="0.2">
      <c r="A934" s="143">
        <v>39400</v>
      </c>
      <c r="B934" s="143">
        <v>2013</v>
      </c>
      <c r="C934" s="89">
        <f t="shared" si="145"/>
        <v>11.5</v>
      </c>
      <c r="D934" s="291">
        <v>386884.17</v>
      </c>
      <c r="E934" s="12">
        <v>18</v>
      </c>
      <c r="F934" s="12">
        <f t="shared" ref="F934:F940" si="146">+E934-C934</f>
        <v>6.5</v>
      </c>
      <c r="G934" s="330">
        <f>'Proposed Rates'!$O$54/100</f>
        <v>0</v>
      </c>
      <c r="H934" s="291">
        <f t="shared" ref="H934:H943" si="147">+D934*(1-F934/E934)*(1-G934)</f>
        <v>247175.99749999997</v>
      </c>
      <c r="I934" s="291">
        <f t="shared" ref="I934:I942" si="148">+D934*F934</f>
        <v>2514747.105</v>
      </c>
      <c r="J934" s="291"/>
    </row>
    <row r="935" spans="1:10" s="143" customFormat="1" outlineLevel="2" x14ac:dyDescent="0.2">
      <c r="A935" s="143">
        <v>39400</v>
      </c>
      <c r="B935" s="143">
        <v>2012</v>
      </c>
      <c r="C935" s="89">
        <f t="shared" si="145"/>
        <v>12.5</v>
      </c>
      <c r="D935" s="291">
        <v>160080.34000000005</v>
      </c>
      <c r="E935" s="12">
        <v>18</v>
      </c>
      <c r="F935" s="12">
        <f t="shared" si="146"/>
        <v>5.5</v>
      </c>
      <c r="G935" s="330">
        <f>'Proposed Rates'!$O$54/100</f>
        <v>0</v>
      </c>
      <c r="H935" s="291">
        <f t="shared" si="147"/>
        <v>111166.90277777781</v>
      </c>
      <c r="I935" s="291">
        <f t="shared" si="148"/>
        <v>880441.87000000034</v>
      </c>
      <c r="J935" s="291"/>
    </row>
    <row r="936" spans="1:10" s="143" customFormat="1" outlineLevel="2" x14ac:dyDescent="0.2">
      <c r="A936" s="143">
        <v>39400</v>
      </c>
      <c r="B936" s="143">
        <v>2011</v>
      </c>
      <c r="C936" s="89">
        <f t="shared" si="145"/>
        <v>13.5</v>
      </c>
      <c r="D936" s="291">
        <v>370307.51999999996</v>
      </c>
      <c r="E936" s="12">
        <v>18</v>
      </c>
      <c r="F936" s="12">
        <f t="shared" si="146"/>
        <v>4.5</v>
      </c>
      <c r="G936" s="330">
        <f>'Proposed Rates'!$O$54/100</f>
        <v>0</v>
      </c>
      <c r="H936" s="291">
        <f t="shared" si="147"/>
        <v>277730.63999999996</v>
      </c>
      <c r="I936" s="291">
        <f t="shared" si="148"/>
        <v>1666383.8399999999</v>
      </c>
      <c r="J936" s="291"/>
    </row>
    <row r="937" spans="1:10" s="143" customFormat="1" outlineLevel="2" x14ac:dyDescent="0.2">
      <c r="A937" s="143">
        <v>39400</v>
      </c>
      <c r="B937" s="143">
        <v>2010</v>
      </c>
      <c r="C937" s="89">
        <f t="shared" si="145"/>
        <v>14.5</v>
      </c>
      <c r="D937" s="291">
        <v>165917.14999999997</v>
      </c>
      <c r="E937" s="12">
        <v>18</v>
      </c>
      <c r="F937" s="12">
        <f t="shared" si="146"/>
        <v>3.5</v>
      </c>
      <c r="G937" s="330">
        <f>'Proposed Rates'!$O$54/100</f>
        <v>0</v>
      </c>
      <c r="H937" s="291">
        <f t="shared" si="147"/>
        <v>133655.48194444441</v>
      </c>
      <c r="I937" s="291">
        <f t="shared" si="148"/>
        <v>580710.02499999991</v>
      </c>
      <c r="J937" s="291"/>
    </row>
    <row r="938" spans="1:10" outlineLevel="2" x14ac:dyDescent="0.2">
      <c r="A938" s="143">
        <v>39400</v>
      </c>
      <c r="B938">
        <v>2009</v>
      </c>
      <c r="C938" s="89">
        <f t="shared" si="145"/>
        <v>15.5</v>
      </c>
      <c r="D938" s="291">
        <v>211344.44999999998</v>
      </c>
      <c r="E938" s="12">
        <v>18</v>
      </c>
      <c r="F938" s="12">
        <f t="shared" si="146"/>
        <v>2.5</v>
      </c>
      <c r="G938" s="330">
        <f>'Proposed Rates'!$O$54/100</f>
        <v>0</v>
      </c>
      <c r="H938" s="291">
        <f t="shared" si="147"/>
        <v>181991.05416666667</v>
      </c>
      <c r="I938" s="291">
        <f t="shared" si="148"/>
        <v>528361.125</v>
      </c>
    </row>
    <row r="939" spans="1:10" outlineLevel="2" x14ac:dyDescent="0.2">
      <c r="A939" s="143">
        <v>39400</v>
      </c>
      <c r="B939">
        <v>2008</v>
      </c>
      <c r="C939" s="89">
        <f t="shared" si="145"/>
        <v>16.5</v>
      </c>
      <c r="D939" s="291">
        <v>77877.13</v>
      </c>
      <c r="E939" s="12">
        <v>18</v>
      </c>
      <c r="F939" s="12">
        <f t="shared" si="146"/>
        <v>1.5</v>
      </c>
      <c r="G939" s="330">
        <f>'Proposed Rates'!$O$54/100</f>
        <v>0</v>
      </c>
      <c r="H939" s="291">
        <f t="shared" si="147"/>
        <v>71387.369166666671</v>
      </c>
      <c r="I939" s="291">
        <f t="shared" si="148"/>
        <v>116815.69500000001</v>
      </c>
    </row>
    <row r="940" spans="1:10" outlineLevel="2" x14ac:dyDescent="0.2">
      <c r="A940" s="143">
        <v>39400</v>
      </c>
      <c r="B940">
        <v>2007</v>
      </c>
      <c r="C940" s="89">
        <f t="shared" si="145"/>
        <v>17.5</v>
      </c>
      <c r="D940" s="291">
        <v>120829</v>
      </c>
      <c r="E940" s="12">
        <v>18</v>
      </c>
      <c r="F940" s="12">
        <f t="shared" si="146"/>
        <v>0.5</v>
      </c>
      <c r="G940" s="330">
        <f>'Proposed Rates'!$O$54/100</f>
        <v>0</v>
      </c>
      <c r="H940" s="291">
        <f t="shared" si="147"/>
        <v>117472.63888888889</v>
      </c>
      <c r="I940" s="291">
        <f t="shared" si="148"/>
        <v>60414.5</v>
      </c>
    </row>
    <row r="941" spans="1:10" outlineLevel="2" x14ac:dyDescent="0.2">
      <c r="A941">
        <v>39400</v>
      </c>
      <c r="B941">
        <v>2006</v>
      </c>
      <c r="C941" s="89">
        <f t="shared" si="145"/>
        <v>18.5</v>
      </c>
      <c r="D941" s="291">
        <v>102556.61</v>
      </c>
      <c r="E941" s="12">
        <v>18</v>
      </c>
      <c r="F941" s="12">
        <v>0</v>
      </c>
      <c r="G941" s="330">
        <f>'Proposed Rates'!$O$54/100</f>
        <v>0</v>
      </c>
      <c r="H941" s="291">
        <f t="shared" si="147"/>
        <v>102556.61</v>
      </c>
      <c r="I941" s="291">
        <f t="shared" si="148"/>
        <v>0</v>
      </c>
    </row>
    <row r="942" spans="1:10" outlineLevel="2" x14ac:dyDescent="0.2">
      <c r="A942">
        <v>39400</v>
      </c>
      <c r="B942">
        <v>2005</v>
      </c>
      <c r="C942" s="89">
        <f t="shared" si="145"/>
        <v>19.5</v>
      </c>
      <c r="D942" s="291">
        <v>102633.27</v>
      </c>
      <c r="E942" s="12">
        <v>18</v>
      </c>
      <c r="F942" s="12">
        <v>0</v>
      </c>
      <c r="G942" s="330">
        <f>'Proposed Rates'!$O$54/100</f>
        <v>0</v>
      </c>
      <c r="H942" s="291">
        <f t="shared" si="147"/>
        <v>102633.27</v>
      </c>
      <c r="I942" s="291">
        <f t="shared" si="148"/>
        <v>0</v>
      </c>
    </row>
    <row r="943" spans="1:10" s="143" customFormat="1" outlineLevel="2" x14ac:dyDescent="0.2">
      <c r="A943" s="143">
        <v>39400</v>
      </c>
      <c r="B943" s="143">
        <v>2004</v>
      </c>
      <c r="C943" s="89">
        <f t="shared" si="145"/>
        <v>20.5</v>
      </c>
      <c r="D943" s="291">
        <v>10203.200000000012</v>
      </c>
      <c r="E943" s="12">
        <v>18</v>
      </c>
      <c r="F943" s="12">
        <v>0</v>
      </c>
      <c r="G943" s="330">
        <v>0</v>
      </c>
      <c r="H943" s="291">
        <f t="shared" si="147"/>
        <v>10203.200000000012</v>
      </c>
      <c r="I943" s="291">
        <v>0</v>
      </c>
      <c r="J943" s="291"/>
    </row>
    <row r="944" spans="1:10" s="143" customFormat="1" outlineLevel="1" x14ac:dyDescent="0.2">
      <c r="A944" s="20" t="s">
        <v>1203</v>
      </c>
      <c r="C944" s="89" t="s">
        <v>1230</v>
      </c>
      <c r="D944" s="291">
        <f>SUBTOTAL(9,D923:D943)</f>
        <v>9345098.3999999985</v>
      </c>
      <c r="E944" s="12"/>
      <c r="F944" s="119" t="s">
        <v>1230</v>
      </c>
      <c r="G944" s="330"/>
      <c r="H944" s="291">
        <f>SUBTOTAL(9,H923:H943)</f>
        <v>4162505.1461111121</v>
      </c>
      <c r="I944" s="291">
        <f>SUBTOTAL(9,I923:I943)</f>
        <v>93286678.569999993</v>
      </c>
      <c r="J944" s="291">
        <f>+I944/D944</f>
        <v>9.9824180096380797</v>
      </c>
    </row>
    <row r="945" spans="1:10" outlineLevel="2" x14ac:dyDescent="0.2">
      <c r="A945">
        <v>39401</v>
      </c>
      <c r="B945">
        <v>2023</v>
      </c>
      <c r="C945" s="89">
        <f t="shared" si="145"/>
        <v>1.5</v>
      </c>
      <c r="D945" s="291">
        <v>655754.14</v>
      </c>
      <c r="E945" s="12">
        <v>20</v>
      </c>
      <c r="F945" s="12">
        <f t="shared" si="142"/>
        <v>18.5</v>
      </c>
      <c r="G945" s="330">
        <f>'Proposed Rates'!$O$55/100</f>
        <v>0</v>
      </c>
      <c r="H945" s="291">
        <f>+D945*(1-F945/E945)*(1-G945)</f>
        <v>49181.56049999997</v>
      </c>
      <c r="I945" s="291">
        <f>+D945*F945</f>
        <v>12131451.59</v>
      </c>
    </row>
    <row r="946" spans="1:10" s="143" customFormat="1" outlineLevel="2" x14ac:dyDescent="0.2">
      <c r="A946" s="143">
        <v>39401</v>
      </c>
      <c r="B946" s="143">
        <v>2022</v>
      </c>
      <c r="C946" s="89">
        <f t="shared" si="145"/>
        <v>2.5</v>
      </c>
      <c r="D946" s="291">
        <v>4788.5600000000004</v>
      </c>
      <c r="E946" s="12">
        <v>20</v>
      </c>
      <c r="F946" s="12">
        <f t="shared" si="142"/>
        <v>17.5</v>
      </c>
      <c r="G946" s="330">
        <f>'Proposed Rates'!$O$55/100</f>
        <v>0</v>
      </c>
      <c r="H946" s="291">
        <f>+D946*(1-F946/E946)*(1-G946)</f>
        <v>598.57000000000005</v>
      </c>
      <c r="I946" s="291">
        <f>+D946*F946</f>
        <v>83799.8</v>
      </c>
      <c r="J946" s="291"/>
    </row>
    <row r="947" spans="1:10" s="143" customFormat="1" outlineLevel="2" x14ac:dyDescent="0.2">
      <c r="A947" s="143">
        <v>39401</v>
      </c>
      <c r="B947" s="143">
        <v>2020</v>
      </c>
      <c r="C947" s="89">
        <f t="shared" si="145"/>
        <v>4.5</v>
      </c>
      <c r="D947" s="291">
        <v>24427.550000000003</v>
      </c>
      <c r="E947" s="12">
        <v>20</v>
      </c>
      <c r="F947" s="12">
        <f t="shared" si="142"/>
        <v>15.5</v>
      </c>
      <c r="G947" s="330">
        <f>'Proposed Rates'!$O$55/100</f>
        <v>0</v>
      </c>
      <c r="H947" s="291">
        <f t="shared" ref="H947:H952" si="149">+D947*(1-F947/E947)*(1-G947)</f>
        <v>5496.1987500000005</v>
      </c>
      <c r="I947" s="291">
        <f t="shared" ref="I947:I952" si="150">+D947*F947</f>
        <v>378627.02500000002</v>
      </c>
      <c r="J947" s="291"/>
    </row>
    <row r="948" spans="1:10" s="143" customFormat="1" outlineLevel="2" x14ac:dyDescent="0.2">
      <c r="A948" s="143">
        <v>39401</v>
      </c>
      <c r="B948" s="143">
        <v>2019</v>
      </c>
      <c r="C948" s="89">
        <f t="shared" si="145"/>
        <v>5.5</v>
      </c>
      <c r="D948" s="291">
        <v>1095156.28</v>
      </c>
      <c r="E948" s="12">
        <v>20</v>
      </c>
      <c r="F948" s="12">
        <f t="shared" si="142"/>
        <v>14.5</v>
      </c>
      <c r="G948" s="330">
        <f>'Proposed Rates'!$O$55/100</f>
        <v>0</v>
      </c>
      <c r="H948" s="291">
        <f t="shared" si="149"/>
        <v>301167.97700000001</v>
      </c>
      <c r="I948" s="291">
        <f t="shared" si="150"/>
        <v>15879766.060000001</v>
      </c>
      <c r="J948" s="291"/>
    </row>
    <row r="949" spans="1:10" s="143" customFormat="1" outlineLevel="2" x14ac:dyDescent="0.2">
      <c r="A949" s="143">
        <v>39401</v>
      </c>
      <c r="B949" s="143">
        <v>2016</v>
      </c>
      <c r="C949" s="89">
        <f t="shared" si="145"/>
        <v>8.5</v>
      </c>
      <c r="D949" s="291">
        <v>1431845.1399999987</v>
      </c>
      <c r="E949" s="12">
        <v>20</v>
      </c>
      <c r="F949" s="12">
        <f t="shared" si="142"/>
        <v>11.5</v>
      </c>
      <c r="G949" s="330">
        <f>'Proposed Rates'!$O$55/100</f>
        <v>0</v>
      </c>
      <c r="H949" s="291">
        <f t="shared" si="149"/>
        <v>608534.18449999951</v>
      </c>
      <c r="I949" s="291">
        <f t="shared" si="150"/>
        <v>16466219.109999985</v>
      </c>
      <c r="J949" s="291"/>
    </row>
    <row r="950" spans="1:10" s="143" customFormat="1" outlineLevel="2" x14ac:dyDescent="0.2">
      <c r="A950" s="143">
        <v>39401</v>
      </c>
      <c r="B950" s="143">
        <v>2013</v>
      </c>
      <c r="C950" s="89">
        <f t="shared" ref="C950" si="151">2024.5-B950</f>
        <v>11.5</v>
      </c>
      <c r="D950" s="291">
        <v>20727.47</v>
      </c>
      <c r="E950" s="12">
        <v>20</v>
      </c>
      <c r="F950" s="12">
        <f t="shared" ref="F950" si="152">+E950-C950</f>
        <v>8.5</v>
      </c>
      <c r="G950" s="330">
        <f>'Proposed Rates'!$O$55/100</f>
        <v>0</v>
      </c>
      <c r="H950" s="291">
        <f t="shared" ref="H950" si="153">+D950*(1-F950/E950)*(1-G950)</f>
        <v>11918.295249999999</v>
      </c>
      <c r="I950" s="291">
        <f t="shared" ref="I950" si="154">+D950*F950</f>
        <v>176183.495</v>
      </c>
      <c r="J950" s="291"/>
    </row>
    <row r="951" spans="1:10" s="143" customFormat="1" outlineLevel="2" x14ac:dyDescent="0.2">
      <c r="A951" s="143">
        <v>39401</v>
      </c>
      <c r="B951" s="143">
        <v>2012</v>
      </c>
      <c r="C951" s="89">
        <f t="shared" si="145"/>
        <v>12.5</v>
      </c>
      <c r="D951" s="291">
        <v>2413.6799999999998</v>
      </c>
      <c r="E951" s="12">
        <v>20</v>
      </c>
      <c r="F951" s="12">
        <f t="shared" si="142"/>
        <v>7.5</v>
      </c>
      <c r="G951" s="330">
        <f>'Proposed Rates'!$O$55/100</f>
        <v>0</v>
      </c>
      <c r="H951" s="291">
        <f t="shared" si="149"/>
        <v>1508.55</v>
      </c>
      <c r="I951" s="291">
        <f t="shared" si="150"/>
        <v>18102.599999999999</v>
      </c>
      <c r="J951" s="291"/>
    </row>
    <row r="952" spans="1:10" s="143" customFormat="1" outlineLevel="2" x14ac:dyDescent="0.2">
      <c r="A952" s="143">
        <v>39401</v>
      </c>
      <c r="B952" s="143">
        <v>2011</v>
      </c>
      <c r="C952" s="89">
        <f t="shared" si="145"/>
        <v>13.5</v>
      </c>
      <c r="D952" s="291">
        <v>6679.97</v>
      </c>
      <c r="E952" s="12">
        <v>20</v>
      </c>
      <c r="F952" s="12">
        <v>6.5</v>
      </c>
      <c r="G952" s="330">
        <f>'Proposed Rates'!$O$55/100</f>
        <v>0</v>
      </c>
      <c r="H952" s="291">
        <f t="shared" si="149"/>
        <v>4508.9797500000004</v>
      </c>
      <c r="I952" s="291">
        <f t="shared" si="150"/>
        <v>43419.805</v>
      </c>
      <c r="J952" s="291"/>
    </row>
    <row r="953" spans="1:10" s="143" customFormat="1" outlineLevel="1" x14ac:dyDescent="0.2">
      <c r="A953" s="20" t="s">
        <v>1204</v>
      </c>
      <c r="C953" s="89" t="s">
        <v>1230</v>
      </c>
      <c r="D953" s="291">
        <f>SUBTOTAL(9,D945:D952)</f>
        <v>3241792.7899999996</v>
      </c>
      <c r="E953" s="12"/>
      <c r="F953" s="12"/>
      <c r="G953" s="330"/>
      <c r="H953" s="291">
        <f>SUBTOTAL(9,H945:H952)</f>
        <v>982914.31574999948</v>
      </c>
      <c r="I953" s="291">
        <f>SUBTOTAL(9,I945:I952)</f>
        <v>45177569.484999985</v>
      </c>
      <c r="J953" s="291">
        <f>+I953/D953</f>
        <v>13.935983084532676</v>
      </c>
    </row>
    <row r="954" spans="1:10" outlineLevel="2" x14ac:dyDescent="0.2">
      <c r="A954">
        <v>39600</v>
      </c>
      <c r="B954">
        <v>2024</v>
      </c>
      <c r="C954" s="89">
        <v>0.5</v>
      </c>
      <c r="D954" s="291">
        <v>1044256.1074807071</v>
      </c>
      <c r="E954" s="12">
        <v>18</v>
      </c>
      <c r="F954" s="12">
        <v>17.589019</v>
      </c>
      <c r="G954" s="330">
        <f>'Proposed Rates'!$O$57/100</f>
        <v>0.1</v>
      </c>
      <c r="H954" s="291">
        <f t="shared" si="140"/>
        <v>21458.470965426393</v>
      </c>
      <c r="I954" s="291">
        <f t="shared" ref="I954:I1017" si="155">+D954*F954</f>
        <v>18367440.515344199</v>
      </c>
    </row>
    <row r="955" spans="1:10" outlineLevel="2" x14ac:dyDescent="0.2">
      <c r="A955">
        <v>39600</v>
      </c>
      <c r="B955">
        <v>2023</v>
      </c>
      <c r="C955" s="89">
        <v>1.5</v>
      </c>
      <c r="D955" s="291">
        <v>484735.73791431397</v>
      </c>
      <c r="E955" s="12">
        <v>18</v>
      </c>
      <c r="F955" s="12">
        <v>16.776602</v>
      </c>
      <c r="G955" s="330">
        <f>'Proposed Rates'!$O$57/100</f>
        <v>0.1</v>
      </c>
      <c r="H955" s="291">
        <f t="shared" ref="H955:H966" si="156">+D955*(1-F955/E955)*(1-G955)</f>
        <v>29651.236614644782</v>
      </c>
      <c r="I955" s="291">
        <f t="shared" ref="I955:I966" si="157">+D955*F955</f>
        <v>8132218.5501647554</v>
      </c>
    </row>
    <row r="956" spans="1:10" s="143" customFormat="1" outlineLevel="2" x14ac:dyDescent="0.2">
      <c r="A956" s="143">
        <v>39600</v>
      </c>
      <c r="B956" s="143">
        <v>2022</v>
      </c>
      <c r="C956" s="89">
        <v>2.5</v>
      </c>
      <c r="D956" s="291">
        <v>10696.08</v>
      </c>
      <c r="E956" s="12">
        <v>18</v>
      </c>
      <c r="F956" s="12">
        <v>15.976998</v>
      </c>
      <c r="G956" s="330">
        <f>'Proposed Rates'!$O$57/100</f>
        <v>0.1</v>
      </c>
      <c r="H956" s="291">
        <f t="shared" si="156"/>
        <v>1081.9095616079996</v>
      </c>
      <c r="I956" s="291">
        <f t="shared" si="157"/>
        <v>170891.24876784001</v>
      </c>
      <c r="J956" s="291"/>
    </row>
    <row r="957" spans="1:10" s="143" customFormat="1" outlineLevel="2" x14ac:dyDescent="0.2">
      <c r="A957" s="143">
        <v>39600</v>
      </c>
      <c r="B957" s="143">
        <v>2021</v>
      </c>
      <c r="C957" s="89">
        <v>3.5</v>
      </c>
      <c r="D957" s="291">
        <v>48793.21</v>
      </c>
      <c r="E957" s="12">
        <v>18</v>
      </c>
      <c r="F957" s="12">
        <v>15.19049</v>
      </c>
      <c r="G957" s="330">
        <f>'Proposed Rates'!$O$57/100</f>
        <v>0.1</v>
      </c>
      <c r="H957" s="291">
        <f t="shared" si="156"/>
        <v>6854.2505713550008</v>
      </c>
      <c r="I957" s="291">
        <f t="shared" si="157"/>
        <v>741192.76857289998</v>
      </c>
      <c r="J957" s="291"/>
    </row>
    <row r="958" spans="1:10" s="143" customFormat="1" outlineLevel="2" x14ac:dyDescent="0.2">
      <c r="A958" s="143">
        <v>39600</v>
      </c>
      <c r="B958" s="143">
        <v>2020</v>
      </c>
      <c r="C958" s="89">
        <v>4.5</v>
      </c>
      <c r="D958" s="291">
        <v>74102.89</v>
      </c>
      <c r="E958" s="12">
        <v>18</v>
      </c>
      <c r="F958" s="12">
        <v>14.416988999999999</v>
      </c>
      <c r="G958" s="330">
        <f>'Proposed Rates'!$O$57/100</f>
        <v>0.1</v>
      </c>
      <c r="H958" s="291">
        <f t="shared" si="156"/>
        <v>13275.573500089502</v>
      </c>
      <c r="I958" s="291">
        <f t="shared" si="157"/>
        <v>1068340.54999821</v>
      </c>
      <c r="J958" s="291"/>
    </row>
    <row r="959" spans="1:10" s="143" customFormat="1" outlineLevel="2" x14ac:dyDescent="0.2">
      <c r="A959" s="143">
        <v>39600</v>
      </c>
      <c r="B959" s="143">
        <v>2019</v>
      </c>
      <c r="C959" s="89">
        <v>5.5</v>
      </c>
      <c r="D959" s="291">
        <v>76294.87</v>
      </c>
      <c r="E959" s="12">
        <v>18</v>
      </c>
      <c r="F959" s="12">
        <v>13.656955</v>
      </c>
      <c r="G959" s="330">
        <f>'Proposed Rates'!$O$57/100</f>
        <v>0.1</v>
      </c>
      <c r="H959" s="291">
        <f t="shared" si="156"/>
        <v>16567.602683957502</v>
      </c>
      <c r="I959" s="291">
        <f t="shared" si="157"/>
        <v>1041955.60632085</v>
      </c>
      <c r="J959" s="291"/>
    </row>
    <row r="960" spans="1:10" s="143" customFormat="1" outlineLevel="2" x14ac:dyDescent="0.2">
      <c r="A960" s="143">
        <v>39600</v>
      </c>
      <c r="B960" s="143">
        <v>2018</v>
      </c>
      <c r="C960" s="89">
        <v>6.5</v>
      </c>
      <c r="D960" s="291">
        <v>212537.04</v>
      </c>
      <c r="E960" s="12">
        <v>18</v>
      </c>
      <c r="F960" s="12">
        <v>12.910501</v>
      </c>
      <c r="G960" s="330">
        <f>'Proposed Rates'!$O$57/100</f>
        <v>0.1</v>
      </c>
      <c r="H960" s="291">
        <f t="shared" si="156"/>
        <v>54085.352627148008</v>
      </c>
      <c r="I960" s="291">
        <f t="shared" si="157"/>
        <v>2743959.6674570399</v>
      </c>
      <c r="J960" s="291"/>
    </row>
    <row r="961" spans="1:10" s="143" customFormat="1" outlineLevel="2" x14ac:dyDescent="0.2">
      <c r="A961" s="143">
        <v>39600</v>
      </c>
      <c r="B961" s="143">
        <v>2017</v>
      </c>
      <c r="C961" s="89">
        <v>7.5</v>
      </c>
      <c r="D961" s="291">
        <v>91302.21</v>
      </c>
      <c r="E961" s="12">
        <v>18</v>
      </c>
      <c r="F961" s="12">
        <v>12.179002000000001</v>
      </c>
      <c r="G961" s="330">
        <f>'Proposed Rates'!$O$57/100</f>
        <v>0.1</v>
      </c>
      <c r="H961" s="291">
        <f t="shared" si="156"/>
        <v>26573.499090278998</v>
      </c>
      <c r="I961" s="291">
        <f t="shared" si="157"/>
        <v>1111969.7981944201</v>
      </c>
      <c r="J961" s="291"/>
    </row>
    <row r="962" spans="1:10" outlineLevel="2" x14ac:dyDescent="0.2">
      <c r="A962">
        <v>39600</v>
      </c>
      <c r="B962">
        <v>2016</v>
      </c>
      <c r="C962" s="89">
        <v>8.5</v>
      </c>
      <c r="D962" s="291">
        <v>78520.429999999993</v>
      </c>
      <c r="E962" s="12">
        <v>18</v>
      </c>
      <c r="F962" s="12">
        <v>11.463808</v>
      </c>
      <c r="G962" s="330">
        <f>'Proposed Rates'!$O$57/100</f>
        <v>0.1</v>
      </c>
      <c r="H962" s="291">
        <f t="shared" si="156"/>
        <v>25661.230320127997</v>
      </c>
      <c r="I962" s="291">
        <f t="shared" si="157"/>
        <v>900143.13359743997</v>
      </c>
    </row>
    <row r="963" spans="1:10" outlineLevel="2" x14ac:dyDescent="0.2">
      <c r="A963">
        <v>39600</v>
      </c>
      <c r="B963">
        <v>2015</v>
      </c>
      <c r="C963" s="89">
        <v>9.5</v>
      </c>
      <c r="D963" s="291">
        <v>22819.81</v>
      </c>
      <c r="E963" s="12">
        <v>18</v>
      </c>
      <c r="F963" s="12">
        <v>10.766686999999999</v>
      </c>
      <c r="G963" s="330">
        <f>'Proposed Rates'!$O$57/100</f>
        <v>0.1</v>
      </c>
      <c r="H963" s="291">
        <f t="shared" si="156"/>
        <v>8253.1414165265032</v>
      </c>
      <c r="I963" s="291">
        <f t="shared" si="157"/>
        <v>245693.75166946999</v>
      </c>
    </row>
    <row r="964" spans="1:10" outlineLevel="2" x14ac:dyDescent="0.2">
      <c r="A964">
        <v>39600</v>
      </c>
      <c r="B964">
        <v>2014</v>
      </c>
      <c r="C964" s="89">
        <v>10.5</v>
      </c>
      <c r="D964" s="291">
        <v>926640.52</v>
      </c>
      <c r="E964" s="12">
        <v>18</v>
      </c>
      <c r="F964" s="12">
        <v>10.089363000000001</v>
      </c>
      <c r="G964" s="330">
        <f>'Proposed Rates'!$O$57/100</f>
        <v>0.1</v>
      </c>
      <c r="H964" s="291">
        <f t="shared" si="156"/>
        <v>366515.83916056197</v>
      </c>
      <c r="I964" s="291">
        <f t="shared" si="157"/>
        <v>9349212.5767887607</v>
      </c>
    </row>
    <row r="965" spans="1:10" outlineLevel="2" x14ac:dyDescent="0.2">
      <c r="A965">
        <v>39600</v>
      </c>
      <c r="B965">
        <v>2013</v>
      </c>
      <c r="C965" s="89">
        <v>11.5</v>
      </c>
      <c r="D965" s="291">
        <v>76102.52</v>
      </c>
      <c r="E965" s="12">
        <v>18</v>
      </c>
      <c r="F965" s="12">
        <v>9.4333899999999993</v>
      </c>
      <c r="G965" s="330">
        <f>'Proposed Rates'!$O$57/100</f>
        <v>0.1</v>
      </c>
      <c r="H965" s="291">
        <f t="shared" si="156"/>
        <v>32597.030442860003</v>
      </c>
      <c r="I965" s="291">
        <f t="shared" si="157"/>
        <v>717904.75114279997</v>
      </c>
    </row>
    <row r="966" spans="1:10" outlineLevel="2" x14ac:dyDescent="0.2">
      <c r="A966">
        <v>39600</v>
      </c>
      <c r="B966">
        <v>2012</v>
      </c>
      <c r="C966" s="89">
        <v>12.5</v>
      </c>
      <c r="D966" s="291">
        <v>79155.789999999994</v>
      </c>
      <c r="E966" s="12">
        <v>18</v>
      </c>
      <c r="F966" s="12">
        <v>8.8006209999999996</v>
      </c>
      <c r="G966" s="330">
        <f>'Proposed Rates'!$O$57/100</f>
        <v>0.1</v>
      </c>
      <c r="H966" s="291">
        <f t="shared" si="156"/>
        <v>36409.2056127205</v>
      </c>
      <c r="I966" s="291">
        <f t="shared" si="157"/>
        <v>696620.10774558992</v>
      </c>
    </row>
    <row r="967" spans="1:10" outlineLevel="2" x14ac:dyDescent="0.2">
      <c r="A967">
        <v>39600</v>
      </c>
      <c r="B967">
        <v>2011</v>
      </c>
      <c r="C967" s="89">
        <v>13.5</v>
      </c>
      <c r="D967" s="291">
        <v>225949.51</v>
      </c>
      <c r="E967" s="12">
        <v>18</v>
      </c>
      <c r="F967" s="12">
        <v>8.1921920000000004</v>
      </c>
      <c r="G967" s="330">
        <f>'Proposed Rates'!$O$57/100</f>
        <v>0.1</v>
      </c>
      <c r="H967" s="291">
        <f t="shared" si="140"/>
        <v>110803.47058870399</v>
      </c>
      <c r="I967" s="291">
        <f t="shared" si="155"/>
        <v>1851021.7682259202</v>
      </c>
    </row>
    <row r="968" spans="1:10" outlineLevel="2" x14ac:dyDescent="0.2">
      <c r="A968">
        <v>39600</v>
      </c>
      <c r="B968">
        <v>2010</v>
      </c>
      <c r="C968" s="89">
        <v>14.5</v>
      </c>
      <c r="D968" s="291">
        <v>218585.51</v>
      </c>
      <c r="E968" s="12">
        <v>18</v>
      </c>
      <c r="F968" s="12">
        <v>7.6099969999999999</v>
      </c>
      <c r="G968" s="330">
        <f>'Proposed Rates'!$O$57/100</f>
        <v>0.1</v>
      </c>
      <c r="H968" s="291">
        <f t="shared" si="140"/>
        <v>113555.20523282651</v>
      </c>
      <c r="I968" s="291">
        <f t="shared" si="155"/>
        <v>1663435.0753434701</v>
      </c>
    </row>
    <row r="969" spans="1:10" outlineLevel="2" x14ac:dyDescent="0.2">
      <c r="A969">
        <v>39600</v>
      </c>
      <c r="B969">
        <v>2009</v>
      </c>
      <c r="C969" s="89">
        <v>15.5</v>
      </c>
      <c r="D969" s="291">
        <v>86902.71</v>
      </c>
      <c r="E969" s="12">
        <v>18</v>
      </c>
      <c r="F969" s="12">
        <v>7.0547599999999999</v>
      </c>
      <c r="G969" s="330">
        <f>'Proposed Rates'!$O$57/100</f>
        <v>0.1</v>
      </c>
      <c r="H969" s="291">
        <f t="shared" si="140"/>
        <v>47558.550880020004</v>
      </c>
      <c r="I969" s="291">
        <f t="shared" si="155"/>
        <v>613077.7623996</v>
      </c>
    </row>
    <row r="970" spans="1:10" outlineLevel="2" x14ac:dyDescent="0.2">
      <c r="A970">
        <v>39600</v>
      </c>
      <c r="B970">
        <v>2008</v>
      </c>
      <c r="C970" s="89">
        <v>16.5</v>
      </c>
      <c r="D970" s="291">
        <v>74752.28</v>
      </c>
      <c r="E970" s="12">
        <v>18</v>
      </c>
      <c r="F970" s="12">
        <v>6.5278539999999996</v>
      </c>
      <c r="G970" s="330">
        <f>'Proposed Rates'!$O$57/100</f>
        <v>0.1</v>
      </c>
      <c r="H970" s="291">
        <f t="shared" si="140"/>
        <v>42878.453499644005</v>
      </c>
      <c r="I970" s="291">
        <f t="shared" si="155"/>
        <v>487971.97000711999</v>
      </c>
    </row>
    <row r="971" spans="1:10" outlineLevel="2" x14ac:dyDescent="0.2">
      <c r="A971">
        <v>39600</v>
      </c>
      <c r="B971">
        <v>2007</v>
      </c>
      <c r="C971" s="89">
        <v>17.5</v>
      </c>
      <c r="D971" s="291">
        <v>9061.0300000000007</v>
      </c>
      <c r="E971" s="12">
        <v>18</v>
      </c>
      <c r="F971" s="12">
        <v>6.0297559999999999</v>
      </c>
      <c r="G971" s="330">
        <f>'Proposed Rates'!$O$57/100</f>
        <v>0.1</v>
      </c>
      <c r="H971" s="291">
        <f t="shared" si="140"/>
        <v>5423.1369995660007</v>
      </c>
      <c r="I971" s="291">
        <f t="shared" si="155"/>
        <v>54635.800008680002</v>
      </c>
    </row>
    <row r="972" spans="1:10" outlineLevel="2" x14ac:dyDescent="0.2">
      <c r="A972">
        <v>39600</v>
      </c>
      <c r="B972">
        <v>2006</v>
      </c>
      <c r="C972" s="89">
        <v>18.5</v>
      </c>
      <c r="D972" s="291">
        <v>41545.760000000002</v>
      </c>
      <c r="E972" s="12">
        <v>18</v>
      </c>
      <c r="F972" s="12">
        <v>5.5609089999999997</v>
      </c>
      <c r="G972" s="330">
        <f>'Proposed Rates'!$O$57/100</f>
        <v>0.1</v>
      </c>
      <c r="H972" s="291">
        <f t="shared" si="140"/>
        <v>25839.574465207999</v>
      </c>
      <c r="I972" s="291">
        <f t="shared" si="155"/>
        <v>231032.19069583999</v>
      </c>
    </row>
    <row r="973" spans="1:10" outlineLevel="2" x14ac:dyDescent="0.2">
      <c r="A973">
        <v>39600</v>
      </c>
      <c r="B973">
        <v>2005</v>
      </c>
      <c r="C973" s="89">
        <v>19.5</v>
      </c>
      <c r="D973" s="291">
        <v>5104.2700000000004</v>
      </c>
      <c r="E973" s="12">
        <v>18</v>
      </c>
      <c r="F973" s="12">
        <v>5.1211209999999996</v>
      </c>
      <c r="G973" s="330">
        <f>'Proposed Rates'!$O$57/100</f>
        <v>0.1</v>
      </c>
      <c r="H973" s="291">
        <f t="shared" si="140"/>
        <v>3286.8637856665005</v>
      </c>
      <c r="I973" s="291">
        <f t="shared" si="155"/>
        <v>26139.58428667</v>
      </c>
    </row>
    <row r="974" spans="1:10" outlineLevel="2" x14ac:dyDescent="0.2">
      <c r="A974">
        <v>39600</v>
      </c>
      <c r="B974">
        <v>2004</v>
      </c>
      <c r="C974" s="89">
        <v>20.5</v>
      </c>
      <c r="D974" s="291">
        <v>49850.67</v>
      </c>
      <c r="E974" s="12">
        <v>18</v>
      </c>
      <c r="F974" s="12">
        <v>4.7095900000000004</v>
      </c>
      <c r="G974" s="330">
        <f>'Proposed Rates'!$O$57/100</f>
        <v>0.1</v>
      </c>
      <c r="H974" s="291">
        <f t="shared" si="140"/>
        <v>33126.792153734998</v>
      </c>
      <c r="I974" s="291">
        <f t="shared" si="155"/>
        <v>234776.21692530002</v>
      </c>
    </row>
    <row r="975" spans="1:10" outlineLevel="2" x14ac:dyDescent="0.2">
      <c r="A975">
        <v>39600</v>
      </c>
      <c r="B975">
        <v>2002</v>
      </c>
      <c r="C975" s="89">
        <v>22.5</v>
      </c>
      <c r="D975" s="291">
        <v>58640.06</v>
      </c>
      <c r="E975" s="12">
        <v>18</v>
      </c>
      <c r="F975" s="12">
        <v>3.9647160000000001</v>
      </c>
      <c r="G975" s="330">
        <f>'Proposed Rates'!$O$57/100</f>
        <v>0.1</v>
      </c>
      <c r="H975" s="291">
        <f t="shared" si="140"/>
        <v>41151.494793852005</v>
      </c>
      <c r="I975" s="291">
        <f t="shared" si="155"/>
        <v>232491.18412296</v>
      </c>
    </row>
    <row r="976" spans="1:10" outlineLevel="2" x14ac:dyDescent="0.2">
      <c r="A976">
        <v>39600</v>
      </c>
      <c r="B976">
        <v>2001</v>
      </c>
      <c r="C976" s="89">
        <v>23.5</v>
      </c>
      <c r="D976" s="291">
        <v>55638.93</v>
      </c>
      <c r="E976" s="12">
        <v>18</v>
      </c>
      <c r="F976" s="12">
        <v>3.625963</v>
      </c>
      <c r="G976" s="330">
        <f>'Proposed Rates'!$O$57/100</f>
        <v>0.1</v>
      </c>
      <c r="H976" s="291">
        <f t="shared" si="140"/>
        <v>39987.801923020503</v>
      </c>
      <c r="I976" s="291">
        <f t="shared" si="155"/>
        <v>201744.70153958999</v>
      </c>
    </row>
    <row r="977" spans="1:10" outlineLevel="2" x14ac:dyDescent="0.2">
      <c r="A977">
        <v>39600</v>
      </c>
      <c r="B977">
        <v>2000</v>
      </c>
      <c r="C977" s="89">
        <v>24.5</v>
      </c>
      <c r="D977" s="291">
        <v>36993.15</v>
      </c>
      <c r="E977" s="12">
        <v>18</v>
      </c>
      <c r="F977" s="12">
        <v>3.3055439999999998</v>
      </c>
      <c r="G977" s="330">
        <f>'Proposed Rates'!$O$57/100</f>
        <v>0.1</v>
      </c>
      <c r="H977" s="291">
        <f t="shared" si="140"/>
        <v>27179.710748820002</v>
      </c>
      <c r="I977" s="291">
        <f t="shared" si="155"/>
        <v>122282.48502359999</v>
      </c>
    </row>
    <row r="978" spans="1:10" outlineLevel="2" x14ac:dyDescent="0.2">
      <c r="A978">
        <v>39600</v>
      </c>
      <c r="B978">
        <v>1999</v>
      </c>
      <c r="C978" s="89">
        <v>25.5</v>
      </c>
      <c r="D978" s="291">
        <v>12270.42</v>
      </c>
      <c r="E978" s="12">
        <v>18</v>
      </c>
      <c r="F978" s="12">
        <v>2.999568</v>
      </c>
      <c r="G978" s="330">
        <f>'Proposed Rates'!$O$57/100</f>
        <v>0.1</v>
      </c>
      <c r="H978" s="291">
        <f t="shared" si="140"/>
        <v>9203.0800410720003</v>
      </c>
      <c r="I978" s="291">
        <f t="shared" si="155"/>
        <v>36805.959178559999</v>
      </c>
    </row>
    <row r="979" spans="1:10" outlineLevel="2" x14ac:dyDescent="0.2">
      <c r="A979">
        <v>39600</v>
      </c>
      <c r="B979">
        <v>1998</v>
      </c>
      <c r="C979" s="89">
        <v>26.5</v>
      </c>
      <c r="D979" s="291">
        <v>194264.2</v>
      </c>
      <c r="E979" s="12">
        <v>18</v>
      </c>
      <c r="F979" s="12">
        <v>2.705759</v>
      </c>
      <c r="G979" s="330">
        <f>'Proposed Rates'!$O$57/100</f>
        <v>0.1</v>
      </c>
      <c r="H979" s="291">
        <f t="shared" si="140"/>
        <v>148556.17462361004</v>
      </c>
      <c r="I979" s="291">
        <f t="shared" si="155"/>
        <v>525632.10752780002</v>
      </c>
    </row>
    <row r="980" spans="1:10" outlineLevel="2" x14ac:dyDescent="0.2">
      <c r="A980">
        <v>39600</v>
      </c>
      <c r="B980">
        <v>1997</v>
      </c>
      <c r="C980" s="89">
        <v>27.5</v>
      </c>
      <c r="D980" s="291">
        <v>42989.34</v>
      </c>
      <c r="E980" s="12">
        <v>18</v>
      </c>
      <c r="F980" s="12">
        <v>2.4225910000000002</v>
      </c>
      <c r="G980" s="330">
        <f>'Proposed Rates'!$O$57/100</f>
        <v>0.1</v>
      </c>
      <c r="H980" s="291">
        <f t="shared" si="140"/>
        <v>33483.126591002998</v>
      </c>
      <c r="I980" s="291">
        <f t="shared" si="155"/>
        <v>104145.58817993999</v>
      </c>
    </row>
    <row r="981" spans="1:10" outlineLevel="2" x14ac:dyDescent="0.2">
      <c r="A981">
        <v>39600</v>
      </c>
      <c r="B981">
        <v>1996</v>
      </c>
      <c r="C981" s="89">
        <v>28.5</v>
      </c>
      <c r="D981" s="291">
        <v>76843.92</v>
      </c>
      <c r="E981" s="12">
        <v>18</v>
      </c>
      <c r="F981" s="12">
        <v>2.150328</v>
      </c>
      <c r="G981" s="330">
        <f>'Proposed Rates'!$O$57/100</f>
        <v>0.1</v>
      </c>
      <c r="H981" s="291">
        <f t="shared" si="140"/>
        <v>60897.546359711996</v>
      </c>
      <c r="I981" s="291">
        <f t="shared" si="155"/>
        <v>165239.63280575999</v>
      </c>
    </row>
    <row r="982" spans="1:10" outlineLevel="2" x14ac:dyDescent="0.2">
      <c r="A982">
        <v>39600</v>
      </c>
      <c r="B982">
        <v>1995</v>
      </c>
      <c r="C982" s="89">
        <v>29.5</v>
      </c>
      <c r="D982" s="291">
        <v>43250.67</v>
      </c>
      <c r="E982" s="12">
        <v>18</v>
      </c>
      <c r="F982" s="12">
        <v>1.8904259999999999</v>
      </c>
      <c r="G982" s="330">
        <f>'Proposed Rates'!$O$57/100</f>
        <v>0.1</v>
      </c>
      <c r="H982" s="291">
        <f t="shared" si="140"/>
        <v>34837.493445729</v>
      </c>
      <c r="I982" s="291">
        <f t="shared" si="155"/>
        <v>81762.191085419996</v>
      </c>
    </row>
    <row r="983" spans="1:10" outlineLevel="2" x14ac:dyDescent="0.2">
      <c r="A983">
        <v>39600</v>
      </c>
      <c r="B983">
        <v>1994</v>
      </c>
      <c r="C983" s="89">
        <v>30.5</v>
      </c>
      <c r="D983" s="291">
        <v>62179.31</v>
      </c>
      <c r="E983" s="12">
        <v>18</v>
      </c>
      <c r="F983" s="12">
        <v>1.638838</v>
      </c>
      <c r="G983" s="330">
        <f>'Proposed Rates'!$O$57/100</f>
        <v>0.1</v>
      </c>
      <c r="H983" s="291">
        <f t="shared" si="140"/>
        <v>50866.288197911002</v>
      </c>
      <c r="I983" s="291">
        <f t="shared" si="155"/>
        <v>101901.81604178</v>
      </c>
    </row>
    <row r="984" spans="1:10" outlineLevel="2" x14ac:dyDescent="0.2">
      <c r="A984">
        <v>39600</v>
      </c>
      <c r="B984">
        <v>1993</v>
      </c>
      <c r="C984" s="89">
        <v>31.5</v>
      </c>
      <c r="D984" s="291">
        <v>1949.65</v>
      </c>
      <c r="E984" s="12">
        <v>18</v>
      </c>
      <c r="F984" s="12">
        <v>1.382619</v>
      </c>
      <c r="G984" s="330">
        <f>'Proposed Rates'!$O$57/100</f>
        <v>0.1</v>
      </c>
      <c r="H984" s="291">
        <f t="shared" si="140"/>
        <v>1619.9038433324999</v>
      </c>
      <c r="I984" s="291">
        <f t="shared" si="155"/>
        <v>2695.62313335</v>
      </c>
    </row>
    <row r="985" spans="1:10" outlineLevel="2" x14ac:dyDescent="0.2">
      <c r="A985">
        <v>39600</v>
      </c>
      <c r="B985">
        <v>1992</v>
      </c>
      <c r="C985" s="89">
        <v>32.5</v>
      </c>
      <c r="D985" s="291">
        <v>0</v>
      </c>
      <c r="E985" s="12">
        <v>18</v>
      </c>
      <c r="F985" s="12">
        <v>1.071267</v>
      </c>
      <c r="G985" s="330">
        <f>'Proposed Rates'!$O$57/100</f>
        <v>0.1</v>
      </c>
      <c r="H985" s="291">
        <f t="shared" ref="H985" si="158">+D985*(1-F985/E985)*(1-G985)</f>
        <v>0</v>
      </c>
      <c r="I985" s="291">
        <f t="shared" ref="I985" si="159">+D985*F985</f>
        <v>0</v>
      </c>
    </row>
    <row r="986" spans="1:10" outlineLevel="2" x14ac:dyDescent="0.2">
      <c r="A986">
        <v>39600</v>
      </c>
      <c r="B986">
        <v>1990</v>
      </c>
      <c r="C986" s="89">
        <v>34.5</v>
      </c>
      <c r="D986" s="291">
        <v>0</v>
      </c>
      <c r="E986" s="12">
        <v>18</v>
      </c>
      <c r="F986" s="12">
        <v>0.12173200000000001</v>
      </c>
      <c r="G986" s="330">
        <f>'Proposed Rates'!$O$57/100</f>
        <v>0.1</v>
      </c>
      <c r="H986" s="291">
        <f t="shared" si="140"/>
        <v>0</v>
      </c>
      <c r="I986" s="291">
        <f t="shared" si="155"/>
        <v>0</v>
      </c>
    </row>
    <row r="987" spans="1:10" s="143" customFormat="1" outlineLevel="1" x14ac:dyDescent="0.2">
      <c r="A987" s="20" t="s">
        <v>1205</v>
      </c>
      <c r="C987" s="89"/>
      <c r="D987" s="291">
        <f>SUBTOTAL(9,D954:D986)</f>
        <v>4522728.60539502</v>
      </c>
      <c r="E987" s="12"/>
      <c r="F987" s="12"/>
      <c r="G987" s="330"/>
      <c r="H987" s="291">
        <f>SUBTOTAL(9,H954:H986)</f>
        <v>1469239.0107407374</v>
      </c>
      <c r="I987" s="291">
        <f>SUBTOTAL(9,I954:I986)</f>
        <v>52024334.68229562</v>
      </c>
      <c r="J987" s="291">
        <f>+I987/D987</f>
        <v>11.50286458051837</v>
      </c>
    </row>
    <row r="988" spans="1:10" outlineLevel="2" x14ac:dyDescent="0.2">
      <c r="A988">
        <v>39700</v>
      </c>
      <c r="B988">
        <v>2024</v>
      </c>
      <c r="C988" s="89">
        <f t="shared" si="145"/>
        <v>0.5</v>
      </c>
      <c r="D988" s="291">
        <v>12000</v>
      </c>
      <c r="E988" s="12">
        <v>13</v>
      </c>
      <c r="F988" s="12">
        <f>+E988-C988</f>
        <v>12.5</v>
      </c>
      <c r="G988" s="330">
        <f>'Proposed Rates'!$O$58/100</f>
        <v>0</v>
      </c>
      <c r="H988" s="291">
        <f t="shared" ref="H988:H1017" si="160">+D988*(1-F988/E988)*(1-G988)</f>
        <v>461.53846153846121</v>
      </c>
      <c r="I988" s="291">
        <f t="shared" si="155"/>
        <v>150000</v>
      </c>
    </row>
    <row r="989" spans="1:10" outlineLevel="2" x14ac:dyDescent="0.2">
      <c r="A989">
        <v>39700</v>
      </c>
      <c r="B989">
        <v>2023</v>
      </c>
      <c r="C989" s="89">
        <f t="shared" si="145"/>
        <v>1.5</v>
      </c>
      <c r="D989" s="291">
        <v>59905.99</v>
      </c>
      <c r="E989" s="12">
        <v>13</v>
      </c>
      <c r="F989" s="12">
        <f t="shared" ref="F989:F994" si="161">+E989-C989</f>
        <v>11.5</v>
      </c>
      <c r="G989" s="330">
        <f>'Proposed Rates'!$O$58/100</f>
        <v>0</v>
      </c>
      <c r="H989" s="291">
        <f t="shared" si="160"/>
        <v>6912.2296153846173</v>
      </c>
      <c r="I989" s="291">
        <f t="shared" si="155"/>
        <v>688918.88500000001</v>
      </c>
    </row>
    <row r="990" spans="1:10" outlineLevel="2" x14ac:dyDescent="0.2">
      <c r="A990">
        <v>39700</v>
      </c>
      <c r="B990">
        <v>2022</v>
      </c>
      <c r="C990" s="89">
        <f t="shared" si="145"/>
        <v>2.5</v>
      </c>
      <c r="D990" s="291">
        <v>0</v>
      </c>
      <c r="E990" s="12">
        <v>13</v>
      </c>
      <c r="F990" s="12">
        <f t="shared" si="161"/>
        <v>10.5</v>
      </c>
      <c r="G990" s="330">
        <f>'Proposed Rates'!$O$58/100</f>
        <v>0</v>
      </c>
      <c r="H990" s="291">
        <f t="shared" si="160"/>
        <v>0</v>
      </c>
      <c r="I990" s="291">
        <f t="shared" si="155"/>
        <v>0</v>
      </c>
    </row>
    <row r="991" spans="1:10" outlineLevel="2" x14ac:dyDescent="0.2">
      <c r="A991">
        <v>39700</v>
      </c>
      <c r="B991">
        <v>2017</v>
      </c>
      <c r="C991" s="89">
        <f t="shared" si="145"/>
        <v>7.5</v>
      </c>
      <c r="D991" s="291">
        <v>386579.78</v>
      </c>
      <c r="E991" s="12">
        <v>13</v>
      </c>
      <c r="F991" s="12">
        <f t="shared" si="161"/>
        <v>5.5</v>
      </c>
      <c r="G991" s="330">
        <f>'Proposed Rates'!$O$58/100</f>
        <v>0</v>
      </c>
      <c r="H991" s="291">
        <f t="shared" si="160"/>
        <v>223026.79615384614</v>
      </c>
      <c r="I991" s="291">
        <f t="shared" si="155"/>
        <v>2126188.79</v>
      </c>
    </row>
    <row r="992" spans="1:10" outlineLevel="2" x14ac:dyDescent="0.2">
      <c r="A992">
        <v>39700</v>
      </c>
      <c r="B992">
        <v>2016</v>
      </c>
      <c r="C992" s="89">
        <f t="shared" si="145"/>
        <v>8.5</v>
      </c>
      <c r="D992" s="291">
        <v>163127.93</v>
      </c>
      <c r="E992" s="12">
        <v>13</v>
      </c>
      <c r="F992" s="12">
        <f t="shared" si="161"/>
        <v>4.5</v>
      </c>
      <c r="G992" s="330">
        <f>'Proposed Rates'!$O$58/100</f>
        <v>0</v>
      </c>
      <c r="H992" s="291">
        <f t="shared" si="160"/>
        <v>106660.56961538461</v>
      </c>
      <c r="I992" s="291">
        <f t="shared" si="155"/>
        <v>734075.68499999994</v>
      </c>
    </row>
    <row r="993" spans="1:10" outlineLevel="2" x14ac:dyDescent="0.2">
      <c r="A993">
        <v>39700</v>
      </c>
      <c r="B993">
        <v>2014</v>
      </c>
      <c r="C993" s="89">
        <f t="shared" si="145"/>
        <v>10.5</v>
      </c>
      <c r="D993" s="291">
        <v>63729.73</v>
      </c>
      <c r="E993" s="12">
        <v>13</v>
      </c>
      <c r="F993" s="12">
        <f t="shared" si="161"/>
        <v>2.5</v>
      </c>
      <c r="G993" s="330">
        <f>'Proposed Rates'!$O$58/100</f>
        <v>0</v>
      </c>
      <c r="H993" s="291">
        <f t="shared" si="160"/>
        <v>51474.012692307697</v>
      </c>
      <c r="I993" s="291">
        <f t="shared" si="155"/>
        <v>159324.32500000001</v>
      </c>
    </row>
    <row r="994" spans="1:10" outlineLevel="2" x14ac:dyDescent="0.2">
      <c r="A994">
        <v>39700</v>
      </c>
      <c r="B994">
        <v>2013</v>
      </c>
      <c r="C994" s="89">
        <f t="shared" ref="C994:C1017" si="162">2024.5-B994</f>
        <v>11.5</v>
      </c>
      <c r="D994" s="291">
        <v>799377.33</v>
      </c>
      <c r="E994" s="12">
        <v>13</v>
      </c>
      <c r="F994" s="12">
        <f t="shared" si="161"/>
        <v>1.5</v>
      </c>
      <c r="G994" s="330">
        <f>'Proposed Rates'!$O$58/100</f>
        <v>0</v>
      </c>
      <c r="H994" s="291">
        <f t="shared" si="160"/>
        <v>707141.48423076922</v>
      </c>
      <c r="I994" s="291">
        <f t="shared" si="155"/>
        <v>1199065.9949999999</v>
      </c>
    </row>
    <row r="995" spans="1:10" outlineLevel="2" x14ac:dyDescent="0.2">
      <c r="A995">
        <v>39700</v>
      </c>
      <c r="B995">
        <v>2012</v>
      </c>
      <c r="C995" s="89">
        <f t="shared" si="162"/>
        <v>12.5</v>
      </c>
      <c r="D995" s="291">
        <v>178355.18</v>
      </c>
      <c r="E995" s="12">
        <v>13</v>
      </c>
      <c r="F995" s="12">
        <v>0</v>
      </c>
      <c r="G995" s="330">
        <f>'Proposed Rates'!$O$58/100</f>
        <v>0</v>
      </c>
      <c r="H995" s="291">
        <f t="shared" si="160"/>
        <v>178355.18</v>
      </c>
      <c r="I995" s="291">
        <f t="shared" si="155"/>
        <v>0</v>
      </c>
    </row>
    <row r="996" spans="1:10" outlineLevel="2" x14ac:dyDescent="0.2">
      <c r="A996">
        <v>39700</v>
      </c>
      <c r="B996">
        <v>2011</v>
      </c>
      <c r="C996" s="89">
        <f t="shared" si="162"/>
        <v>13.5</v>
      </c>
      <c r="D996" s="291">
        <v>559751.32999999996</v>
      </c>
      <c r="E996" s="12">
        <v>13</v>
      </c>
      <c r="F996" s="12">
        <v>0</v>
      </c>
      <c r="G996" s="330">
        <f>'Proposed Rates'!$O$58/100</f>
        <v>0</v>
      </c>
      <c r="H996" s="291">
        <f t="shared" si="160"/>
        <v>559751.32999999996</v>
      </c>
      <c r="I996" s="291">
        <f t="shared" si="155"/>
        <v>0</v>
      </c>
    </row>
    <row r="997" spans="1:10" outlineLevel="2" x14ac:dyDescent="0.2">
      <c r="A997">
        <v>39700</v>
      </c>
      <c r="B997">
        <v>2010</v>
      </c>
      <c r="C997" s="89">
        <f t="shared" si="162"/>
        <v>14.5</v>
      </c>
      <c r="D997" s="291">
        <v>274684.7</v>
      </c>
      <c r="E997" s="12">
        <v>13</v>
      </c>
      <c r="F997" s="12">
        <v>0</v>
      </c>
      <c r="G997" s="330">
        <f>'Proposed Rates'!$O$58/100</f>
        <v>0</v>
      </c>
      <c r="H997" s="291">
        <f t="shared" si="160"/>
        <v>274684.7</v>
      </c>
      <c r="I997" s="291">
        <f t="shared" si="155"/>
        <v>0</v>
      </c>
    </row>
    <row r="998" spans="1:10" outlineLevel="2" x14ac:dyDescent="0.2">
      <c r="A998">
        <v>39700</v>
      </c>
      <c r="B998">
        <v>2009</v>
      </c>
      <c r="C998" s="89">
        <f t="shared" si="162"/>
        <v>15.5</v>
      </c>
      <c r="D998" s="291">
        <v>513040.36</v>
      </c>
      <c r="E998" s="12">
        <v>13</v>
      </c>
      <c r="F998" s="12">
        <v>0</v>
      </c>
      <c r="G998" s="330">
        <f>'Proposed Rates'!$O$58/100</f>
        <v>0</v>
      </c>
      <c r="H998" s="291">
        <f t="shared" si="160"/>
        <v>513040.36</v>
      </c>
      <c r="I998" s="291">
        <f t="shared" si="155"/>
        <v>0</v>
      </c>
    </row>
    <row r="999" spans="1:10" outlineLevel="2" x14ac:dyDescent="0.2">
      <c r="A999">
        <v>39700</v>
      </c>
      <c r="B999">
        <v>2008</v>
      </c>
      <c r="C999" s="89">
        <f t="shared" si="162"/>
        <v>16.5</v>
      </c>
      <c r="D999" s="291">
        <v>15752.040800000002</v>
      </c>
      <c r="E999" s="12">
        <v>13</v>
      </c>
      <c r="F999" s="12">
        <v>0</v>
      </c>
      <c r="G999" s="330">
        <f>'Proposed Rates'!$O$58/100</f>
        <v>0</v>
      </c>
      <c r="H999" s="291">
        <f t="shared" si="160"/>
        <v>15752.040800000002</v>
      </c>
      <c r="I999" s="291">
        <f t="shared" si="155"/>
        <v>0</v>
      </c>
    </row>
    <row r="1000" spans="1:10" s="143" customFormat="1" outlineLevel="1" x14ac:dyDescent="0.2">
      <c r="A1000" s="20" t="s">
        <v>1206</v>
      </c>
      <c r="C1000" s="89"/>
      <c r="D1000" s="291">
        <f>SUBTOTAL(9,D988:D999)</f>
        <v>3026304.3707999997</v>
      </c>
      <c r="E1000" s="12"/>
      <c r="F1000" s="12"/>
      <c r="G1000" s="330"/>
      <c r="H1000" s="291">
        <f>SUBTOTAL(9,H988:H999)</f>
        <v>2637260.2415692308</v>
      </c>
      <c r="I1000" s="291">
        <f>SUBTOTAL(9,I988:I999)</f>
        <v>5057573.68</v>
      </c>
      <c r="J1000" s="291">
        <f>+I1000/D1000</f>
        <v>1.6712045651452556</v>
      </c>
    </row>
    <row r="1001" spans="1:10" outlineLevel="2" x14ac:dyDescent="0.2">
      <c r="A1001">
        <v>39800</v>
      </c>
      <c r="B1001">
        <v>2024</v>
      </c>
      <c r="C1001" s="89">
        <f t="shared" si="162"/>
        <v>0.5</v>
      </c>
      <c r="D1001" s="291">
        <v>189309.82</v>
      </c>
      <c r="E1001" s="12">
        <v>20</v>
      </c>
      <c r="F1001" s="12">
        <f t="shared" ref="F1001:F1015" si="163">+E1001-C1001</f>
        <v>19.5</v>
      </c>
      <c r="G1001" s="330">
        <f>'Proposed Rates'!$O$59/100</f>
        <v>0</v>
      </c>
      <c r="H1001" s="291">
        <f t="shared" si="160"/>
        <v>4732.7455000000045</v>
      </c>
      <c r="I1001" s="291">
        <f t="shared" si="155"/>
        <v>3691541.49</v>
      </c>
    </row>
    <row r="1002" spans="1:10" s="143" customFormat="1" outlineLevel="2" x14ac:dyDescent="0.2">
      <c r="A1002" s="143">
        <v>39800</v>
      </c>
      <c r="B1002" s="143">
        <v>2023</v>
      </c>
      <c r="C1002" s="89">
        <f t="shared" si="162"/>
        <v>1.5</v>
      </c>
      <c r="D1002" s="291">
        <v>583815.16410236084</v>
      </c>
      <c r="E1002" s="12">
        <v>20</v>
      </c>
      <c r="F1002" s="12">
        <f t="shared" si="163"/>
        <v>18.5</v>
      </c>
      <c r="G1002" s="330">
        <f>'Proposed Rates'!$O$59/100</f>
        <v>0</v>
      </c>
      <c r="H1002" s="291">
        <f t="shared" ref="H1002:H1007" si="164">+D1002*(1-F1002/E1002)*(1-G1002)</f>
        <v>43786.13730767704</v>
      </c>
      <c r="I1002" s="291">
        <f t="shared" ref="I1002:I1007" si="165">+D1002*F1002</f>
        <v>10800580.535893675</v>
      </c>
      <c r="J1002" s="291"/>
    </row>
    <row r="1003" spans="1:10" s="143" customFormat="1" outlineLevel="2" x14ac:dyDescent="0.2">
      <c r="A1003" s="143">
        <v>39800</v>
      </c>
      <c r="B1003" s="143">
        <v>2022</v>
      </c>
      <c r="C1003" s="89">
        <f t="shared" si="162"/>
        <v>2.5</v>
      </c>
      <c r="D1003" s="291">
        <v>0</v>
      </c>
      <c r="E1003" s="12">
        <v>20</v>
      </c>
      <c r="F1003" s="12">
        <f t="shared" si="163"/>
        <v>17.5</v>
      </c>
      <c r="G1003" s="330">
        <f>'Proposed Rates'!$O$59/100</f>
        <v>0</v>
      </c>
      <c r="H1003" s="291">
        <f t="shared" si="164"/>
        <v>0</v>
      </c>
      <c r="I1003" s="291">
        <f t="shared" si="165"/>
        <v>0</v>
      </c>
      <c r="J1003" s="291"/>
    </row>
    <row r="1004" spans="1:10" s="143" customFormat="1" outlineLevel="2" x14ac:dyDescent="0.2">
      <c r="A1004" s="143">
        <v>39800</v>
      </c>
      <c r="B1004" s="143">
        <v>2020</v>
      </c>
      <c r="C1004" s="89">
        <f t="shared" si="162"/>
        <v>4.5</v>
      </c>
      <c r="D1004" s="291">
        <v>8108.69</v>
      </c>
      <c r="E1004" s="12">
        <v>20</v>
      </c>
      <c r="F1004" s="12">
        <f t="shared" si="163"/>
        <v>15.5</v>
      </c>
      <c r="G1004" s="330">
        <f>'Proposed Rates'!$O$59/100</f>
        <v>0</v>
      </c>
      <c r="H1004" s="291">
        <f t="shared" si="164"/>
        <v>1824.4552499999998</v>
      </c>
      <c r="I1004" s="291">
        <f t="shared" si="165"/>
        <v>125684.69499999999</v>
      </c>
      <c r="J1004" s="291"/>
    </row>
    <row r="1005" spans="1:10" s="143" customFormat="1" outlineLevel="2" x14ac:dyDescent="0.2">
      <c r="A1005" s="143">
        <v>39800</v>
      </c>
      <c r="B1005" s="143">
        <v>2019</v>
      </c>
      <c r="C1005" s="89">
        <f t="shared" si="162"/>
        <v>5.5</v>
      </c>
      <c r="D1005" s="291">
        <v>9100.7900000000009</v>
      </c>
      <c r="E1005" s="12">
        <v>20</v>
      </c>
      <c r="F1005" s="12">
        <f t="shared" si="163"/>
        <v>14.5</v>
      </c>
      <c r="G1005" s="330">
        <f>'Proposed Rates'!$O$59/100</f>
        <v>0</v>
      </c>
      <c r="H1005" s="291">
        <f t="shared" si="164"/>
        <v>2502.7172500000006</v>
      </c>
      <c r="I1005" s="291">
        <f t="shared" si="165"/>
        <v>131961.45500000002</v>
      </c>
      <c r="J1005" s="291"/>
    </row>
    <row r="1006" spans="1:10" s="143" customFormat="1" outlineLevel="2" x14ac:dyDescent="0.2">
      <c r="A1006" s="143">
        <v>39800</v>
      </c>
      <c r="B1006" s="143">
        <v>2016</v>
      </c>
      <c r="C1006" s="89">
        <f t="shared" si="162"/>
        <v>8.5</v>
      </c>
      <c r="D1006" s="291">
        <v>4275.45</v>
      </c>
      <c r="E1006" s="12">
        <v>20</v>
      </c>
      <c r="F1006" s="12">
        <f t="shared" si="163"/>
        <v>11.5</v>
      </c>
      <c r="G1006" s="330">
        <f>'Proposed Rates'!$O$59/100</f>
        <v>0</v>
      </c>
      <c r="H1006" s="291">
        <f t="shared" si="164"/>
        <v>1817.0662500000001</v>
      </c>
      <c r="I1006" s="291">
        <f t="shared" si="165"/>
        <v>49167.674999999996</v>
      </c>
      <c r="J1006" s="291"/>
    </row>
    <row r="1007" spans="1:10" s="143" customFormat="1" outlineLevel="2" x14ac:dyDescent="0.2">
      <c r="A1007" s="143">
        <v>39800</v>
      </c>
      <c r="B1007" s="143">
        <v>2015</v>
      </c>
      <c r="C1007" s="89">
        <f t="shared" si="162"/>
        <v>9.5</v>
      </c>
      <c r="D1007" s="291">
        <v>8249.33</v>
      </c>
      <c r="E1007" s="12">
        <v>20</v>
      </c>
      <c r="F1007" s="12">
        <f t="shared" si="163"/>
        <v>10.5</v>
      </c>
      <c r="G1007" s="330">
        <f>'Proposed Rates'!$O$59/100</f>
        <v>0</v>
      </c>
      <c r="H1007" s="291">
        <f t="shared" si="164"/>
        <v>3918.4317499999997</v>
      </c>
      <c r="I1007" s="291">
        <f t="shared" si="165"/>
        <v>86617.964999999997</v>
      </c>
      <c r="J1007" s="291"/>
    </row>
    <row r="1008" spans="1:10" outlineLevel="2" x14ac:dyDescent="0.2">
      <c r="A1008" s="143">
        <v>39800</v>
      </c>
      <c r="B1008">
        <v>2014</v>
      </c>
      <c r="C1008" s="89">
        <f t="shared" si="162"/>
        <v>10.5</v>
      </c>
      <c r="D1008" s="291">
        <v>10833.74</v>
      </c>
      <c r="E1008" s="12">
        <v>20</v>
      </c>
      <c r="F1008" s="12">
        <f t="shared" si="163"/>
        <v>9.5</v>
      </c>
      <c r="G1008" s="330">
        <f>'Proposed Rates'!$O$59/100</f>
        <v>0</v>
      </c>
      <c r="H1008" s="291">
        <f t="shared" si="160"/>
        <v>5687.7134999999998</v>
      </c>
      <c r="I1008" s="291">
        <f t="shared" si="155"/>
        <v>102920.53</v>
      </c>
    </row>
    <row r="1009" spans="1:10" outlineLevel="2" x14ac:dyDescent="0.2">
      <c r="A1009" s="143">
        <v>39800</v>
      </c>
      <c r="B1009">
        <v>2013</v>
      </c>
      <c r="C1009" s="89">
        <f t="shared" si="162"/>
        <v>11.5</v>
      </c>
      <c r="D1009" s="291">
        <v>655.68</v>
      </c>
      <c r="E1009" s="12">
        <v>20</v>
      </c>
      <c r="F1009" s="12">
        <f t="shared" si="163"/>
        <v>8.5</v>
      </c>
      <c r="G1009" s="330">
        <f>'Proposed Rates'!$O$59/100</f>
        <v>0</v>
      </c>
      <c r="H1009" s="291">
        <f t="shared" si="160"/>
        <v>377.01599999999996</v>
      </c>
      <c r="I1009" s="291">
        <f t="shared" si="155"/>
        <v>5573.28</v>
      </c>
    </row>
    <row r="1010" spans="1:10" outlineLevel="2" x14ac:dyDescent="0.2">
      <c r="A1010" s="143">
        <v>39800</v>
      </c>
      <c r="B1010">
        <v>2012</v>
      </c>
      <c r="C1010" s="89">
        <f t="shared" si="162"/>
        <v>12.5</v>
      </c>
      <c r="D1010" s="291">
        <v>1158.3499999999999</v>
      </c>
      <c r="E1010" s="12">
        <v>20</v>
      </c>
      <c r="F1010" s="12">
        <f t="shared" si="163"/>
        <v>7.5</v>
      </c>
      <c r="G1010" s="330">
        <f>'Proposed Rates'!$O$59/100</f>
        <v>0</v>
      </c>
      <c r="H1010" s="291">
        <f t="shared" si="160"/>
        <v>723.96875</v>
      </c>
      <c r="I1010" s="291">
        <f t="shared" si="155"/>
        <v>8687.625</v>
      </c>
    </row>
    <row r="1011" spans="1:10" outlineLevel="2" x14ac:dyDescent="0.2">
      <c r="A1011" s="143">
        <v>39800</v>
      </c>
      <c r="B1011">
        <v>2011</v>
      </c>
      <c r="C1011" s="89">
        <f t="shared" si="162"/>
        <v>13.5</v>
      </c>
      <c r="D1011" s="291">
        <v>20642.52</v>
      </c>
      <c r="E1011" s="12">
        <v>20</v>
      </c>
      <c r="F1011" s="12">
        <f t="shared" si="163"/>
        <v>6.5</v>
      </c>
      <c r="G1011" s="330">
        <f>'Proposed Rates'!$O$59/100</f>
        <v>0</v>
      </c>
      <c r="H1011" s="291">
        <f t="shared" si="160"/>
        <v>13933.701000000001</v>
      </c>
      <c r="I1011" s="291">
        <f t="shared" si="155"/>
        <v>134176.38</v>
      </c>
    </row>
    <row r="1012" spans="1:10" outlineLevel="2" x14ac:dyDescent="0.2">
      <c r="A1012" s="143">
        <v>39800</v>
      </c>
      <c r="B1012">
        <v>2010</v>
      </c>
      <c r="C1012" s="89">
        <f t="shared" si="162"/>
        <v>14.5</v>
      </c>
      <c r="D1012" s="291">
        <v>5655.92</v>
      </c>
      <c r="E1012" s="12">
        <v>20</v>
      </c>
      <c r="F1012" s="12">
        <f t="shared" si="163"/>
        <v>5.5</v>
      </c>
      <c r="G1012" s="330">
        <f>'Proposed Rates'!$O$59/100</f>
        <v>0</v>
      </c>
      <c r="H1012" s="291">
        <f t="shared" si="160"/>
        <v>4100.5420000000004</v>
      </c>
      <c r="I1012" s="291">
        <f t="shared" si="155"/>
        <v>31107.56</v>
      </c>
    </row>
    <row r="1013" spans="1:10" outlineLevel="2" x14ac:dyDescent="0.2">
      <c r="A1013">
        <v>39800</v>
      </c>
      <c r="B1013">
        <v>2008</v>
      </c>
      <c r="C1013" s="89">
        <f t="shared" si="162"/>
        <v>16.5</v>
      </c>
      <c r="D1013" s="291">
        <v>2887.48</v>
      </c>
      <c r="E1013" s="12">
        <v>20</v>
      </c>
      <c r="F1013" s="12">
        <f t="shared" si="163"/>
        <v>3.5</v>
      </c>
      <c r="G1013" s="330">
        <f>'Proposed Rates'!$O$59/100</f>
        <v>0</v>
      </c>
      <c r="H1013" s="291">
        <f t="shared" si="160"/>
        <v>2382.1709999999998</v>
      </c>
      <c r="I1013" s="291">
        <f t="shared" si="155"/>
        <v>10106.18</v>
      </c>
    </row>
    <row r="1014" spans="1:10" outlineLevel="2" x14ac:dyDescent="0.2">
      <c r="A1014">
        <v>39800</v>
      </c>
      <c r="B1014">
        <v>2007</v>
      </c>
      <c r="C1014" s="89">
        <f t="shared" si="162"/>
        <v>17.5</v>
      </c>
      <c r="D1014" s="291">
        <v>3361.02</v>
      </c>
      <c r="E1014" s="12">
        <v>20</v>
      </c>
      <c r="F1014" s="12">
        <f t="shared" si="163"/>
        <v>2.5</v>
      </c>
      <c r="G1014" s="330">
        <f>'Proposed Rates'!$O$59/100</f>
        <v>0</v>
      </c>
      <c r="H1014" s="291">
        <f t="shared" si="160"/>
        <v>2940.8924999999999</v>
      </c>
      <c r="I1014" s="291">
        <f t="shared" si="155"/>
        <v>8402.5499999999993</v>
      </c>
    </row>
    <row r="1015" spans="1:10" outlineLevel="2" x14ac:dyDescent="0.2">
      <c r="A1015">
        <v>39800</v>
      </c>
      <c r="B1015">
        <v>2006</v>
      </c>
      <c r="C1015" s="89">
        <f t="shared" si="162"/>
        <v>18.5</v>
      </c>
      <c r="D1015" s="291">
        <v>38674.550000000003</v>
      </c>
      <c r="E1015" s="12">
        <v>20</v>
      </c>
      <c r="F1015" s="12">
        <f t="shared" si="163"/>
        <v>1.5</v>
      </c>
      <c r="G1015" s="330">
        <f>'Proposed Rates'!$O$59/100</f>
        <v>0</v>
      </c>
      <c r="H1015" s="291">
        <f t="shared" si="160"/>
        <v>35773.958750000005</v>
      </c>
      <c r="I1015" s="291">
        <f t="shared" si="155"/>
        <v>58011.825000000004</v>
      </c>
    </row>
    <row r="1016" spans="1:10" outlineLevel="2" x14ac:dyDescent="0.2">
      <c r="A1016">
        <v>39800</v>
      </c>
      <c r="B1016">
        <v>2004</v>
      </c>
      <c r="C1016" s="89">
        <f t="shared" si="162"/>
        <v>20.5</v>
      </c>
      <c r="D1016" s="291">
        <v>3032.14</v>
      </c>
      <c r="E1016" s="12">
        <v>20</v>
      </c>
      <c r="F1016" s="12">
        <v>0</v>
      </c>
      <c r="G1016" s="330">
        <f>'Proposed Rates'!$O$59/100</f>
        <v>0</v>
      </c>
      <c r="H1016" s="291">
        <f t="shared" si="160"/>
        <v>3032.14</v>
      </c>
      <c r="I1016" s="291">
        <f t="shared" si="155"/>
        <v>0</v>
      </c>
    </row>
    <row r="1017" spans="1:10" outlineLevel="2" x14ac:dyDescent="0.2">
      <c r="A1017">
        <v>39800</v>
      </c>
      <c r="B1017">
        <v>2003</v>
      </c>
      <c r="C1017" s="89">
        <f t="shared" si="162"/>
        <v>21.5</v>
      </c>
      <c r="D1017" s="291">
        <v>33681.359999999993</v>
      </c>
      <c r="E1017" s="12">
        <v>20</v>
      </c>
      <c r="F1017" s="12">
        <v>0</v>
      </c>
      <c r="G1017" s="330">
        <f>'Proposed Rates'!$O$59/100</f>
        <v>0</v>
      </c>
      <c r="H1017" s="291">
        <f t="shared" si="160"/>
        <v>33681.359999999993</v>
      </c>
      <c r="I1017" s="291">
        <f t="shared" si="155"/>
        <v>0</v>
      </c>
    </row>
    <row r="1018" spans="1:10" s="143" customFormat="1" outlineLevel="1" x14ac:dyDescent="0.2">
      <c r="A1018" s="20" t="s">
        <v>1207</v>
      </c>
      <c r="D1018" s="291">
        <f>SUBTOTAL(9,D1001:D1017)</f>
        <v>923442.00410236092</v>
      </c>
      <c r="E1018" s="12"/>
      <c r="F1018" s="12"/>
      <c r="G1018" s="330"/>
      <c r="H1018" s="291">
        <f>SUBTOTAL(9,H1001:H1017)</f>
        <v>161215.01680767705</v>
      </c>
      <c r="I1018" s="291">
        <f>SUBTOTAL(9,I1001:I1017)</f>
        <v>15244539.745893676</v>
      </c>
      <c r="J1018" s="291">
        <f>+I1018/D1018</f>
        <v>16.508388916867876</v>
      </c>
    </row>
    <row r="1019" spans="1:10" s="143" customFormat="1" x14ac:dyDescent="0.2">
      <c r="A1019" s="20" t="s">
        <v>174</v>
      </c>
      <c r="D1019" s="291">
        <f>SUBTOTAL(9,D2:D1017)</f>
        <v>3390816262.6022072</v>
      </c>
      <c r="E1019" s="12"/>
      <c r="F1019" s="12"/>
      <c r="G1019" s="330"/>
      <c r="H1019" s="291">
        <f>SUBTOTAL(9,H2:H1017)</f>
        <v>789865171.35811269</v>
      </c>
      <c r="I1019" s="291">
        <f>SUBTOTAL(9,I2:I1017)</f>
        <v>170775223723.16824</v>
      </c>
      <c r="J1019" s="291">
        <f>+I1019/H1019</f>
        <v>216.20806932091122</v>
      </c>
    </row>
    <row r="1022" spans="1:10" x14ac:dyDescent="0.2">
      <c r="B1022" s="291"/>
    </row>
    <row r="1023" spans="1:10" x14ac:dyDescent="0.2">
      <c r="A1023">
        <v>33600</v>
      </c>
      <c r="B1023" s="143">
        <v>2024</v>
      </c>
      <c r="C1023" s="89">
        <f t="shared" ref="C1023:C1025" si="166">2024.5-B1023</f>
        <v>0.5</v>
      </c>
      <c r="D1023" s="323">
        <v>0</v>
      </c>
      <c r="E1023" s="12">
        <v>30</v>
      </c>
      <c r="F1023" s="12">
        <v>29.547744000000002</v>
      </c>
      <c r="G1023" s="330">
        <f>Parameter!I$55/100</f>
        <v>-0.05</v>
      </c>
      <c r="H1023" s="291">
        <f t="shared" ref="H1023:H1025" si="167">+D1023*(1-F1023/E1023)*(1-G1023)</f>
        <v>0</v>
      </c>
      <c r="I1023" s="291">
        <f t="shared" ref="I1023:I1025" si="168">+D1023*F1023</f>
        <v>0</v>
      </c>
    </row>
    <row r="1024" spans="1:10" x14ac:dyDescent="0.2">
      <c r="A1024">
        <v>33600</v>
      </c>
      <c r="B1024" s="143">
        <v>2023</v>
      </c>
      <c r="C1024" s="89">
        <f t="shared" si="166"/>
        <v>1.5</v>
      </c>
      <c r="D1024" s="323">
        <v>16109646.340000002</v>
      </c>
      <c r="E1024" s="12">
        <v>30</v>
      </c>
      <c r="F1024" s="12">
        <v>28.649208999999999</v>
      </c>
      <c r="G1024" s="330">
        <f>Parameter!I$55/100</f>
        <v>-0.05</v>
      </c>
      <c r="H1024" s="291">
        <f t="shared" si="167"/>
        <v>761626.78512392368</v>
      </c>
      <c r="I1024" s="291">
        <f t="shared" si="168"/>
        <v>461528624.91074508</v>
      </c>
    </row>
    <row r="1025" spans="1:10" x14ac:dyDescent="0.2">
      <c r="A1025">
        <v>33600</v>
      </c>
      <c r="B1025" s="143">
        <v>2022</v>
      </c>
      <c r="C1025" s="89">
        <f t="shared" si="166"/>
        <v>2.5</v>
      </c>
      <c r="D1025" s="323">
        <v>0</v>
      </c>
      <c r="E1025" s="12">
        <v>30</v>
      </c>
      <c r="F1025" s="12">
        <v>27.759616000000001</v>
      </c>
      <c r="G1025" s="330">
        <f>Parameter!I$55/100</f>
        <v>-0.05</v>
      </c>
      <c r="H1025" s="291">
        <f t="shared" si="167"/>
        <v>0</v>
      </c>
      <c r="I1025" s="291">
        <f t="shared" si="168"/>
        <v>0</v>
      </c>
    </row>
    <row r="1026" spans="1:10" x14ac:dyDescent="0.2">
      <c r="A1026" t="s">
        <v>1265</v>
      </c>
      <c r="B1026" s="143"/>
      <c r="D1026" s="323">
        <f>SUM(D1023:D1025)</f>
        <v>16109646.340000002</v>
      </c>
      <c r="H1026" s="323">
        <f t="shared" ref="H1026:I1026" si="169">SUM(H1023:H1025)</f>
        <v>761626.78512392368</v>
      </c>
      <c r="I1026" s="323">
        <f t="shared" si="169"/>
        <v>461528624.91074508</v>
      </c>
      <c r="J1026" s="291">
        <f>+I1026/D1026</f>
        <v>28.649208999999999</v>
      </c>
    </row>
    <row r="1027" spans="1:10" x14ac:dyDescent="0.2">
      <c r="A1027">
        <v>36400</v>
      </c>
      <c r="B1027" s="143">
        <v>2024</v>
      </c>
      <c r="C1027" s="89">
        <f t="shared" ref="C1027:C1029" si="170">2024.5-B1027</f>
        <v>0.5</v>
      </c>
      <c r="D1027" s="323">
        <v>17975.919999999925</v>
      </c>
      <c r="E1027" s="12">
        <v>30</v>
      </c>
      <c r="F1027" s="12">
        <v>29.547744000000002</v>
      </c>
      <c r="G1027" s="330">
        <f>Parameter!I$57/100</f>
        <v>-0.05</v>
      </c>
      <c r="H1027" s="291">
        <f t="shared" ref="H1027:H1029" si="171">+D1027*(1-F1027/E1027)*(1-G1027)</f>
        <v>284.54011864319796</v>
      </c>
      <c r="I1027" s="291">
        <f t="shared" ref="I1027:I1029" si="172">+D1027*F1027</f>
        <v>531147.88232447777</v>
      </c>
    </row>
    <row r="1028" spans="1:10" x14ac:dyDescent="0.2">
      <c r="A1028">
        <v>36400</v>
      </c>
      <c r="B1028" s="143">
        <v>2023</v>
      </c>
      <c r="C1028" s="89">
        <f t="shared" si="170"/>
        <v>1.5</v>
      </c>
      <c r="D1028" s="323">
        <v>1485380.05</v>
      </c>
      <c r="E1028" s="12">
        <v>30</v>
      </c>
      <c r="F1028" s="12">
        <v>28.649208999999999</v>
      </c>
      <c r="G1028" s="330">
        <f>Parameter!I$57/100</f>
        <v>-0.05</v>
      </c>
      <c r="H1028" s="291">
        <f t="shared" si="171"/>
        <v>70225.330109184317</v>
      </c>
      <c r="I1028" s="291">
        <f t="shared" si="172"/>
        <v>42554963.496880449</v>
      </c>
    </row>
    <row r="1029" spans="1:10" x14ac:dyDescent="0.2">
      <c r="A1029">
        <v>36400</v>
      </c>
      <c r="B1029" s="143">
        <v>2022</v>
      </c>
      <c r="C1029" s="89">
        <f t="shared" si="170"/>
        <v>2.5</v>
      </c>
      <c r="D1029" s="323">
        <v>0</v>
      </c>
      <c r="E1029" s="12">
        <v>30</v>
      </c>
      <c r="F1029" s="12">
        <v>27.759616000000001</v>
      </c>
      <c r="G1029" s="330">
        <f>Parameter!I$57/100</f>
        <v>-0.05</v>
      </c>
      <c r="H1029" s="291">
        <f t="shared" si="171"/>
        <v>0</v>
      </c>
      <c r="I1029" s="291">
        <f t="shared" si="172"/>
        <v>0</v>
      </c>
    </row>
    <row r="1030" spans="1:10" x14ac:dyDescent="0.2">
      <c r="A1030" s="89" t="s">
        <v>1349</v>
      </c>
      <c r="B1030" s="143"/>
      <c r="C1030" s="143"/>
      <c r="D1030" s="323">
        <f>SUM(D1027:D1029)</f>
        <v>1503355.97</v>
      </c>
      <c r="H1030" s="323">
        <f t="shared" ref="H1030:I1030" si="173">SUM(H1027:H1029)</f>
        <v>70509.870227827516</v>
      </c>
      <c r="I1030" s="323">
        <f t="shared" si="173"/>
        <v>43086111.379204929</v>
      </c>
      <c r="J1030" s="291">
        <f>+I1030/D1030</f>
        <v>28.659952957917831</v>
      </c>
    </row>
    <row r="1035" spans="1:10" x14ac:dyDescent="0.2">
      <c r="A1035">
        <v>33601</v>
      </c>
      <c r="B1035">
        <v>2024</v>
      </c>
      <c r="C1035">
        <v>0.5</v>
      </c>
    </row>
    <row r="1036" spans="1:10" x14ac:dyDescent="0.2">
      <c r="A1036">
        <v>33601</v>
      </c>
      <c r="B1036">
        <v>2023</v>
      </c>
      <c r="C1036">
        <v>1.5</v>
      </c>
      <c r="D1036" s="291">
        <v>35668591.620000005</v>
      </c>
      <c r="E1036" s="12">
        <v>15</v>
      </c>
      <c r="F1036" s="12">
        <v>13.5</v>
      </c>
      <c r="G1036" s="330">
        <v>0</v>
      </c>
      <c r="H1036" s="291">
        <f t="shared" ref="H1036" si="174">+D1036*(1-F1036/E1036)*(1-G1036)</f>
        <v>3566859.1619999995</v>
      </c>
      <c r="I1036" s="291">
        <f t="shared" ref="I1036" si="175">+D1036*F1036</f>
        <v>481525986.87000006</v>
      </c>
    </row>
    <row r="1037" spans="1:10" x14ac:dyDescent="0.2">
      <c r="A1037" s="89" t="s">
        <v>1348</v>
      </c>
      <c r="D1037" s="323">
        <f>SUM(D1035:D1036)</f>
        <v>35668591.620000005</v>
      </c>
      <c r="E1037" s="332"/>
      <c r="F1037" s="332"/>
      <c r="G1037" s="332"/>
      <c r="H1037" s="323">
        <f t="shared" ref="H1037:I1037" si="176">SUM(H1035:H1036)</f>
        <v>3566859.1619999995</v>
      </c>
      <c r="I1037" s="323">
        <f t="shared" si="176"/>
        <v>481525986.87000006</v>
      </c>
      <c r="J1037" s="291">
        <f>+I1037/D1037</f>
        <v>13.5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85"/>
  <sheetViews>
    <sheetView topLeftCell="D35" workbookViewId="0">
      <selection activeCell="Q66" sqref="Q66"/>
    </sheetView>
  </sheetViews>
  <sheetFormatPr defaultRowHeight="12.75" x14ac:dyDescent="0.2"/>
  <cols>
    <col min="3" max="3" width="47.42578125" customWidth="1"/>
    <col min="4" max="4" width="20.7109375" style="291" customWidth="1"/>
    <col min="5" max="5" width="20.85546875" customWidth="1"/>
    <col min="6" max="6" width="0.85546875" customWidth="1"/>
    <col min="7" max="7" width="15.42578125" style="104" bestFit="1" customWidth="1"/>
    <col min="8" max="8" width="3.140625" style="291" customWidth="1"/>
    <col min="9" max="9" width="21" style="291" customWidth="1"/>
    <col min="10" max="10" width="1.42578125" customWidth="1"/>
    <col min="11" max="11" width="21.140625" customWidth="1"/>
    <col min="12" max="12" width="1.5703125" customWidth="1"/>
    <col min="13" max="13" width="18.85546875" style="291" bestFit="1" customWidth="1"/>
    <col min="14" max="14" width="3.5703125" customWidth="1"/>
    <col min="15" max="15" width="18.7109375" customWidth="1"/>
    <col min="16" max="16" width="1.42578125" customWidth="1"/>
    <col min="17" max="17" width="9.140625" style="104"/>
  </cols>
  <sheetData>
    <row r="1" spans="1:17" s="143" customFormat="1" x14ac:dyDescent="0.2">
      <c r="D1" s="291"/>
      <c r="G1" s="104"/>
      <c r="H1" s="291"/>
      <c r="I1" s="291"/>
      <c r="M1" s="291"/>
      <c r="Q1" s="104"/>
    </row>
    <row r="2" spans="1:17" s="143" customFormat="1" x14ac:dyDescent="0.2">
      <c r="A2" s="399" t="s">
        <v>1212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</row>
    <row r="3" spans="1:17" s="143" customFormat="1" x14ac:dyDescent="0.2">
      <c r="D3" s="291"/>
      <c r="G3" s="104"/>
      <c r="H3" s="291"/>
      <c r="I3" s="291"/>
      <c r="M3" s="291"/>
      <c r="Q3" s="104"/>
    </row>
    <row r="4" spans="1:17" s="143" customFormat="1" x14ac:dyDescent="0.2">
      <c r="A4" s="400" t="s">
        <v>1210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</row>
    <row r="5" spans="1:17" s="143" customFormat="1" x14ac:dyDescent="0.2">
      <c r="A5" s="400" t="s">
        <v>1211</v>
      </c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</row>
    <row r="6" spans="1:17" s="143" customFormat="1" x14ac:dyDescent="0.2">
      <c r="A6" s="399" t="s">
        <v>1264</v>
      </c>
      <c r="B6" s="400"/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</row>
    <row r="7" spans="1:17" s="143" customForma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92"/>
      <c r="N7" s="1"/>
      <c r="O7" s="1"/>
      <c r="P7" s="1"/>
      <c r="Q7" s="293"/>
    </row>
    <row r="8" spans="1:17" s="143" customFormat="1" x14ac:dyDescent="0.2">
      <c r="D8" s="292"/>
      <c r="E8" s="1"/>
      <c r="F8" s="1"/>
      <c r="G8" s="293"/>
      <c r="H8" s="292"/>
      <c r="I8" s="292"/>
      <c r="J8" s="1"/>
      <c r="K8" s="1"/>
      <c r="L8" s="1"/>
      <c r="M8" s="292"/>
      <c r="N8" s="1"/>
      <c r="O8" s="1"/>
      <c r="P8" s="1"/>
      <c r="Q8" s="293" t="s">
        <v>64</v>
      </c>
    </row>
    <row r="9" spans="1:17" s="143" customFormat="1" x14ac:dyDescent="0.2">
      <c r="D9" s="292"/>
      <c r="E9" s="1"/>
      <c r="F9" s="1"/>
      <c r="G9" s="293" t="s">
        <v>12</v>
      </c>
      <c r="H9" s="292"/>
      <c r="I9" s="292" t="s">
        <v>12</v>
      </c>
      <c r="J9" s="1"/>
      <c r="K9" s="1"/>
      <c r="L9" s="1"/>
      <c r="M9" s="292" t="s">
        <v>3</v>
      </c>
      <c r="N9" s="1"/>
      <c r="O9" s="1" t="s">
        <v>81</v>
      </c>
      <c r="P9" s="1"/>
      <c r="Q9" s="293" t="s">
        <v>81</v>
      </c>
    </row>
    <row r="10" spans="1:17" s="143" customFormat="1" x14ac:dyDescent="0.2">
      <c r="D10" s="315" t="s">
        <v>1247</v>
      </c>
      <c r="E10" s="1" t="s">
        <v>1214</v>
      </c>
      <c r="F10" s="1"/>
      <c r="G10" s="293" t="s">
        <v>19</v>
      </c>
      <c r="H10" s="292"/>
      <c r="I10" s="292" t="s">
        <v>19</v>
      </c>
      <c r="J10" s="1"/>
      <c r="K10" s="1" t="s">
        <v>1215</v>
      </c>
      <c r="L10" s="1"/>
      <c r="M10" s="292" t="s">
        <v>1216</v>
      </c>
      <c r="N10" s="1"/>
      <c r="O10" s="1" t="s">
        <v>1217</v>
      </c>
      <c r="P10" s="1"/>
      <c r="Q10" s="293" t="s">
        <v>1217</v>
      </c>
    </row>
    <row r="11" spans="1:17" s="143" customFormat="1" x14ac:dyDescent="0.2">
      <c r="D11" s="292" t="s">
        <v>59</v>
      </c>
      <c r="E11" s="1" t="s">
        <v>6</v>
      </c>
      <c r="F11" s="1"/>
      <c r="G11" s="293" t="s">
        <v>1218</v>
      </c>
      <c r="H11" s="292"/>
      <c r="I11" s="292" t="s">
        <v>80</v>
      </c>
      <c r="J11" s="1"/>
      <c r="K11" s="1" t="s">
        <v>59</v>
      </c>
      <c r="L11" s="1"/>
      <c r="M11" s="292" t="s">
        <v>16</v>
      </c>
      <c r="N11" s="1"/>
      <c r="O11" s="1" t="s">
        <v>80</v>
      </c>
      <c r="P11" s="1"/>
      <c r="Q11" s="293" t="s">
        <v>21</v>
      </c>
    </row>
    <row r="12" spans="1:17" s="143" customFormat="1" x14ac:dyDescent="0.2">
      <c r="A12" s="304" t="s">
        <v>9</v>
      </c>
      <c r="B12" s="305"/>
      <c r="C12" s="304" t="s">
        <v>1213</v>
      </c>
      <c r="D12" s="306" t="s">
        <v>1219</v>
      </c>
      <c r="E12" s="307" t="s">
        <v>1220</v>
      </c>
      <c r="F12" s="307"/>
      <c r="G12" s="308" t="s">
        <v>1221</v>
      </c>
      <c r="H12" s="306"/>
      <c r="I12" s="306" t="s">
        <v>1222</v>
      </c>
      <c r="J12" s="307"/>
      <c r="K12" s="307" t="s">
        <v>1223</v>
      </c>
      <c r="L12" s="307"/>
      <c r="M12" s="306" t="s">
        <v>1224</v>
      </c>
      <c r="N12" s="307"/>
      <c r="O12" s="307" t="s">
        <v>1225</v>
      </c>
      <c r="P12" s="307"/>
      <c r="Q12" s="308" t="s">
        <v>1226</v>
      </c>
    </row>
    <row r="13" spans="1:17" s="143" customFormat="1" x14ac:dyDescent="0.2">
      <c r="A13" s="89"/>
      <c r="C13" s="89"/>
      <c r="D13" s="292"/>
      <c r="E13" s="1"/>
      <c r="F13" s="1"/>
      <c r="G13" s="293"/>
      <c r="H13" s="292"/>
      <c r="I13" s="292"/>
      <c r="J13" s="1"/>
      <c r="K13" s="1"/>
      <c r="L13" s="1"/>
      <c r="M13" s="292"/>
      <c r="N13" s="1"/>
      <c r="O13" s="1"/>
      <c r="P13" s="1"/>
      <c r="Q13" s="293"/>
    </row>
    <row r="14" spans="1:17" s="143" customFormat="1" x14ac:dyDescent="0.2">
      <c r="A14" s="89" t="s">
        <v>1231</v>
      </c>
      <c r="C14" s="89"/>
      <c r="D14" s="356"/>
      <c r="E14" s="364"/>
      <c r="F14" s="1"/>
      <c r="G14" s="293"/>
      <c r="H14" s="292"/>
      <c r="I14" s="292"/>
      <c r="J14" s="1"/>
      <c r="K14" s="1"/>
      <c r="L14" s="1"/>
      <c r="M14" s="292"/>
      <c r="N14" s="1"/>
      <c r="O14" s="1"/>
      <c r="P14" s="1"/>
      <c r="Q14" s="293"/>
    </row>
    <row r="15" spans="1:17" s="143" customFormat="1" x14ac:dyDescent="0.2">
      <c r="A15" s="89">
        <f>'Plant &amp; Reserve'!A47</f>
        <v>30300</v>
      </c>
      <c r="B15" s="143">
        <v>30300</v>
      </c>
      <c r="C15" s="89" t="s">
        <v>91</v>
      </c>
      <c r="D15" s="268">
        <f>'Theoretical Reserve'!D5</f>
        <v>815325.07000000007</v>
      </c>
      <c r="E15" s="365">
        <f>+'Reserve Allocation'!N14</f>
        <v>815325.0699999989</v>
      </c>
      <c r="F15" s="1"/>
      <c r="G15" s="104">
        <f>+'Proposed Rates'!O47/100</f>
        <v>0</v>
      </c>
      <c r="H15" s="292"/>
      <c r="I15" s="291">
        <f>+D15*G15</f>
        <v>0</v>
      </c>
      <c r="K15" s="291">
        <f>+D15-E15-I15</f>
        <v>1.1641532182693481E-9</v>
      </c>
      <c r="L15" s="1"/>
      <c r="M15" s="291">
        <f>'Theoretical Reserve'!J5</f>
        <v>0</v>
      </c>
      <c r="N15" s="1"/>
      <c r="O15" s="291">
        <v>0</v>
      </c>
      <c r="Q15" s="104">
        <f>ROUND(+O15/D15,3)</f>
        <v>0</v>
      </c>
    </row>
    <row r="16" spans="1:17" s="143" customFormat="1" x14ac:dyDescent="0.2">
      <c r="A16" s="89">
        <f>'Plant &amp; Reserve'!A48</f>
        <v>30301</v>
      </c>
      <c r="B16" s="143">
        <v>30301</v>
      </c>
      <c r="C16" s="89" t="s">
        <v>92</v>
      </c>
      <c r="D16" s="268">
        <f>'Theoretical Reserve'!D29</f>
        <v>124829688.78999999</v>
      </c>
      <c r="E16" s="365">
        <f>+'Reserve Allocation'!N15</f>
        <v>37523500.841743499</v>
      </c>
      <c r="F16" s="1"/>
      <c r="G16" s="104">
        <f>+'Proposed Rates'!O48/100</f>
        <v>0</v>
      </c>
      <c r="H16" s="292"/>
      <c r="I16" s="291">
        <f>+D16*G16</f>
        <v>0</v>
      </c>
      <c r="K16" s="291">
        <f>+D16-E16-I16</f>
        <v>87306187.948256493</v>
      </c>
      <c r="L16" s="1"/>
      <c r="M16" s="291">
        <f>'Theoretical Reserve'!J29</f>
        <v>10.534336762284255</v>
      </c>
      <c r="N16" s="1"/>
      <c r="O16" s="291">
        <f>+K16/M16</f>
        <v>8287772.6351825027</v>
      </c>
      <c r="Q16" s="104">
        <f>ROUND(+O16/D16,3)</f>
        <v>6.6000000000000003E-2</v>
      </c>
    </row>
    <row r="17" spans="1:17" s="143" customFormat="1" x14ac:dyDescent="0.2">
      <c r="A17" s="89"/>
      <c r="C17" s="89"/>
      <c r="D17" s="356"/>
      <c r="E17" s="364"/>
      <c r="F17" s="1"/>
      <c r="G17" s="293"/>
      <c r="H17" s="292"/>
      <c r="I17" s="292"/>
      <c r="J17" s="1"/>
      <c r="K17" s="1"/>
      <c r="L17" s="1"/>
      <c r="M17" s="292"/>
      <c r="N17" s="1"/>
      <c r="O17" s="1"/>
      <c r="P17" s="1"/>
      <c r="Q17" s="293"/>
    </row>
    <row r="18" spans="1:17" s="143" customFormat="1" x14ac:dyDescent="0.2">
      <c r="A18" s="89"/>
      <c r="C18" s="89"/>
      <c r="D18" s="356"/>
      <c r="E18" s="364"/>
      <c r="F18" s="1"/>
      <c r="G18" s="293"/>
      <c r="H18" s="292"/>
      <c r="I18" s="292"/>
      <c r="J18" s="1"/>
      <c r="K18" s="1"/>
      <c r="L18" s="1"/>
      <c r="M18" s="292"/>
      <c r="N18" s="1"/>
      <c r="O18" s="1"/>
      <c r="P18" s="1"/>
      <c r="Q18" s="293"/>
    </row>
    <row r="19" spans="1:17" s="143" customFormat="1" x14ac:dyDescent="0.2">
      <c r="A19" s="89"/>
      <c r="C19" s="89"/>
      <c r="D19" s="356"/>
      <c r="E19" s="364"/>
      <c r="F19" s="1"/>
      <c r="G19" s="293"/>
      <c r="H19" s="292"/>
      <c r="I19" s="292"/>
      <c r="J19" s="1"/>
      <c r="K19" s="1"/>
      <c r="L19" s="1"/>
      <c r="M19" s="292"/>
      <c r="N19" s="1"/>
      <c r="O19" s="1"/>
      <c r="P19" s="1"/>
      <c r="Q19" s="293"/>
    </row>
    <row r="20" spans="1:17" s="143" customFormat="1" x14ac:dyDescent="0.2">
      <c r="A20" s="89" t="s">
        <v>1227</v>
      </c>
      <c r="B20" s="143" t="s">
        <v>1249</v>
      </c>
      <c r="D20" s="291"/>
      <c r="G20" s="104"/>
      <c r="H20" s="291"/>
      <c r="I20" s="291"/>
      <c r="M20" s="291"/>
      <c r="Q20" s="104"/>
    </row>
    <row r="21" spans="1:17" x14ac:dyDescent="0.2">
      <c r="A21">
        <f>'Plant &amp; Reserve'!A16</f>
        <v>37402</v>
      </c>
      <c r="B21">
        <f>+'Plant &amp; Reserve'!A16</f>
        <v>37402</v>
      </c>
      <c r="C21" t="s">
        <v>646</v>
      </c>
      <c r="D21" s="291">
        <f>'Theoretical Reserve'!D67</f>
        <v>4268872.66</v>
      </c>
      <c r="E21" s="291">
        <f>'Reserve Allocation'!N20</f>
        <v>1135965.6754117727</v>
      </c>
      <c r="G21" s="104">
        <f>+'Proposed Rates'!O16/100</f>
        <v>0</v>
      </c>
      <c r="I21" s="291">
        <f t="shared" ref="I21:I35" si="0">+D21*G21</f>
        <v>0</v>
      </c>
      <c r="K21" s="291">
        <f t="shared" ref="K21:K35" si="1">+D21-E21-I21</f>
        <v>3132906.9845882272</v>
      </c>
      <c r="M21" s="291">
        <f>'Theoretical Reserve'!J67</f>
        <v>55.861004813856397</v>
      </c>
      <c r="O21" s="291">
        <f>+K21/M21</f>
        <v>56083.971189345764</v>
      </c>
      <c r="Q21" s="104">
        <f t="shared" ref="Q21:Q35" si="2">ROUND(+O21/D21,3)</f>
        <v>1.2999999999999999E-2</v>
      </c>
    </row>
    <row r="22" spans="1:17" x14ac:dyDescent="0.2">
      <c r="A22">
        <f>'Plant &amp; Reserve'!A17</f>
        <v>37500</v>
      </c>
      <c r="B22" s="143">
        <f>+'Plant &amp; Reserve'!A17</f>
        <v>37500</v>
      </c>
      <c r="C22" t="s">
        <v>93</v>
      </c>
      <c r="D22" s="291">
        <f>'Theoretical Reserve'!D117</f>
        <v>42540041.509999983</v>
      </c>
      <c r="E22" s="291">
        <f>'Reserve Allocation'!N21</f>
        <v>8327025.3461523298</v>
      </c>
      <c r="G22" s="104">
        <f>+'Proposed Rates'!O17/100</f>
        <v>0</v>
      </c>
      <c r="I22" s="291">
        <f t="shared" si="0"/>
        <v>0</v>
      </c>
      <c r="K22" s="291">
        <f t="shared" si="1"/>
        <v>34213016.163847655</v>
      </c>
      <c r="M22" s="291">
        <f>'Theoretical Reserve'!J117</f>
        <v>27.84390288172925</v>
      </c>
      <c r="O22" s="291">
        <f t="shared" ref="O22:O59" si="3">+K22/M22</f>
        <v>1228743.5532716832</v>
      </c>
      <c r="Q22" s="104">
        <f t="shared" si="2"/>
        <v>2.9000000000000001E-2</v>
      </c>
    </row>
    <row r="23" spans="1:17" x14ac:dyDescent="0.2">
      <c r="A23">
        <f>'Plant &amp; Reserve'!A18</f>
        <v>37600</v>
      </c>
      <c r="B23" s="143">
        <f>+'Plant &amp; Reserve'!A18</f>
        <v>37600</v>
      </c>
      <c r="C23" t="s">
        <v>94</v>
      </c>
      <c r="D23" s="291">
        <f>'Theoretical Reserve'!D189</f>
        <v>839424834.85876846</v>
      </c>
      <c r="E23" s="291">
        <f>'Reserve Allocation'!N22</f>
        <v>219421191.02617225</v>
      </c>
      <c r="G23" s="104">
        <f>+'Proposed Rates'!O18/100</f>
        <v>-0.6</v>
      </c>
      <c r="I23" s="291">
        <f t="shared" si="0"/>
        <v>-503654900.91526103</v>
      </c>
      <c r="K23" s="291">
        <f t="shared" si="1"/>
        <v>1123658544.7478571</v>
      </c>
      <c r="M23" s="291">
        <f>'Theoretical Reserve'!J189</f>
        <v>54.669563555170619</v>
      </c>
      <c r="O23" s="291">
        <f t="shared" si="3"/>
        <v>20553640.301406469</v>
      </c>
      <c r="Q23" s="104">
        <f t="shared" si="2"/>
        <v>2.4E-2</v>
      </c>
    </row>
    <row r="24" spans="1:17" x14ac:dyDescent="0.2">
      <c r="A24">
        <f>'Plant &amp; Reserve'!A19</f>
        <v>37602</v>
      </c>
      <c r="B24" s="143">
        <f>+'Plant &amp; Reserve'!A19</f>
        <v>37602</v>
      </c>
      <c r="C24" t="s">
        <v>95</v>
      </c>
      <c r="D24" s="291">
        <f>'Theoretical Reserve'!D227</f>
        <v>1076321266.0438066</v>
      </c>
      <c r="E24" s="291">
        <f>'Reserve Allocation'!N23</f>
        <v>199350416.49198416</v>
      </c>
      <c r="G24" s="104">
        <f>+'Proposed Rates'!O19/100</f>
        <v>-0.4</v>
      </c>
      <c r="I24" s="291">
        <f t="shared" si="0"/>
        <v>-430528506.41752267</v>
      </c>
      <c r="K24" s="291">
        <f t="shared" si="1"/>
        <v>1307499355.9693451</v>
      </c>
      <c r="M24" s="291">
        <f>'Theoretical Reserve'!J227</f>
        <v>67.333982178474372</v>
      </c>
      <c r="O24" s="291">
        <f t="shared" si="3"/>
        <v>19418120.147768896</v>
      </c>
      <c r="Q24" s="104">
        <f t="shared" si="2"/>
        <v>1.7999999999999999E-2</v>
      </c>
    </row>
    <row r="25" spans="1:17" s="143" customFormat="1" x14ac:dyDescent="0.2">
      <c r="A25" s="143">
        <v>37700</v>
      </c>
      <c r="B25" s="143">
        <v>37700</v>
      </c>
      <c r="C25" s="143" t="s">
        <v>1253</v>
      </c>
      <c r="D25" s="291">
        <f>+'Theoretical Reserve'!D231</f>
        <v>19187297.899999999</v>
      </c>
      <c r="E25" s="291">
        <f>'Reserve Allocation'!N24</f>
        <v>1872818.6248070037</v>
      </c>
      <c r="G25" s="104">
        <f>+'Proposed Rates'!O20/100</f>
        <v>-0.05</v>
      </c>
      <c r="H25" s="291"/>
      <c r="I25" s="291">
        <f t="shared" si="0"/>
        <v>-959364.89500000002</v>
      </c>
      <c r="K25" s="291">
        <f t="shared" si="1"/>
        <v>18273844.170192994</v>
      </c>
      <c r="M25" s="291">
        <f>+'Theoretical Reserve'!J231</f>
        <v>31.875409199669306</v>
      </c>
      <c r="O25" s="291">
        <f t="shared" ref="O25" si="4">+K25/M25</f>
        <v>573289.71232101321</v>
      </c>
      <c r="Q25" s="104">
        <f t="shared" si="2"/>
        <v>0.03</v>
      </c>
    </row>
    <row r="26" spans="1:17" x14ac:dyDescent="0.2">
      <c r="A26">
        <f>'Plant &amp; Reserve'!A21</f>
        <v>37800</v>
      </c>
      <c r="B26" s="143">
        <f>+'Plant &amp; Reserve'!A21</f>
        <v>37800</v>
      </c>
      <c r="C26" t="s">
        <v>96</v>
      </c>
      <c r="D26" s="291">
        <f>'Theoretical Reserve'!D290</f>
        <v>22828790.149999987</v>
      </c>
      <c r="E26" s="291">
        <f>'Reserve Allocation'!N25</f>
        <v>6391146.6009152206</v>
      </c>
      <c r="G26" s="104">
        <f>+'Proposed Rates'!O21/100</f>
        <v>-0.2</v>
      </c>
      <c r="I26" s="291">
        <f t="shared" si="0"/>
        <v>-4565758.0299999975</v>
      </c>
      <c r="K26" s="291">
        <f t="shared" si="1"/>
        <v>21003401.579084765</v>
      </c>
      <c r="M26" s="291">
        <f>'Theoretical Reserve'!J290</f>
        <v>30.823834421347936</v>
      </c>
      <c r="O26" s="291">
        <f t="shared" si="3"/>
        <v>681401.3237930662</v>
      </c>
      <c r="Q26" s="104">
        <f t="shared" si="2"/>
        <v>0.03</v>
      </c>
    </row>
    <row r="27" spans="1:17" x14ac:dyDescent="0.2">
      <c r="A27">
        <f>'Plant &amp; Reserve'!A22</f>
        <v>37900</v>
      </c>
      <c r="B27" s="143">
        <f>+'Plant &amp; Reserve'!A22</f>
        <v>37900</v>
      </c>
      <c r="C27" t="s">
        <v>97</v>
      </c>
      <c r="D27" s="291">
        <f>'Theoretical Reserve'!D323</f>
        <v>122736793.25999998</v>
      </c>
      <c r="E27" s="291">
        <f>'Reserve Allocation'!N26</f>
        <v>20597693.57577337</v>
      </c>
      <c r="G27" s="104">
        <f>+'Proposed Rates'!O22/100</f>
        <v>-0.2</v>
      </c>
      <c r="I27" s="291">
        <f t="shared" si="0"/>
        <v>-24547358.651999995</v>
      </c>
      <c r="K27" s="291">
        <f t="shared" si="1"/>
        <v>126686458.3362266</v>
      </c>
      <c r="M27" s="291">
        <f>'Theoretical Reserve'!J323</f>
        <v>45.90457784266907</v>
      </c>
      <c r="O27" s="291">
        <f t="shared" si="3"/>
        <v>2759778.3116626209</v>
      </c>
      <c r="Q27" s="104">
        <f t="shared" si="2"/>
        <v>2.1999999999999999E-2</v>
      </c>
    </row>
    <row r="28" spans="1:17" x14ac:dyDescent="0.2">
      <c r="A28">
        <f>'Plant &amp; Reserve'!A23</f>
        <v>38000</v>
      </c>
      <c r="B28" s="143">
        <f>+'Plant &amp; Reserve'!A23</f>
        <v>38000</v>
      </c>
      <c r="C28" t="s">
        <v>98</v>
      </c>
      <c r="D28" s="291">
        <f>'Theoretical Reserve'!D416</f>
        <v>68085342.289999977</v>
      </c>
      <c r="E28" s="291">
        <f>'Reserve Allocation'!N27</f>
        <v>44097347.061889209</v>
      </c>
      <c r="G28" s="104">
        <f>+'Proposed Rates'!O23/100</f>
        <v>-1.3</v>
      </c>
      <c r="I28" s="291">
        <f t="shared" si="0"/>
        <v>-88510944.976999968</v>
      </c>
      <c r="K28" s="291">
        <f t="shared" si="1"/>
        <v>112498940.20511073</v>
      </c>
      <c r="M28" s="291">
        <f>'Theoretical Reserve'!J416</f>
        <v>38.747125865709364</v>
      </c>
      <c r="O28" s="291">
        <f t="shared" si="3"/>
        <v>2903413.8066139929</v>
      </c>
      <c r="Q28" s="104">
        <f t="shared" si="2"/>
        <v>4.2999999999999997E-2</v>
      </c>
    </row>
    <row r="29" spans="1:17" x14ac:dyDescent="0.2">
      <c r="A29">
        <f>'Plant &amp; Reserve'!A24</f>
        <v>38002</v>
      </c>
      <c r="B29" s="143">
        <f>+'Plant &amp; Reserve'!A24</f>
        <v>38002</v>
      </c>
      <c r="C29" t="s">
        <v>99</v>
      </c>
      <c r="D29" s="291">
        <f>'Theoretical Reserve'!D475</f>
        <v>667590895.32999992</v>
      </c>
      <c r="E29" s="291">
        <f>'Reserve Allocation'!N28</f>
        <v>212877942.27598739</v>
      </c>
      <c r="G29" s="104">
        <f>+'Proposed Rates'!O24/100</f>
        <v>-0.75</v>
      </c>
      <c r="I29" s="291">
        <f t="shared" si="0"/>
        <v>-500693171.49749994</v>
      </c>
      <c r="K29" s="291">
        <f t="shared" si="1"/>
        <v>955406124.55151248</v>
      </c>
      <c r="M29" s="291">
        <f>'Theoretical Reserve'!J475</f>
        <v>46.257022570121585</v>
      </c>
      <c r="O29" s="291">
        <f t="shared" si="3"/>
        <v>20654293.585437771</v>
      </c>
      <c r="Q29" s="104">
        <f t="shared" si="2"/>
        <v>3.1E-2</v>
      </c>
    </row>
    <row r="30" spans="1:17" x14ac:dyDescent="0.2">
      <c r="A30">
        <f>'Plant &amp; Reserve'!A25</f>
        <v>38100</v>
      </c>
      <c r="B30" s="143">
        <f>+'Plant &amp; Reserve'!A25</f>
        <v>38100</v>
      </c>
      <c r="C30" t="s">
        <v>100</v>
      </c>
      <c r="D30" s="291">
        <f>'Theoretical Reserve'!D501</f>
        <v>113411738.28066561</v>
      </c>
      <c r="E30" s="291">
        <f>'Reserve Allocation'!N29</f>
        <v>44575767.843240783</v>
      </c>
      <c r="G30" s="104">
        <f>+'Proposed Rates'!O25/100</f>
        <v>0</v>
      </c>
      <c r="I30" s="291">
        <f t="shared" si="0"/>
        <v>0</v>
      </c>
      <c r="K30" s="291">
        <f t="shared" si="1"/>
        <v>68835970.437424824</v>
      </c>
      <c r="M30" s="291">
        <f>'Theoretical Reserve'!J501</f>
        <v>12.80616217522196</v>
      </c>
      <c r="O30" s="291">
        <f t="shared" si="3"/>
        <v>5375222.4511581073</v>
      </c>
      <c r="Q30" s="104">
        <f t="shared" si="2"/>
        <v>4.7E-2</v>
      </c>
    </row>
    <row r="31" spans="1:17" x14ac:dyDescent="0.2">
      <c r="A31">
        <f>'Plant &amp; Reserve'!A26</f>
        <v>38200</v>
      </c>
      <c r="B31" s="143">
        <f>+'Plant &amp; Reserve'!A26</f>
        <v>38200</v>
      </c>
      <c r="C31" t="s">
        <v>101</v>
      </c>
      <c r="D31" s="291">
        <f>'Theoretical Reserve'!D546</f>
        <v>119185919.39246112</v>
      </c>
      <c r="E31" s="291">
        <f>'Reserve Allocation'!N30</f>
        <v>36161018.361859567</v>
      </c>
      <c r="G31" s="104">
        <f>+'Proposed Rates'!O26/100</f>
        <v>-0.3</v>
      </c>
      <c r="I31" s="291">
        <f t="shared" si="0"/>
        <v>-35755775.817738332</v>
      </c>
      <c r="K31" s="291">
        <f t="shared" si="1"/>
        <v>118780676.84833989</v>
      </c>
      <c r="M31" s="291">
        <f>'Theoretical Reserve'!J546</f>
        <v>37.422411158016857</v>
      </c>
      <c r="O31" s="291">
        <f t="shared" si="3"/>
        <v>3174051.9430131367</v>
      </c>
      <c r="Q31" s="104">
        <f t="shared" si="2"/>
        <v>2.7E-2</v>
      </c>
    </row>
    <row r="32" spans="1:17" x14ac:dyDescent="0.2">
      <c r="A32">
        <f>'Plant &amp; Reserve'!A27</f>
        <v>38300</v>
      </c>
      <c r="B32" s="143">
        <f>+'Plant &amp; Reserve'!A27</f>
        <v>38300</v>
      </c>
      <c r="C32" t="s">
        <v>102</v>
      </c>
      <c r="D32" s="291">
        <f>'Theoretical Reserve'!D599</f>
        <v>21662897.199999996</v>
      </c>
      <c r="E32" s="291">
        <f>'Reserve Allocation'!N31</f>
        <v>9132324.756926477</v>
      </c>
      <c r="G32" s="104">
        <f>+'Proposed Rates'!O27/100</f>
        <v>0</v>
      </c>
      <c r="I32" s="291">
        <f t="shared" si="0"/>
        <v>0</v>
      </c>
      <c r="K32" s="291">
        <f t="shared" si="1"/>
        <v>12530572.443073519</v>
      </c>
      <c r="M32" s="291">
        <f>'Theoretical Reserve'!J599</f>
        <v>28.141857448609773</v>
      </c>
      <c r="O32" s="291">
        <f t="shared" si="3"/>
        <v>445264.58375946811</v>
      </c>
      <c r="Q32" s="104">
        <f t="shared" si="2"/>
        <v>2.1000000000000001E-2</v>
      </c>
    </row>
    <row r="33" spans="1:17" x14ac:dyDescent="0.2">
      <c r="A33">
        <f>'Plant &amp; Reserve'!A28</f>
        <v>38400</v>
      </c>
      <c r="B33" s="143">
        <f>+'Plant &amp; Reserve'!A28</f>
        <v>38400</v>
      </c>
      <c r="C33" t="s">
        <v>103</v>
      </c>
      <c r="D33" s="291">
        <f>'Theoretical Reserve'!D667</f>
        <v>38677154.929999985</v>
      </c>
      <c r="E33" s="291">
        <f>'Reserve Allocation'!N32</f>
        <v>15584499.545730432</v>
      </c>
      <c r="G33" s="104">
        <f>+'Proposed Rates'!O28/100</f>
        <v>-0.3</v>
      </c>
      <c r="I33" s="291">
        <f t="shared" si="0"/>
        <v>-11603146.478999995</v>
      </c>
      <c r="K33" s="291">
        <f t="shared" si="1"/>
        <v>34695801.863269545</v>
      </c>
      <c r="M33" s="291">
        <f>'Theoretical Reserve'!J667</f>
        <v>37.147776723231274</v>
      </c>
      <c r="O33" s="291">
        <f t="shared" si="3"/>
        <v>933994.03473779559</v>
      </c>
      <c r="Q33" s="104">
        <f t="shared" si="2"/>
        <v>2.4E-2</v>
      </c>
    </row>
    <row r="34" spans="1:17" x14ac:dyDescent="0.2">
      <c r="A34">
        <f>'Plant &amp; Reserve'!A29</f>
        <v>38500</v>
      </c>
      <c r="B34" s="143">
        <f>+'Plant &amp; Reserve'!A29</f>
        <v>38500</v>
      </c>
      <c r="C34" t="s">
        <v>104</v>
      </c>
      <c r="D34" s="291">
        <f>'Theoretical Reserve'!D715</f>
        <v>15196826.639999999</v>
      </c>
      <c r="E34" s="291">
        <f>'Reserve Allocation'!N33</f>
        <v>7287259.3511351217</v>
      </c>
      <c r="G34" s="104">
        <f>+'Proposed Rates'!O29/100</f>
        <v>0</v>
      </c>
      <c r="I34" s="291">
        <f t="shared" si="0"/>
        <v>0</v>
      </c>
      <c r="K34" s="291">
        <f t="shared" si="1"/>
        <v>7909567.2888648771</v>
      </c>
      <c r="M34" s="291">
        <f>'Theoretical Reserve'!J715</f>
        <v>23.493268546577429</v>
      </c>
      <c r="O34" s="291">
        <f t="shared" si="3"/>
        <v>336673.7699006623</v>
      </c>
      <c r="Q34" s="104">
        <f t="shared" si="2"/>
        <v>2.1999999999999999E-2</v>
      </c>
    </row>
    <row r="35" spans="1:17" x14ac:dyDescent="0.2">
      <c r="A35" s="143">
        <f>'Plant &amp; Reserve'!A31</f>
        <v>38700</v>
      </c>
      <c r="B35" s="143">
        <f>+'Plant &amp; Reserve'!A31</f>
        <v>38700</v>
      </c>
      <c r="C35" s="143" t="s">
        <v>106</v>
      </c>
      <c r="D35" s="291">
        <f>'Theoretical Reserve'!D759</f>
        <v>13431843.029999996</v>
      </c>
      <c r="E35" s="291">
        <f>'Reserve Allocation'!N34</f>
        <v>5670671.8931667153</v>
      </c>
      <c r="G35" s="104">
        <f>+'Proposed Rates'!O31/100</f>
        <v>0</v>
      </c>
      <c r="I35" s="291">
        <f t="shared" si="0"/>
        <v>0</v>
      </c>
      <c r="K35" s="291">
        <f t="shared" si="1"/>
        <v>7761171.1368332803</v>
      </c>
      <c r="M35" s="291">
        <f>'Theoretical Reserve'!J759</f>
        <v>19.25358481757295</v>
      </c>
      <c r="O35" s="291">
        <f t="shared" si="3"/>
        <v>403102.6538886191</v>
      </c>
      <c r="Q35" s="104">
        <f t="shared" si="2"/>
        <v>0.03</v>
      </c>
    </row>
    <row r="36" spans="1:17" s="143" customFormat="1" x14ac:dyDescent="0.2">
      <c r="C36" s="89" t="s">
        <v>1229</v>
      </c>
      <c r="D36" s="297">
        <f>SUM(D21:D35)</f>
        <v>3184550513.4757018</v>
      </c>
      <c r="E36" s="297">
        <f t="shared" ref="E36:O36" si="5">SUM(E21:E35)</f>
        <v>832483088.43115175</v>
      </c>
      <c r="F36" s="298" t="s">
        <v>1230</v>
      </c>
      <c r="G36" s="298" t="s">
        <v>1230</v>
      </c>
      <c r="H36" s="298" t="s">
        <v>1230</v>
      </c>
      <c r="I36" s="297">
        <f t="shared" si="5"/>
        <v>-1600818927.6810219</v>
      </c>
      <c r="J36" s="298" t="s">
        <v>1230</v>
      </c>
      <c r="K36" s="297">
        <f t="shared" si="5"/>
        <v>3952886352.7255716</v>
      </c>
      <c r="L36" s="298" t="s">
        <v>1230</v>
      </c>
      <c r="M36" s="298" t="s">
        <v>1230</v>
      </c>
      <c r="N36" s="298" t="s">
        <v>1230</v>
      </c>
      <c r="O36" s="297">
        <f t="shared" si="5"/>
        <v>79497074.149922639</v>
      </c>
      <c r="P36" s="298" t="s">
        <v>1230</v>
      </c>
      <c r="Q36" s="322" t="s">
        <v>1230</v>
      </c>
    </row>
    <row r="37" spans="1:17" s="143" customFormat="1" x14ac:dyDescent="0.2">
      <c r="D37" s="291"/>
      <c r="G37" s="104"/>
      <c r="H37" s="291"/>
      <c r="I37" s="291"/>
      <c r="K37" s="291"/>
      <c r="M37" s="291"/>
      <c r="O37" s="291"/>
      <c r="Q37" s="104"/>
    </row>
    <row r="38" spans="1:17" s="143" customFormat="1" x14ac:dyDescent="0.2">
      <c r="D38" s="291"/>
      <c r="G38" s="104"/>
      <c r="H38" s="291"/>
      <c r="I38" s="291"/>
      <c r="K38" s="291"/>
      <c r="M38" s="291"/>
      <c r="O38" s="291"/>
      <c r="Q38" s="104"/>
    </row>
    <row r="39" spans="1:17" s="143" customFormat="1" x14ac:dyDescent="0.2">
      <c r="D39" s="291"/>
      <c r="G39" s="104"/>
      <c r="H39" s="291"/>
      <c r="I39" s="291"/>
      <c r="K39" s="291"/>
      <c r="M39" s="291"/>
      <c r="O39" s="291"/>
      <c r="Q39" s="104"/>
    </row>
    <row r="40" spans="1:17" s="143" customFormat="1" x14ac:dyDescent="0.2">
      <c r="D40" s="291"/>
      <c r="G40" s="104"/>
      <c r="H40" s="291"/>
      <c r="I40" s="291"/>
      <c r="K40" s="291"/>
      <c r="M40" s="291"/>
      <c r="O40" s="291"/>
      <c r="Q40" s="104"/>
    </row>
    <row r="41" spans="1:17" s="143" customFormat="1" x14ac:dyDescent="0.2">
      <c r="D41" s="291"/>
      <c r="G41" s="104"/>
      <c r="H41" s="291"/>
      <c r="I41" s="291"/>
      <c r="K41" s="291"/>
      <c r="M41" s="291"/>
      <c r="O41" s="291"/>
      <c r="Q41" s="104"/>
    </row>
    <row r="42" spans="1:17" s="143" customFormat="1" x14ac:dyDescent="0.2">
      <c r="D42" s="291"/>
      <c r="G42" s="104"/>
      <c r="H42" s="291"/>
      <c r="I42" s="291"/>
      <c r="K42" s="291"/>
      <c r="M42" s="291"/>
      <c r="O42" s="291"/>
      <c r="Q42" s="104"/>
    </row>
    <row r="43" spans="1:17" s="143" customFormat="1" x14ac:dyDescent="0.2">
      <c r="D43" s="291"/>
      <c r="G43" s="104"/>
      <c r="H43" s="291"/>
      <c r="I43" s="291"/>
      <c r="K43" s="291"/>
      <c r="M43" s="291"/>
      <c r="O43" s="291"/>
      <c r="Q43" s="104"/>
    </row>
    <row r="44" spans="1:17" s="143" customFormat="1" x14ac:dyDescent="0.2">
      <c r="D44" s="291"/>
      <c r="G44" s="104"/>
      <c r="H44" s="291"/>
      <c r="I44" s="291"/>
      <c r="K44" s="291"/>
      <c r="M44" s="291"/>
      <c r="O44" s="291"/>
      <c r="Q44" s="104"/>
    </row>
    <row r="45" spans="1:17" s="143" customFormat="1" x14ac:dyDescent="0.2">
      <c r="A45" s="89" t="s">
        <v>1228</v>
      </c>
      <c r="B45" s="143" t="s">
        <v>62</v>
      </c>
      <c r="D45" s="291"/>
      <c r="G45" s="104"/>
      <c r="H45" s="291"/>
      <c r="I45" s="291"/>
      <c r="K45" s="291"/>
      <c r="M45" s="291"/>
      <c r="O45" s="291"/>
      <c r="Q45" s="104"/>
    </row>
    <row r="46" spans="1:17" ht="22.5" customHeight="1" x14ac:dyDescent="0.2">
      <c r="A46">
        <f>'Plant &amp; Reserve'!A49</f>
        <v>39000</v>
      </c>
      <c r="B46">
        <f>+'Plant &amp; Reserve'!A49</f>
        <v>39000</v>
      </c>
      <c r="C46" t="s">
        <v>93</v>
      </c>
      <c r="D46" s="291">
        <f>'Theoretical Reserve'!D767</f>
        <v>663068.9</v>
      </c>
      <c r="E46" s="291">
        <f>'Reserve Allocation'!N45</f>
        <v>45567.602230799923</v>
      </c>
      <c r="G46" s="104">
        <f>+'Proposed Rates'!O49/100</f>
        <v>0</v>
      </c>
      <c r="I46" s="291">
        <f t="shared" ref="I46:I59" si="6">+D46*G46</f>
        <v>0</v>
      </c>
      <c r="K46" s="291">
        <f t="shared" ref="K46:K59" si="7">+D46-E46-I46</f>
        <v>617501.29776920006</v>
      </c>
      <c r="M46" s="291">
        <f>'Theoretical Reserve'!J767</f>
        <v>22.876068219495995</v>
      </c>
      <c r="O46" s="291">
        <f t="shared" si="3"/>
        <v>26993.331714360695</v>
      </c>
      <c r="Q46" s="104">
        <f t="shared" ref="Q46:Q59" si="8">ROUND(+O46/D46,3)</f>
        <v>4.1000000000000002E-2</v>
      </c>
    </row>
    <row r="47" spans="1:17" x14ac:dyDescent="0.2">
      <c r="A47">
        <f>'Plant &amp; Reserve'!A50</f>
        <v>39100</v>
      </c>
      <c r="B47" s="143">
        <f>+'Plant &amp; Reserve'!A50</f>
        <v>39100</v>
      </c>
      <c r="C47" t="s">
        <v>107</v>
      </c>
      <c r="D47" s="291">
        <f>'Theoretical Reserve'!D785</f>
        <v>2192449.73</v>
      </c>
      <c r="E47" s="291">
        <f>'Reserve Allocation'!N46</f>
        <v>1250876.8360366272</v>
      </c>
      <c r="G47" s="104">
        <f>+'Proposed Rates'!O50/100</f>
        <v>0</v>
      </c>
      <c r="I47" s="291">
        <f t="shared" si="6"/>
        <v>0</v>
      </c>
      <c r="K47" s="291">
        <f t="shared" si="7"/>
        <v>941572.8939633728</v>
      </c>
      <c r="M47" s="291">
        <f>'Theoretical Reserve'!J785</f>
        <v>6.8131428149096056</v>
      </c>
      <c r="O47" s="291">
        <f t="shared" si="3"/>
        <v>138199.49464480224</v>
      </c>
      <c r="Q47" s="104">
        <f t="shared" si="8"/>
        <v>6.3E-2</v>
      </c>
    </row>
    <row r="48" spans="1:17" x14ac:dyDescent="0.2">
      <c r="A48">
        <f>'Plant &amp; Reserve'!A51</f>
        <v>39101</v>
      </c>
      <c r="B48" s="143">
        <f>+'Plant &amp; Reserve'!A51</f>
        <v>39101</v>
      </c>
      <c r="C48" t="s">
        <v>108</v>
      </c>
      <c r="D48" s="291">
        <f>'Theoretical Reserve'!D799</f>
        <v>6423957.1449999902</v>
      </c>
      <c r="E48" s="291">
        <f>'Reserve Allocation'!N47</f>
        <v>3887200.5361898364</v>
      </c>
      <c r="G48" s="104">
        <f>+'Proposed Rates'!O51/100</f>
        <v>0</v>
      </c>
      <c r="I48" s="291">
        <f t="shared" si="6"/>
        <v>0</v>
      </c>
      <c r="K48" s="291">
        <f t="shared" si="7"/>
        <v>2536756.6088101538</v>
      </c>
      <c r="M48" s="291">
        <f>'Theoretical Reserve'!J799</f>
        <v>4.8612938925527258</v>
      </c>
      <c r="O48" s="291">
        <f t="shared" si="3"/>
        <v>521827.45270684949</v>
      </c>
      <c r="Q48" s="104">
        <f t="shared" si="8"/>
        <v>8.1000000000000003E-2</v>
      </c>
    </row>
    <row r="49" spans="1:17" x14ac:dyDescent="0.2">
      <c r="A49">
        <f>'Plant &amp; Reserve'!A52</f>
        <v>39102</v>
      </c>
      <c r="B49" s="143">
        <f>+'Plant &amp; Reserve'!A52</f>
        <v>39102</v>
      </c>
      <c r="C49" t="s">
        <v>109</v>
      </c>
      <c r="D49" s="291">
        <f>'Theoretical Reserve'!D819</f>
        <v>1529673.7899999998</v>
      </c>
      <c r="E49" s="291">
        <f>'Reserve Allocation'!N48</f>
        <v>1057059.5213299992</v>
      </c>
      <c r="G49" s="104">
        <f>+'Proposed Rates'!O52/100</f>
        <v>0</v>
      </c>
      <c r="I49" s="291">
        <f t="shared" si="6"/>
        <v>0</v>
      </c>
      <c r="K49" s="291">
        <f t="shared" si="7"/>
        <v>472614.2686700006</v>
      </c>
      <c r="M49" s="291">
        <f>'Theoretical Reserve'!J819</f>
        <v>5.0181124467066933</v>
      </c>
      <c r="O49" s="291">
        <f t="shared" si="3"/>
        <v>94181.681596268289</v>
      </c>
      <c r="Q49" s="104">
        <f t="shared" si="8"/>
        <v>6.2E-2</v>
      </c>
    </row>
    <row r="50" spans="1:17" x14ac:dyDescent="0.2">
      <c r="A50">
        <f>'Plant &amp; Reserve'!A38</f>
        <v>39201</v>
      </c>
      <c r="B50">
        <f>+'Proposed Accruals'!A38</f>
        <v>39201</v>
      </c>
      <c r="C50" t="s">
        <v>110</v>
      </c>
      <c r="D50" s="291">
        <f>'Theoretical Reserve'!D843</f>
        <v>23701574.900950912</v>
      </c>
      <c r="E50" s="291">
        <f>'Reserve Allocation'!N49</f>
        <v>8222729.2678835941</v>
      </c>
      <c r="G50" s="104">
        <f>+'Proposed Rates'!O38/100</f>
        <v>0.11</v>
      </c>
      <c r="I50" s="291">
        <f t="shared" si="6"/>
        <v>2607173.2391046002</v>
      </c>
      <c r="K50" s="291">
        <f t="shared" si="7"/>
        <v>12871672.393962717</v>
      </c>
      <c r="M50" s="291">
        <f>'Theoretical Reserve'!J843</f>
        <v>5.3913796326334404</v>
      </c>
      <c r="O50" s="291">
        <f t="shared" si="3"/>
        <v>2387454.2827687128</v>
      </c>
      <c r="Q50" s="104">
        <f t="shared" si="8"/>
        <v>0.10100000000000001</v>
      </c>
    </row>
    <row r="51" spans="1:17" x14ac:dyDescent="0.2">
      <c r="A51">
        <f>'Plant &amp; Reserve'!A39</f>
        <v>39202</v>
      </c>
      <c r="B51" s="143">
        <f>+'Proposed Accruals'!A39</f>
        <v>39202</v>
      </c>
      <c r="C51" t="s">
        <v>111</v>
      </c>
      <c r="D51" s="268">
        <f>'Theoretical Reserve'!D863</f>
        <v>17803654.689999994</v>
      </c>
      <c r="E51" s="268">
        <f>'Reserve Allocation'!N50</f>
        <v>9635071.750319995</v>
      </c>
      <c r="G51" s="104">
        <f>+'Proposed Rates'!O39/100</f>
        <v>0.11</v>
      </c>
      <c r="I51" s="291">
        <f t="shared" si="6"/>
        <v>1958402.0158999993</v>
      </c>
      <c r="K51" s="291">
        <f t="shared" si="7"/>
        <v>6210180.9237799998</v>
      </c>
      <c r="M51" s="291">
        <f>'Theoretical Reserve'!J863</f>
        <v>4.8959083213442938</v>
      </c>
      <c r="O51" s="291">
        <f t="shared" si="3"/>
        <v>1268443.0581973887</v>
      </c>
      <c r="Q51" s="104">
        <f t="shared" si="8"/>
        <v>7.0999999999999994E-2</v>
      </c>
    </row>
    <row r="52" spans="1:17" x14ac:dyDescent="0.2">
      <c r="A52">
        <f>'Plant &amp; Reserve'!A40</f>
        <v>39204</v>
      </c>
      <c r="B52" s="143">
        <f>+'Proposed Accruals'!A40</f>
        <v>39204</v>
      </c>
      <c r="C52" t="s">
        <v>112</v>
      </c>
      <c r="D52" s="268">
        <f>'Theoretical Reserve'!D904</f>
        <v>4681567.3202562388</v>
      </c>
      <c r="E52" s="268">
        <f>'Reserve Allocation'!N51</f>
        <v>932593.93949549214</v>
      </c>
      <c r="G52" s="104">
        <f>+'Proposed Rates'!O40/100</f>
        <v>0.2</v>
      </c>
      <c r="I52" s="291">
        <f t="shared" si="6"/>
        <v>936313.46405124781</v>
      </c>
      <c r="K52" s="291">
        <f t="shared" si="7"/>
        <v>2812659.9167094985</v>
      </c>
      <c r="M52" s="291">
        <f>'Theoretical Reserve'!J904</f>
        <v>25.152054599291752</v>
      </c>
      <c r="O52" s="291">
        <f t="shared" si="3"/>
        <v>111826.2488500124</v>
      </c>
      <c r="Q52" s="104">
        <f t="shared" si="8"/>
        <v>2.4E-2</v>
      </c>
    </row>
    <row r="53" spans="1:17" x14ac:dyDescent="0.2">
      <c r="A53">
        <f>'Plant &amp; Reserve'!A41</f>
        <v>39205</v>
      </c>
      <c r="B53" s="143">
        <f>+'Proposed Accruals'!A41</f>
        <v>39205</v>
      </c>
      <c r="C53" t="s">
        <v>113</v>
      </c>
      <c r="D53" s="268">
        <f>'Theoretical Reserve'!D920</f>
        <v>2564139.2299999995</v>
      </c>
      <c r="E53" s="268">
        <f>'Reserve Allocation'!N52</f>
        <v>1395539.2506799987</v>
      </c>
      <c r="G53" s="104">
        <f>+'Proposed Rates'!O41/100</f>
        <v>7.0000000000000007E-2</v>
      </c>
      <c r="I53" s="291">
        <f t="shared" si="6"/>
        <v>179489.74609999999</v>
      </c>
      <c r="K53" s="291">
        <f t="shared" si="7"/>
        <v>989110.23322000087</v>
      </c>
      <c r="M53" s="291">
        <f>'Theoretical Reserve'!J920</f>
        <v>6.9471357509861367</v>
      </c>
      <c r="O53" s="291">
        <f t="shared" si="3"/>
        <v>142376.69575977381</v>
      </c>
      <c r="Q53" s="104">
        <f t="shared" si="8"/>
        <v>5.6000000000000001E-2</v>
      </c>
    </row>
    <row r="54" spans="1:17" x14ac:dyDescent="0.2">
      <c r="A54">
        <f>'Plant &amp; Reserve'!A53</f>
        <v>39300</v>
      </c>
      <c r="B54">
        <f>+'Plant &amp; Reserve'!A53</f>
        <v>39300</v>
      </c>
      <c r="C54" t="s">
        <v>114</v>
      </c>
      <c r="D54" s="268">
        <f>'Theoretical Reserve'!D922</f>
        <v>1283.3900000000001</v>
      </c>
      <c r="E54" s="268">
        <f>'Reserve Allocation'!N53</f>
        <v>647.04815000006727</v>
      </c>
      <c r="G54" s="104">
        <f>+'Proposed Rates'!O53/100</f>
        <v>0</v>
      </c>
      <c r="I54" s="291">
        <f t="shared" si="6"/>
        <v>0</v>
      </c>
      <c r="K54" s="291">
        <f t="shared" si="7"/>
        <v>636.34184999993283</v>
      </c>
      <c r="M54" s="291">
        <f>'Theoretical Reserve'!J922</f>
        <v>11.5</v>
      </c>
      <c r="O54" s="291">
        <f t="shared" si="3"/>
        <v>55.334073913037635</v>
      </c>
      <c r="Q54" s="104">
        <f t="shared" si="8"/>
        <v>4.2999999999999997E-2</v>
      </c>
    </row>
    <row r="55" spans="1:17" x14ac:dyDescent="0.2">
      <c r="A55">
        <f>'Plant &amp; Reserve'!A54</f>
        <v>39400</v>
      </c>
      <c r="B55" s="143">
        <f>+'Plant &amp; Reserve'!A54</f>
        <v>39400</v>
      </c>
      <c r="C55" t="s">
        <v>115</v>
      </c>
      <c r="D55" s="268">
        <f>'Theoretical Reserve'!D944</f>
        <v>9345098.3999999985</v>
      </c>
      <c r="E55" s="268">
        <f>'Reserve Allocation'!N54</f>
        <v>4783405.2230809862</v>
      </c>
      <c r="G55" s="104">
        <f>+'Proposed Rates'!O54/100</f>
        <v>0</v>
      </c>
      <c r="I55" s="291">
        <f t="shared" si="6"/>
        <v>0</v>
      </c>
      <c r="K55" s="291">
        <f t="shared" si="7"/>
        <v>4561693.1769190123</v>
      </c>
      <c r="M55" s="291">
        <f>'Theoretical Reserve'!J944</f>
        <v>9.9824180096380797</v>
      </c>
      <c r="O55" s="291">
        <f t="shared" si="3"/>
        <v>456972.76677000226</v>
      </c>
      <c r="Q55" s="104">
        <f t="shared" si="8"/>
        <v>4.9000000000000002E-2</v>
      </c>
    </row>
    <row r="56" spans="1:17" x14ac:dyDescent="0.2">
      <c r="A56">
        <f>'Plant &amp; Reserve'!A55</f>
        <v>39401</v>
      </c>
      <c r="B56" s="143">
        <f>+'Plant &amp; Reserve'!A55</f>
        <v>39401</v>
      </c>
      <c r="C56" t="s">
        <v>679</v>
      </c>
      <c r="D56" s="268">
        <f>'Theoretical Reserve'!D953</f>
        <v>3241792.7899999996</v>
      </c>
      <c r="E56" s="268">
        <f>'Reserve Allocation'!N55</f>
        <v>958073.39337000111</v>
      </c>
      <c r="G56" s="104">
        <f>+'Proposed Rates'!O55/100</f>
        <v>0</v>
      </c>
      <c r="I56" s="291">
        <f t="shared" si="6"/>
        <v>0</v>
      </c>
      <c r="K56" s="291">
        <f t="shared" si="7"/>
        <v>2283719.3966299985</v>
      </c>
      <c r="M56" s="291">
        <f>'Theoretical Reserve'!J953</f>
        <v>13.935983084532676</v>
      </c>
      <c r="O56" s="291">
        <f t="shared" si="3"/>
        <v>163872.14183437565</v>
      </c>
      <c r="Q56" s="104">
        <f t="shared" si="8"/>
        <v>5.0999999999999997E-2</v>
      </c>
    </row>
    <row r="57" spans="1:17" x14ac:dyDescent="0.2">
      <c r="A57">
        <f>'Plant &amp; Reserve'!A57</f>
        <v>39600</v>
      </c>
      <c r="B57" s="143">
        <f>+'Plant &amp; Reserve'!A57</f>
        <v>39600</v>
      </c>
      <c r="C57" t="s">
        <v>30</v>
      </c>
      <c r="D57" s="268">
        <f>'Theoretical Reserve'!D987</f>
        <v>4522728.60539502</v>
      </c>
      <c r="E57" s="268">
        <f>'Reserve Allocation'!N56</f>
        <v>2148335.1997778886</v>
      </c>
      <c r="G57" s="104">
        <f>+'Proposed Rates'!O57/100</f>
        <v>0.1</v>
      </c>
      <c r="I57" s="291">
        <f t="shared" si="6"/>
        <v>452272.860539502</v>
      </c>
      <c r="K57" s="291">
        <f t="shared" si="7"/>
        <v>1922120.5450776294</v>
      </c>
      <c r="M57" s="291">
        <f>'Theoretical Reserve'!J987</f>
        <v>11.50286458051837</v>
      </c>
      <c r="O57" s="291">
        <f t="shared" si="3"/>
        <v>167099.29353884561</v>
      </c>
      <c r="Q57" s="104">
        <f t="shared" si="8"/>
        <v>3.6999999999999998E-2</v>
      </c>
    </row>
    <row r="58" spans="1:17" x14ac:dyDescent="0.2">
      <c r="A58">
        <f>'Plant &amp; Reserve'!A58</f>
        <v>39700</v>
      </c>
      <c r="B58" s="143">
        <f>+'Plant &amp; Reserve'!A58</f>
        <v>39700</v>
      </c>
      <c r="C58" t="s">
        <v>32</v>
      </c>
      <c r="D58" s="268">
        <f>'Theoretical Reserve'!D1000</f>
        <v>3026304.3707999997</v>
      </c>
      <c r="E58" s="268">
        <f>'Reserve Allocation'!N57</f>
        <v>3012751.6863328698</v>
      </c>
      <c r="G58" s="104">
        <f>+'Proposed Rates'!O58/100</f>
        <v>0</v>
      </c>
      <c r="I58" s="291">
        <f t="shared" si="6"/>
        <v>0</v>
      </c>
      <c r="K58" s="291">
        <f t="shared" si="7"/>
        <v>13552.684467129875</v>
      </c>
      <c r="M58" s="291">
        <f>'Theoretical Reserve'!J1000</f>
        <v>1.6712045651452556</v>
      </c>
      <c r="O58" s="291">
        <v>0</v>
      </c>
      <c r="Q58" s="104">
        <f t="shared" si="8"/>
        <v>0</v>
      </c>
    </row>
    <row r="59" spans="1:17" x14ac:dyDescent="0.2">
      <c r="A59">
        <f>'Plant &amp; Reserve'!A59</f>
        <v>39800</v>
      </c>
      <c r="B59" s="143">
        <f>+'Plant &amp; Reserve'!A59</f>
        <v>39800</v>
      </c>
      <c r="C59" t="s">
        <v>33</v>
      </c>
      <c r="D59" s="291">
        <f>'Theoretical Reserve'!D1018</f>
        <v>923442.00410236092</v>
      </c>
      <c r="E59" s="291">
        <f>'Reserve Allocation'!N58</f>
        <v>236137.54089293242</v>
      </c>
      <c r="G59" s="104">
        <f>+'Proposed Rates'!O59/100</f>
        <v>0</v>
      </c>
      <c r="I59" s="291">
        <f t="shared" si="6"/>
        <v>0</v>
      </c>
      <c r="K59" s="291">
        <f t="shared" si="7"/>
        <v>687304.46320942848</v>
      </c>
      <c r="M59" s="291">
        <f>'Theoretical Reserve'!J1018</f>
        <v>16.508388916867876</v>
      </c>
      <c r="O59" s="291">
        <f t="shared" si="3"/>
        <v>41633.648605598166</v>
      </c>
      <c r="Q59" s="104">
        <f t="shared" si="8"/>
        <v>4.4999999999999998E-2</v>
      </c>
    </row>
    <row r="60" spans="1:17" x14ac:dyDescent="0.2">
      <c r="B60" s="143" t="s">
        <v>1230</v>
      </c>
      <c r="C60" t="s">
        <v>1250</v>
      </c>
      <c r="D60" s="297">
        <f>SUM(D46:D59)</f>
        <v>80620735.266504541</v>
      </c>
      <c r="E60" s="297">
        <f>SUM(E46:E59)</f>
        <v>37565988.795771018</v>
      </c>
      <c r="F60" s="316"/>
      <c r="G60" s="317"/>
      <c r="H60" s="297"/>
      <c r="I60" s="297">
        <f>SUM(I46:I59)</f>
        <v>6133651.3256953489</v>
      </c>
      <c r="J60" s="316"/>
      <c r="K60" s="297">
        <f t="shared" ref="K60:P60" si="9">SUM(K46:K59)</f>
        <v>36921095.145038143</v>
      </c>
      <c r="L60" s="297">
        <f t="shared" si="9"/>
        <v>0</v>
      </c>
      <c r="M60" s="297" t="s">
        <v>1230</v>
      </c>
      <c r="N60" s="297" t="s">
        <v>1230</v>
      </c>
      <c r="O60" s="297">
        <f t="shared" si="9"/>
        <v>5520935.4310609028</v>
      </c>
      <c r="P60" s="297">
        <f t="shared" si="9"/>
        <v>0</v>
      </c>
      <c r="Q60" s="317" t="s">
        <v>1230</v>
      </c>
    </row>
    <row r="66" spans="1:17" x14ac:dyDescent="0.2">
      <c r="A66">
        <v>33600</v>
      </c>
      <c r="C66" s="89" t="s">
        <v>1274</v>
      </c>
      <c r="D66" s="323">
        <f>+'Theoretical Reserve'!D1026</f>
        <v>16109646.340000002</v>
      </c>
      <c r="E66" s="291">
        <f>+'Reserve Allocation'!N65</f>
        <v>1079308.7666374999</v>
      </c>
      <c r="F66" s="291">
        <f>+'Theoretical Reserve'!G1026</f>
        <v>0</v>
      </c>
      <c r="G66" s="104">
        <f>+Parameter!I55/100</f>
        <v>-0.05</v>
      </c>
      <c r="I66" s="291">
        <f>+D66*G66</f>
        <v>-805482.31700000016</v>
      </c>
      <c r="J66" s="143"/>
      <c r="K66" s="291">
        <f>+D66-E66-I66</f>
        <v>15835819.890362501</v>
      </c>
      <c r="L66" s="291" t="e">
        <f>+'Theoretical Reserve'!#REF!</f>
        <v>#REF!</v>
      </c>
      <c r="M66" s="291">
        <f>'Theoretical Reserve'!J1026</f>
        <v>28.649208999999999</v>
      </c>
      <c r="N66" s="291"/>
      <c r="O66" s="291">
        <f t="shared" ref="O66:O68" si="10">+K66/M66</f>
        <v>552748.93943363323</v>
      </c>
      <c r="P66" s="143"/>
      <c r="Q66" s="104">
        <f>ROUND(+O66/D66,3)</f>
        <v>3.4000000000000002E-2</v>
      </c>
    </row>
    <row r="67" spans="1:17" s="143" customFormat="1" x14ac:dyDescent="0.2">
      <c r="A67" s="143">
        <v>33601</v>
      </c>
      <c r="C67" s="89" t="s">
        <v>1362</v>
      </c>
      <c r="D67" s="323"/>
      <c r="E67" s="291"/>
      <c r="F67" s="291"/>
      <c r="G67" s="104"/>
      <c r="H67" s="291"/>
      <c r="I67" s="291"/>
      <c r="K67" s="291"/>
      <c r="L67" s="291"/>
      <c r="M67" s="291"/>
      <c r="N67" s="291"/>
      <c r="O67" s="291"/>
      <c r="Q67" s="104"/>
    </row>
    <row r="68" spans="1:17" x14ac:dyDescent="0.2">
      <c r="A68">
        <v>36400</v>
      </c>
      <c r="C68" s="89" t="s">
        <v>1275</v>
      </c>
      <c r="D68" s="323">
        <f>'Theoretical Reserve'!$D$1030</f>
        <v>1503355.97</v>
      </c>
      <c r="E68" s="291">
        <f>+'Reserve Allocation'!N67</f>
        <v>79584.682884999987</v>
      </c>
      <c r="F68" s="291">
        <f>+'Theoretical Reserve'!G1037</f>
        <v>0</v>
      </c>
      <c r="G68" s="104">
        <f>+Parameter!I57/100</f>
        <v>-0.05</v>
      </c>
      <c r="I68" s="291">
        <f>+D68*G68</f>
        <v>-75167.798500000004</v>
      </c>
      <c r="J68" s="143"/>
      <c r="K68" s="291">
        <f>+D68-E68-I68</f>
        <v>1498939.085615</v>
      </c>
      <c r="L68" s="291" t="e">
        <f>+'Theoretical Reserve'!#REF!</f>
        <v>#REF!</v>
      </c>
      <c r="M68" s="291">
        <f>+'Theoretical Reserve'!J1030</f>
        <v>28.659952957917831</v>
      </c>
      <c r="N68" s="291"/>
      <c r="O68" s="291">
        <f t="shared" si="10"/>
        <v>52300.821561568227</v>
      </c>
      <c r="P68" s="143"/>
      <c r="Q68" s="104">
        <f>ROUND(+O68/D68,3)</f>
        <v>3.5000000000000003E-2</v>
      </c>
    </row>
    <row r="69" spans="1:17" x14ac:dyDescent="0.2">
      <c r="D69" s="323"/>
    </row>
    <row r="70" spans="1:17" x14ac:dyDescent="0.2">
      <c r="D70" s="323"/>
    </row>
    <row r="71" spans="1:17" x14ac:dyDescent="0.2">
      <c r="C71" s="89" t="s">
        <v>1366</v>
      </c>
      <c r="D71" s="323">
        <f>+D66+D68+D60+D36+D16+D15</f>
        <v>3408429264.9122066</v>
      </c>
      <c r="E71" s="323">
        <f>+E66+E68+E60+E36+E16+E15+E67</f>
        <v>909546796.58818877</v>
      </c>
      <c r="F71" s="291" t="e">
        <f>+F66+F68+F60+F36+F16+F15</f>
        <v>#VALUE!</v>
      </c>
      <c r="G71" s="291"/>
      <c r="J71" s="291"/>
      <c r="K71" s="291"/>
      <c r="L71" s="291"/>
      <c r="N71" s="291"/>
      <c r="O71" s="291"/>
      <c r="P71" s="291"/>
      <c r="Q71" s="291"/>
    </row>
    <row r="72" spans="1:17" x14ac:dyDescent="0.2">
      <c r="D72" s="323"/>
      <c r="E72" s="291"/>
    </row>
    <row r="73" spans="1:17" s="143" customFormat="1" x14ac:dyDescent="0.2">
      <c r="D73" s="323"/>
      <c r="E73" s="291"/>
      <c r="G73" s="104"/>
      <c r="H73" s="291"/>
      <c r="I73" s="291"/>
      <c r="M73" s="291"/>
      <c r="Q73" s="104"/>
    </row>
    <row r="74" spans="1:17" s="143" customFormat="1" x14ac:dyDescent="0.2">
      <c r="D74" s="323"/>
      <c r="E74" s="291"/>
      <c r="G74" s="104"/>
      <c r="H74" s="291"/>
      <c r="I74" s="291"/>
      <c r="M74" s="291"/>
      <c r="Q74" s="104"/>
    </row>
    <row r="75" spans="1:17" s="143" customFormat="1" x14ac:dyDescent="0.2">
      <c r="A75" s="143">
        <v>30100</v>
      </c>
      <c r="C75" s="89" t="s">
        <v>1281</v>
      </c>
      <c r="D75" s="323">
        <v>12620.1</v>
      </c>
      <c r="E75" s="291"/>
      <c r="G75" s="104"/>
      <c r="H75" s="291"/>
      <c r="I75" s="291"/>
      <c r="M75" s="291"/>
      <c r="Q75" s="104"/>
    </row>
    <row r="76" spans="1:17" x14ac:dyDescent="0.2">
      <c r="A76">
        <v>37400</v>
      </c>
      <c r="C76" s="89" t="s">
        <v>1277</v>
      </c>
      <c r="D76" s="323">
        <v>16157149.27</v>
      </c>
      <c r="E76" s="291">
        <v>-60224.600000000413</v>
      </c>
    </row>
    <row r="77" spans="1:17" x14ac:dyDescent="0.2">
      <c r="A77">
        <v>11501</v>
      </c>
      <c r="B77" s="300" t="s">
        <v>1230</v>
      </c>
      <c r="C77" s="89" t="s">
        <v>1276</v>
      </c>
      <c r="D77" s="323">
        <v>5031897.24</v>
      </c>
      <c r="E77" s="291">
        <v>5028152.9800000004</v>
      </c>
      <c r="F77" s="291">
        <v>5031897.24</v>
      </c>
      <c r="G77" s="291"/>
      <c r="H77"/>
      <c r="I77"/>
      <c r="O77" s="104"/>
    </row>
    <row r="78" spans="1:17" x14ac:dyDescent="0.2">
      <c r="A78">
        <v>10500</v>
      </c>
      <c r="C78" s="89" t="s">
        <v>1280</v>
      </c>
      <c r="D78" s="324">
        <v>1939551.55</v>
      </c>
      <c r="E78" s="291"/>
    </row>
    <row r="79" spans="1:17" x14ac:dyDescent="0.2">
      <c r="A79">
        <v>33601</v>
      </c>
      <c r="C79" t="s">
        <v>1362</v>
      </c>
      <c r="D79" s="323">
        <f>'Theoretical Reserve'!D1037</f>
        <v>35668591.620000005</v>
      </c>
      <c r="E79" s="291">
        <f>+'Plant &amp; Reserve'!Q64</f>
        <v>4351568.1776400004</v>
      </c>
    </row>
    <row r="81" spans="3:7" x14ac:dyDescent="0.2">
      <c r="C81" s="89" t="s">
        <v>1279</v>
      </c>
      <c r="D81" s="323">
        <f>+D71+D75+D76+D77+D78+D79</f>
        <v>3467239074.6922064</v>
      </c>
      <c r="E81" s="323">
        <f>+E71+E75+E76+E77+E78+E79</f>
        <v>918866293.14582872</v>
      </c>
    </row>
    <row r="82" spans="3:7" x14ac:dyDescent="0.2">
      <c r="G82" s="362"/>
    </row>
    <row r="83" spans="3:7" x14ac:dyDescent="0.2">
      <c r="C83" s="89" t="s">
        <v>1278</v>
      </c>
      <c r="D83" s="291">
        <v>3467239074.6882105</v>
      </c>
      <c r="E83" s="300">
        <v>918866293.14582872</v>
      </c>
    </row>
    <row r="85" spans="3:7" x14ac:dyDescent="0.2">
      <c r="C85" s="89" t="s">
        <v>1240</v>
      </c>
      <c r="D85" s="291">
        <f>+D81-D83</f>
        <v>3.9958953857421875E-3</v>
      </c>
      <c r="E85" s="291">
        <f>+E81-E83</f>
        <v>0</v>
      </c>
    </row>
  </sheetData>
  <sortState xmlns:xlrd2="http://schemas.microsoft.com/office/spreadsheetml/2017/richdata2" ref="A6:I1062">
    <sortCondition ref="B6:B1062"/>
  </sortState>
  <mergeCells count="4">
    <mergeCell ref="A2:Q2"/>
    <mergeCell ref="A4:Q4"/>
    <mergeCell ref="A5:Q5"/>
    <mergeCell ref="A6:Q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B7CA3-A9CD-4855-AC33-89184C1E9093}">
  <dimension ref="A1:D1110"/>
  <sheetViews>
    <sheetView topLeftCell="A994" workbookViewId="0">
      <selection activeCell="G1013" sqref="G1013"/>
    </sheetView>
  </sheetViews>
  <sheetFormatPr defaultRowHeight="12.75" x14ac:dyDescent="0.2"/>
  <cols>
    <col min="1" max="1" width="27.140625" style="143" customWidth="1"/>
    <col min="2" max="2" width="19.42578125" style="143" customWidth="1"/>
    <col min="3" max="3" width="16.42578125" style="143" customWidth="1"/>
    <col min="4" max="4" width="15.28515625" style="143" customWidth="1"/>
  </cols>
  <sheetData>
    <row r="1" spans="1:4" x14ac:dyDescent="0.2">
      <c r="A1" s="407" t="s">
        <v>1284</v>
      </c>
      <c r="B1" s="408"/>
      <c r="C1" s="408"/>
      <c r="D1" s="409"/>
    </row>
    <row r="2" spans="1:4" x14ac:dyDescent="0.2">
      <c r="A2" s="407" t="s">
        <v>1285</v>
      </c>
      <c r="B2" s="408"/>
      <c r="C2" s="408"/>
      <c r="D2" s="409"/>
    </row>
    <row r="3" spans="1:4" x14ac:dyDescent="0.2">
      <c r="A3" s="401" t="s">
        <v>1286</v>
      </c>
      <c r="B3" s="402"/>
      <c r="C3" s="402"/>
      <c r="D3" s="403"/>
    </row>
    <row r="4" spans="1:4" x14ac:dyDescent="0.2">
      <c r="A4" s="404" t="s">
        <v>1287</v>
      </c>
      <c r="B4" s="405"/>
      <c r="C4" s="405"/>
      <c r="D4" s="406"/>
    </row>
    <row r="5" spans="1:4" x14ac:dyDescent="0.2">
      <c r="A5" s="333" t="s">
        <v>1288</v>
      </c>
      <c r="B5" s="333" t="s">
        <v>1289</v>
      </c>
      <c r="C5" s="333">
        <v>2024</v>
      </c>
      <c r="D5" s="333" t="s">
        <v>1270</v>
      </c>
    </row>
    <row r="6" spans="1:4" x14ac:dyDescent="0.2">
      <c r="A6" s="334"/>
      <c r="B6" s="334"/>
      <c r="C6" s="334"/>
      <c r="D6" s="334"/>
    </row>
    <row r="7" spans="1:4" x14ac:dyDescent="0.2">
      <c r="A7" s="334" t="s">
        <v>1290</v>
      </c>
      <c r="B7" s="335">
        <v>0</v>
      </c>
      <c r="C7" s="347">
        <f>'Plant &amp; Reserve'!$E$46</f>
        <v>0</v>
      </c>
      <c r="D7" s="336">
        <f>+C7-B7</f>
        <v>0</v>
      </c>
    </row>
    <row r="8" spans="1:4" x14ac:dyDescent="0.2">
      <c r="A8" s="334"/>
      <c r="B8" s="334"/>
      <c r="C8" s="348"/>
      <c r="D8" s="337"/>
    </row>
    <row r="9" spans="1:4" x14ac:dyDescent="0.2">
      <c r="A9" s="334" t="s">
        <v>1291</v>
      </c>
      <c r="B9" s="333" t="s">
        <v>652</v>
      </c>
      <c r="C9" s="349" t="s">
        <v>652</v>
      </c>
      <c r="D9" s="337"/>
    </row>
    <row r="10" spans="1:4" x14ac:dyDescent="0.2">
      <c r="A10" s="334" t="s">
        <v>79</v>
      </c>
      <c r="B10" s="333">
        <v>25</v>
      </c>
      <c r="C10" s="349">
        <v>25</v>
      </c>
      <c r="D10" s="338">
        <f>+C10-B10</f>
        <v>0</v>
      </c>
    </row>
    <row r="11" spans="1:4" x14ac:dyDescent="0.2">
      <c r="A11" s="334"/>
      <c r="B11" s="333"/>
      <c r="C11" s="348"/>
      <c r="D11" s="337"/>
    </row>
    <row r="12" spans="1:4" x14ac:dyDescent="0.2">
      <c r="A12" s="334" t="s">
        <v>1292</v>
      </c>
      <c r="B12" s="339">
        <v>0</v>
      </c>
      <c r="C12" s="350">
        <v>0</v>
      </c>
      <c r="D12" s="340">
        <f t="shared" ref="D12:D14" si="0">+C12-B12</f>
        <v>0</v>
      </c>
    </row>
    <row r="13" spans="1:4" x14ac:dyDescent="0.2">
      <c r="A13" s="334" t="s">
        <v>1293</v>
      </c>
      <c r="B13" s="339">
        <v>0</v>
      </c>
      <c r="C13" s="350">
        <v>0</v>
      </c>
      <c r="D13" s="340">
        <f t="shared" si="0"/>
        <v>0</v>
      </c>
    </row>
    <row r="14" spans="1:4" x14ac:dyDescent="0.2">
      <c r="A14" s="334" t="s">
        <v>1294</v>
      </c>
      <c r="B14" s="339">
        <f>+B13-B12</f>
        <v>0</v>
      </c>
      <c r="C14" s="350">
        <f>+C13-C12</f>
        <v>0</v>
      </c>
      <c r="D14" s="340">
        <f t="shared" si="0"/>
        <v>0</v>
      </c>
    </row>
    <row r="15" spans="1:4" x14ac:dyDescent="0.2">
      <c r="A15" s="334"/>
      <c r="B15" s="334"/>
      <c r="C15" s="351"/>
      <c r="D15" s="337"/>
    </row>
    <row r="16" spans="1:4" x14ac:dyDescent="0.2">
      <c r="A16" s="334" t="s">
        <v>50</v>
      </c>
      <c r="B16" s="341" t="s">
        <v>651</v>
      </c>
      <c r="C16" s="352">
        <v>0</v>
      </c>
      <c r="D16" s="337"/>
    </row>
    <row r="17" spans="1:4" x14ac:dyDescent="0.2">
      <c r="A17" s="334"/>
      <c r="B17" s="334"/>
      <c r="C17" s="351"/>
      <c r="D17" s="337"/>
    </row>
    <row r="18" spans="1:4" x14ac:dyDescent="0.2">
      <c r="A18" s="334" t="s">
        <v>1295</v>
      </c>
      <c r="B18" s="343">
        <v>0</v>
      </c>
      <c r="C18" s="353">
        <v>0</v>
      </c>
      <c r="D18" s="344">
        <f t="shared" ref="D18:D20" si="1">+C18-B18</f>
        <v>0</v>
      </c>
    </row>
    <row r="19" spans="1:4" x14ac:dyDescent="0.2">
      <c r="A19" s="334" t="s">
        <v>1296</v>
      </c>
      <c r="B19" s="343">
        <v>0</v>
      </c>
      <c r="C19" s="353">
        <v>0</v>
      </c>
      <c r="D19" s="344">
        <f t="shared" si="1"/>
        <v>0</v>
      </c>
    </row>
    <row r="20" spans="1:4" x14ac:dyDescent="0.2">
      <c r="A20" s="334" t="s">
        <v>1297</v>
      </c>
      <c r="B20" s="343">
        <f>+B18-B19</f>
        <v>0</v>
      </c>
      <c r="C20" s="353">
        <f>+C18-C19</f>
        <v>0</v>
      </c>
      <c r="D20" s="344">
        <f t="shared" si="1"/>
        <v>0</v>
      </c>
    </row>
    <row r="21" spans="1:4" x14ac:dyDescent="0.2">
      <c r="A21" s="334"/>
      <c r="B21" s="334"/>
      <c r="C21" s="351"/>
      <c r="D21" s="337"/>
    </row>
    <row r="22" spans="1:4" x14ac:dyDescent="0.2">
      <c r="A22" s="334" t="s">
        <v>1298</v>
      </c>
      <c r="B22" s="342">
        <v>0.04</v>
      </c>
      <c r="C22" s="352">
        <v>0.04</v>
      </c>
      <c r="D22" s="341">
        <f t="shared" ref="D22:D23" si="2">+C22-B22</f>
        <v>0</v>
      </c>
    </row>
    <row r="23" spans="1:4" x14ac:dyDescent="0.2">
      <c r="A23" s="334" t="s">
        <v>1299</v>
      </c>
      <c r="B23" s="335">
        <f>+B7/B22</f>
        <v>0</v>
      </c>
      <c r="C23" s="354">
        <f>+C7*C22</f>
        <v>0</v>
      </c>
      <c r="D23" s="340">
        <f t="shared" si="2"/>
        <v>0</v>
      </c>
    </row>
    <row r="24" spans="1:4" x14ac:dyDescent="0.2">
      <c r="A24" s="334"/>
      <c r="B24" s="334"/>
      <c r="C24" s="351"/>
      <c r="D24" s="337"/>
    </row>
    <row r="25" spans="1:4" x14ac:dyDescent="0.2">
      <c r="A25" s="334" t="s">
        <v>48</v>
      </c>
      <c r="B25" s="345">
        <v>25</v>
      </c>
      <c r="C25" s="355">
        <v>25</v>
      </c>
      <c r="D25" s="345">
        <f t="shared" ref="D25:D27" si="3">+C25-B25</f>
        <v>0</v>
      </c>
    </row>
    <row r="26" spans="1:4" x14ac:dyDescent="0.2">
      <c r="A26" s="334" t="s">
        <v>1300</v>
      </c>
      <c r="B26" s="342">
        <v>0.04</v>
      </c>
      <c r="C26" s="352">
        <v>0.04</v>
      </c>
      <c r="D26" s="341">
        <f t="shared" si="3"/>
        <v>0</v>
      </c>
    </row>
    <row r="27" spans="1:4" x14ac:dyDescent="0.2">
      <c r="A27" s="334" t="s">
        <v>1301</v>
      </c>
      <c r="B27" s="335">
        <v>0</v>
      </c>
      <c r="C27" s="354">
        <f>+C26*C7</f>
        <v>0</v>
      </c>
      <c r="D27" s="340">
        <f t="shared" si="3"/>
        <v>0</v>
      </c>
    </row>
    <row r="33" spans="1:4" x14ac:dyDescent="0.2">
      <c r="A33" s="407" t="s">
        <v>1284</v>
      </c>
      <c r="B33" s="408"/>
      <c r="C33" s="408"/>
      <c r="D33" s="409"/>
    </row>
    <row r="34" spans="1:4" x14ac:dyDescent="0.2">
      <c r="A34" s="407" t="s">
        <v>1285</v>
      </c>
      <c r="B34" s="408"/>
      <c r="C34" s="408"/>
      <c r="D34" s="409"/>
    </row>
    <row r="35" spans="1:4" x14ac:dyDescent="0.2">
      <c r="A35" s="401" t="s">
        <v>1302</v>
      </c>
      <c r="B35" s="402"/>
      <c r="C35" s="402"/>
      <c r="D35" s="403"/>
    </row>
    <row r="36" spans="1:4" x14ac:dyDescent="0.2">
      <c r="A36" s="404" t="s">
        <v>1303</v>
      </c>
      <c r="B36" s="405"/>
      <c r="C36" s="405"/>
      <c r="D36" s="406"/>
    </row>
    <row r="37" spans="1:4" x14ac:dyDescent="0.2">
      <c r="A37" s="333" t="s">
        <v>1288</v>
      </c>
      <c r="B37" s="333" t="s">
        <v>1289</v>
      </c>
      <c r="C37" s="333">
        <v>2024</v>
      </c>
      <c r="D37" s="333" t="s">
        <v>1270</v>
      </c>
    </row>
    <row r="38" spans="1:4" x14ac:dyDescent="0.2">
      <c r="A38" s="334"/>
      <c r="B38" s="334"/>
      <c r="C38" s="334"/>
      <c r="D38" s="334"/>
    </row>
    <row r="39" spans="1:4" x14ac:dyDescent="0.2">
      <c r="A39" s="334" t="s">
        <v>1290</v>
      </c>
      <c r="B39" s="335">
        <v>815325.07000000007</v>
      </c>
      <c r="C39" s="347">
        <f>+'Rate Computation'!D15</f>
        <v>815325.07000000007</v>
      </c>
      <c r="D39" s="336">
        <f>+C39-B39</f>
        <v>0</v>
      </c>
    </row>
    <row r="40" spans="1:4" x14ac:dyDescent="0.2">
      <c r="A40" s="334"/>
      <c r="B40" s="334"/>
      <c r="C40" s="348"/>
      <c r="D40" s="337"/>
    </row>
    <row r="41" spans="1:4" x14ac:dyDescent="0.2">
      <c r="A41" s="334" t="s">
        <v>1291</v>
      </c>
      <c r="B41" s="333" t="s">
        <v>652</v>
      </c>
      <c r="C41" s="349" t="str">
        <f>+Parameter!H40</f>
        <v>SQ</v>
      </c>
      <c r="D41" s="337"/>
    </row>
    <row r="42" spans="1:4" x14ac:dyDescent="0.2">
      <c r="A42" s="334" t="s">
        <v>79</v>
      </c>
      <c r="B42" s="333">
        <v>25</v>
      </c>
      <c r="C42" s="349">
        <f>+Parameter!G40</f>
        <v>25</v>
      </c>
      <c r="D42" s="338">
        <f>+C42-B42</f>
        <v>0</v>
      </c>
    </row>
    <row r="43" spans="1:4" x14ac:dyDescent="0.2">
      <c r="A43" s="334"/>
      <c r="B43" s="333"/>
      <c r="C43" s="348"/>
      <c r="D43" s="337"/>
    </row>
    <row r="44" spans="1:4" x14ac:dyDescent="0.2">
      <c r="A44" s="334" t="s">
        <v>1292</v>
      </c>
      <c r="B44" s="339">
        <v>798046.98460000008</v>
      </c>
      <c r="C44" s="350">
        <f>+'Theoretical Reserve'!H5</f>
        <v>815325.07000000007</v>
      </c>
      <c r="D44" s="340">
        <f t="shared" ref="D44:D46" si="4">+C44-B44</f>
        <v>17278.085399999982</v>
      </c>
    </row>
    <row r="45" spans="1:4" x14ac:dyDescent="0.2">
      <c r="A45" s="334" t="s">
        <v>1293</v>
      </c>
      <c r="B45" s="339">
        <v>831067</v>
      </c>
      <c r="C45" s="350">
        <f>+'Rate Computation'!E15</f>
        <v>815325.0699999989</v>
      </c>
      <c r="D45" s="340">
        <f t="shared" si="4"/>
        <v>-15741.930000001099</v>
      </c>
    </row>
    <row r="46" spans="1:4" x14ac:dyDescent="0.2">
      <c r="A46" s="334" t="s">
        <v>1294</v>
      </c>
      <c r="B46" s="339">
        <f>+B45-B44</f>
        <v>33020.015399999917</v>
      </c>
      <c r="C46" s="350">
        <f>+C45-C44</f>
        <v>-1.1641532182693481E-9</v>
      </c>
      <c r="D46" s="340">
        <f t="shared" si="4"/>
        <v>-33020.015400001081</v>
      </c>
    </row>
    <row r="47" spans="1:4" x14ac:dyDescent="0.2">
      <c r="A47" s="334"/>
      <c r="B47" s="334"/>
      <c r="C47" s="351"/>
      <c r="D47" s="337"/>
    </row>
    <row r="48" spans="1:4" x14ac:dyDescent="0.2">
      <c r="A48" s="334" t="s">
        <v>50</v>
      </c>
      <c r="B48" s="342">
        <f>+B45/B39</f>
        <v>1.019307550545453</v>
      </c>
      <c r="C48" s="352">
        <f>+C45/C39</f>
        <v>0.99999999999999856</v>
      </c>
      <c r="D48" s="337"/>
    </row>
    <row r="49" spans="1:4" x14ac:dyDescent="0.2">
      <c r="A49" s="334"/>
      <c r="B49" s="334"/>
      <c r="C49" s="351"/>
      <c r="D49" s="337"/>
    </row>
    <row r="50" spans="1:4" x14ac:dyDescent="0.2">
      <c r="A50" s="334" t="s">
        <v>1295</v>
      </c>
      <c r="B50" s="343">
        <v>0</v>
      </c>
      <c r="C50" s="353">
        <v>0</v>
      </c>
      <c r="D50" s="344">
        <f t="shared" ref="D50:D52" si="5">+C50-B50</f>
        <v>0</v>
      </c>
    </row>
    <row r="51" spans="1:4" x14ac:dyDescent="0.2">
      <c r="A51" s="334" t="s">
        <v>1296</v>
      </c>
      <c r="B51" s="343">
        <v>0</v>
      </c>
      <c r="C51" s="353">
        <f>+Parameter!I40/100</f>
        <v>0</v>
      </c>
      <c r="D51" s="344">
        <f t="shared" si="5"/>
        <v>0</v>
      </c>
    </row>
    <row r="52" spans="1:4" x14ac:dyDescent="0.2">
      <c r="A52" s="334" t="s">
        <v>1297</v>
      </c>
      <c r="B52" s="343">
        <f>+B50-B51</f>
        <v>0</v>
      </c>
      <c r="C52" s="353">
        <f>+C50-C51</f>
        <v>0</v>
      </c>
      <c r="D52" s="344">
        <f t="shared" si="5"/>
        <v>0</v>
      </c>
    </row>
    <row r="53" spans="1:4" x14ac:dyDescent="0.2">
      <c r="A53" s="334"/>
      <c r="B53" s="334"/>
      <c r="C53" s="351"/>
      <c r="D53" s="337"/>
    </row>
    <row r="54" spans="1:4" x14ac:dyDescent="0.2">
      <c r="A54" s="334" t="s">
        <v>1298</v>
      </c>
      <c r="B54" s="342">
        <v>0.04</v>
      </c>
      <c r="C54" s="352">
        <f>ROUND((1-C52)/C42,3)</f>
        <v>0.04</v>
      </c>
      <c r="D54" s="341">
        <f t="shared" ref="D54:D55" si="6">+C54-B54</f>
        <v>0</v>
      </c>
    </row>
    <row r="55" spans="1:4" x14ac:dyDescent="0.2">
      <c r="A55" s="334" t="s">
        <v>1299</v>
      </c>
      <c r="B55" s="335">
        <v>0</v>
      </c>
      <c r="C55" s="354">
        <v>0</v>
      </c>
      <c r="D55" s="340">
        <f t="shared" si="6"/>
        <v>0</v>
      </c>
    </row>
    <row r="56" spans="1:4" x14ac:dyDescent="0.2">
      <c r="A56" s="334"/>
      <c r="B56" s="334"/>
      <c r="C56" s="351"/>
      <c r="D56" s="337"/>
    </row>
    <row r="57" spans="1:4" x14ac:dyDescent="0.2">
      <c r="A57" s="334" t="s">
        <v>48</v>
      </c>
      <c r="B57" s="346">
        <v>0.52979130765597582</v>
      </c>
      <c r="C57" s="355">
        <v>0</v>
      </c>
      <c r="D57" s="345">
        <f t="shared" ref="D57:D59" si="7">+C57-B57</f>
        <v>-0.52979130765597582</v>
      </c>
    </row>
    <row r="58" spans="1:4" x14ac:dyDescent="0.2">
      <c r="A58" s="334" t="s">
        <v>1300</v>
      </c>
      <c r="B58" s="342">
        <v>0</v>
      </c>
      <c r="C58" s="352">
        <f>+'Rate Computation'!Q15</f>
        <v>0</v>
      </c>
      <c r="D58" s="341">
        <f t="shared" si="7"/>
        <v>0</v>
      </c>
    </row>
    <row r="59" spans="1:4" x14ac:dyDescent="0.2">
      <c r="A59" s="334" t="s">
        <v>1301</v>
      </c>
      <c r="B59" s="335">
        <v>0</v>
      </c>
      <c r="C59" s="354">
        <f>+C58*C39</f>
        <v>0</v>
      </c>
      <c r="D59" s="340">
        <f t="shared" si="7"/>
        <v>0</v>
      </c>
    </row>
    <row r="60" spans="1:4" x14ac:dyDescent="0.2">
      <c r="A60" s="366" t="s">
        <v>1357</v>
      </c>
      <c r="C60" s="104">
        <v>0.04</v>
      </c>
    </row>
    <row r="63" spans="1:4" x14ac:dyDescent="0.2">
      <c r="A63" s="407" t="s">
        <v>1284</v>
      </c>
      <c r="B63" s="408"/>
      <c r="C63" s="408"/>
      <c r="D63" s="409"/>
    </row>
    <row r="64" spans="1:4" x14ac:dyDescent="0.2">
      <c r="A64" s="407" t="s">
        <v>1285</v>
      </c>
      <c r="B64" s="408"/>
      <c r="C64" s="408"/>
      <c r="D64" s="409"/>
    </row>
    <row r="65" spans="1:4" x14ac:dyDescent="0.2">
      <c r="A65" s="401" t="s">
        <v>1304</v>
      </c>
      <c r="B65" s="402"/>
      <c r="C65" s="402"/>
      <c r="D65" s="403"/>
    </row>
    <row r="66" spans="1:4" x14ac:dyDescent="0.2">
      <c r="A66" s="404" t="s">
        <v>92</v>
      </c>
      <c r="B66" s="405"/>
      <c r="C66" s="405"/>
      <c r="D66" s="406"/>
    </row>
    <row r="67" spans="1:4" x14ac:dyDescent="0.2">
      <c r="A67" s="333" t="s">
        <v>1288</v>
      </c>
      <c r="B67" s="333" t="s">
        <v>1289</v>
      </c>
      <c r="C67" s="333">
        <v>2024</v>
      </c>
      <c r="D67" s="333" t="s">
        <v>1270</v>
      </c>
    </row>
    <row r="68" spans="1:4" x14ac:dyDescent="0.2">
      <c r="A68" s="334"/>
      <c r="B68" s="334"/>
      <c r="C68" s="334"/>
      <c r="D68" s="334"/>
    </row>
    <row r="69" spans="1:4" x14ac:dyDescent="0.2">
      <c r="A69" s="334" t="s">
        <v>1290</v>
      </c>
      <c r="B69" s="354">
        <v>48733613.219999991</v>
      </c>
      <c r="C69" s="347">
        <f>+'Rate Computation'!D16</f>
        <v>124829688.78999999</v>
      </c>
      <c r="D69" s="336">
        <f>+C69-B69</f>
        <v>76096075.569999993</v>
      </c>
    </row>
    <row r="70" spans="1:4" x14ac:dyDescent="0.2">
      <c r="A70" s="334"/>
      <c r="B70" s="351"/>
      <c r="C70" s="348"/>
      <c r="D70" s="337"/>
    </row>
    <row r="71" spans="1:4" x14ac:dyDescent="0.2">
      <c r="A71" s="334" t="s">
        <v>1291</v>
      </c>
      <c r="B71" s="349" t="s">
        <v>652</v>
      </c>
      <c r="C71" s="349" t="str">
        <f>+Parameter!H42</f>
        <v>SQ</v>
      </c>
      <c r="D71" s="337"/>
    </row>
    <row r="72" spans="1:4" x14ac:dyDescent="0.2">
      <c r="A72" s="334" t="s">
        <v>79</v>
      </c>
      <c r="B72" s="349">
        <v>15</v>
      </c>
      <c r="C72" s="349">
        <f>+Parameter!G42</f>
        <v>15</v>
      </c>
      <c r="D72" s="338">
        <f>+C72-B72</f>
        <v>0</v>
      </c>
    </row>
    <row r="73" spans="1:4" x14ac:dyDescent="0.2">
      <c r="A73" s="334"/>
      <c r="B73" s="349"/>
      <c r="C73" s="348"/>
      <c r="D73" s="337"/>
    </row>
    <row r="74" spans="1:4" x14ac:dyDescent="0.2">
      <c r="A74" s="334" t="s">
        <v>1292</v>
      </c>
      <c r="B74" s="350">
        <v>17305690.465666667</v>
      </c>
      <c r="C74" s="350">
        <f>+'Theoretical Reserve'!H29</f>
        <v>37163156.813666657</v>
      </c>
      <c r="D74" s="340">
        <f t="shared" ref="D74:D76" si="8">+C74-B74</f>
        <v>19857466.34799999</v>
      </c>
    </row>
    <row r="75" spans="1:4" x14ac:dyDescent="0.2">
      <c r="A75" s="334" t="s">
        <v>1293</v>
      </c>
      <c r="B75" s="350">
        <v>17780899.59</v>
      </c>
      <c r="C75" s="350">
        <f>+'Rate Computation'!E16</f>
        <v>37523500.841743499</v>
      </c>
      <c r="D75" s="340">
        <f t="shared" si="8"/>
        <v>19742601.251743499</v>
      </c>
    </row>
    <row r="76" spans="1:4" x14ac:dyDescent="0.2">
      <c r="A76" s="334" t="s">
        <v>1294</v>
      </c>
      <c r="B76" s="350">
        <f>+B75-B74</f>
        <v>475209.12433333322</v>
      </c>
      <c r="C76" s="350">
        <f>+C75-C74</f>
        <v>360344.02807684243</v>
      </c>
      <c r="D76" s="340">
        <f t="shared" si="8"/>
        <v>-114865.0962564908</v>
      </c>
    </row>
    <row r="77" spans="1:4" x14ac:dyDescent="0.2">
      <c r="A77" s="334"/>
      <c r="B77" s="351"/>
      <c r="C77" s="351"/>
      <c r="D77" s="337"/>
    </row>
    <row r="78" spans="1:4" x14ac:dyDescent="0.2">
      <c r="A78" s="334" t="s">
        <v>50</v>
      </c>
      <c r="B78" s="352">
        <f>+B75/B69</f>
        <v>0.36485904522882417</v>
      </c>
      <c r="C78" s="352">
        <f>+C75/C69</f>
        <v>0.30059756781793306</v>
      </c>
      <c r="D78" s="337"/>
    </row>
    <row r="79" spans="1:4" x14ac:dyDescent="0.2">
      <c r="A79" s="334"/>
      <c r="B79" s="351"/>
      <c r="C79" s="351"/>
      <c r="D79" s="337"/>
    </row>
    <row r="80" spans="1:4" x14ac:dyDescent="0.2">
      <c r="A80" s="334" t="s">
        <v>1295</v>
      </c>
      <c r="B80" s="353">
        <v>0</v>
      </c>
      <c r="C80" s="353">
        <v>0</v>
      </c>
      <c r="D80" s="344">
        <f t="shared" ref="D80:D82" si="9">+C80-B80</f>
        <v>0</v>
      </c>
    </row>
    <row r="81" spans="1:4" x14ac:dyDescent="0.2">
      <c r="A81" s="334" t="s">
        <v>1296</v>
      </c>
      <c r="B81" s="353">
        <v>0</v>
      </c>
      <c r="C81" s="353">
        <f>+Parameter!I41/100</f>
        <v>0</v>
      </c>
      <c r="D81" s="344">
        <f t="shared" si="9"/>
        <v>0</v>
      </c>
    </row>
    <row r="82" spans="1:4" x14ac:dyDescent="0.2">
      <c r="A82" s="334" t="s">
        <v>1297</v>
      </c>
      <c r="B82" s="353">
        <f>+B80-B81</f>
        <v>0</v>
      </c>
      <c r="C82" s="353">
        <f>+C80-C81</f>
        <v>0</v>
      </c>
      <c r="D82" s="344">
        <f t="shared" si="9"/>
        <v>0</v>
      </c>
    </row>
    <row r="83" spans="1:4" x14ac:dyDescent="0.2">
      <c r="A83" s="334"/>
      <c r="B83" s="351"/>
      <c r="C83" s="351"/>
      <c r="D83" s="337"/>
    </row>
    <row r="84" spans="1:4" x14ac:dyDescent="0.2">
      <c r="A84" s="334" t="s">
        <v>1298</v>
      </c>
      <c r="B84" s="352">
        <v>6.7000000000000004E-2</v>
      </c>
      <c r="C84" s="352">
        <f>ROUND((1-C82)/C72,3)</f>
        <v>6.7000000000000004E-2</v>
      </c>
      <c r="D84" s="341">
        <f t="shared" ref="D84:D85" si="10">+C84-B84</f>
        <v>0</v>
      </c>
    </row>
    <row r="85" spans="1:4" x14ac:dyDescent="0.2">
      <c r="A85" s="334" t="s">
        <v>1299</v>
      </c>
      <c r="B85" s="354">
        <f>+B84*B69</f>
        <v>3265152.0857399995</v>
      </c>
      <c r="C85" s="354">
        <f>+C84*C69</f>
        <v>8363589.1489300001</v>
      </c>
      <c r="D85" s="340">
        <f t="shared" si="10"/>
        <v>5098437.0631900001</v>
      </c>
    </row>
    <row r="86" spans="1:4" x14ac:dyDescent="0.2">
      <c r="A86" s="334"/>
      <c r="B86" s="351"/>
      <c r="C86" s="351"/>
      <c r="D86" s="337"/>
    </row>
    <row r="87" spans="1:4" x14ac:dyDescent="0.2">
      <c r="A87" s="334" t="s">
        <v>48</v>
      </c>
      <c r="B87" s="355">
        <v>9.6733816798450025</v>
      </c>
      <c r="C87" s="355">
        <f>+'Rate Computation'!M16</f>
        <v>10.534336762284255</v>
      </c>
      <c r="D87" s="345">
        <f t="shared" ref="D87:D89" si="11">+C87-B87</f>
        <v>0.86095508243925245</v>
      </c>
    </row>
    <row r="88" spans="1:4" x14ac:dyDescent="0.2">
      <c r="A88" s="334" t="s">
        <v>1300</v>
      </c>
      <c r="B88" s="352">
        <v>6.6000000000000003E-2</v>
      </c>
      <c r="C88" s="352">
        <f>+'Rate Computation'!Q16</f>
        <v>6.6000000000000003E-2</v>
      </c>
      <c r="D88" s="341">
        <f t="shared" si="11"/>
        <v>0</v>
      </c>
    </row>
    <row r="89" spans="1:4" x14ac:dyDescent="0.2">
      <c r="A89" s="334" t="s">
        <v>1301</v>
      </c>
      <c r="B89" s="354">
        <v>6682845</v>
      </c>
      <c r="C89" s="354">
        <v>6682845</v>
      </c>
      <c r="D89" s="340">
        <f t="shared" si="11"/>
        <v>0</v>
      </c>
    </row>
    <row r="94" spans="1:4" x14ac:dyDescent="0.2">
      <c r="A94" s="407" t="s">
        <v>1284</v>
      </c>
      <c r="B94" s="408"/>
      <c r="C94" s="408"/>
      <c r="D94" s="409"/>
    </row>
    <row r="95" spans="1:4" x14ac:dyDescent="0.2">
      <c r="A95" s="407" t="s">
        <v>1285</v>
      </c>
      <c r="B95" s="408"/>
      <c r="C95" s="408"/>
      <c r="D95" s="409"/>
    </row>
    <row r="96" spans="1:4" x14ac:dyDescent="0.2">
      <c r="A96" s="401" t="s">
        <v>1305</v>
      </c>
      <c r="B96" s="402"/>
      <c r="C96" s="402"/>
      <c r="D96" s="403"/>
    </row>
    <row r="97" spans="1:4" x14ac:dyDescent="0.2">
      <c r="A97" s="404" t="s">
        <v>646</v>
      </c>
      <c r="B97" s="405"/>
      <c r="C97" s="405"/>
      <c r="D97" s="406"/>
    </row>
    <row r="98" spans="1:4" x14ac:dyDescent="0.2">
      <c r="A98" s="333" t="s">
        <v>1288</v>
      </c>
      <c r="B98" s="333" t="s">
        <v>1289</v>
      </c>
      <c r="C98" s="333">
        <v>2024</v>
      </c>
      <c r="D98" s="333" t="s">
        <v>1270</v>
      </c>
    </row>
    <row r="99" spans="1:4" x14ac:dyDescent="0.2">
      <c r="A99" s="334"/>
      <c r="B99" s="334"/>
      <c r="C99" s="334"/>
      <c r="D99" s="334"/>
    </row>
    <row r="100" spans="1:4" x14ac:dyDescent="0.2">
      <c r="A100" s="334" t="s">
        <v>1290</v>
      </c>
      <c r="B100" s="335">
        <v>4268872.5500000007</v>
      </c>
      <c r="C100" s="347">
        <f>'Rate Computation'!$D$21</f>
        <v>4268872.66</v>
      </c>
      <c r="D100" s="336">
        <f>+C100-B100</f>
        <v>0.10999999940395355</v>
      </c>
    </row>
    <row r="101" spans="1:4" x14ac:dyDescent="0.2">
      <c r="A101" s="334"/>
      <c r="B101" s="334"/>
      <c r="C101" s="348"/>
      <c r="D101" s="337"/>
    </row>
    <row r="102" spans="1:4" x14ac:dyDescent="0.2">
      <c r="A102" s="334" t="s">
        <v>1291</v>
      </c>
      <c r="B102" s="333" t="s">
        <v>652</v>
      </c>
      <c r="C102" s="349" t="str">
        <f>+Parameter!H15</f>
        <v>SQ</v>
      </c>
      <c r="D102" s="337"/>
    </row>
    <row r="103" spans="1:4" x14ac:dyDescent="0.2">
      <c r="A103" s="334" t="s">
        <v>79</v>
      </c>
      <c r="B103" s="333">
        <v>75</v>
      </c>
      <c r="C103" s="349">
        <f>+Parameter!G15</f>
        <v>75</v>
      </c>
      <c r="D103" s="338">
        <f>+C103-B103</f>
        <v>0</v>
      </c>
    </row>
    <row r="104" spans="1:4" x14ac:dyDescent="0.2">
      <c r="A104" s="334"/>
      <c r="B104" s="333"/>
      <c r="C104" s="348"/>
      <c r="D104" s="337"/>
    </row>
    <row r="105" spans="1:4" x14ac:dyDescent="0.2">
      <c r="A105" s="334" t="s">
        <v>1292</v>
      </c>
      <c r="B105" s="339">
        <v>861685.87193333334</v>
      </c>
      <c r="C105" s="350">
        <f>+'Theoretical Reserve'!H67</f>
        <v>1089359.1105333332</v>
      </c>
      <c r="D105" s="340">
        <f t="shared" ref="D105:D107" si="12">+C105-B105</f>
        <v>227673.23859999981</v>
      </c>
    </row>
    <row r="106" spans="1:4" x14ac:dyDescent="0.2">
      <c r="A106" s="334" t="s">
        <v>1293</v>
      </c>
      <c r="B106" s="339">
        <v>928143.68</v>
      </c>
      <c r="C106" s="350">
        <f>+'Rate Computation'!E21</f>
        <v>1135965.6754117727</v>
      </c>
      <c r="D106" s="340">
        <f t="shared" si="12"/>
        <v>207821.99541177263</v>
      </c>
    </row>
    <row r="107" spans="1:4" x14ac:dyDescent="0.2">
      <c r="A107" s="334" t="s">
        <v>1294</v>
      </c>
      <c r="B107" s="339">
        <f>+B106-B105</f>
        <v>66457.808066666708</v>
      </c>
      <c r="C107" s="350">
        <f>+C106-C105</f>
        <v>46606.564878439531</v>
      </c>
      <c r="D107" s="340">
        <f t="shared" si="12"/>
        <v>-19851.243188227178</v>
      </c>
    </row>
    <row r="108" spans="1:4" x14ac:dyDescent="0.2">
      <c r="A108" s="334"/>
      <c r="B108" s="334"/>
      <c r="C108" s="351"/>
      <c r="D108" s="337"/>
    </row>
    <row r="109" spans="1:4" x14ac:dyDescent="0.2">
      <c r="A109" s="334" t="s">
        <v>50</v>
      </c>
      <c r="B109" s="342">
        <f>+B106/B100</f>
        <v>0.21742126735547537</v>
      </c>
      <c r="C109" s="352">
        <f>+C106/C100</f>
        <v>0.266104371314691</v>
      </c>
      <c r="D109" s="337"/>
    </row>
    <row r="110" spans="1:4" x14ac:dyDescent="0.2">
      <c r="A110" s="334"/>
      <c r="B110" s="334"/>
      <c r="C110" s="351"/>
      <c r="D110" s="337"/>
    </row>
    <row r="111" spans="1:4" x14ac:dyDescent="0.2">
      <c r="A111" s="334" t="s">
        <v>1295</v>
      </c>
      <c r="B111" s="343">
        <v>0</v>
      </c>
      <c r="C111" s="353">
        <v>0</v>
      </c>
      <c r="D111" s="344">
        <f t="shared" ref="D111:D113" si="13">+C111-B111</f>
        <v>0</v>
      </c>
    </row>
    <row r="112" spans="1:4" x14ac:dyDescent="0.2">
      <c r="A112" s="334" t="s">
        <v>1296</v>
      </c>
      <c r="B112" s="343">
        <v>0</v>
      </c>
      <c r="C112" s="353">
        <f>+Parameter!I15/100</f>
        <v>0</v>
      </c>
      <c r="D112" s="344">
        <f t="shared" si="13"/>
        <v>0</v>
      </c>
    </row>
    <row r="113" spans="1:4" x14ac:dyDescent="0.2">
      <c r="A113" s="334" t="s">
        <v>1297</v>
      </c>
      <c r="B113" s="343">
        <f>+B111-B112</f>
        <v>0</v>
      </c>
      <c r="C113" s="353">
        <f>+C111-C112</f>
        <v>0</v>
      </c>
      <c r="D113" s="344">
        <f t="shared" si="13"/>
        <v>0</v>
      </c>
    </row>
    <row r="114" spans="1:4" x14ac:dyDescent="0.2">
      <c r="A114" s="334"/>
      <c r="B114" s="334"/>
      <c r="C114" s="351"/>
      <c r="D114" s="337"/>
    </row>
    <row r="115" spans="1:4" x14ac:dyDescent="0.2">
      <c r="A115" s="334" t="s">
        <v>1298</v>
      </c>
      <c r="B115" s="342">
        <v>1.2999999999999999E-2</v>
      </c>
      <c r="C115" s="352">
        <f>ROUND((1-C113)/C103,3)</f>
        <v>1.2999999999999999E-2</v>
      </c>
      <c r="D115" s="341">
        <f t="shared" ref="D115:D116" si="14">+C115-B115</f>
        <v>0</v>
      </c>
    </row>
    <row r="116" spans="1:4" x14ac:dyDescent="0.2">
      <c r="A116" s="334" t="s">
        <v>1299</v>
      </c>
      <c r="B116" s="335">
        <f>+B115*B100</f>
        <v>55495.343150000008</v>
      </c>
      <c r="C116" s="354">
        <f>+C115*C100</f>
        <v>55495.344579999997</v>
      </c>
      <c r="D116" s="340">
        <f t="shared" si="14"/>
        <v>1.4299999893410131E-3</v>
      </c>
    </row>
    <row r="117" spans="1:4" x14ac:dyDescent="0.2">
      <c r="A117" s="334"/>
      <c r="B117" s="334"/>
      <c r="C117" s="351"/>
      <c r="D117" s="337"/>
    </row>
    <row r="118" spans="1:4" x14ac:dyDescent="0.2">
      <c r="A118" s="334" t="s">
        <v>48</v>
      </c>
      <c r="B118" s="346">
        <v>59.861004951998382</v>
      </c>
      <c r="C118" s="355">
        <f>+'Rate Computation'!M21</f>
        <v>55.861004813856397</v>
      </c>
      <c r="D118" s="345">
        <f t="shared" ref="D118:D120" si="15">+C118-B118</f>
        <v>-4.000000138141985</v>
      </c>
    </row>
    <row r="119" spans="1:4" x14ac:dyDescent="0.2">
      <c r="A119" s="334" t="s">
        <v>1300</v>
      </c>
      <c r="B119" s="342">
        <v>1.2999999999999999E-2</v>
      </c>
      <c r="C119" s="352">
        <f>+'Rate Computation'!Q21</f>
        <v>1.2999999999999999E-2</v>
      </c>
      <c r="D119" s="341">
        <f t="shared" si="15"/>
        <v>0</v>
      </c>
    </row>
    <row r="120" spans="1:4" x14ac:dyDescent="0.2">
      <c r="A120" s="334" t="s">
        <v>1301</v>
      </c>
      <c r="B120" s="335">
        <f>+B100*B119</f>
        <v>55495.343150000008</v>
      </c>
      <c r="C120" s="354">
        <f>+C119*C100</f>
        <v>55495.344579999997</v>
      </c>
      <c r="D120" s="340">
        <f t="shared" si="15"/>
        <v>1.4299999893410131E-3</v>
      </c>
    </row>
    <row r="124" spans="1:4" x14ac:dyDescent="0.2">
      <c r="A124" s="407" t="s">
        <v>1284</v>
      </c>
      <c r="B124" s="408"/>
      <c r="C124" s="408"/>
      <c r="D124" s="409"/>
    </row>
    <row r="125" spans="1:4" x14ac:dyDescent="0.2">
      <c r="A125" s="407" t="s">
        <v>1285</v>
      </c>
      <c r="B125" s="408"/>
      <c r="C125" s="408"/>
      <c r="D125" s="409"/>
    </row>
    <row r="126" spans="1:4" x14ac:dyDescent="0.2">
      <c r="A126" s="401" t="s">
        <v>1306</v>
      </c>
      <c r="B126" s="402"/>
      <c r="C126" s="402"/>
      <c r="D126" s="403"/>
    </row>
    <row r="127" spans="1:4" x14ac:dyDescent="0.2">
      <c r="A127" s="404" t="s">
        <v>1307</v>
      </c>
      <c r="B127" s="405"/>
      <c r="C127" s="405"/>
      <c r="D127" s="406"/>
    </row>
    <row r="128" spans="1:4" x14ac:dyDescent="0.2">
      <c r="A128" s="333" t="s">
        <v>1288</v>
      </c>
      <c r="B128" s="333" t="s">
        <v>1289</v>
      </c>
      <c r="C128" s="333">
        <v>2024</v>
      </c>
      <c r="D128" s="333" t="s">
        <v>1270</v>
      </c>
    </row>
    <row r="129" spans="1:4" x14ac:dyDescent="0.2">
      <c r="A129" s="334"/>
      <c r="B129" s="334"/>
      <c r="C129" s="351"/>
      <c r="D129" s="334"/>
    </row>
    <row r="130" spans="1:4" x14ac:dyDescent="0.2">
      <c r="A130" s="334" t="s">
        <v>1290</v>
      </c>
      <c r="B130" s="335">
        <v>26284144.709999982</v>
      </c>
      <c r="C130" s="347">
        <f>+'Rate Computation'!D22</f>
        <v>42540041.509999983</v>
      </c>
      <c r="D130" s="336">
        <f>+C130-B130</f>
        <v>16255896.800000001</v>
      </c>
    </row>
    <row r="131" spans="1:4" x14ac:dyDescent="0.2">
      <c r="A131" s="334"/>
      <c r="B131" s="334"/>
      <c r="C131" s="348"/>
      <c r="D131" s="337"/>
    </row>
    <row r="132" spans="1:4" x14ac:dyDescent="0.2">
      <c r="A132" s="334" t="s">
        <v>1291</v>
      </c>
      <c r="B132" s="333" t="s">
        <v>1256</v>
      </c>
      <c r="C132" s="349" t="str">
        <f>+Parameter!H16</f>
        <v>L0</v>
      </c>
      <c r="D132" s="337"/>
    </row>
    <row r="133" spans="1:4" x14ac:dyDescent="0.2">
      <c r="A133" s="334" t="s">
        <v>79</v>
      </c>
      <c r="B133" s="333">
        <v>33</v>
      </c>
      <c r="C133" s="349">
        <f>+Parameter!G16</f>
        <v>33</v>
      </c>
      <c r="D133" s="338">
        <f>+C133-B133</f>
        <v>0</v>
      </c>
    </row>
    <row r="134" spans="1:4" x14ac:dyDescent="0.2">
      <c r="A134" s="334"/>
      <c r="B134" s="333"/>
      <c r="C134" s="348"/>
      <c r="D134" s="337"/>
    </row>
    <row r="135" spans="1:4" x14ac:dyDescent="0.2">
      <c r="A135" s="334" t="s">
        <v>1292</v>
      </c>
      <c r="B135" s="339">
        <v>5689864.235846715</v>
      </c>
      <c r="C135" s="350">
        <f>+'Reserve Allocation'!H21</f>
        <v>6646684.4072978618</v>
      </c>
      <c r="D135" s="340">
        <f t="shared" ref="D135:D137" si="16">+C135-B135</f>
        <v>956820.17145114671</v>
      </c>
    </row>
    <row r="136" spans="1:4" x14ac:dyDescent="0.2">
      <c r="A136" s="334" t="s">
        <v>1293</v>
      </c>
      <c r="B136" s="339">
        <v>7108902.79</v>
      </c>
      <c r="C136" s="350">
        <f>+'Rate Computation'!E22</f>
        <v>8327025.3461523298</v>
      </c>
      <c r="D136" s="340">
        <f t="shared" si="16"/>
        <v>1218122.5561523298</v>
      </c>
    </row>
    <row r="137" spans="1:4" x14ac:dyDescent="0.2">
      <c r="A137" s="334" t="s">
        <v>1294</v>
      </c>
      <c r="B137" s="339">
        <f>+B136-B135</f>
        <v>1419038.554153285</v>
      </c>
      <c r="C137" s="350">
        <f>+C136-C135</f>
        <v>1680340.9388544681</v>
      </c>
      <c r="D137" s="340">
        <f t="shared" si="16"/>
        <v>261302.38470118307</v>
      </c>
    </row>
    <row r="138" spans="1:4" x14ac:dyDescent="0.2">
      <c r="A138" s="334"/>
      <c r="B138" s="334"/>
      <c r="C138" s="351"/>
      <c r="D138" s="337"/>
    </row>
    <row r="139" spans="1:4" x14ac:dyDescent="0.2">
      <c r="A139" s="334" t="s">
        <v>50</v>
      </c>
      <c r="B139" s="342">
        <f>+B136/B130</f>
        <v>0.27046353870116113</v>
      </c>
      <c r="C139" s="352">
        <f>+C136/C130</f>
        <v>0.19574558581930102</v>
      </c>
      <c r="D139" s="337"/>
    </row>
    <row r="140" spans="1:4" x14ac:dyDescent="0.2">
      <c r="A140" s="334"/>
      <c r="B140" s="334"/>
      <c r="C140" s="351"/>
      <c r="D140" s="337"/>
    </row>
    <row r="141" spans="1:4" x14ac:dyDescent="0.2">
      <c r="A141" s="334" t="s">
        <v>1295</v>
      </c>
      <c r="B141" s="343">
        <v>0</v>
      </c>
      <c r="C141" s="353">
        <v>0</v>
      </c>
      <c r="D141" s="344">
        <f t="shared" ref="D141:D143" si="17">+C141-B141</f>
        <v>0</v>
      </c>
    </row>
    <row r="142" spans="1:4" x14ac:dyDescent="0.2">
      <c r="A142" s="334" t="s">
        <v>1296</v>
      </c>
      <c r="B142" s="343">
        <v>0</v>
      </c>
      <c r="C142" s="353">
        <f>+Parameter!I16/100</f>
        <v>0</v>
      </c>
      <c r="D142" s="344">
        <f t="shared" si="17"/>
        <v>0</v>
      </c>
    </row>
    <row r="143" spans="1:4" x14ac:dyDescent="0.2">
      <c r="A143" s="334" t="s">
        <v>1297</v>
      </c>
      <c r="B143" s="343">
        <f>+B141-B142</f>
        <v>0</v>
      </c>
      <c r="C143" s="353">
        <f>+C141-C142</f>
        <v>0</v>
      </c>
      <c r="D143" s="344">
        <f t="shared" si="17"/>
        <v>0</v>
      </c>
    </row>
    <row r="144" spans="1:4" x14ac:dyDescent="0.2">
      <c r="A144" s="334"/>
      <c r="B144" s="334"/>
      <c r="C144" s="351"/>
      <c r="D144" s="337"/>
    </row>
    <row r="145" spans="1:4" x14ac:dyDescent="0.2">
      <c r="A145" s="334" t="s">
        <v>1298</v>
      </c>
      <c r="B145" s="342">
        <v>0.03</v>
      </c>
      <c r="C145" s="352">
        <f>ROUND((1-C143)/C133,3)</f>
        <v>0.03</v>
      </c>
      <c r="D145" s="341">
        <f t="shared" ref="D145:D146" si="18">+C145-B145</f>
        <v>0</v>
      </c>
    </row>
    <row r="146" spans="1:4" x14ac:dyDescent="0.2">
      <c r="A146" s="334" t="s">
        <v>1299</v>
      </c>
      <c r="B146" s="335">
        <f>+B145*B130</f>
        <v>788524.34129999939</v>
      </c>
      <c r="C146" s="354">
        <f>+C145*C130</f>
        <v>1276201.2452999994</v>
      </c>
      <c r="D146" s="340">
        <f t="shared" si="18"/>
        <v>487676.90399999998</v>
      </c>
    </row>
    <row r="147" spans="1:4" x14ac:dyDescent="0.2">
      <c r="A147" s="334"/>
      <c r="B147" s="334"/>
      <c r="C147" s="351"/>
      <c r="D147" s="337"/>
    </row>
    <row r="148" spans="1:4" x14ac:dyDescent="0.2">
      <c r="A148" s="334" t="s">
        <v>48</v>
      </c>
      <c r="B148" s="346">
        <v>25.856319965720456</v>
      </c>
      <c r="C148" s="355">
        <f>+'Rate Computation'!M22</f>
        <v>27.84390288172925</v>
      </c>
      <c r="D148" s="345">
        <f t="shared" ref="D148:D150" si="19">+C148-B148</f>
        <v>1.9875829160087939</v>
      </c>
    </row>
    <row r="149" spans="1:4" x14ac:dyDescent="0.2">
      <c r="A149" s="334" t="s">
        <v>1300</v>
      </c>
      <c r="B149" s="342">
        <v>2.8000000000000001E-2</v>
      </c>
      <c r="C149" s="352">
        <f>+'Rate Computation'!Q22</f>
        <v>2.9000000000000001E-2</v>
      </c>
      <c r="D149" s="341">
        <f t="shared" si="19"/>
        <v>1.0000000000000009E-3</v>
      </c>
    </row>
    <row r="150" spans="1:4" x14ac:dyDescent="0.2">
      <c r="A150" s="334" t="s">
        <v>1301</v>
      </c>
      <c r="B150" s="335">
        <f>+B130*B149</f>
        <v>735956.05187999946</v>
      </c>
      <c r="C150" s="354">
        <f>+C149*C130</f>
        <v>1233661.2037899995</v>
      </c>
      <c r="D150" s="340">
        <f t="shared" si="19"/>
        <v>497705.15191000002</v>
      </c>
    </row>
    <row r="151" spans="1:4" x14ac:dyDescent="0.2">
      <c r="C151" s="12"/>
    </row>
    <row r="154" spans="1:4" x14ac:dyDescent="0.2">
      <c r="A154" s="407" t="s">
        <v>1284</v>
      </c>
      <c r="B154" s="408"/>
      <c r="C154" s="408"/>
      <c r="D154" s="409"/>
    </row>
    <row r="155" spans="1:4" x14ac:dyDescent="0.2">
      <c r="A155" s="407" t="s">
        <v>1285</v>
      </c>
      <c r="B155" s="408"/>
      <c r="C155" s="408"/>
      <c r="D155" s="409"/>
    </row>
    <row r="156" spans="1:4" x14ac:dyDescent="0.2">
      <c r="A156" s="401" t="s">
        <v>1308</v>
      </c>
      <c r="B156" s="402"/>
      <c r="C156" s="402"/>
      <c r="D156" s="403"/>
    </row>
    <row r="157" spans="1:4" x14ac:dyDescent="0.2">
      <c r="A157" s="404" t="s">
        <v>94</v>
      </c>
      <c r="B157" s="405"/>
      <c r="C157" s="405"/>
      <c r="D157" s="406"/>
    </row>
    <row r="158" spans="1:4" x14ac:dyDescent="0.2">
      <c r="A158" s="333" t="s">
        <v>1288</v>
      </c>
      <c r="B158" s="333" t="s">
        <v>1289</v>
      </c>
      <c r="C158" s="333">
        <v>2024</v>
      </c>
      <c r="D158" s="333" t="s">
        <v>1270</v>
      </c>
    </row>
    <row r="159" spans="1:4" x14ac:dyDescent="0.2">
      <c r="A159" s="334"/>
      <c r="B159" s="334"/>
      <c r="C159" s="334"/>
      <c r="D159" s="334"/>
    </row>
    <row r="160" spans="1:4" x14ac:dyDescent="0.2">
      <c r="A160" s="334" t="s">
        <v>1290</v>
      </c>
      <c r="B160" s="335">
        <v>548115480.05000019</v>
      </c>
      <c r="C160" s="347">
        <f>+'Rate Computation'!D23</f>
        <v>839424834.85876846</v>
      </c>
      <c r="D160" s="336">
        <f>+C160-B160</f>
        <v>291309354.80876827</v>
      </c>
    </row>
    <row r="161" spans="1:4" x14ac:dyDescent="0.2">
      <c r="A161" s="334"/>
      <c r="B161" s="334"/>
      <c r="C161" s="348"/>
      <c r="D161" s="337"/>
    </row>
    <row r="162" spans="1:4" x14ac:dyDescent="0.2">
      <c r="A162" s="334" t="s">
        <v>1291</v>
      </c>
      <c r="B162" s="333" t="s">
        <v>703</v>
      </c>
      <c r="C162" s="349" t="str">
        <f>+Parameter!H17</f>
        <v>R1.5</v>
      </c>
      <c r="D162" s="337"/>
    </row>
    <row r="163" spans="1:4" x14ac:dyDescent="0.2">
      <c r="A163" s="334" t="s">
        <v>79</v>
      </c>
      <c r="B163" s="333">
        <v>65</v>
      </c>
      <c r="C163" s="349">
        <f>+Parameter!G17</f>
        <v>65</v>
      </c>
      <c r="D163" s="338">
        <f>+C163-B163</f>
        <v>0</v>
      </c>
    </row>
    <row r="164" spans="1:4" x14ac:dyDescent="0.2">
      <c r="A164" s="334"/>
      <c r="B164" s="333"/>
      <c r="C164" s="348"/>
      <c r="D164" s="337"/>
    </row>
    <row r="165" spans="1:4" x14ac:dyDescent="0.2">
      <c r="A165" s="334" t="s">
        <v>1292</v>
      </c>
      <c r="B165" s="339">
        <v>148814644.72101292</v>
      </c>
      <c r="C165" s="350">
        <f>+'Theoretical Reserve'!H189</f>
        <v>213455382.31925929</v>
      </c>
      <c r="D165" s="340">
        <f t="shared" ref="D165:D167" si="20">+C165-B165</f>
        <v>64640737.598246366</v>
      </c>
    </row>
    <row r="166" spans="1:4" x14ac:dyDescent="0.2">
      <c r="A166" s="334" t="s">
        <v>1293</v>
      </c>
      <c r="B166" s="339">
        <v>205621382.69</v>
      </c>
      <c r="C166" s="350">
        <f>+'Rate Computation'!E23</f>
        <v>219421191.02617225</v>
      </c>
      <c r="D166" s="340">
        <f t="shared" si="20"/>
        <v>13799808.336172253</v>
      </c>
    </row>
    <row r="167" spans="1:4" x14ac:dyDescent="0.2">
      <c r="A167" s="334" t="s">
        <v>1294</v>
      </c>
      <c r="B167" s="339">
        <f>+B166-B165</f>
        <v>56806737.968987077</v>
      </c>
      <c r="C167" s="350">
        <f>+C166-C165</f>
        <v>5965808.7069129646</v>
      </c>
      <c r="D167" s="340">
        <f t="shared" si="20"/>
        <v>-50840929.262074113</v>
      </c>
    </row>
    <row r="168" spans="1:4" x14ac:dyDescent="0.2">
      <c r="A168" s="334"/>
      <c r="B168" s="334"/>
      <c r="C168" s="351"/>
      <c r="D168" s="337"/>
    </row>
    <row r="169" spans="1:4" x14ac:dyDescent="0.2">
      <c r="A169" s="334" t="s">
        <v>50</v>
      </c>
      <c r="B169" s="342">
        <f>+B166/B160</f>
        <v>0.37514244748431991</v>
      </c>
      <c r="C169" s="352">
        <f>+C166/C160</f>
        <v>0.26139468587808629</v>
      </c>
      <c r="D169" s="337"/>
    </row>
    <row r="170" spans="1:4" x14ac:dyDescent="0.2">
      <c r="A170" s="334"/>
      <c r="B170" s="334"/>
      <c r="C170" s="351"/>
      <c r="D170" s="337"/>
    </row>
    <row r="171" spans="1:4" x14ac:dyDescent="0.2">
      <c r="A171" s="334" t="s">
        <v>1295</v>
      </c>
      <c r="B171" s="343">
        <v>0</v>
      </c>
      <c r="C171" s="353">
        <v>0</v>
      </c>
      <c r="D171" s="344">
        <f t="shared" ref="D171:D173" si="21">+C171-B171</f>
        <v>0</v>
      </c>
    </row>
    <row r="172" spans="1:4" x14ac:dyDescent="0.2">
      <c r="A172" s="334" t="s">
        <v>1296</v>
      </c>
      <c r="B172" s="343">
        <v>0.5</v>
      </c>
      <c r="C172" s="353">
        <f>-Parameter!I17/100</f>
        <v>0.6</v>
      </c>
      <c r="D172" s="344">
        <f t="shared" si="21"/>
        <v>9.9999999999999978E-2</v>
      </c>
    </row>
    <row r="173" spans="1:4" x14ac:dyDescent="0.2">
      <c r="A173" s="334" t="s">
        <v>1297</v>
      </c>
      <c r="B173" s="343">
        <f>+B171-B172</f>
        <v>-0.5</v>
      </c>
      <c r="C173" s="353">
        <f>+C171-C172</f>
        <v>-0.6</v>
      </c>
      <c r="D173" s="344">
        <f t="shared" si="21"/>
        <v>-9.9999999999999978E-2</v>
      </c>
    </row>
    <row r="174" spans="1:4" x14ac:dyDescent="0.2">
      <c r="A174" s="334"/>
      <c r="B174" s="334"/>
      <c r="C174" s="351"/>
      <c r="D174" s="337"/>
    </row>
    <row r="175" spans="1:4" x14ac:dyDescent="0.2">
      <c r="A175" s="334" t="s">
        <v>1298</v>
      </c>
      <c r="B175" s="342">
        <v>2.3E-2</v>
      </c>
      <c r="C175" s="352">
        <f>ROUND((1-C173)/C163,3)</f>
        <v>2.5000000000000001E-2</v>
      </c>
      <c r="D175" s="341">
        <f t="shared" ref="D175:D176" si="22">+C175-B175</f>
        <v>2.0000000000000018E-3</v>
      </c>
    </row>
    <row r="176" spans="1:4" x14ac:dyDescent="0.2">
      <c r="A176" s="334" t="s">
        <v>1299</v>
      </c>
      <c r="B176" s="335">
        <f>+B175*B160</f>
        <v>12606656.041150004</v>
      </c>
      <c r="C176" s="354">
        <f>+C175*C160</f>
        <v>20985620.871469215</v>
      </c>
      <c r="D176" s="340">
        <f t="shared" si="22"/>
        <v>8378964.8303192109</v>
      </c>
    </row>
    <row r="177" spans="1:4" x14ac:dyDescent="0.2">
      <c r="A177" s="334"/>
      <c r="B177" s="334"/>
      <c r="C177" s="351"/>
      <c r="D177" s="337"/>
    </row>
    <row r="178" spans="1:4" x14ac:dyDescent="0.2">
      <c r="A178" s="334" t="s">
        <v>48</v>
      </c>
      <c r="B178" s="346">
        <v>53.234897864973682</v>
      </c>
      <c r="C178" s="355">
        <f>+'Rate Computation'!M23</f>
        <v>54.669563555170619</v>
      </c>
      <c r="D178" s="345">
        <f t="shared" ref="D178:D180" si="23">+C178-B178</f>
        <v>1.4346656901969368</v>
      </c>
    </row>
    <row r="179" spans="1:4" x14ac:dyDescent="0.2">
      <c r="A179" s="334" t="s">
        <v>1300</v>
      </c>
      <c r="B179" s="342">
        <v>2.1000000000000001E-2</v>
      </c>
      <c r="C179" s="352">
        <f>+'Rate Computation'!Q23</f>
        <v>2.4E-2</v>
      </c>
      <c r="D179" s="341">
        <f t="shared" si="23"/>
        <v>2.9999999999999992E-3</v>
      </c>
    </row>
    <row r="180" spans="1:4" x14ac:dyDescent="0.2">
      <c r="A180" s="334" t="s">
        <v>1301</v>
      </c>
      <c r="B180" s="335">
        <f>+B160*B179</f>
        <v>11510425.081050005</v>
      </c>
      <c r="C180" s="354">
        <f>+C179*C160</f>
        <v>20146196.036610443</v>
      </c>
      <c r="D180" s="340">
        <f t="shared" si="23"/>
        <v>8635770.9555604383</v>
      </c>
    </row>
    <row r="185" spans="1:4" x14ac:dyDescent="0.2">
      <c r="A185" s="407" t="s">
        <v>1284</v>
      </c>
      <c r="B185" s="408"/>
      <c r="C185" s="408"/>
      <c r="D185" s="409"/>
    </row>
    <row r="186" spans="1:4" x14ac:dyDescent="0.2">
      <c r="A186" s="407" t="s">
        <v>1285</v>
      </c>
      <c r="B186" s="408"/>
      <c r="C186" s="408"/>
      <c r="D186" s="409"/>
    </row>
    <row r="187" spans="1:4" x14ac:dyDescent="0.2">
      <c r="A187" s="401" t="s">
        <v>1309</v>
      </c>
      <c r="B187" s="402"/>
      <c r="C187" s="402"/>
      <c r="D187" s="403"/>
    </row>
    <row r="188" spans="1:4" x14ac:dyDescent="0.2">
      <c r="A188" s="404" t="s">
        <v>95</v>
      </c>
      <c r="B188" s="405"/>
      <c r="C188" s="405"/>
      <c r="D188" s="406"/>
    </row>
    <row r="189" spans="1:4" x14ac:dyDescent="0.2">
      <c r="A189" s="333" t="s">
        <v>1288</v>
      </c>
      <c r="B189" s="333" t="s">
        <v>1289</v>
      </c>
      <c r="C189" s="333">
        <v>2024</v>
      </c>
      <c r="D189" s="333" t="s">
        <v>1270</v>
      </c>
    </row>
    <row r="190" spans="1:4" x14ac:dyDescent="0.2">
      <c r="A190" s="334"/>
      <c r="B190" s="334"/>
      <c r="C190" s="334"/>
      <c r="D190" s="334"/>
    </row>
    <row r="191" spans="1:4" x14ac:dyDescent="0.2">
      <c r="A191" s="334" t="s">
        <v>1290</v>
      </c>
      <c r="B191" s="335">
        <v>659435120.18999994</v>
      </c>
      <c r="C191" s="347">
        <f>+'Rate Computation'!D24</f>
        <v>1076321266.0438066</v>
      </c>
      <c r="D191" s="336">
        <f>+C191-B191</f>
        <v>416886145.85380661</v>
      </c>
    </row>
    <row r="192" spans="1:4" x14ac:dyDescent="0.2">
      <c r="A192" s="334"/>
      <c r="B192" s="334"/>
      <c r="C192" s="348"/>
      <c r="D192" s="337"/>
    </row>
    <row r="193" spans="1:4" x14ac:dyDescent="0.2">
      <c r="A193" s="334" t="s">
        <v>1291</v>
      </c>
      <c r="B193" s="333" t="s">
        <v>26</v>
      </c>
      <c r="C193" s="349" t="str">
        <f>+Parameter!H18</f>
        <v>R2</v>
      </c>
      <c r="D193" s="337"/>
    </row>
    <row r="194" spans="1:4" x14ac:dyDescent="0.2">
      <c r="A194" s="334" t="s">
        <v>79</v>
      </c>
      <c r="B194" s="333">
        <v>75</v>
      </c>
      <c r="C194" s="349">
        <f>+Parameter!G18</f>
        <v>75</v>
      </c>
      <c r="D194" s="338">
        <f>+C194-B194</f>
        <v>0</v>
      </c>
    </row>
    <row r="195" spans="1:4" x14ac:dyDescent="0.2">
      <c r="A195" s="334"/>
      <c r="B195" s="333"/>
      <c r="C195" s="348"/>
      <c r="D195" s="337"/>
    </row>
    <row r="196" spans="1:4" x14ac:dyDescent="0.2">
      <c r="A196" s="334" t="s">
        <v>1292</v>
      </c>
      <c r="B196" s="339">
        <v>109045637.02376473</v>
      </c>
      <c r="C196" s="350">
        <v>114784881</v>
      </c>
      <c r="D196" s="340">
        <f t="shared" ref="D196:D198" si="24">+C196-B196</f>
        <v>5739243.9762352705</v>
      </c>
    </row>
    <row r="197" spans="1:4" x14ac:dyDescent="0.2">
      <c r="A197" s="334" t="s">
        <v>1293</v>
      </c>
      <c r="B197" s="339">
        <v>198034804.75999999</v>
      </c>
      <c r="C197" s="350">
        <f>+'Rate Computation'!E24</f>
        <v>199350416.49198416</v>
      </c>
      <c r="D197" s="340">
        <f t="shared" si="24"/>
        <v>1315611.7319841683</v>
      </c>
    </row>
    <row r="198" spans="1:4" x14ac:dyDescent="0.2">
      <c r="A198" s="334" t="s">
        <v>1294</v>
      </c>
      <c r="B198" s="339">
        <f>+B197-B196</f>
        <v>88989167.736235261</v>
      </c>
      <c r="C198" s="350">
        <f>+C197-C196</f>
        <v>84565535.491984159</v>
      </c>
      <c r="D198" s="340">
        <f t="shared" si="24"/>
        <v>-4423632.2442511022</v>
      </c>
    </row>
    <row r="199" spans="1:4" x14ac:dyDescent="0.2">
      <c r="A199" s="334"/>
      <c r="B199" s="334"/>
      <c r="C199" s="351"/>
      <c r="D199" s="337"/>
    </row>
    <row r="200" spans="1:4" x14ac:dyDescent="0.2">
      <c r="A200" s="334" t="s">
        <v>50</v>
      </c>
      <c r="B200" s="342">
        <f>+B197/B191</f>
        <v>0.3003097631544725</v>
      </c>
      <c r="C200" s="352">
        <f>+C197/C191</f>
        <v>0.18521460346568172</v>
      </c>
      <c r="D200" s="337"/>
    </row>
    <row r="201" spans="1:4" x14ac:dyDescent="0.2">
      <c r="A201" s="334"/>
      <c r="B201" s="334"/>
      <c r="C201" s="351"/>
      <c r="D201" s="337"/>
    </row>
    <row r="202" spans="1:4" x14ac:dyDescent="0.2">
      <c r="A202" s="334" t="s">
        <v>1295</v>
      </c>
      <c r="B202" s="343">
        <v>0</v>
      </c>
      <c r="C202" s="353">
        <v>0</v>
      </c>
      <c r="D202" s="344">
        <f t="shared" ref="D202:D204" si="25">+C202-B202</f>
        <v>0</v>
      </c>
    </row>
    <row r="203" spans="1:4" x14ac:dyDescent="0.2">
      <c r="A203" s="334" t="s">
        <v>1296</v>
      </c>
      <c r="B203" s="343">
        <v>0.33</v>
      </c>
      <c r="C203" s="353">
        <f>-+Parameter!I18/100</f>
        <v>0.4</v>
      </c>
      <c r="D203" s="344">
        <f t="shared" si="25"/>
        <v>7.0000000000000007E-2</v>
      </c>
    </row>
    <row r="204" spans="1:4" x14ac:dyDescent="0.2">
      <c r="A204" s="334" t="s">
        <v>1297</v>
      </c>
      <c r="B204" s="343">
        <f>+B202-B203</f>
        <v>-0.33</v>
      </c>
      <c r="C204" s="353">
        <f>+C202-C203</f>
        <v>-0.4</v>
      </c>
      <c r="D204" s="344">
        <f t="shared" si="25"/>
        <v>-7.0000000000000007E-2</v>
      </c>
    </row>
    <row r="205" spans="1:4" x14ac:dyDescent="0.2">
      <c r="A205" s="334"/>
      <c r="B205" s="334"/>
      <c r="C205" s="351"/>
      <c r="D205" s="337"/>
    </row>
    <row r="206" spans="1:4" x14ac:dyDescent="0.2">
      <c r="A206" s="334" t="s">
        <v>1298</v>
      </c>
      <c r="B206" s="342">
        <v>1.7999999999999999E-2</v>
      </c>
      <c r="C206" s="352">
        <f>ROUND((1-C204)/C194,3)</f>
        <v>1.9E-2</v>
      </c>
      <c r="D206" s="341">
        <f t="shared" ref="D206:D207" si="26">+C206-B206</f>
        <v>1.0000000000000009E-3</v>
      </c>
    </row>
    <row r="207" spans="1:4" x14ac:dyDescent="0.2">
      <c r="A207" s="334" t="s">
        <v>1299</v>
      </c>
      <c r="B207" s="335">
        <f>+B206*B191</f>
        <v>11869832.163419997</v>
      </c>
      <c r="C207" s="335">
        <f>+C206*C191</f>
        <v>20450104.054832324</v>
      </c>
      <c r="D207" s="340">
        <f t="shared" si="26"/>
        <v>8580271.8914123271</v>
      </c>
    </row>
    <row r="208" spans="1:4" x14ac:dyDescent="0.2">
      <c r="A208" s="334"/>
      <c r="B208" s="334"/>
      <c r="C208" s="351"/>
      <c r="D208" s="337"/>
    </row>
    <row r="209" spans="1:4" x14ac:dyDescent="0.2">
      <c r="A209" s="334" t="s">
        <v>48</v>
      </c>
      <c r="B209" s="346">
        <v>65.675064355141757</v>
      </c>
      <c r="C209" s="355">
        <f>+'Rate Computation'!M24</f>
        <v>67.333982178474372</v>
      </c>
      <c r="D209" s="345">
        <f t="shared" ref="D209:D211" si="27">+C209-B209</f>
        <v>1.6589178233326152</v>
      </c>
    </row>
    <row r="210" spans="1:4" x14ac:dyDescent="0.2">
      <c r="A210" s="334" t="s">
        <v>1300</v>
      </c>
      <c r="B210" s="342">
        <v>1.6E-2</v>
      </c>
      <c r="C210" s="352">
        <f>+'Rate Computation'!Q24</f>
        <v>1.7999999999999999E-2</v>
      </c>
      <c r="D210" s="341">
        <f t="shared" si="27"/>
        <v>1.9999999999999983E-3</v>
      </c>
    </row>
    <row r="211" spans="1:4" x14ac:dyDescent="0.2">
      <c r="A211" s="334" t="s">
        <v>1301</v>
      </c>
      <c r="B211" s="335">
        <f>+B191*B210</f>
        <v>10550961.923039999</v>
      </c>
      <c r="C211" s="354">
        <f>+C210*C191</f>
        <v>19373782.788788516</v>
      </c>
      <c r="D211" s="340">
        <f t="shared" si="27"/>
        <v>8822820.8657485172</v>
      </c>
    </row>
    <row r="216" spans="1:4" x14ac:dyDescent="0.2">
      <c r="A216" s="407" t="s">
        <v>1284</v>
      </c>
      <c r="B216" s="408"/>
      <c r="C216" s="408"/>
      <c r="D216" s="409"/>
    </row>
    <row r="217" spans="1:4" x14ac:dyDescent="0.2">
      <c r="A217" s="407" t="s">
        <v>1285</v>
      </c>
      <c r="B217" s="408"/>
      <c r="C217" s="408"/>
      <c r="D217" s="409"/>
    </row>
    <row r="218" spans="1:4" x14ac:dyDescent="0.2">
      <c r="A218" s="401" t="s">
        <v>1310</v>
      </c>
      <c r="B218" s="402"/>
      <c r="C218" s="402"/>
      <c r="D218" s="403"/>
    </row>
    <row r="219" spans="1:4" x14ac:dyDescent="0.2">
      <c r="A219" s="404" t="s">
        <v>1311</v>
      </c>
      <c r="B219" s="405"/>
      <c r="C219" s="405"/>
      <c r="D219" s="406"/>
    </row>
    <row r="220" spans="1:4" x14ac:dyDescent="0.2">
      <c r="A220" s="333" t="s">
        <v>1288</v>
      </c>
      <c r="B220" s="333" t="s">
        <v>1289</v>
      </c>
      <c r="C220" s="333">
        <v>2024</v>
      </c>
      <c r="D220" s="333" t="s">
        <v>1270</v>
      </c>
    </row>
    <row r="221" spans="1:4" x14ac:dyDescent="0.2">
      <c r="A221" s="334"/>
      <c r="B221" s="334"/>
      <c r="C221" s="334"/>
      <c r="D221" s="334"/>
    </row>
    <row r="222" spans="1:4" x14ac:dyDescent="0.2">
      <c r="A222" s="334" t="s">
        <v>1290</v>
      </c>
      <c r="B222" s="335">
        <v>18885293.070000004</v>
      </c>
      <c r="C222" s="347">
        <f>+'Rate Computation'!D26</f>
        <v>22828790.149999987</v>
      </c>
      <c r="D222" s="336">
        <f>+C222-B222</f>
        <v>3943497.0799999833</v>
      </c>
    </row>
    <row r="223" spans="1:4" x14ac:dyDescent="0.2">
      <c r="A223" s="334"/>
      <c r="B223" s="334"/>
      <c r="C223" s="348"/>
      <c r="D223" s="337"/>
    </row>
    <row r="224" spans="1:4" x14ac:dyDescent="0.2">
      <c r="A224" s="334" t="s">
        <v>1291</v>
      </c>
      <c r="B224" s="333" t="s">
        <v>703</v>
      </c>
      <c r="C224" s="349" t="str">
        <f>+Parameter!H20</f>
        <v>R1.5</v>
      </c>
      <c r="D224" s="337"/>
    </row>
    <row r="225" spans="1:4" x14ac:dyDescent="0.2">
      <c r="A225" s="334" t="s">
        <v>79</v>
      </c>
      <c r="B225" s="333">
        <v>40</v>
      </c>
      <c r="C225" s="349">
        <f>+Parameter!G20</f>
        <v>40</v>
      </c>
      <c r="D225" s="338">
        <f>+C225-B225</f>
        <v>0</v>
      </c>
    </row>
    <row r="226" spans="1:4" x14ac:dyDescent="0.2">
      <c r="A226" s="334"/>
      <c r="B226" s="333"/>
      <c r="C226" s="348"/>
      <c r="D226" s="337"/>
    </row>
    <row r="227" spans="1:4" x14ac:dyDescent="0.2">
      <c r="A227" s="334" t="s">
        <v>1292</v>
      </c>
      <c r="B227" s="339">
        <v>4077587.3328790213</v>
      </c>
      <c r="C227" s="350">
        <f>+'Theoretical Reserve'!H290</f>
        <v>6284422.7513010539</v>
      </c>
      <c r="D227" s="340">
        <f t="shared" ref="D227:D229" si="28">+C227-B227</f>
        <v>2206835.4184220326</v>
      </c>
    </row>
    <row r="228" spans="1:4" x14ac:dyDescent="0.2">
      <c r="A228" s="334" t="s">
        <v>1293</v>
      </c>
      <c r="B228" s="339">
        <v>4320430.8099999996</v>
      </c>
      <c r="C228" s="350">
        <f>'Rate Computation'!$E$26</f>
        <v>6391146.6009152206</v>
      </c>
      <c r="D228" s="340">
        <f t="shared" si="28"/>
        <v>2070715.790915221</v>
      </c>
    </row>
    <row r="229" spans="1:4" x14ac:dyDescent="0.2">
      <c r="A229" s="334" t="s">
        <v>1294</v>
      </c>
      <c r="B229" s="339">
        <f>+B228-B227</f>
        <v>242843.47712097829</v>
      </c>
      <c r="C229" s="350">
        <f>+C228-C227</f>
        <v>106723.84961416665</v>
      </c>
      <c r="D229" s="340">
        <f t="shared" si="28"/>
        <v>-136119.62750681164</v>
      </c>
    </row>
    <row r="230" spans="1:4" x14ac:dyDescent="0.2">
      <c r="A230" s="334"/>
      <c r="B230" s="334"/>
      <c r="C230" s="351"/>
      <c r="D230" s="337"/>
    </row>
    <row r="231" spans="1:4" x14ac:dyDescent="0.2">
      <c r="A231" s="334" t="s">
        <v>50</v>
      </c>
      <c r="B231" s="342">
        <f>+B228/B222</f>
        <v>0.22877224059938819</v>
      </c>
      <c r="C231" s="352">
        <f>+C228/C222</f>
        <v>0.27995993475437086</v>
      </c>
      <c r="D231" s="337"/>
    </row>
    <row r="232" spans="1:4" x14ac:dyDescent="0.2">
      <c r="A232" s="334"/>
      <c r="B232" s="334"/>
      <c r="C232" s="351"/>
      <c r="D232" s="337"/>
    </row>
    <row r="233" spans="1:4" x14ac:dyDescent="0.2">
      <c r="A233" s="334" t="s">
        <v>1295</v>
      </c>
      <c r="B233" s="343">
        <v>0</v>
      </c>
      <c r="C233" s="353">
        <v>0</v>
      </c>
      <c r="D233" s="344">
        <f t="shared" ref="D233:D235" si="29">+C233-B233</f>
        <v>0</v>
      </c>
    </row>
    <row r="234" spans="1:4" x14ac:dyDescent="0.2">
      <c r="A234" s="334" t="s">
        <v>1296</v>
      </c>
      <c r="B234" s="343">
        <v>0.1</v>
      </c>
      <c r="C234" s="353">
        <f>-Parameter!I20/100</f>
        <v>0.2</v>
      </c>
      <c r="D234" s="344">
        <f t="shared" si="29"/>
        <v>0.1</v>
      </c>
    </row>
    <row r="235" spans="1:4" x14ac:dyDescent="0.2">
      <c r="A235" s="334" t="s">
        <v>1297</v>
      </c>
      <c r="B235" s="343">
        <f>+B233-B234</f>
        <v>-0.1</v>
      </c>
      <c r="C235" s="353">
        <f>+C233-C234</f>
        <v>-0.2</v>
      </c>
      <c r="D235" s="344">
        <f t="shared" si="29"/>
        <v>-0.1</v>
      </c>
    </row>
    <row r="236" spans="1:4" x14ac:dyDescent="0.2">
      <c r="A236" s="334"/>
      <c r="B236" s="334"/>
      <c r="C236" s="351"/>
      <c r="D236" s="337"/>
    </row>
    <row r="237" spans="1:4" x14ac:dyDescent="0.2">
      <c r="A237" s="334" t="s">
        <v>1298</v>
      </c>
      <c r="B237" s="342">
        <v>2.7999999999999997E-2</v>
      </c>
      <c r="C237" s="352">
        <f>ROUND((1-C235)/C225,3)</f>
        <v>0.03</v>
      </c>
      <c r="D237" s="341">
        <f t="shared" ref="D237:D238" si="30">+C237-B237</f>
        <v>2.0000000000000018E-3</v>
      </c>
    </row>
    <row r="238" spans="1:4" x14ac:dyDescent="0.2">
      <c r="A238" s="334" t="s">
        <v>1299</v>
      </c>
      <c r="B238" s="335">
        <f>+B237*B222</f>
        <v>528788.20596000005</v>
      </c>
      <c r="C238" s="354">
        <f>+C237*C222</f>
        <v>684863.70449999964</v>
      </c>
      <c r="D238" s="340">
        <f t="shared" si="30"/>
        <v>156075.49853999959</v>
      </c>
    </row>
    <row r="239" spans="1:4" x14ac:dyDescent="0.2">
      <c r="A239" s="334"/>
      <c r="B239" s="334"/>
      <c r="C239" s="351"/>
      <c r="D239" s="337"/>
    </row>
    <row r="240" spans="1:4" x14ac:dyDescent="0.2">
      <c r="A240" s="334" t="s">
        <v>48</v>
      </c>
      <c r="B240" s="346">
        <v>32.148604606548318</v>
      </c>
      <c r="C240" s="355">
        <f>+'Rate Computation'!M25</f>
        <v>31.875409199669306</v>
      </c>
      <c r="D240" s="345">
        <f t="shared" ref="D240:D242" si="31">+C240-B240</f>
        <v>-0.27319540687901167</v>
      </c>
    </row>
    <row r="241" spans="1:4" x14ac:dyDescent="0.2">
      <c r="A241" s="334" t="s">
        <v>1300</v>
      </c>
      <c r="B241" s="342">
        <v>2.7E-2</v>
      </c>
      <c r="C241" s="352">
        <f>+'Rate Computation'!Q25</f>
        <v>0.03</v>
      </c>
      <c r="D241" s="341">
        <f t="shared" si="31"/>
        <v>2.9999999999999992E-3</v>
      </c>
    </row>
    <row r="242" spans="1:4" x14ac:dyDescent="0.2">
      <c r="A242" s="334" t="s">
        <v>1301</v>
      </c>
      <c r="B242" s="335">
        <f>+B222*B241</f>
        <v>509902.91289000009</v>
      </c>
      <c r="C242" s="354">
        <f>+C222*C241</f>
        <v>684863.70449999964</v>
      </c>
      <c r="D242" s="340">
        <f t="shared" si="31"/>
        <v>174960.79160999955</v>
      </c>
    </row>
    <row r="245" spans="1:4" x14ac:dyDescent="0.2">
      <c r="A245" s="407" t="s">
        <v>1284</v>
      </c>
      <c r="B245" s="408"/>
      <c r="C245" s="408"/>
      <c r="D245" s="409"/>
    </row>
    <row r="246" spans="1:4" x14ac:dyDescent="0.2">
      <c r="A246" s="407" t="s">
        <v>1285</v>
      </c>
      <c r="B246" s="408"/>
      <c r="C246" s="408"/>
      <c r="D246" s="409"/>
    </row>
    <row r="247" spans="1:4" x14ac:dyDescent="0.2">
      <c r="A247" s="401" t="s">
        <v>1312</v>
      </c>
      <c r="B247" s="402"/>
      <c r="C247" s="402"/>
      <c r="D247" s="403"/>
    </row>
    <row r="248" spans="1:4" x14ac:dyDescent="0.2">
      <c r="A248" s="404" t="s">
        <v>1313</v>
      </c>
      <c r="B248" s="405"/>
      <c r="C248" s="405"/>
      <c r="D248" s="406"/>
    </row>
    <row r="249" spans="1:4" x14ac:dyDescent="0.2">
      <c r="A249" s="333" t="s">
        <v>1288</v>
      </c>
      <c r="B249" s="333" t="s">
        <v>1289</v>
      </c>
      <c r="C249" s="333">
        <v>2024</v>
      </c>
      <c r="D249" s="333" t="s">
        <v>1270</v>
      </c>
    </row>
    <row r="250" spans="1:4" x14ac:dyDescent="0.2">
      <c r="A250" s="334"/>
      <c r="B250" s="334"/>
      <c r="C250" s="334"/>
      <c r="D250" s="334"/>
    </row>
    <row r="251" spans="1:4" x14ac:dyDescent="0.2">
      <c r="A251" s="334" t="s">
        <v>1290</v>
      </c>
      <c r="B251" s="335">
        <v>96523663.090000004</v>
      </c>
      <c r="C251" s="347">
        <f>'Rate Computation'!$D$27</f>
        <v>122736793.25999998</v>
      </c>
      <c r="D251" s="336">
        <f>+C251-B251</f>
        <v>26213130.169999972</v>
      </c>
    </row>
    <row r="252" spans="1:4" x14ac:dyDescent="0.2">
      <c r="A252" s="334"/>
      <c r="B252" s="334"/>
      <c r="C252" s="348"/>
      <c r="D252" s="337"/>
    </row>
    <row r="253" spans="1:4" x14ac:dyDescent="0.2">
      <c r="A253" s="334" t="s">
        <v>1291</v>
      </c>
      <c r="B253" s="333" t="s">
        <v>702</v>
      </c>
      <c r="C253" s="349" t="str">
        <f>+Parameter!H21</f>
        <v>R2</v>
      </c>
      <c r="D253" s="337"/>
    </row>
    <row r="254" spans="1:4" x14ac:dyDescent="0.2">
      <c r="A254" s="334" t="s">
        <v>79</v>
      </c>
      <c r="B254" s="333">
        <v>50</v>
      </c>
      <c r="C254" s="349">
        <f>+Parameter!G21</f>
        <v>52</v>
      </c>
      <c r="D254" s="338">
        <f>+C254-B254</f>
        <v>2</v>
      </c>
    </row>
    <row r="255" spans="1:4" x14ac:dyDescent="0.2">
      <c r="A255" s="334"/>
      <c r="B255" s="333"/>
      <c r="C255" s="348"/>
      <c r="D255" s="337"/>
    </row>
    <row r="256" spans="1:4" x14ac:dyDescent="0.2">
      <c r="A256" s="334" t="s">
        <v>1292</v>
      </c>
      <c r="B256" s="339">
        <v>9626124.5437166337</v>
      </c>
      <c r="C256" s="350">
        <f>+'Theoretical Reserve'!H323</f>
        <v>17264597.749771152</v>
      </c>
      <c r="D256" s="340">
        <f t="shared" ref="D256:D258" si="32">+C256-B256</f>
        <v>7638473.206054518</v>
      </c>
    </row>
    <row r="257" spans="1:4" x14ac:dyDescent="0.2">
      <c r="A257" s="334" t="s">
        <v>1293</v>
      </c>
      <c r="B257" s="339">
        <v>12806988.560000001</v>
      </c>
      <c r="C257" s="350">
        <f>+'Rate Computation'!E27</f>
        <v>20597693.57577337</v>
      </c>
      <c r="D257" s="340">
        <f t="shared" si="32"/>
        <v>7790705.015773369</v>
      </c>
    </row>
    <row r="258" spans="1:4" x14ac:dyDescent="0.2">
      <c r="A258" s="334" t="s">
        <v>1294</v>
      </c>
      <c r="B258" s="339">
        <f>+B257-B256</f>
        <v>3180864.0162833668</v>
      </c>
      <c r="C258" s="350">
        <f>+C257-C256</f>
        <v>3333095.8260022178</v>
      </c>
      <c r="D258" s="340">
        <f t="shared" si="32"/>
        <v>152231.809718851</v>
      </c>
    </row>
    <row r="259" spans="1:4" x14ac:dyDescent="0.2">
      <c r="A259" s="334"/>
      <c r="B259" s="334"/>
      <c r="C259" s="351"/>
      <c r="D259" s="337"/>
    </row>
    <row r="260" spans="1:4" x14ac:dyDescent="0.2">
      <c r="A260" s="334" t="s">
        <v>50</v>
      </c>
      <c r="B260" s="342">
        <f>+B257/B251</f>
        <v>0.1326823718662499</v>
      </c>
      <c r="C260" s="352">
        <f>+C257/C251</f>
        <v>0.16782004017442564</v>
      </c>
      <c r="D260" s="337"/>
    </row>
    <row r="261" spans="1:4" x14ac:dyDescent="0.2">
      <c r="A261" s="334"/>
      <c r="B261" s="334"/>
      <c r="C261" s="351"/>
      <c r="D261" s="337"/>
    </row>
    <row r="262" spans="1:4" x14ac:dyDescent="0.2">
      <c r="A262" s="334" t="s">
        <v>1295</v>
      </c>
      <c r="B262" s="343">
        <v>0</v>
      </c>
      <c r="C262" s="353">
        <v>0</v>
      </c>
      <c r="D262" s="344">
        <f t="shared" ref="D262:D264" si="33">+C262-B262</f>
        <v>0</v>
      </c>
    </row>
    <row r="263" spans="1:4" x14ac:dyDescent="0.2">
      <c r="A263" s="334" t="s">
        <v>1296</v>
      </c>
      <c r="B263" s="343">
        <v>0.1</v>
      </c>
      <c r="C263" s="353">
        <f>+-Parameter!I21/100</f>
        <v>0.2</v>
      </c>
      <c r="D263" s="344">
        <f t="shared" si="33"/>
        <v>0.1</v>
      </c>
    </row>
    <row r="264" spans="1:4" x14ac:dyDescent="0.2">
      <c r="A264" s="334" t="s">
        <v>1297</v>
      </c>
      <c r="B264" s="343">
        <f>+B262-B263</f>
        <v>-0.1</v>
      </c>
      <c r="C264" s="353">
        <f>+C262-C263</f>
        <v>-0.2</v>
      </c>
      <c r="D264" s="344">
        <f t="shared" si="33"/>
        <v>-0.1</v>
      </c>
    </row>
    <row r="265" spans="1:4" x14ac:dyDescent="0.2">
      <c r="A265" s="334"/>
      <c r="B265" s="334"/>
      <c r="C265" s="351"/>
      <c r="D265" s="337"/>
    </row>
    <row r="266" spans="1:4" x14ac:dyDescent="0.2">
      <c r="A266" s="334" t="s">
        <v>1298</v>
      </c>
      <c r="B266" s="342">
        <v>2.1999999999999999E-2</v>
      </c>
      <c r="C266" s="352">
        <f>ROUND((1-C264)/C254,3)</f>
        <v>2.3E-2</v>
      </c>
      <c r="D266" s="341">
        <f t="shared" ref="D266:D267" si="34">+C266-B266</f>
        <v>1.0000000000000009E-3</v>
      </c>
    </row>
    <row r="267" spans="1:4" x14ac:dyDescent="0.2">
      <c r="A267" s="334" t="s">
        <v>1299</v>
      </c>
      <c r="B267" s="335">
        <f>+B266*B251</f>
        <v>2123520.5879799998</v>
      </c>
      <c r="C267" s="335">
        <f>+C266*C251</f>
        <v>2822946.2449799995</v>
      </c>
      <c r="D267" s="340">
        <f t="shared" si="34"/>
        <v>699425.65699999966</v>
      </c>
    </row>
    <row r="268" spans="1:4" x14ac:dyDescent="0.2">
      <c r="A268" s="334"/>
      <c r="B268" s="334"/>
      <c r="C268" s="351"/>
      <c r="D268" s="337"/>
    </row>
    <row r="269" spans="1:4" x14ac:dyDescent="0.2">
      <c r="A269" s="334" t="s">
        <v>48</v>
      </c>
      <c r="B269" s="346">
        <v>45.466903123895079</v>
      </c>
      <c r="C269" s="355">
        <f>+'Rate Computation'!M26</f>
        <v>30.823834421347936</v>
      </c>
      <c r="D269" s="345">
        <f t="shared" ref="D269:D271" si="35">+C269-B269</f>
        <v>-14.643068702547144</v>
      </c>
    </row>
    <row r="270" spans="1:4" x14ac:dyDescent="0.2">
      <c r="A270" s="334" t="s">
        <v>1300</v>
      </c>
      <c r="B270" s="342">
        <v>2.1000000000000001E-2</v>
      </c>
      <c r="C270" s="352">
        <f>+'Rate Computation'!Q26</f>
        <v>0.03</v>
      </c>
      <c r="D270" s="341">
        <f t="shared" si="35"/>
        <v>8.9999999999999976E-3</v>
      </c>
    </row>
    <row r="271" spans="1:4" x14ac:dyDescent="0.2">
      <c r="A271" s="334" t="s">
        <v>1301</v>
      </c>
      <c r="B271" s="335">
        <f>+B251*B270</f>
        <v>2026996.9248900001</v>
      </c>
      <c r="C271" s="354">
        <f>+C251*C270</f>
        <v>3682103.7977999994</v>
      </c>
      <c r="D271" s="340">
        <f t="shared" si="35"/>
        <v>1655106.8729099992</v>
      </c>
    </row>
    <row r="277" spans="1:4" x14ac:dyDescent="0.2">
      <c r="A277" s="407" t="s">
        <v>1284</v>
      </c>
      <c r="B277" s="408"/>
      <c r="C277" s="408"/>
      <c r="D277" s="409"/>
    </row>
    <row r="278" spans="1:4" x14ac:dyDescent="0.2">
      <c r="A278" s="407" t="s">
        <v>1285</v>
      </c>
      <c r="B278" s="408"/>
      <c r="C278" s="408"/>
      <c r="D278" s="409"/>
    </row>
    <row r="279" spans="1:4" x14ac:dyDescent="0.2">
      <c r="A279" s="401" t="s">
        <v>1314</v>
      </c>
      <c r="B279" s="402"/>
      <c r="C279" s="402"/>
      <c r="D279" s="403"/>
    </row>
    <row r="280" spans="1:4" x14ac:dyDescent="0.2">
      <c r="A280" s="404" t="s">
        <v>98</v>
      </c>
      <c r="B280" s="405"/>
      <c r="C280" s="405"/>
      <c r="D280" s="406"/>
    </row>
    <row r="281" spans="1:4" x14ac:dyDescent="0.2">
      <c r="A281" s="333" t="s">
        <v>1288</v>
      </c>
      <c r="B281" s="333" t="s">
        <v>1289</v>
      </c>
      <c r="C281" s="333">
        <v>2024</v>
      </c>
      <c r="D281" s="333" t="s">
        <v>1270</v>
      </c>
    </row>
    <row r="282" spans="1:4" x14ac:dyDescent="0.2">
      <c r="A282" s="334"/>
      <c r="B282" s="334"/>
      <c r="C282" s="334"/>
      <c r="D282" s="334"/>
    </row>
    <row r="283" spans="1:4" x14ac:dyDescent="0.2">
      <c r="A283" s="334" t="s">
        <v>1290</v>
      </c>
      <c r="B283" s="335">
        <v>55953816.700000025</v>
      </c>
      <c r="C283" s="347">
        <f>+'Rate Computation'!D28</f>
        <v>68085342.289999977</v>
      </c>
      <c r="D283" s="336">
        <f>+C283-B283</f>
        <v>12131525.589999951</v>
      </c>
    </row>
    <row r="284" spans="1:4" x14ac:dyDescent="0.2">
      <c r="A284" s="334"/>
      <c r="B284" s="334"/>
      <c r="C284" s="348"/>
      <c r="D284" s="337"/>
    </row>
    <row r="285" spans="1:4" x14ac:dyDescent="0.2">
      <c r="A285" s="334" t="s">
        <v>1291</v>
      </c>
      <c r="B285" s="333" t="s">
        <v>705</v>
      </c>
      <c r="C285" s="349" t="str">
        <f>+Parameter!H22</f>
        <v>R0.5</v>
      </c>
      <c r="D285" s="337"/>
    </row>
    <row r="286" spans="1:4" x14ac:dyDescent="0.2">
      <c r="A286" s="334" t="s">
        <v>79</v>
      </c>
      <c r="B286" s="333">
        <v>52</v>
      </c>
      <c r="C286" s="349">
        <f>+Parameter!G22</f>
        <v>52</v>
      </c>
      <c r="D286" s="338">
        <f>+C286-B286</f>
        <v>0</v>
      </c>
    </row>
    <row r="287" spans="1:4" x14ac:dyDescent="0.2">
      <c r="A287" s="334"/>
      <c r="B287" s="333"/>
      <c r="C287" s="348"/>
      <c r="D287" s="337"/>
    </row>
    <row r="288" spans="1:4" x14ac:dyDescent="0.2">
      <c r="A288" s="334" t="s">
        <v>1292</v>
      </c>
      <c r="B288" s="339">
        <v>33276606.296874437</v>
      </c>
      <c r="C288" s="350">
        <f>+'Theoretical Reserve'!H416</f>
        <v>39910593.943207212</v>
      </c>
      <c r="D288" s="340">
        <f t="shared" ref="D288:D290" si="36">+C288-B288</f>
        <v>6633987.6463327743</v>
      </c>
    </row>
    <row r="289" spans="1:4" x14ac:dyDescent="0.2">
      <c r="A289" s="334" t="s">
        <v>1293</v>
      </c>
      <c r="B289" s="339">
        <v>40295121.759999998</v>
      </c>
      <c r="C289" s="350">
        <f>+'Rate Computation'!E28</f>
        <v>44097347.061889209</v>
      </c>
      <c r="D289" s="340">
        <f t="shared" si="36"/>
        <v>3802225.3018892109</v>
      </c>
    </row>
    <row r="290" spans="1:4" x14ac:dyDescent="0.2">
      <c r="A290" s="334" t="s">
        <v>1294</v>
      </c>
      <c r="B290" s="339">
        <f>+B289-B288</f>
        <v>7018515.4631255604</v>
      </c>
      <c r="C290" s="350">
        <f>+C289-C288</f>
        <v>4186753.1186819971</v>
      </c>
      <c r="D290" s="340">
        <f t="shared" si="36"/>
        <v>-2831762.3444435634</v>
      </c>
    </row>
    <row r="291" spans="1:4" x14ac:dyDescent="0.2">
      <c r="A291" s="334"/>
      <c r="B291" s="334"/>
      <c r="C291" s="351"/>
      <c r="D291" s="337"/>
    </row>
    <row r="292" spans="1:4" x14ac:dyDescent="0.2">
      <c r="A292" s="334" t="s">
        <v>50</v>
      </c>
      <c r="B292" s="342">
        <f>+B289/B283</f>
        <v>0.72014965442026724</v>
      </c>
      <c r="C292" s="352">
        <f>+C289/C283</f>
        <v>0.64767754084370666</v>
      </c>
      <c r="D292" s="337"/>
    </row>
    <row r="293" spans="1:4" x14ac:dyDescent="0.2">
      <c r="A293" s="334"/>
      <c r="B293" s="334"/>
      <c r="C293" s="351"/>
      <c r="D293" s="337"/>
    </row>
    <row r="294" spans="1:4" x14ac:dyDescent="0.2">
      <c r="A294" s="334" t="s">
        <v>1295</v>
      </c>
      <c r="B294" s="343">
        <v>0</v>
      </c>
      <c r="C294" s="353">
        <v>0</v>
      </c>
      <c r="D294" s="344">
        <f t="shared" ref="D294:D296" si="37">+C294-B294</f>
        <v>0</v>
      </c>
    </row>
    <row r="295" spans="1:4" x14ac:dyDescent="0.2">
      <c r="A295" s="334" t="s">
        <v>1296</v>
      </c>
      <c r="B295" s="343">
        <v>1.25</v>
      </c>
      <c r="C295" s="353">
        <f>-Parameter!I22/100</f>
        <v>1.3</v>
      </c>
      <c r="D295" s="344">
        <f t="shared" si="37"/>
        <v>5.0000000000000044E-2</v>
      </c>
    </row>
    <row r="296" spans="1:4" x14ac:dyDescent="0.2">
      <c r="A296" s="334" t="s">
        <v>1297</v>
      </c>
      <c r="B296" s="343">
        <f>+B294-B295</f>
        <v>-1.25</v>
      </c>
      <c r="C296" s="353">
        <f>+C294-C295</f>
        <v>-1.3</v>
      </c>
      <c r="D296" s="344">
        <f t="shared" si="37"/>
        <v>-5.0000000000000044E-2</v>
      </c>
    </row>
    <row r="297" spans="1:4" x14ac:dyDescent="0.2">
      <c r="A297" s="334"/>
      <c r="B297" s="334"/>
      <c r="C297" s="351"/>
      <c r="D297" s="337"/>
    </row>
    <row r="298" spans="1:4" x14ac:dyDescent="0.2">
      <c r="A298" s="334" t="s">
        <v>1298</v>
      </c>
      <c r="B298" s="342">
        <v>4.2999999999999997E-2</v>
      </c>
      <c r="C298" s="352">
        <f>ROUND((1-C296)/C286,3)</f>
        <v>4.3999999999999997E-2</v>
      </c>
      <c r="D298" s="341">
        <f t="shared" ref="D298:D299" si="38">+C298-B298</f>
        <v>1.0000000000000009E-3</v>
      </c>
    </row>
    <row r="299" spans="1:4" x14ac:dyDescent="0.2">
      <c r="A299" s="334" t="s">
        <v>1299</v>
      </c>
      <c r="B299" s="335">
        <f>+B298*B283</f>
        <v>2406014.118100001</v>
      </c>
      <c r="C299" s="354">
        <f>+C298*C283</f>
        <v>2995755.0607599989</v>
      </c>
      <c r="D299" s="340">
        <f t="shared" si="38"/>
        <v>589740.94265999785</v>
      </c>
    </row>
    <row r="300" spans="1:4" x14ac:dyDescent="0.2">
      <c r="A300" s="334"/>
      <c r="B300" s="334"/>
      <c r="C300" s="351"/>
      <c r="D300" s="337"/>
    </row>
    <row r="301" spans="1:4" x14ac:dyDescent="0.2">
      <c r="A301" s="334" t="s">
        <v>48</v>
      </c>
      <c r="B301" s="346">
        <v>38.255462256468988</v>
      </c>
      <c r="C301" s="355">
        <f>+'Rate Computation'!M28</f>
        <v>38.747125865709364</v>
      </c>
      <c r="D301" s="345">
        <f t="shared" ref="D301:D303" si="39">+C301-B301</f>
        <v>0.49166360924037633</v>
      </c>
    </row>
    <row r="302" spans="1:4" x14ac:dyDescent="0.2">
      <c r="A302" s="334" t="s">
        <v>1300</v>
      </c>
      <c r="B302" s="342">
        <v>0.04</v>
      </c>
      <c r="C302" s="352">
        <f>+'Rate Computation'!Q28</f>
        <v>4.2999999999999997E-2</v>
      </c>
      <c r="D302" s="341">
        <f t="shared" si="39"/>
        <v>2.9999999999999957E-3</v>
      </c>
    </row>
    <row r="303" spans="1:4" x14ac:dyDescent="0.2">
      <c r="A303" s="334" t="s">
        <v>1301</v>
      </c>
      <c r="B303" s="335">
        <f>+B283*B302</f>
        <v>2238152.668000001</v>
      </c>
      <c r="C303" s="354">
        <f>+C283*C302</f>
        <v>2927669.7184699988</v>
      </c>
      <c r="D303" s="340">
        <f t="shared" si="39"/>
        <v>689517.0504699978</v>
      </c>
    </row>
    <row r="307" spans="1:4" x14ac:dyDescent="0.2">
      <c r="A307" s="407" t="s">
        <v>1284</v>
      </c>
      <c r="B307" s="408"/>
      <c r="C307" s="408"/>
      <c r="D307" s="409"/>
    </row>
    <row r="308" spans="1:4" x14ac:dyDescent="0.2">
      <c r="A308" s="407" t="s">
        <v>1285</v>
      </c>
      <c r="B308" s="408"/>
      <c r="C308" s="408"/>
      <c r="D308" s="409"/>
    </row>
    <row r="309" spans="1:4" x14ac:dyDescent="0.2">
      <c r="A309" s="401" t="s">
        <v>1315</v>
      </c>
      <c r="B309" s="402"/>
      <c r="C309" s="402"/>
      <c r="D309" s="403"/>
    </row>
    <row r="310" spans="1:4" x14ac:dyDescent="0.2">
      <c r="A310" s="404" t="s">
        <v>99</v>
      </c>
      <c r="B310" s="405"/>
      <c r="C310" s="405"/>
      <c r="D310" s="406"/>
    </row>
    <row r="311" spans="1:4" x14ac:dyDescent="0.2">
      <c r="A311" s="333" t="s">
        <v>1288</v>
      </c>
      <c r="B311" s="333" t="s">
        <v>1289</v>
      </c>
      <c r="C311" s="333">
        <v>2024</v>
      </c>
      <c r="D311" s="333" t="s">
        <v>1270</v>
      </c>
    </row>
    <row r="312" spans="1:4" x14ac:dyDescent="0.2">
      <c r="A312" s="334"/>
      <c r="B312" s="334"/>
      <c r="C312" s="334"/>
      <c r="D312" s="334"/>
    </row>
    <row r="313" spans="1:4" x14ac:dyDescent="0.2">
      <c r="A313" s="334" t="s">
        <v>1290</v>
      </c>
      <c r="B313" s="335">
        <v>409505669.88000005</v>
      </c>
      <c r="C313" s="347">
        <f>+'Rate Computation'!D29</f>
        <v>667590895.32999992</v>
      </c>
      <c r="D313" s="336">
        <f>+C313-B313</f>
        <v>258085225.44999987</v>
      </c>
    </row>
    <row r="314" spans="1:4" x14ac:dyDescent="0.2">
      <c r="A314" s="334"/>
      <c r="B314" s="334"/>
      <c r="C314" s="348"/>
      <c r="D314" s="337"/>
    </row>
    <row r="315" spans="1:4" x14ac:dyDescent="0.2">
      <c r="A315" s="334" t="s">
        <v>1291</v>
      </c>
      <c r="B315" s="333" t="s">
        <v>703</v>
      </c>
      <c r="C315" s="349" t="str">
        <f>+Parameter!H23</f>
        <v>R2.5</v>
      </c>
      <c r="D315" s="337"/>
    </row>
    <row r="316" spans="1:4" x14ac:dyDescent="0.2">
      <c r="A316" s="334" t="s">
        <v>79</v>
      </c>
      <c r="B316" s="333">
        <v>55</v>
      </c>
      <c r="C316" s="349">
        <f>+Parameter!G23</f>
        <v>55</v>
      </c>
      <c r="D316" s="338">
        <f>+C316-B316</f>
        <v>0</v>
      </c>
    </row>
    <row r="317" spans="1:4" x14ac:dyDescent="0.2">
      <c r="A317" s="334"/>
      <c r="B317" s="333"/>
      <c r="C317" s="348"/>
      <c r="D317" s="337"/>
    </row>
    <row r="318" spans="1:4" x14ac:dyDescent="0.2">
      <c r="A318" s="334" t="s">
        <v>1292</v>
      </c>
      <c r="B318" s="339">
        <v>112016966.04726972</v>
      </c>
      <c r="C318" s="350">
        <f>+'Theoretical Reserve'!H475</f>
        <v>185714204.14471656</v>
      </c>
      <c r="D318" s="340">
        <f t="shared" ref="D318:D320" si="40">+C318-B318</f>
        <v>73697238.097446844</v>
      </c>
    </row>
    <row r="319" spans="1:4" x14ac:dyDescent="0.2">
      <c r="A319" s="334" t="s">
        <v>1293</v>
      </c>
      <c r="B319" s="339">
        <v>183234186.83000001</v>
      </c>
      <c r="C319" s="350">
        <f>+'Rate Computation'!E29</f>
        <v>212877942.27598739</v>
      </c>
      <c r="D319" s="340">
        <f t="shared" si="40"/>
        <v>29643755.445987374</v>
      </c>
    </row>
    <row r="320" spans="1:4" x14ac:dyDescent="0.2">
      <c r="A320" s="334" t="s">
        <v>1294</v>
      </c>
      <c r="B320" s="339">
        <f>+B319-B318</f>
        <v>71217220.782730296</v>
      </c>
      <c r="C320" s="350">
        <f>+C319-C318</f>
        <v>27163738.131270826</v>
      </c>
      <c r="D320" s="340">
        <f t="shared" si="40"/>
        <v>-44053482.65145947</v>
      </c>
    </row>
    <row r="321" spans="1:4" x14ac:dyDescent="0.2">
      <c r="A321" s="334"/>
      <c r="B321" s="334"/>
      <c r="C321" s="351"/>
      <c r="D321" s="337"/>
    </row>
    <row r="322" spans="1:4" x14ac:dyDescent="0.2">
      <c r="A322" s="334" t="s">
        <v>50</v>
      </c>
      <c r="B322" s="342">
        <f>+B319/B313</f>
        <v>0.44745213633719466</v>
      </c>
      <c r="C322" s="352">
        <f>+C319/C313</f>
        <v>0.31887484350840151</v>
      </c>
      <c r="D322" s="337"/>
    </row>
    <row r="323" spans="1:4" x14ac:dyDescent="0.2">
      <c r="A323" s="334"/>
      <c r="B323" s="334"/>
      <c r="C323" s="351"/>
      <c r="D323" s="337"/>
    </row>
    <row r="324" spans="1:4" x14ac:dyDescent="0.2">
      <c r="A324" s="334" t="s">
        <v>1295</v>
      </c>
      <c r="B324" s="343">
        <v>0</v>
      </c>
      <c r="C324" s="353">
        <v>0</v>
      </c>
      <c r="D324" s="344">
        <f t="shared" ref="D324:D326" si="41">+C324-B324</f>
        <v>0</v>
      </c>
    </row>
    <row r="325" spans="1:4" x14ac:dyDescent="0.2">
      <c r="A325" s="334" t="s">
        <v>1296</v>
      </c>
      <c r="B325" s="343">
        <v>0.68</v>
      </c>
      <c r="C325" s="353">
        <f>-Parameter!I23/100</f>
        <v>0.75</v>
      </c>
      <c r="D325" s="344">
        <f t="shared" si="41"/>
        <v>6.9999999999999951E-2</v>
      </c>
    </row>
    <row r="326" spans="1:4" x14ac:dyDescent="0.2">
      <c r="A326" s="334" t="s">
        <v>1297</v>
      </c>
      <c r="B326" s="343">
        <f>+B324-B325</f>
        <v>-0.68</v>
      </c>
      <c r="C326" s="353">
        <f>+C324-C325</f>
        <v>-0.75</v>
      </c>
      <c r="D326" s="344">
        <f t="shared" si="41"/>
        <v>-6.9999999999999951E-2</v>
      </c>
    </row>
    <row r="327" spans="1:4" x14ac:dyDescent="0.2">
      <c r="A327" s="334"/>
      <c r="B327" s="334"/>
      <c r="C327" s="351"/>
      <c r="D327" s="337"/>
    </row>
    <row r="328" spans="1:4" x14ac:dyDescent="0.2">
      <c r="A328" s="334" t="s">
        <v>1298</v>
      </c>
      <c r="B328" s="342">
        <v>3.1E-2</v>
      </c>
      <c r="C328" s="352">
        <f>ROUND((1-C326)/C316,3)</f>
        <v>3.2000000000000001E-2</v>
      </c>
      <c r="D328" s="341">
        <f t="shared" ref="D328:D329" si="42">+C328-B328</f>
        <v>1.0000000000000009E-3</v>
      </c>
    </row>
    <row r="329" spans="1:4" x14ac:dyDescent="0.2">
      <c r="A329" s="334" t="s">
        <v>1299</v>
      </c>
      <c r="B329" s="335">
        <f>+B328*B313</f>
        <v>12694675.766280001</v>
      </c>
      <c r="C329" s="354">
        <f>+C328*C313</f>
        <v>21362908.650559999</v>
      </c>
      <c r="D329" s="340">
        <f t="shared" si="42"/>
        <v>8668232.884279998</v>
      </c>
    </row>
    <row r="330" spans="1:4" x14ac:dyDescent="0.2">
      <c r="A330" s="334"/>
      <c r="B330" s="334"/>
      <c r="C330" s="351"/>
      <c r="D330" s="337"/>
    </row>
    <row r="331" spans="1:4" x14ac:dyDescent="0.2">
      <c r="A331" s="334" t="s">
        <v>48</v>
      </c>
      <c r="B331" s="346">
        <v>46.044758662773511</v>
      </c>
      <c r="C331" s="355">
        <f>+'Rate Computation'!M29</f>
        <v>46.257022570121585</v>
      </c>
      <c r="D331" s="345">
        <f t="shared" ref="D331:D333" si="43">+C331-B331</f>
        <v>0.2122639073480741</v>
      </c>
    </row>
    <row r="332" spans="1:4" x14ac:dyDescent="0.2">
      <c r="A332" s="334" t="s">
        <v>1300</v>
      </c>
      <c r="B332" s="342">
        <v>2.7E-2</v>
      </c>
      <c r="C332" s="352">
        <f>+'Rate Computation'!Q29</f>
        <v>3.1E-2</v>
      </c>
      <c r="D332" s="341">
        <f t="shared" si="43"/>
        <v>4.0000000000000001E-3</v>
      </c>
    </row>
    <row r="333" spans="1:4" x14ac:dyDescent="0.2">
      <c r="A333" s="334" t="s">
        <v>1301</v>
      </c>
      <c r="B333" s="335">
        <f>+B313*B332</f>
        <v>11056653.086760001</v>
      </c>
      <c r="C333" s="354">
        <f>+C313*C332</f>
        <v>20695317.755229998</v>
      </c>
      <c r="D333" s="340">
        <f t="shared" si="43"/>
        <v>9638664.6684699971</v>
      </c>
    </row>
    <row r="338" spans="1:4" x14ac:dyDescent="0.2">
      <c r="A338" s="407" t="s">
        <v>1284</v>
      </c>
      <c r="B338" s="408"/>
      <c r="C338" s="408"/>
      <c r="D338" s="409"/>
    </row>
    <row r="339" spans="1:4" x14ac:dyDescent="0.2">
      <c r="A339" s="407" t="s">
        <v>1285</v>
      </c>
      <c r="B339" s="408"/>
      <c r="C339" s="408"/>
      <c r="D339" s="409"/>
    </row>
    <row r="340" spans="1:4" x14ac:dyDescent="0.2">
      <c r="A340" s="401" t="s">
        <v>1316</v>
      </c>
      <c r="B340" s="402"/>
      <c r="C340" s="402"/>
      <c r="D340" s="403"/>
    </row>
    <row r="341" spans="1:4" x14ac:dyDescent="0.2">
      <c r="A341" s="404" t="s">
        <v>100</v>
      </c>
      <c r="B341" s="405"/>
      <c r="C341" s="405"/>
      <c r="D341" s="406"/>
    </row>
    <row r="342" spans="1:4" x14ac:dyDescent="0.2">
      <c r="A342" s="333" t="s">
        <v>1288</v>
      </c>
      <c r="B342" s="333" t="s">
        <v>1289</v>
      </c>
      <c r="C342" s="333">
        <v>2024</v>
      </c>
      <c r="D342" s="333" t="s">
        <v>1270</v>
      </c>
    </row>
    <row r="343" spans="1:4" x14ac:dyDescent="0.2">
      <c r="A343" s="334"/>
      <c r="B343" s="334"/>
      <c r="C343" s="334"/>
      <c r="D343" s="334"/>
    </row>
    <row r="344" spans="1:4" x14ac:dyDescent="0.2">
      <c r="A344" s="334" t="s">
        <v>1290</v>
      </c>
      <c r="B344" s="335">
        <v>78709923.789999992</v>
      </c>
      <c r="C344" s="347">
        <f>+'Rate Computation'!D30</f>
        <v>113411738.28066561</v>
      </c>
      <c r="D344" s="336">
        <f>+C344-B344</f>
        <v>34701814.490665615</v>
      </c>
    </row>
    <row r="345" spans="1:4" x14ac:dyDescent="0.2">
      <c r="A345" s="334"/>
      <c r="B345" s="334"/>
      <c r="C345" s="348"/>
      <c r="D345" s="337"/>
    </row>
    <row r="346" spans="1:4" x14ac:dyDescent="0.2">
      <c r="A346" s="334" t="s">
        <v>1291</v>
      </c>
      <c r="B346" s="333" t="s">
        <v>26</v>
      </c>
      <c r="C346" s="349" t="str">
        <f>+Parameter!H24</f>
        <v>R2</v>
      </c>
      <c r="D346" s="337"/>
    </row>
    <row r="347" spans="1:4" x14ac:dyDescent="0.2">
      <c r="A347" s="334" t="s">
        <v>79</v>
      </c>
      <c r="B347" s="333">
        <v>19</v>
      </c>
      <c r="C347" s="349">
        <f>+Parameter!G24</f>
        <v>20</v>
      </c>
      <c r="D347" s="338">
        <f>+C347-B347</f>
        <v>1</v>
      </c>
    </row>
    <row r="348" spans="1:4" x14ac:dyDescent="0.2">
      <c r="A348" s="334"/>
      <c r="B348" s="333"/>
      <c r="C348" s="348"/>
      <c r="D348" s="337"/>
    </row>
    <row r="349" spans="1:4" x14ac:dyDescent="0.2">
      <c r="A349" s="334" t="s">
        <v>1292</v>
      </c>
      <c r="B349" s="339">
        <v>29211248.896270443</v>
      </c>
      <c r="C349" s="350">
        <f>+'Theoretical Reserve'!H501</f>
        <v>40793282.630863972</v>
      </c>
      <c r="D349" s="340">
        <f t="shared" ref="D349:D351" si="44">+C349-B349</f>
        <v>11582033.734593529</v>
      </c>
    </row>
    <row r="350" spans="1:4" x14ac:dyDescent="0.2">
      <c r="A350" s="334" t="s">
        <v>1293</v>
      </c>
      <c r="B350" s="339">
        <v>29722477.870000001</v>
      </c>
      <c r="C350" s="350">
        <f>+'Rate Computation'!E30</f>
        <v>44575767.843240783</v>
      </c>
      <c r="D350" s="340">
        <f t="shared" si="44"/>
        <v>14853289.973240782</v>
      </c>
    </row>
    <row r="351" spans="1:4" x14ac:dyDescent="0.2">
      <c r="A351" s="334" t="s">
        <v>1294</v>
      </c>
      <c r="B351" s="339">
        <f>+B350-B349</f>
        <v>511228.97372955829</v>
      </c>
      <c r="C351" s="350">
        <f>+C350-C349</f>
        <v>3782485.2123768106</v>
      </c>
      <c r="D351" s="340">
        <f t="shared" si="44"/>
        <v>3271256.2386472523</v>
      </c>
    </row>
    <row r="352" spans="1:4" x14ac:dyDescent="0.2">
      <c r="A352" s="334"/>
      <c r="B352" s="334"/>
      <c r="C352" s="351"/>
      <c r="D352" s="337"/>
    </row>
    <row r="353" spans="1:4" x14ac:dyDescent="0.2">
      <c r="A353" s="334" t="s">
        <v>50</v>
      </c>
      <c r="B353" s="342">
        <f>+B350/B344</f>
        <v>0.37762046307274166</v>
      </c>
      <c r="C353" s="352">
        <f>+C350/C344</f>
        <v>0.39304368770829468</v>
      </c>
      <c r="D353" s="337"/>
    </row>
    <row r="354" spans="1:4" x14ac:dyDescent="0.2">
      <c r="A354" s="334"/>
      <c r="B354" s="334"/>
      <c r="C354" s="351"/>
      <c r="D354" s="337"/>
    </row>
    <row r="355" spans="1:4" x14ac:dyDescent="0.2">
      <c r="A355" s="334" t="s">
        <v>1295</v>
      </c>
      <c r="B355" s="343">
        <v>0.03</v>
      </c>
      <c r="C355" s="353">
        <v>0</v>
      </c>
      <c r="D355" s="344">
        <f t="shared" ref="D355:D357" si="45">+C355-B355</f>
        <v>-0.03</v>
      </c>
    </row>
    <row r="356" spans="1:4" x14ac:dyDescent="0.2">
      <c r="A356" s="334" t="s">
        <v>1296</v>
      </c>
      <c r="B356" s="343">
        <v>0</v>
      </c>
      <c r="C356" s="353">
        <f>+Parameter!I24/100</f>
        <v>0</v>
      </c>
      <c r="D356" s="344">
        <f t="shared" si="45"/>
        <v>0</v>
      </c>
    </row>
    <row r="357" spans="1:4" x14ac:dyDescent="0.2">
      <c r="A357" s="334" t="s">
        <v>1297</v>
      </c>
      <c r="B357" s="343">
        <f>+B355-B356</f>
        <v>0.03</v>
      </c>
      <c r="C357" s="353">
        <f>+C355-C356</f>
        <v>0</v>
      </c>
      <c r="D357" s="344">
        <f t="shared" si="45"/>
        <v>-0.03</v>
      </c>
    </row>
    <row r="358" spans="1:4" x14ac:dyDescent="0.2">
      <c r="A358" s="334"/>
      <c r="B358" s="334"/>
      <c r="C358" s="351"/>
      <c r="D358" s="337"/>
    </row>
    <row r="359" spans="1:4" x14ac:dyDescent="0.2">
      <c r="A359" s="334" t="s">
        <v>1298</v>
      </c>
      <c r="B359" s="342">
        <v>5.0999999999999997E-2</v>
      </c>
      <c r="C359" s="352">
        <f>ROUND((1-C357)/C347,3)</f>
        <v>0.05</v>
      </c>
      <c r="D359" s="341">
        <f t="shared" ref="D359:D360" si="46">+C359-B359</f>
        <v>-9.9999999999999395E-4</v>
      </c>
    </row>
    <row r="360" spans="1:4" x14ac:dyDescent="0.2">
      <c r="A360" s="334" t="s">
        <v>1299</v>
      </c>
      <c r="B360" s="335">
        <f>+B359*B344</f>
        <v>4014206.1132899993</v>
      </c>
      <c r="C360" s="354">
        <f>+C359*C344</f>
        <v>5670586.9140332807</v>
      </c>
      <c r="D360" s="340">
        <f t="shared" si="46"/>
        <v>1656380.8007432814</v>
      </c>
    </row>
    <row r="361" spans="1:4" x14ac:dyDescent="0.2">
      <c r="A361" s="334"/>
      <c r="B361" s="334"/>
      <c r="C361" s="351"/>
      <c r="D361" s="337"/>
    </row>
    <row r="362" spans="1:4" x14ac:dyDescent="0.2">
      <c r="A362" s="334" t="s">
        <v>48</v>
      </c>
      <c r="B362" s="346">
        <v>11.730534162140938</v>
      </c>
      <c r="C362" s="355">
        <f>+'Rate Computation'!M30</f>
        <v>12.80616217522196</v>
      </c>
      <c r="D362" s="345">
        <f t="shared" ref="D362:D364" si="47">+C362-B362</f>
        <v>1.0756280130810225</v>
      </c>
    </row>
    <row r="363" spans="1:4" x14ac:dyDescent="0.2">
      <c r="A363" s="334" t="s">
        <v>1300</v>
      </c>
      <c r="B363" s="342">
        <v>0.05</v>
      </c>
      <c r="C363" s="352">
        <f>+'Rate Computation'!Q30</f>
        <v>4.7E-2</v>
      </c>
      <c r="D363" s="341">
        <f t="shared" si="47"/>
        <v>-3.0000000000000027E-3</v>
      </c>
    </row>
    <row r="364" spans="1:4" x14ac:dyDescent="0.2">
      <c r="A364" s="334" t="s">
        <v>1301</v>
      </c>
      <c r="B364" s="335">
        <f>+B344*B363</f>
        <v>3935496.1894999999</v>
      </c>
      <c r="C364" s="354">
        <f>+C344*C363</f>
        <v>5330351.6991912834</v>
      </c>
      <c r="D364" s="340">
        <f t="shared" si="47"/>
        <v>1394855.5096912836</v>
      </c>
    </row>
    <row r="365" spans="1:4" x14ac:dyDescent="0.2">
      <c r="C365" s="12"/>
    </row>
    <row r="368" spans="1:4" x14ac:dyDescent="0.2">
      <c r="A368" s="407" t="s">
        <v>1284</v>
      </c>
      <c r="B368" s="408"/>
      <c r="C368" s="408"/>
      <c r="D368" s="409"/>
    </row>
    <row r="369" spans="1:4" x14ac:dyDescent="0.2">
      <c r="A369" s="407" t="s">
        <v>1285</v>
      </c>
      <c r="B369" s="408"/>
      <c r="C369" s="408"/>
      <c r="D369" s="409"/>
    </row>
    <row r="370" spans="1:4" x14ac:dyDescent="0.2">
      <c r="A370" s="412" t="s">
        <v>1317</v>
      </c>
      <c r="B370" s="413"/>
      <c r="C370" s="413"/>
      <c r="D370" s="414"/>
    </row>
    <row r="371" spans="1:4" x14ac:dyDescent="0.2">
      <c r="A371" s="415" t="s">
        <v>101</v>
      </c>
      <c r="B371" s="416"/>
      <c r="C371" s="416"/>
      <c r="D371" s="417"/>
    </row>
    <row r="372" spans="1:4" x14ac:dyDescent="0.2">
      <c r="A372" s="349" t="s">
        <v>1288</v>
      </c>
      <c r="B372" s="349" t="s">
        <v>1289</v>
      </c>
      <c r="C372" s="349">
        <v>2024</v>
      </c>
      <c r="D372" s="349" t="s">
        <v>1270</v>
      </c>
    </row>
    <row r="373" spans="1:4" x14ac:dyDescent="0.2">
      <c r="A373" s="351"/>
      <c r="B373" s="351"/>
      <c r="C373" s="351"/>
      <c r="D373" s="351"/>
    </row>
    <row r="374" spans="1:4" x14ac:dyDescent="0.2">
      <c r="A374" s="351" t="s">
        <v>1290</v>
      </c>
      <c r="B374" s="354">
        <v>73171227.500000015</v>
      </c>
      <c r="C374" s="347">
        <f>+'Rate Computation'!D31</f>
        <v>119185919.39246112</v>
      </c>
      <c r="D374" s="347">
        <f>+C374-B374</f>
        <v>46014691.892461106</v>
      </c>
    </row>
    <row r="375" spans="1:4" x14ac:dyDescent="0.2">
      <c r="A375" s="351"/>
      <c r="B375" s="351"/>
      <c r="C375" s="348"/>
      <c r="D375" s="348"/>
    </row>
    <row r="376" spans="1:4" x14ac:dyDescent="0.2">
      <c r="A376" s="351" t="s">
        <v>1291</v>
      </c>
      <c r="B376" s="349" t="s">
        <v>52</v>
      </c>
      <c r="C376" s="349" t="str">
        <f>+Parameter!H25</f>
        <v>R1.5</v>
      </c>
      <c r="D376" s="348"/>
    </row>
    <row r="377" spans="1:4" x14ac:dyDescent="0.2">
      <c r="A377" s="351" t="s">
        <v>79</v>
      </c>
      <c r="B377" s="349">
        <v>44</v>
      </c>
      <c r="C377" s="349">
        <f>+Parameter!G25</f>
        <v>45</v>
      </c>
      <c r="D377" s="357">
        <f>+C377-B377</f>
        <v>1</v>
      </c>
    </row>
    <row r="378" spans="1:4" x14ac:dyDescent="0.2">
      <c r="A378" s="351"/>
      <c r="B378" s="349"/>
      <c r="C378" s="348"/>
      <c r="D378" s="348"/>
    </row>
    <row r="379" spans="1:4" x14ac:dyDescent="0.2">
      <c r="A379" s="351" t="s">
        <v>1292</v>
      </c>
      <c r="B379" s="350">
        <v>17402243.862230491</v>
      </c>
      <c r="C379" s="350">
        <f>+'Theoretical Reserve'!H546</f>
        <v>26090765.795172412</v>
      </c>
      <c r="D379" s="358">
        <f t="shared" ref="D379:D381" si="48">+C379-B379</f>
        <v>8688521.9329419211</v>
      </c>
    </row>
    <row r="380" spans="1:4" x14ac:dyDescent="0.2">
      <c r="A380" s="351" t="s">
        <v>1293</v>
      </c>
      <c r="B380" s="350">
        <v>33832634.369999997</v>
      </c>
      <c r="C380" s="350">
        <f>+'Rate Computation'!E31</f>
        <v>36161018.361859567</v>
      </c>
      <c r="D380" s="358">
        <f t="shared" si="48"/>
        <v>2328383.9918595701</v>
      </c>
    </row>
    <row r="381" spans="1:4" x14ac:dyDescent="0.2">
      <c r="A381" s="351" t="s">
        <v>1294</v>
      </c>
      <c r="B381" s="350">
        <f>+B380-B379</f>
        <v>16430390.507769506</v>
      </c>
      <c r="C381" s="350">
        <f>+C380-C379</f>
        <v>10070252.566687156</v>
      </c>
      <c r="D381" s="358">
        <f t="shared" si="48"/>
        <v>-6360137.9410823509</v>
      </c>
    </row>
    <row r="382" spans="1:4" x14ac:dyDescent="0.2">
      <c r="A382" s="351"/>
      <c r="B382" s="351"/>
      <c r="C382" s="351"/>
      <c r="D382" s="348"/>
    </row>
    <row r="383" spans="1:4" x14ac:dyDescent="0.2">
      <c r="A383" s="351" t="s">
        <v>50</v>
      </c>
      <c r="B383" s="352">
        <f>+B380/B374</f>
        <v>0.46237620340590829</v>
      </c>
      <c r="C383" s="352">
        <f>+C380/C374</f>
        <v>0.30340008741122204</v>
      </c>
      <c r="D383" s="348"/>
    </row>
    <row r="384" spans="1:4" x14ac:dyDescent="0.2">
      <c r="A384" s="351"/>
      <c r="B384" s="351"/>
      <c r="C384" s="351"/>
      <c r="D384" s="348"/>
    </row>
    <row r="385" spans="1:4" x14ac:dyDescent="0.2">
      <c r="A385" s="351" t="s">
        <v>1295</v>
      </c>
      <c r="B385" s="353">
        <v>0</v>
      </c>
      <c r="C385" s="353">
        <v>0</v>
      </c>
      <c r="D385" s="359">
        <f t="shared" ref="D385:D387" si="49">+C385-B385</f>
        <v>0</v>
      </c>
    </row>
    <row r="386" spans="1:4" x14ac:dyDescent="0.2">
      <c r="A386" s="351" t="s">
        <v>1296</v>
      </c>
      <c r="B386" s="353">
        <v>0.25</v>
      </c>
      <c r="C386" s="353">
        <f>-Parameter!I25/100</f>
        <v>0.3</v>
      </c>
      <c r="D386" s="359">
        <f t="shared" si="49"/>
        <v>4.9999999999999989E-2</v>
      </c>
    </row>
    <row r="387" spans="1:4" x14ac:dyDescent="0.2">
      <c r="A387" s="351" t="s">
        <v>1297</v>
      </c>
      <c r="B387" s="353">
        <f>+B385-B386</f>
        <v>-0.25</v>
      </c>
      <c r="C387" s="353">
        <f>+C385-C386</f>
        <v>-0.3</v>
      </c>
      <c r="D387" s="359">
        <f t="shared" si="49"/>
        <v>-4.9999999999999989E-2</v>
      </c>
    </row>
    <row r="388" spans="1:4" x14ac:dyDescent="0.2">
      <c r="A388" s="351"/>
      <c r="B388" s="351"/>
      <c r="C388" s="351"/>
      <c r="D388" s="348"/>
    </row>
    <row r="389" spans="1:4" x14ac:dyDescent="0.2">
      <c r="A389" s="351" t="s">
        <v>1298</v>
      </c>
      <c r="B389" s="352">
        <v>2.8000000000000001E-2</v>
      </c>
      <c r="C389" s="352">
        <f>ROUND((1-C387)/C377,3)</f>
        <v>2.9000000000000001E-2</v>
      </c>
      <c r="D389" s="360">
        <f>+C389-B389</f>
        <v>1.0000000000000009E-3</v>
      </c>
    </row>
    <row r="390" spans="1:4" x14ac:dyDescent="0.2">
      <c r="A390" s="351" t="s">
        <v>1299</v>
      </c>
      <c r="B390" s="354">
        <f>+B389*B374</f>
        <v>2048794.3700000003</v>
      </c>
      <c r="C390" s="354">
        <f>+C389*C374</f>
        <v>3456391.6623813729</v>
      </c>
      <c r="D390" s="358">
        <f t="shared" ref="D390" si="50">+C390-B390</f>
        <v>1407597.2923813725</v>
      </c>
    </row>
    <row r="391" spans="1:4" x14ac:dyDescent="0.2">
      <c r="A391" s="351"/>
      <c r="B391" s="351"/>
      <c r="C391" s="351"/>
      <c r="D391" s="348"/>
    </row>
    <row r="392" spans="1:4" x14ac:dyDescent="0.2">
      <c r="A392" s="351" t="s">
        <v>48</v>
      </c>
      <c r="B392" s="355">
        <v>35.628417277125578</v>
      </c>
      <c r="C392" s="355">
        <f>+'Rate Computation'!M31</f>
        <v>37.422411158016857</v>
      </c>
      <c r="D392" s="361">
        <f t="shared" ref="D392:D394" si="51">+C392-B392</f>
        <v>1.7939938808912785</v>
      </c>
    </row>
    <row r="393" spans="1:4" x14ac:dyDescent="0.2">
      <c r="A393" s="351" t="s">
        <v>1300</v>
      </c>
      <c r="B393" s="352">
        <v>2.1999999999999999E-2</v>
      </c>
      <c r="C393" s="352">
        <f>+'Rate Computation'!Q31</f>
        <v>2.7E-2</v>
      </c>
      <c r="D393" s="360">
        <f t="shared" si="51"/>
        <v>5.000000000000001E-3</v>
      </c>
    </row>
    <row r="394" spans="1:4" x14ac:dyDescent="0.2">
      <c r="A394" s="351" t="s">
        <v>1301</v>
      </c>
      <c r="B394" s="354">
        <f>+B374*B393</f>
        <v>1609767.0050000001</v>
      </c>
      <c r="C394" s="354">
        <f>+C374*C393</f>
        <v>3218019.82359645</v>
      </c>
      <c r="D394" s="358">
        <f t="shared" si="51"/>
        <v>1608252.8185964499</v>
      </c>
    </row>
    <row r="398" spans="1:4" x14ac:dyDescent="0.2">
      <c r="A398" s="407" t="s">
        <v>1284</v>
      </c>
      <c r="B398" s="408"/>
      <c r="C398" s="408"/>
      <c r="D398" s="409"/>
    </row>
    <row r="399" spans="1:4" x14ac:dyDescent="0.2">
      <c r="A399" s="407" t="s">
        <v>1285</v>
      </c>
      <c r="B399" s="408"/>
      <c r="C399" s="408"/>
      <c r="D399" s="409"/>
    </row>
    <row r="400" spans="1:4" x14ac:dyDescent="0.2">
      <c r="A400" s="401" t="s">
        <v>1318</v>
      </c>
      <c r="B400" s="402"/>
      <c r="C400" s="402"/>
      <c r="D400" s="403"/>
    </row>
    <row r="401" spans="1:4" x14ac:dyDescent="0.2">
      <c r="A401" s="404" t="s">
        <v>102</v>
      </c>
      <c r="B401" s="405"/>
      <c r="C401" s="405"/>
      <c r="D401" s="406"/>
    </row>
    <row r="402" spans="1:4" x14ac:dyDescent="0.2">
      <c r="A402" s="333" t="s">
        <v>1288</v>
      </c>
      <c r="B402" s="333" t="s">
        <v>1289</v>
      </c>
      <c r="C402" s="333">
        <v>2024</v>
      </c>
      <c r="D402" s="333" t="s">
        <v>1270</v>
      </c>
    </row>
    <row r="403" spans="1:4" x14ac:dyDescent="0.2">
      <c r="A403" s="334"/>
      <c r="B403" s="334"/>
      <c r="C403" s="334"/>
      <c r="D403" s="334"/>
    </row>
    <row r="404" spans="1:4" x14ac:dyDescent="0.2">
      <c r="A404" s="334" t="s">
        <v>1290</v>
      </c>
      <c r="B404" s="335">
        <v>17697139.319999993</v>
      </c>
      <c r="C404" s="347">
        <f>+'Rate Computation'!D32</f>
        <v>21662897.199999996</v>
      </c>
      <c r="D404" s="336">
        <f>+C404-B404</f>
        <v>3965757.8800000027</v>
      </c>
    </row>
    <row r="405" spans="1:4" x14ac:dyDescent="0.2">
      <c r="A405" s="334"/>
      <c r="B405" s="334"/>
      <c r="C405" s="348"/>
      <c r="D405" s="337"/>
    </row>
    <row r="406" spans="1:4" x14ac:dyDescent="0.2">
      <c r="A406" s="334" t="s">
        <v>1291</v>
      </c>
      <c r="B406" s="333" t="s">
        <v>53</v>
      </c>
      <c r="C406" s="349" t="str">
        <f>+Parameter!H26</f>
        <v>S1.5</v>
      </c>
      <c r="D406" s="337"/>
    </row>
    <row r="407" spans="1:4" x14ac:dyDescent="0.2">
      <c r="A407" s="334" t="s">
        <v>79</v>
      </c>
      <c r="B407" s="333">
        <v>42</v>
      </c>
      <c r="C407" s="349">
        <f>+Parameter!G26</f>
        <v>42</v>
      </c>
      <c r="D407" s="338">
        <f>+C407-B407</f>
        <v>0</v>
      </c>
    </row>
    <row r="408" spans="1:4" x14ac:dyDescent="0.2">
      <c r="A408" s="334"/>
      <c r="B408" s="333"/>
      <c r="C408" s="348"/>
      <c r="D408" s="337"/>
    </row>
    <row r="409" spans="1:4" x14ac:dyDescent="0.2">
      <c r="A409" s="334" t="s">
        <v>1292</v>
      </c>
      <c r="B409" s="339">
        <v>5521527.5226635542</v>
      </c>
      <c r="C409" s="350">
        <f>+'Theoretical Reserve'!H599</f>
        <v>7147798.035088392</v>
      </c>
      <c r="D409" s="340">
        <f t="shared" ref="D409:D411" si="52">+C409-B409</f>
        <v>1626270.5124248378</v>
      </c>
    </row>
    <row r="410" spans="1:4" x14ac:dyDescent="0.2">
      <c r="A410" s="334" t="s">
        <v>1293</v>
      </c>
      <c r="B410" s="339">
        <v>8433989.0399999991</v>
      </c>
      <c r="C410" s="350">
        <f>+'Rate Computation'!E32</f>
        <v>9132324.756926477</v>
      </c>
      <c r="D410" s="340">
        <f t="shared" si="52"/>
        <v>698335.71692647785</v>
      </c>
    </row>
    <row r="411" spans="1:4" x14ac:dyDescent="0.2">
      <c r="A411" s="334" t="s">
        <v>1294</v>
      </c>
      <c r="B411" s="339">
        <f>+B410-B409</f>
        <v>2912461.5173364449</v>
      </c>
      <c r="C411" s="350">
        <f>+C410-C409</f>
        <v>1984526.721838085</v>
      </c>
      <c r="D411" s="340">
        <f t="shared" si="52"/>
        <v>-927934.79549835995</v>
      </c>
    </row>
    <row r="412" spans="1:4" x14ac:dyDescent="0.2">
      <c r="A412" s="334"/>
      <c r="B412" s="334"/>
      <c r="C412" s="351"/>
      <c r="D412" s="337"/>
    </row>
    <row r="413" spans="1:4" x14ac:dyDescent="0.2">
      <c r="A413" s="334" t="s">
        <v>50</v>
      </c>
      <c r="B413" s="342">
        <f>+B410/B404</f>
        <v>0.4765735799157399</v>
      </c>
      <c r="C413" s="352">
        <f>+C410/C404</f>
        <v>0.42156525383532167</v>
      </c>
      <c r="D413" s="337"/>
    </row>
    <row r="414" spans="1:4" x14ac:dyDescent="0.2">
      <c r="A414" s="334"/>
      <c r="B414" s="334"/>
      <c r="C414" s="351"/>
      <c r="D414" s="337"/>
    </row>
    <row r="415" spans="1:4" x14ac:dyDescent="0.2">
      <c r="A415" s="334" t="s">
        <v>1295</v>
      </c>
      <c r="B415" s="343">
        <v>0</v>
      </c>
      <c r="C415" s="353">
        <v>0</v>
      </c>
      <c r="D415" s="344">
        <f t="shared" ref="D415:D417" si="53">+C415-B415</f>
        <v>0</v>
      </c>
    </row>
    <row r="416" spans="1:4" x14ac:dyDescent="0.2">
      <c r="A416" s="334" t="s">
        <v>1296</v>
      </c>
      <c r="B416" s="343">
        <v>0</v>
      </c>
      <c r="C416" s="353">
        <f>+-Parameter!I26/100</f>
        <v>0</v>
      </c>
      <c r="D416" s="344">
        <f t="shared" si="53"/>
        <v>0</v>
      </c>
    </row>
    <row r="417" spans="1:4" x14ac:dyDescent="0.2">
      <c r="A417" s="334" t="s">
        <v>1297</v>
      </c>
      <c r="B417" s="343">
        <f>+B415-B416</f>
        <v>0</v>
      </c>
      <c r="C417" s="353">
        <f>+C415-C416</f>
        <v>0</v>
      </c>
      <c r="D417" s="344">
        <f t="shared" si="53"/>
        <v>0</v>
      </c>
    </row>
    <row r="418" spans="1:4" x14ac:dyDescent="0.2">
      <c r="A418" s="334"/>
      <c r="B418" s="334"/>
      <c r="C418" s="351"/>
      <c r="D418" s="337"/>
    </row>
    <row r="419" spans="1:4" x14ac:dyDescent="0.2">
      <c r="A419" s="334" t="s">
        <v>1298</v>
      </c>
      <c r="B419" s="342">
        <v>2.4E-2</v>
      </c>
      <c r="C419" s="352">
        <f>ROUND((1-C417)/C407,3)</f>
        <v>2.4E-2</v>
      </c>
      <c r="D419" s="341">
        <f>+C419-B419</f>
        <v>0</v>
      </c>
    </row>
    <row r="420" spans="1:4" x14ac:dyDescent="0.2">
      <c r="A420" s="334" t="s">
        <v>1299</v>
      </c>
      <c r="B420" s="335">
        <f>+B419*B404</f>
        <v>424731.34367999982</v>
      </c>
      <c r="C420" s="354">
        <f>+C419*C404</f>
        <v>519909.53279999993</v>
      </c>
      <c r="D420" s="340">
        <f t="shared" ref="D420" si="54">+C420-B420</f>
        <v>95178.189120000112</v>
      </c>
    </row>
    <row r="421" spans="1:4" x14ac:dyDescent="0.2">
      <c r="A421" s="334"/>
      <c r="B421" s="334"/>
      <c r="C421" s="351"/>
      <c r="D421" s="337"/>
    </row>
    <row r="422" spans="1:4" x14ac:dyDescent="0.2">
      <c r="A422" s="334" t="s">
        <v>48</v>
      </c>
      <c r="B422" s="346">
        <v>28.895952404590716</v>
      </c>
      <c r="C422" s="355">
        <f>+'Rate Computation'!M32</f>
        <v>28.141857448609773</v>
      </c>
      <c r="D422" s="345">
        <f t="shared" ref="D422:D424" si="55">+C422-B422</f>
        <v>-0.75409495598094267</v>
      </c>
    </row>
    <row r="423" spans="1:4" x14ac:dyDescent="0.2">
      <c r="A423" s="334" t="s">
        <v>1300</v>
      </c>
      <c r="B423" s="342">
        <v>1.7999999999999999E-2</v>
      </c>
      <c r="C423" s="352">
        <f>+'Rate Computation'!Q32</f>
        <v>2.1000000000000001E-2</v>
      </c>
      <c r="D423" s="341">
        <f t="shared" si="55"/>
        <v>3.0000000000000027E-3</v>
      </c>
    </row>
    <row r="424" spans="1:4" x14ac:dyDescent="0.2">
      <c r="A424" s="334" t="s">
        <v>1301</v>
      </c>
      <c r="B424" s="335">
        <f>+B404*B423</f>
        <v>318548.50775999983</v>
      </c>
      <c r="C424" s="354">
        <f>+C404*C423</f>
        <v>454920.84119999991</v>
      </c>
      <c r="D424" s="340">
        <f t="shared" si="55"/>
        <v>136372.33344000007</v>
      </c>
    </row>
    <row r="429" spans="1:4" x14ac:dyDescent="0.2">
      <c r="A429" s="407" t="s">
        <v>1284</v>
      </c>
      <c r="B429" s="408"/>
      <c r="C429" s="408"/>
      <c r="D429" s="409"/>
    </row>
    <row r="430" spans="1:4" x14ac:dyDescent="0.2">
      <c r="A430" s="407" t="s">
        <v>1285</v>
      </c>
      <c r="B430" s="408"/>
      <c r="C430" s="408"/>
      <c r="D430" s="409"/>
    </row>
    <row r="431" spans="1:4" x14ac:dyDescent="0.2">
      <c r="A431" s="401" t="s">
        <v>1319</v>
      </c>
      <c r="B431" s="402"/>
      <c r="C431" s="402"/>
      <c r="D431" s="403"/>
    </row>
    <row r="432" spans="1:4" x14ac:dyDescent="0.2">
      <c r="A432" s="404" t="s">
        <v>1320</v>
      </c>
      <c r="B432" s="405"/>
      <c r="C432" s="405"/>
      <c r="D432" s="406"/>
    </row>
    <row r="433" spans="1:4" x14ac:dyDescent="0.2">
      <c r="A433" s="333" t="s">
        <v>1288</v>
      </c>
      <c r="B433" s="333" t="s">
        <v>1289</v>
      </c>
      <c r="C433" s="333">
        <v>2024</v>
      </c>
      <c r="D433" s="333" t="s">
        <v>1270</v>
      </c>
    </row>
    <row r="434" spans="1:4" x14ac:dyDescent="0.2">
      <c r="A434" s="334"/>
      <c r="B434" s="334"/>
      <c r="C434" s="334"/>
      <c r="D434" s="334"/>
    </row>
    <row r="435" spans="1:4" x14ac:dyDescent="0.2">
      <c r="A435" s="334" t="s">
        <v>1290</v>
      </c>
      <c r="B435" s="335">
        <v>25563041.059999999</v>
      </c>
      <c r="C435" s="347">
        <f>+'Rate Computation'!D33</f>
        <v>38677154.929999985</v>
      </c>
      <c r="D435" s="336">
        <f>+C435-B435</f>
        <v>13114113.869999986</v>
      </c>
    </row>
    <row r="436" spans="1:4" x14ac:dyDescent="0.2">
      <c r="A436" s="334"/>
      <c r="B436" s="334"/>
      <c r="C436" s="348"/>
      <c r="D436" s="337"/>
    </row>
    <row r="437" spans="1:4" x14ac:dyDescent="0.2">
      <c r="A437" s="334" t="s">
        <v>1291</v>
      </c>
      <c r="B437" s="333" t="s">
        <v>52</v>
      </c>
      <c r="C437" s="349" t="str">
        <f>Parameter!$H$27</f>
        <v>R1.5</v>
      </c>
      <c r="D437" s="337"/>
    </row>
    <row r="438" spans="1:4" x14ac:dyDescent="0.2">
      <c r="A438" s="334" t="s">
        <v>79</v>
      </c>
      <c r="B438" s="333">
        <v>47</v>
      </c>
      <c r="C438" s="349">
        <f>+Parameter!G27</f>
        <v>47</v>
      </c>
      <c r="D438" s="338">
        <f>+C438-B438</f>
        <v>0</v>
      </c>
    </row>
    <row r="439" spans="1:4" x14ac:dyDescent="0.2">
      <c r="A439" s="334"/>
      <c r="B439" s="333"/>
      <c r="C439" s="348"/>
      <c r="D439" s="337"/>
    </row>
    <row r="440" spans="1:4" x14ac:dyDescent="0.2">
      <c r="A440" s="334" t="s">
        <v>1292</v>
      </c>
      <c r="B440" s="339">
        <v>5544748.6688410472</v>
      </c>
      <c r="C440" s="350">
        <f>+'Theoretical Reserve'!H667</f>
        <v>10539845.870312724</v>
      </c>
      <c r="D440" s="340">
        <f t="shared" ref="D440:D442" si="56">+C440-B440</f>
        <v>4995097.201471677</v>
      </c>
    </row>
    <row r="441" spans="1:4" x14ac:dyDescent="0.2">
      <c r="A441" s="334" t="s">
        <v>1293</v>
      </c>
      <c r="B441" s="339">
        <v>14231437.43</v>
      </c>
      <c r="C441" s="350">
        <f>+'Rate Computation'!E33</f>
        <v>15584499.545730432</v>
      </c>
      <c r="D441" s="340">
        <f t="shared" si="56"/>
        <v>1353062.1157304328</v>
      </c>
    </row>
    <row r="442" spans="1:4" x14ac:dyDescent="0.2">
      <c r="A442" s="334" t="s">
        <v>1294</v>
      </c>
      <c r="B442" s="339">
        <f>+B441-B440</f>
        <v>8686688.7611589525</v>
      </c>
      <c r="C442" s="350">
        <f>+C441-C440</f>
        <v>5044653.6754177082</v>
      </c>
      <c r="D442" s="340">
        <f t="shared" si="56"/>
        <v>-3642035.0857412443</v>
      </c>
    </row>
    <row r="443" spans="1:4" x14ac:dyDescent="0.2">
      <c r="A443" s="334"/>
      <c r="B443" s="334"/>
      <c r="C443" s="351"/>
      <c r="D443" s="337"/>
    </row>
    <row r="444" spans="1:4" x14ac:dyDescent="0.2">
      <c r="A444" s="334" t="s">
        <v>50</v>
      </c>
      <c r="B444" s="342">
        <f>+B441/B435</f>
        <v>0.55671926499655677</v>
      </c>
      <c r="C444" s="352">
        <f>+C441/C435</f>
        <v>0.40293810581300787</v>
      </c>
      <c r="D444" s="337"/>
    </row>
    <row r="445" spans="1:4" x14ac:dyDescent="0.2">
      <c r="A445" s="334"/>
      <c r="B445" s="334"/>
      <c r="C445" s="351"/>
      <c r="D445" s="337"/>
    </row>
    <row r="446" spans="1:4" x14ac:dyDescent="0.2">
      <c r="A446" s="334" t="s">
        <v>1295</v>
      </c>
      <c r="B446" s="343">
        <v>0</v>
      </c>
      <c r="C446" s="353">
        <v>0</v>
      </c>
      <c r="D446" s="344">
        <f t="shared" ref="D446:D448" si="57">+C446-B446</f>
        <v>0</v>
      </c>
    </row>
    <row r="447" spans="1:4" x14ac:dyDescent="0.2">
      <c r="A447" s="334" t="s">
        <v>1296</v>
      </c>
      <c r="B447" s="343">
        <v>0.25</v>
      </c>
      <c r="C447" s="353">
        <f>-+Parameter!I27/100</f>
        <v>0.3</v>
      </c>
      <c r="D447" s="344">
        <f t="shared" si="57"/>
        <v>4.9999999999999989E-2</v>
      </c>
    </row>
    <row r="448" spans="1:4" x14ac:dyDescent="0.2">
      <c r="A448" s="334" t="s">
        <v>1297</v>
      </c>
      <c r="B448" s="343">
        <f>+B446-B447</f>
        <v>-0.25</v>
      </c>
      <c r="C448" s="353">
        <f>+C446-C447</f>
        <v>-0.3</v>
      </c>
      <c r="D448" s="344">
        <f t="shared" si="57"/>
        <v>-4.9999999999999989E-2</v>
      </c>
    </row>
    <row r="449" spans="1:4" x14ac:dyDescent="0.2">
      <c r="A449" s="334"/>
      <c r="B449" s="334"/>
      <c r="C449" s="351"/>
      <c r="D449" s="337"/>
    </row>
    <row r="450" spans="1:4" x14ac:dyDescent="0.2">
      <c r="A450" s="334" t="s">
        <v>1298</v>
      </c>
      <c r="B450" s="342">
        <v>2.7E-2</v>
      </c>
      <c r="C450" s="352">
        <f>ROUND((1-C448)/C438,3)</f>
        <v>2.8000000000000001E-2</v>
      </c>
      <c r="D450" s="341">
        <f>+C450-B450</f>
        <v>1.0000000000000009E-3</v>
      </c>
    </row>
    <row r="451" spans="1:4" x14ac:dyDescent="0.2">
      <c r="A451" s="334" t="s">
        <v>1299</v>
      </c>
      <c r="B451" s="335">
        <f>+B450*B435</f>
        <v>690202.10861999996</v>
      </c>
      <c r="C451" s="354">
        <f>+C450*C435</f>
        <v>1082960.3380399996</v>
      </c>
      <c r="D451" s="340">
        <f t="shared" ref="D451" si="58">+C451-B451</f>
        <v>392758.22941999964</v>
      </c>
    </row>
    <row r="452" spans="1:4" x14ac:dyDescent="0.2">
      <c r="A452" s="334"/>
      <c r="B452" s="334"/>
      <c r="C452" s="351"/>
      <c r="D452" s="337"/>
    </row>
    <row r="453" spans="1:4" x14ac:dyDescent="0.2">
      <c r="A453" s="334" t="s">
        <v>48</v>
      </c>
      <c r="B453" s="346">
        <v>37.290923866968072</v>
      </c>
      <c r="C453" s="355">
        <f>+'Rate Computation'!M33</f>
        <v>37.147776723231274</v>
      </c>
      <c r="D453" s="345">
        <f t="shared" ref="D453:D455" si="59">+C453-B453</f>
        <v>-0.14314714373679749</v>
      </c>
    </row>
    <row r="454" spans="1:4" x14ac:dyDescent="0.2">
      <c r="A454" s="334" t="s">
        <v>1300</v>
      </c>
      <c r="B454" s="342">
        <v>1.9E-2</v>
      </c>
      <c r="C454" s="352">
        <f>+'Rate Computation'!Q33</f>
        <v>2.4E-2</v>
      </c>
      <c r="D454" s="341">
        <f t="shared" si="59"/>
        <v>5.000000000000001E-3</v>
      </c>
    </row>
    <row r="455" spans="1:4" x14ac:dyDescent="0.2">
      <c r="A455" s="334" t="s">
        <v>1301</v>
      </c>
      <c r="B455" s="335">
        <f>+B435*B454</f>
        <v>485697.78013999999</v>
      </c>
      <c r="C455" s="354">
        <f>+C435*C454</f>
        <v>928251.71831999964</v>
      </c>
      <c r="D455" s="340">
        <f t="shared" si="59"/>
        <v>442553.93817999965</v>
      </c>
    </row>
    <row r="460" spans="1:4" x14ac:dyDescent="0.2">
      <c r="A460" s="407" t="s">
        <v>1284</v>
      </c>
      <c r="B460" s="408"/>
      <c r="C460" s="408"/>
      <c r="D460" s="409"/>
    </row>
    <row r="461" spans="1:4" x14ac:dyDescent="0.2">
      <c r="A461" s="407" t="s">
        <v>1285</v>
      </c>
      <c r="B461" s="408"/>
      <c r="C461" s="408"/>
      <c r="D461" s="409"/>
    </row>
    <row r="462" spans="1:4" x14ac:dyDescent="0.2">
      <c r="A462" s="401" t="s">
        <v>1321</v>
      </c>
      <c r="B462" s="402"/>
      <c r="C462" s="402"/>
      <c r="D462" s="403"/>
    </row>
    <row r="463" spans="1:4" x14ac:dyDescent="0.2">
      <c r="A463" s="404" t="s">
        <v>1322</v>
      </c>
      <c r="B463" s="405"/>
      <c r="C463" s="405"/>
      <c r="D463" s="406"/>
    </row>
    <row r="464" spans="1:4" x14ac:dyDescent="0.2">
      <c r="A464" s="333" t="s">
        <v>1288</v>
      </c>
      <c r="B464" s="333" t="s">
        <v>1289</v>
      </c>
      <c r="C464" s="333">
        <v>2024</v>
      </c>
      <c r="D464" s="333" t="s">
        <v>1270</v>
      </c>
    </row>
    <row r="465" spans="1:4" x14ac:dyDescent="0.2">
      <c r="A465" s="334"/>
      <c r="B465" s="334"/>
      <c r="C465" s="334"/>
      <c r="D465" s="334"/>
    </row>
    <row r="466" spans="1:4" x14ac:dyDescent="0.2">
      <c r="A466" s="334" t="s">
        <v>1290</v>
      </c>
      <c r="B466" s="335">
        <v>12194964.560000002</v>
      </c>
      <c r="C466" s="347">
        <f>+'Rate Computation'!D34</f>
        <v>15196826.639999999</v>
      </c>
      <c r="D466" s="336">
        <f>+C466-B466</f>
        <v>3001862.0799999963</v>
      </c>
    </row>
    <row r="467" spans="1:4" x14ac:dyDescent="0.2">
      <c r="A467" s="334"/>
      <c r="B467" s="334"/>
      <c r="C467" s="348"/>
      <c r="D467" s="337"/>
    </row>
    <row r="468" spans="1:4" x14ac:dyDescent="0.2">
      <c r="A468" s="334" t="s">
        <v>1291</v>
      </c>
      <c r="B468" s="333" t="s">
        <v>25</v>
      </c>
      <c r="C468" s="349" t="str">
        <f>+Parameter!H28</f>
        <v>R2.5</v>
      </c>
      <c r="D468" s="337"/>
    </row>
    <row r="469" spans="1:4" x14ac:dyDescent="0.2">
      <c r="A469" s="334" t="s">
        <v>79</v>
      </c>
      <c r="B469" s="333">
        <v>37</v>
      </c>
      <c r="C469" s="349">
        <f>+Parameter!G28</f>
        <v>39</v>
      </c>
      <c r="D469" s="338">
        <f>+C469-B469</f>
        <v>2</v>
      </c>
    </row>
    <row r="470" spans="1:4" x14ac:dyDescent="0.2">
      <c r="A470" s="334"/>
      <c r="B470" s="333"/>
      <c r="C470" s="348"/>
      <c r="D470" s="337"/>
    </row>
    <row r="471" spans="1:4" x14ac:dyDescent="0.2">
      <c r="A471" s="334" t="s">
        <v>1292</v>
      </c>
      <c r="B471" s="339">
        <v>5705372.0308322413</v>
      </c>
      <c r="C471" s="350">
        <f>+'Theoretical Reserve'!H715</f>
        <v>6042387.4269409757</v>
      </c>
      <c r="D471" s="340">
        <f t="shared" ref="D471:D473" si="60">+C471-B471</f>
        <v>337015.39610873442</v>
      </c>
    </row>
    <row r="472" spans="1:4" x14ac:dyDescent="0.2">
      <c r="A472" s="334" t="s">
        <v>1293</v>
      </c>
      <c r="B472" s="339">
        <v>6942133.4800000004</v>
      </c>
      <c r="C472" s="350">
        <f>+'Rate Computation'!E34</f>
        <v>7287259.3511351217</v>
      </c>
      <c r="D472" s="340">
        <f t="shared" si="60"/>
        <v>345125.87113512121</v>
      </c>
    </row>
    <row r="473" spans="1:4" x14ac:dyDescent="0.2">
      <c r="A473" s="334" t="s">
        <v>1294</v>
      </c>
      <c r="B473" s="339">
        <f>+B472-B471</f>
        <v>1236761.4491677592</v>
      </c>
      <c r="C473" s="350">
        <f>+C472-C471</f>
        <v>1244871.9241941459</v>
      </c>
      <c r="D473" s="340">
        <f t="shared" si="60"/>
        <v>8110.47502638679</v>
      </c>
    </row>
    <row r="474" spans="1:4" x14ac:dyDescent="0.2">
      <c r="A474" s="334"/>
      <c r="B474" s="334"/>
      <c r="C474" s="351"/>
      <c r="D474" s="337"/>
    </row>
    <row r="475" spans="1:4" x14ac:dyDescent="0.2">
      <c r="A475" s="334" t="s">
        <v>50</v>
      </c>
      <c r="B475" s="342">
        <f>+B472/B466</f>
        <v>0.56926229230468539</v>
      </c>
      <c r="C475" s="352">
        <f>+C472/C466</f>
        <v>0.47952506952695767</v>
      </c>
      <c r="D475" s="337"/>
    </row>
    <row r="476" spans="1:4" x14ac:dyDescent="0.2">
      <c r="A476" s="334"/>
      <c r="B476" s="334"/>
      <c r="C476" s="351"/>
      <c r="D476" s="337"/>
    </row>
    <row r="477" spans="1:4" x14ac:dyDescent="0.2">
      <c r="A477" s="334" t="s">
        <v>1295</v>
      </c>
      <c r="B477" s="343">
        <v>0</v>
      </c>
      <c r="C477" s="353">
        <v>0</v>
      </c>
      <c r="D477" s="344">
        <f t="shared" ref="D477:D479" si="61">+C477-B477</f>
        <v>0</v>
      </c>
    </row>
    <row r="478" spans="1:4" x14ac:dyDescent="0.2">
      <c r="A478" s="334" t="s">
        <v>1296</v>
      </c>
      <c r="B478" s="343">
        <v>0.02</v>
      </c>
      <c r="C478" s="353">
        <f>+Parameter!I28/100</f>
        <v>0</v>
      </c>
      <c r="D478" s="344">
        <f t="shared" si="61"/>
        <v>-0.02</v>
      </c>
    </row>
    <row r="479" spans="1:4" x14ac:dyDescent="0.2">
      <c r="A479" s="334" t="s">
        <v>1297</v>
      </c>
      <c r="B479" s="343">
        <f>+B477-B478</f>
        <v>-0.02</v>
      </c>
      <c r="C479" s="353">
        <f>+C477-C478</f>
        <v>0</v>
      </c>
      <c r="D479" s="344">
        <f t="shared" si="61"/>
        <v>0.02</v>
      </c>
    </row>
    <row r="480" spans="1:4" x14ac:dyDescent="0.2">
      <c r="A480" s="334"/>
      <c r="B480" s="334"/>
      <c r="C480" s="351"/>
      <c r="D480" s="337"/>
    </row>
    <row r="481" spans="1:4" x14ac:dyDescent="0.2">
      <c r="A481" s="334" t="s">
        <v>1298</v>
      </c>
      <c r="B481" s="342">
        <v>2.8000000000000001E-2</v>
      </c>
      <c r="C481" s="352">
        <f>ROUND((1-C479)/C469,3)</f>
        <v>2.5999999999999999E-2</v>
      </c>
      <c r="D481" s="341">
        <f>+C481-B481</f>
        <v>-2.0000000000000018E-3</v>
      </c>
    </row>
    <row r="482" spans="1:4" x14ac:dyDescent="0.2">
      <c r="A482" s="334" t="s">
        <v>1299</v>
      </c>
      <c r="B482" s="335">
        <f>+B481*B466</f>
        <v>341459.0076800001</v>
      </c>
      <c r="C482" s="354">
        <f>+C481*C466</f>
        <v>395117.49263999995</v>
      </c>
      <c r="D482" s="340">
        <f t="shared" ref="D482" si="62">+C482-B482</f>
        <v>53658.484959999856</v>
      </c>
    </row>
    <row r="483" spans="1:4" x14ac:dyDescent="0.2">
      <c r="A483" s="334"/>
      <c r="B483" s="334"/>
      <c r="C483" s="351"/>
      <c r="D483" s="337"/>
    </row>
    <row r="484" spans="1:4" x14ac:dyDescent="0.2">
      <c r="A484" s="334" t="s">
        <v>48</v>
      </c>
      <c r="B484" s="346">
        <v>20.03</v>
      </c>
      <c r="C484" s="355">
        <f>+'Rate Computation'!M34</f>
        <v>23.493268546577429</v>
      </c>
      <c r="D484" s="345">
        <f t="shared" ref="D484:D486" si="63">+C484-B484</f>
        <v>3.463268546577428</v>
      </c>
    </row>
    <row r="485" spans="1:4" x14ac:dyDescent="0.2">
      <c r="A485" s="334" t="s">
        <v>1300</v>
      </c>
      <c r="B485" s="342">
        <v>2.3E-2</v>
      </c>
      <c r="C485" s="352">
        <f>+'Rate Computation'!Q34</f>
        <v>2.1999999999999999E-2</v>
      </c>
      <c r="D485" s="341">
        <f t="shared" si="63"/>
        <v>-1.0000000000000009E-3</v>
      </c>
    </row>
    <row r="486" spans="1:4" x14ac:dyDescent="0.2">
      <c r="A486" s="334" t="s">
        <v>1301</v>
      </c>
      <c r="B486" s="335">
        <f>+B466*B485</f>
        <v>280484.18488000007</v>
      </c>
      <c r="C486" s="354">
        <f>+C466*C485</f>
        <v>334330.18607999996</v>
      </c>
      <c r="D486" s="340">
        <f t="shared" si="63"/>
        <v>53846.001199999882</v>
      </c>
    </row>
    <row r="493" spans="1:4" x14ac:dyDescent="0.2">
      <c r="A493" s="407" t="s">
        <v>1284</v>
      </c>
      <c r="B493" s="408"/>
      <c r="C493" s="408"/>
      <c r="D493" s="409"/>
    </row>
    <row r="494" spans="1:4" x14ac:dyDescent="0.2">
      <c r="A494" s="407" t="s">
        <v>1285</v>
      </c>
      <c r="B494" s="408"/>
      <c r="C494" s="408"/>
      <c r="D494" s="409"/>
    </row>
    <row r="495" spans="1:4" x14ac:dyDescent="0.2">
      <c r="A495" s="401" t="s">
        <v>1323</v>
      </c>
      <c r="B495" s="402"/>
      <c r="C495" s="402"/>
      <c r="D495" s="403"/>
    </row>
    <row r="496" spans="1:4" x14ac:dyDescent="0.2">
      <c r="A496" s="404" t="s">
        <v>106</v>
      </c>
      <c r="B496" s="405"/>
      <c r="C496" s="405"/>
      <c r="D496" s="406"/>
    </row>
    <row r="497" spans="1:4" x14ac:dyDescent="0.2">
      <c r="A497" s="333" t="s">
        <v>1288</v>
      </c>
      <c r="B497" s="333" t="s">
        <v>1289</v>
      </c>
      <c r="C497" s="333">
        <v>2024</v>
      </c>
      <c r="D497" s="333" t="s">
        <v>1270</v>
      </c>
    </row>
    <row r="498" spans="1:4" x14ac:dyDescent="0.2">
      <c r="A498" s="334"/>
      <c r="B498" s="334"/>
      <c r="C498" s="334"/>
      <c r="D498" s="334"/>
    </row>
    <row r="499" spans="1:4" x14ac:dyDescent="0.2">
      <c r="A499" s="334" t="s">
        <v>1290</v>
      </c>
      <c r="B499" s="335">
        <v>9624237.7499999944</v>
      </c>
      <c r="C499" s="347">
        <f>+'Rate Computation'!D35</f>
        <v>13431843.029999996</v>
      </c>
      <c r="D499" s="336">
        <f>+C499-B499</f>
        <v>3807605.2800000012</v>
      </c>
    </row>
    <row r="500" spans="1:4" x14ac:dyDescent="0.2">
      <c r="A500" s="334"/>
      <c r="B500" s="334"/>
      <c r="C500" s="348"/>
      <c r="D500" s="337"/>
    </row>
    <row r="501" spans="1:4" x14ac:dyDescent="0.2">
      <c r="A501" s="334" t="s">
        <v>1291</v>
      </c>
      <c r="B501" s="333" t="s">
        <v>707</v>
      </c>
      <c r="C501" s="349" t="str">
        <f>+Parameter!H30</f>
        <v>L1.5</v>
      </c>
      <c r="D501" s="337"/>
    </row>
    <row r="502" spans="1:4" x14ac:dyDescent="0.2">
      <c r="A502" s="334" t="s">
        <v>79</v>
      </c>
      <c r="B502" s="333">
        <v>24</v>
      </c>
      <c r="C502" s="349">
        <f>+Parameter!G30</f>
        <v>27</v>
      </c>
      <c r="D502" s="338">
        <f>+C502-B502</f>
        <v>3</v>
      </c>
    </row>
    <row r="503" spans="1:4" x14ac:dyDescent="0.2">
      <c r="A503" s="334"/>
      <c r="B503" s="333"/>
      <c r="C503" s="348"/>
      <c r="D503" s="337"/>
    </row>
    <row r="504" spans="1:4" x14ac:dyDescent="0.2">
      <c r="A504" s="334" t="s">
        <v>1292</v>
      </c>
      <c r="B504" s="339">
        <v>2785481.7733552214</v>
      </c>
      <c r="C504" s="350">
        <f>+'Theoretical Reserve'!H759</f>
        <v>3853653.0657618181</v>
      </c>
      <c r="D504" s="340">
        <f t="shared" ref="D504:D506" si="64">+C504-B504</f>
        <v>1068171.2924065967</v>
      </c>
    </row>
    <row r="505" spans="1:4" x14ac:dyDescent="0.2">
      <c r="A505" s="334" t="s">
        <v>1293</v>
      </c>
      <c r="B505" s="339">
        <v>4644497.72</v>
      </c>
      <c r="C505" s="350">
        <f>+'Rate Computation'!E35</f>
        <v>5670671.8931667153</v>
      </c>
      <c r="D505" s="340">
        <f t="shared" si="64"/>
        <v>1026174.1731667155</v>
      </c>
    </row>
    <row r="506" spans="1:4" x14ac:dyDescent="0.2">
      <c r="A506" s="334" t="s">
        <v>1294</v>
      </c>
      <c r="B506" s="339">
        <f>+B505-B504</f>
        <v>1859015.9466447784</v>
      </c>
      <c r="C506" s="350">
        <f>+C505-C504</f>
        <v>1817018.8274048972</v>
      </c>
      <c r="D506" s="340">
        <f t="shared" si="64"/>
        <v>-41997.119239881169</v>
      </c>
    </row>
    <row r="507" spans="1:4" x14ac:dyDescent="0.2">
      <c r="A507" s="334"/>
      <c r="B507" s="334"/>
      <c r="C507" s="351"/>
      <c r="D507" s="337"/>
    </row>
    <row r="508" spans="1:4" x14ac:dyDescent="0.2">
      <c r="A508" s="334" t="s">
        <v>50</v>
      </c>
      <c r="B508" s="342">
        <f>+B505/B499</f>
        <v>0.48258343576352347</v>
      </c>
      <c r="C508" s="352">
        <f>+C505/C499</f>
        <v>0.42218122118470863</v>
      </c>
      <c r="D508" s="337"/>
    </row>
    <row r="509" spans="1:4" x14ac:dyDescent="0.2">
      <c r="A509" s="334"/>
      <c r="B509" s="334"/>
      <c r="C509" s="351"/>
      <c r="D509" s="337"/>
    </row>
    <row r="510" spans="1:4" x14ac:dyDescent="0.2">
      <c r="A510" s="334" t="s">
        <v>1295</v>
      </c>
      <c r="B510" s="343">
        <v>0</v>
      </c>
      <c r="C510" s="353">
        <v>0</v>
      </c>
      <c r="D510" s="344">
        <f t="shared" ref="D510:D512" si="65">+C510-B510</f>
        <v>0</v>
      </c>
    </row>
    <row r="511" spans="1:4" x14ac:dyDescent="0.2">
      <c r="A511" s="334" t="s">
        <v>1296</v>
      </c>
      <c r="B511" s="343">
        <v>0</v>
      </c>
      <c r="C511" s="353">
        <f>+Parameter!I30/100</f>
        <v>0</v>
      </c>
      <c r="D511" s="344">
        <f t="shared" si="65"/>
        <v>0</v>
      </c>
    </row>
    <row r="512" spans="1:4" x14ac:dyDescent="0.2">
      <c r="A512" s="334" t="s">
        <v>1297</v>
      </c>
      <c r="B512" s="343">
        <f>+B510-B511</f>
        <v>0</v>
      </c>
      <c r="C512" s="353">
        <f>+C510-C511</f>
        <v>0</v>
      </c>
      <c r="D512" s="344">
        <f t="shared" si="65"/>
        <v>0</v>
      </c>
    </row>
    <row r="513" spans="1:4" x14ac:dyDescent="0.2">
      <c r="A513" s="334"/>
      <c r="B513" s="334"/>
      <c r="C513" s="351"/>
      <c r="D513" s="337"/>
    </row>
    <row r="514" spans="1:4" x14ac:dyDescent="0.2">
      <c r="A514" s="334" t="s">
        <v>1298</v>
      </c>
      <c r="B514" s="342">
        <v>4.2000000000000003E-2</v>
      </c>
      <c r="C514" s="352">
        <f>ROUND((1-C512)/C502,3)</f>
        <v>3.6999999999999998E-2</v>
      </c>
      <c r="D514" s="341">
        <f>+C514-B514</f>
        <v>-5.0000000000000044E-3</v>
      </c>
    </row>
    <row r="515" spans="1:4" x14ac:dyDescent="0.2">
      <c r="A515" s="334" t="s">
        <v>1299</v>
      </c>
      <c r="B515" s="335">
        <f>+B514*B499</f>
        <v>404217.98549999978</v>
      </c>
      <c r="C515" s="354">
        <f>+C514*C499</f>
        <v>496978.19210999983</v>
      </c>
      <c r="D515" s="340">
        <f t="shared" ref="D515" si="66">+C515-B515</f>
        <v>92760.206610000052</v>
      </c>
    </row>
    <row r="516" spans="1:4" x14ac:dyDescent="0.2">
      <c r="A516" s="334"/>
      <c r="B516" s="334"/>
      <c r="C516" s="351"/>
      <c r="D516" s="337"/>
    </row>
    <row r="517" spans="1:4" x14ac:dyDescent="0.2">
      <c r="A517" s="334" t="s">
        <v>48</v>
      </c>
      <c r="B517" s="346">
        <v>17.053833010253186</v>
      </c>
      <c r="C517" s="355">
        <f>+'Rate Computation'!M34</f>
        <v>23.493268546577429</v>
      </c>
      <c r="D517" s="345">
        <f t="shared" ref="D517:D519" si="67">+C517-B517</f>
        <v>6.4394355363242433</v>
      </c>
    </row>
    <row r="518" spans="1:4" x14ac:dyDescent="0.2">
      <c r="A518" s="334" t="s">
        <v>1300</v>
      </c>
      <c r="B518" s="342">
        <v>0.03</v>
      </c>
      <c r="C518" s="352">
        <f>+'Rate Computation'!Q35</f>
        <v>0.03</v>
      </c>
      <c r="D518" s="341">
        <f t="shared" si="67"/>
        <v>0</v>
      </c>
    </row>
    <row r="519" spans="1:4" x14ac:dyDescent="0.2">
      <c r="A519" s="334" t="s">
        <v>1301</v>
      </c>
      <c r="B519" s="335">
        <f>+B499*B518</f>
        <v>288727.13249999983</v>
      </c>
      <c r="C519" s="354">
        <f>+C499*C518</f>
        <v>402955.29089999985</v>
      </c>
      <c r="D519" s="340">
        <f t="shared" si="67"/>
        <v>114228.15840000001</v>
      </c>
    </row>
    <row r="525" spans="1:4" x14ac:dyDescent="0.2">
      <c r="A525" s="407" t="s">
        <v>1284</v>
      </c>
      <c r="B525" s="408"/>
      <c r="C525" s="408"/>
      <c r="D525" s="409"/>
    </row>
    <row r="526" spans="1:4" x14ac:dyDescent="0.2">
      <c r="A526" s="407" t="s">
        <v>1285</v>
      </c>
      <c r="B526" s="408"/>
      <c r="C526" s="408"/>
      <c r="D526" s="409"/>
    </row>
    <row r="527" spans="1:4" x14ac:dyDescent="0.2">
      <c r="A527" s="401" t="s">
        <v>1324</v>
      </c>
      <c r="B527" s="402"/>
      <c r="C527" s="402"/>
      <c r="D527" s="403"/>
    </row>
    <row r="528" spans="1:4" x14ac:dyDescent="0.2">
      <c r="A528" s="404" t="s">
        <v>1307</v>
      </c>
      <c r="B528" s="405"/>
      <c r="C528" s="405"/>
      <c r="D528" s="406"/>
    </row>
    <row r="529" spans="1:4" x14ac:dyDescent="0.2">
      <c r="A529" s="333" t="s">
        <v>1288</v>
      </c>
      <c r="B529" s="333" t="s">
        <v>1289</v>
      </c>
      <c r="C529" s="333">
        <v>2024</v>
      </c>
      <c r="D529" s="333" t="s">
        <v>1270</v>
      </c>
    </row>
    <row r="530" spans="1:4" x14ac:dyDescent="0.2">
      <c r="A530" s="334"/>
      <c r="B530" s="334"/>
      <c r="C530" s="334"/>
      <c r="D530" s="334"/>
    </row>
    <row r="531" spans="1:4" x14ac:dyDescent="0.2">
      <c r="A531" s="334" t="s">
        <v>1290</v>
      </c>
      <c r="B531" s="335">
        <v>28184.34</v>
      </c>
      <c r="C531" s="347">
        <f>+'Rate Computation'!D46</f>
        <v>663068.9</v>
      </c>
      <c r="D531" s="336">
        <f>+C531-B531</f>
        <v>634884.56000000006</v>
      </c>
    </row>
    <row r="532" spans="1:4" x14ac:dyDescent="0.2">
      <c r="A532" s="334"/>
      <c r="B532" s="334"/>
      <c r="C532" s="348"/>
      <c r="D532" s="337"/>
    </row>
    <row r="533" spans="1:4" x14ac:dyDescent="0.2">
      <c r="A533" s="334" t="s">
        <v>1291</v>
      </c>
      <c r="B533" s="333" t="s">
        <v>1256</v>
      </c>
      <c r="C533" s="349" t="str">
        <f>+Parameter!H43</f>
        <v>L0</v>
      </c>
      <c r="D533" s="337"/>
    </row>
    <row r="534" spans="1:4" x14ac:dyDescent="0.2">
      <c r="A534" s="334" t="s">
        <v>79</v>
      </c>
      <c r="B534" s="333">
        <v>25</v>
      </c>
      <c r="C534" s="349">
        <f>+Parameter!G43</f>
        <v>25</v>
      </c>
      <c r="D534" s="338">
        <f>+C534-B534</f>
        <v>0</v>
      </c>
    </row>
    <row r="535" spans="1:4" x14ac:dyDescent="0.2">
      <c r="A535" s="334"/>
      <c r="B535" s="333"/>
      <c r="C535" s="348"/>
      <c r="D535" s="337"/>
    </row>
    <row r="536" spans="1:4" x14ac:dyDescent="0.2">
      <c r="A536" s="334" t="s">
        <v>1292</v>
      </c>
      <c r="B536" s="339">
        <v>4632.0874415120015</v>
      </c>
      <c r="C536" s="350">
        <f>+'Theoretical Reserve'!H767</f>
        <v>56332.524374953209</v>
      </c>
      <c r="D536" s="340">
        <f t="shared" ref="D536:D538" si="68">+C536-B536</f>
        <v>51700.436933441204</v>
      </c>
    </row>
    <row r="537" spans="1:4" x14ac:dyDescent="0.2">
      <c r="A537" s="334" t="s">
        <v>1293</v>
      </c>
      <c r="B537" s="339">
        <v>14205.81</v>
      </c>
      <c r="C537" s="350">
        <f>+'Rate Computation'!E46</f>
        <v>45567.602230799923</v>
      </c>
      <c r="D537" s="340">
        <f t="shared" si="68"/>
        <v>31361.792230799925</v>
      </c>
    </row>
    <row r="538" spans="1:4" x14ac:dyDescent="0.2">
      <c r="A538" s="334" t="s">
        <v>1294</v>
      </c>
      <c r="B538" s="339">
        <f>+B537-B536</f>
        <v>9573.722558487998</v>
      </c>
      <c r="C538" s="350">
        <f>+C537-C536</f>
        <v>-10764.922144153286</v>
      </c>
      <c r="D538" s="340">
        <f t="shared" si="68"/>
        <v>-20338.644702641286</v>
      </c>
    </row>
    <row r="539" spans="1:4" x14ac:dyDescent="0.2">
      <c r="A539" s="334"/>
      <c r="B539" s="334"/>
      <c r="C539" s="351"/>
      <c r="D539" s="337"/>
    </row>
    <row r="540" spans="1:4" x14ac:dyDescent="0.2">
      <c r="A540" s="334" t="s">
        <v>50</v>
      </c>
      <c r="B540" s="342">
        <f>+B537/B531</f>
        <v>0.50403202629545341</v>
      </c>
      <c r="C540" s="352">
        <f>+C537/C531</f>
        <v>6.8722273402959971E-2</v>
      </c>
      <c r="D540" s="337"/>
    </row>
    <row r="541" spans="1:4" x14ac:dyDescent="0.2">
      <c r="A541" s="334"/>
      <c r="B541" s="334"/>
      <c r="C541" s="351"/>
      <c r="D541" s="337"/>
    </row>
    <row r="542" spans="1:4" x14ac:dyDescent="0.2">
      <c r="A542" s="334" t="s">
        <v>1295</v>
      </c>
      <c r="B542" s="343">
        <v>0</v>
      </c>
      <c r="C542" s="353">
        <v>0</v>
      </c>
      <c r="D542" s="344">
        <f t="shared" ref="D542:D544" si="69">+C542-B542</f>
        <v>0</v>
      </c>
    </row>
    <row r="543" spans="1:4" x14ac:dyDescent="0.2">
      <c r="A543" s="334" t="s">
        <v>1296</v>
      </c>
      <c r="B543" s="343">
        <v>0</v>
      </c>
      <c r="C543" s="353">
        <f>+Parameter!I43/100</f>
        <v>0</v>
      </c>
      <c r="D543" s="344">
        <f t="shared" si="69"/>
        <v>0</v>
      </c>
    </row>
    <row r="544" spans="1:4" x14ac:dyDescent="0.2">
      <c r="A544" s="334" t="s">
        <v>1297</v>
      </c>
      <c r="B544" s="343">
        <f>+B542-B543</f>
        <v>0</v>
      </c>
      <c r="C544" s="353">
        <f>+C542-C543</f>
        <v>0</v>
      </c>
      <c r="D544" s="344">
        <f t="shared" si="69"/>
        <v>0</v>
      </c>
    </row>
    <row r="545" spans="1:4" x14ac:dyDescent="0.2">
      <c r="A545" s="334"/>
      <c r="B545" s="334"/>
      <c r="C545" s="351"/>
      <c r="D545" s="337"/>
    </row>
    <row r="546" spans="1:4" x14ac:dyDescent="0.2">
      <c r="A546" s="334" t="s">
        <v>1298</v>
      </c>
      <c r="B546" s="342">
        <v>0.04</v>
      </c>
      <c r="C546" s="352">
        <f>ROUND((1-C544)/C534,3)</f>
        <v>0.04</v>
      </c>
      <c r="D546" s="341">
        <f>+C546-B546</f>
        <v>0</v>
      </c>
    </row>
    <row r="547" spans="1:4" x14ac:dyDescent="0.2">
      <c r="A547" s="334" t="s">
        <v>1299</v>
      </c>
      <c r="B547" s="335">
        <f>+B546*B531</f>
        <v>1127.3736000000001</v>
      </c>
      <c r="C547" s="354">
        <f>+C546*C531</f>
        <v>26522.756000000001</v>
      </c>
      <c r="D547" s="340">
        <f t="shared" ref="D547" si="70">+C547-B547</f>
        <v>25395.382400000002</v>
      </c>
    </row>
    <row r="548" spans="1:4" x14ac:dyDescent="0.2">
      <c r="A548" s="334"/>
      <c r="B548" s="334"/>
      <c r="C548" s="351"/>
      <c r="D548" s="337"/>
    </row>
    <row r="549" spans="1:4" x14ac:dyDescent="0.2">
      <c r="A549" s="334" t="s">
        <v>48</v>
      </c>
      <c r="B549" s="346">
        <v>20.891257839005629</v>
      </c>
      <c r="C549" s="355">
        <f>+'Rate Computation'!M46</f>
        <v>22.876068219495995</v>
      </c>
      <c r="D549" s="345">
        <f t="shared" ref="D549:D551" si="71">+C549-B549</f>
        <v>1.9848103804903658</v>
      </c>
    </row>
    <row r="550" spans="1:4" x14ac:dyDescent="0.2">
      <c r="A550" s="334" t="s">
        <v>1300</v>
      </c>
      <c r="B550" s="342">
        <v>2.4E-2</v>
      </c>
      <c r="C550" s="352">
        <f>+'Rate Computation'!Q46</f>
        <v>4.1000000000000002E-2</v>
      </c>
      <c r="D550" s="341">
        <f t="shared" si="71"/>
        <v>1.7000000000000001E-2</v>
      </c>
    </row>
    <row r="551" spans="1:4" x14ac:dyDescent="0.2">
      <c r="A551" s="334" t="s">
        <v>1301</v>
      </c>
      <c r="B551" s="335">
        <f>+B531*B550</f>
        <v>676.42416000000003</v>
      </c>
      <c r="C551" s="354">
        <f>+C531*C550</f>
        <v>27185.824900000003</v>
      </c>
      <c r="D551" s="340">
        <f t="shared" si="71"/>
        <v>26509.400740000005</v>
      </c>
    </row>
    <row r="552" spans="1:4" x14ac:dyDescent="0.2">
      <c r="C552" s="12"/>
    </row>
    <row r="553" spans="1:4" x14ac:dyDescent="0.2">
      <c r="C553" s="12"/>
    </row>
    <row r="555" spans="1:4" x14ac:dyDescent="0.2">
      <c r="A555" s="407" t="s">
        <v>1284</v>
      </c>
      <c r="B555" s="408"/>
      <c r="C555" s="408"/>
      <c r="D555" s="409"/>
    </row>
    <row r="556" spans="1:4" x14ac:dyDescent="0.2">
      <c r="A556" s="407" t="s">
        <v>1285</v>
      </c>
      <c r="B556" s="408"/>
      <c r="C556" s="408"/>
      <c r="D556" s="409"/>
    </row>
    <row r="557" spans="1:4" x14ac:dyDescent="0.2">
      <c r="A557" s="401" t="s">
        <v>1325</v>
      </c>
      <c r="B557" s="402"/>
      <c r="C557" s="402"/>
      <c r="D557" s="403"/>
    </row>
    <row r="558" spans="1:4" x14ac:dyDescent="0.2">
      <c r="A558" s="404" t="s">
        <v>1326</v>
      </c>
      <c r="B558" s="405"/>
      <c r="C558" s="405"/>
      <c r="D558" s="406"/>
    </row>
    <row r="559" spans="1:4" x14ac:dyDescent="0.2">
      <c r="A559" s="333" t="s">
        <v>1288</v>
      </c>
      <c r="B559" s="333" t="s">
        <v>1289</v>
      </c>
      <c r="C559" s="333">
        <v>2024</v>
      </c>
      <c r="D559" s="333" t="s">
        <v>1270</v>
      </c>
    </row>
    <row r="560" spans="1:4" x14ac:dyDescent="0.2">
      <c r="A560" s="334"/>
      <c r="B560" s="334"/>
      <c r="C560" s="334"/>
      <c r="D560" s="334"/>
    </row>
    <row r="561" spans="1:4" x14ac:dyDescent="0.2">
      <c r="A561" s="334" t="s">
        <v>1290</v>
      </c>
      <c r="B561" s="335">
        <v>12072999.129999999</v>
      </c>
      <c r="C561" s="347">
        <f>+'Rate Computation'!D50</f>
        <v>23701574.900950912</v>
      </c>
      <c r="D561" s="336">
        <f>+C561-B561</f>
        <v>11628575.770950913</v>
      </c>
    </row>
    <row r="562" spans="1:4" x14ac:dyDescent="0.2">
      <c r="A562" s="334"/>
      <c r="B562" s="334"/>
      <c r="C562" s="348"/>
      <c r="D562" s="337"/>
    </row>
    <row r="563" spans="1:4" x14ac:dyDescent="0.2">
      <c r="A563" s="334" t="s">
        <v>1291</v>
      </c>
      <c r="B563" s="333" t="s">
        <v>1257</v>
      </c>
      <c r="C563" s="349" t="str">
        <f>+Parameter!H33</f>
        <v>L2.5</v>
      </c>
      <c r="D563" s="337"/>
    </row>
    <row r="564" spans="1:4" x14ac:dyDescent="0.2">
      <c r="A564" s="334" t="s">
        <v>79</v>
      </c>
      <c r="B564" s="333">
        <v>9</v>
      </c>
      <c r="C564" s="349">
        <f>+Parameter!G33</f>
        <v>8</v>
      </c>
      <c r="D564" s="379">
        <f>+C564-B564</f>
        <v>-1</v>
      </c>
    </row>
    <row r="565" spans="1:4" x14ac:dyDescent="0.2">
      <c r="A565" s="334"/>
      <c r="B565" s="333"/>
      <c r="C565" s="348"/>
      <c r="D565" s="337"/>
    </row>
    <row r="566" spans="1:4" x14ac:dyDescent="0.2">
      <c r="A566" s="334" t="s">
        <v>1292</v>
      </c>
      <c r="B566" s="339">
        <v>4063427.1378537514</v>
      </c>
      <c r="C566" s="350">
        <f>+'Theoretical Reserve'!H843</f>
        <v>6878410.7265629126</v>
      </c>
      <c r="D566" s="340">
        <f t="shared" ref="D566:D568" si="72">+C566-B566</f>
        <v>2814983.5887091612</v>
      </c>
    </row>
    <row r="567" spans="1:4" x14ac:dyDescent="0.2">
      <c r="A567" s="334" t="s">
        <v>1293</v>
      </c>
      <c r="B567" s="339">
        <v>5989326.0499999998</v>
      </c>
      <c r="C567" s="350">
        <f>+'Rate Computation'!E50</f>
        <v>8222729.2678835941</v>
      </c>
      <c r="D567" s="340">
        <f t="shared" si="72"/>
        <v>2233403.2178835943</v>
      </c>
    </row>
    <row r="568" spans="1:4" x14ac:dyDescent="0.2">
      <c r="A568" s="334" t="s">
        <v>1294</v>
      </c>
      <c r="B568" s="339">
        <f>+B567-B566</f>
        <v>1925898.9121462484</v>
      </c>
      <c r="C568" s="350">
        <f>+C567-C566</f>
        <v>1344318.5413206816</v>
      </c>
      <c r="D568" s="340">
        <f t="shared" si="72"/>
        <v>-581580.37082556682</v>
      </c>
    </row>
    <row r="569" spans="1:4" x14ac:dyDescent="0.2">
      <c r="A569" s="334"/>
      <c r="B569" s="334"/>
      <c r="C569" s="351"/>
      <c r="D569" s="337"/>
    </row>
    <row r="570" spans="1:4" x14ac:dyDescent="0.2">
      <c r="A570" s="334" t="s">
        <v>50</v>
      </c>
      <c r="B570" s="342">
        <f>+B567/B561</f>
        <v>0.49609264322045887</v>
      </c>
      <c r="C570" s="352">
        <f>+C567/C561</f>
        <v>0.34692754815856969</v>
      </c>
      <c r="D570" s="337"/>
    </row>
    <row r="571" spans="1:4" x14ac:dyDescent="0.2">
      <c r="A571" s="334"/>
      <c r="B571" s="334"/>
      <c r="C571" s="351"/>
      <c r="D571" s="337"/>
    </row>
    <row r="572" spans="1:4" x14ac:dyDescent="0.2">
      <c r="A572" s="334" t="s">
        <v>1295</v>
      </c>
      <c r="B572" s="343">
        <v>0.11</v>
      </c>
      <c r="C572" s="353">
        <f>+Parameter!I33/100</f>
        <v>0.11</v>
      </c>
      <c r="D572" s="344">
        <f t="shared" ref="D572:D574" si="73">+C572-B572</f>
        <v>0</v>
      </c>
    </row>
    <row r="573" spans="1:4" x14ac:dyDescent="0.2">
      <c r="A573" s="334" t="s">
        <v>1296</v>
      </c>
      <c r="B573" s="343">
        <v>0</v>
      </c>
      <c r="C573" s="353">
        <v>0</v>
      </c>
      <c r="D573" s="344">
        <f t="shared" si="73"/>
        <v>0</v>
      </c>
    </row>
    <row r="574" spans="1:4" x14ac:dyDescent="0.2">
      <c r="A574" s="334" t="s">
        <v>1297</v>
      </c>
      <c r="B574" s="343">
        <f>+B572-B573</f>
        <v>0.11</v>
      </c>
      <c r="C574" s="353">
        <f>+C572-C573</f>
        <v>0.11</v>
      </c>
      <c r="D574" s="344">
        <f t="shared" si="73"/>
        <v>0</v>
      </c>
    </row>
    <row r="575" spans="1:4" x14ac:dyDescent="0.2">
      <c r="A575" s="334"/>
      <c r="B575" s="334"/>
      <c r="C575" s="351"/>
      <c r="D575" s="337"/>
    </row>
    <row r="576" spans="1:4" x14ac:dyDescent="0.2">
      <c r="A576" s="334" t="s">
        <v>1298</v>
      </c>
      <c r="B576" s="352">
        <f>ROUND((1-B574)/B564,3)</f>
        <v>9.9000000000000005E-2</v>
      </c>
      <c r="C576" s="352">
        <f>ROUND((1-C574)/C564,3)</f>
        <v>0.111</v>
      </c>
      <c r="D576" s="341">
        <f>+C576-B576</f>
        <v>1.1999999999999997E-2</v>
      </c>
    </row>
    <row r="577" spans="1:4" x14ac:dyDescent="0.2">
      <c r="A577" s="334" t="s">
        <v>1299</v>
      </c>
      <c r="B577" s="335">
        <f>+B576*B561</f>
        <v>1195226.91387</v>
      </c>
      <c r="C577" s="335">
        <f>+C576*C561</f>
        <v>2630874.8140055514</v>
      </c>
      <c r="D577" s="340">
        <f t="shared" ref="D577" si="74">+C577-B577</f>
        <v>1435647.9001355513</v>
      </c>
    </row>
    <row r="578" spans="1:4" x14ac:dyDescent="0.2">
      <c r="A578" s="334"/>
      <c r="B578" s="334"/>
      <c r="C578" s="351"/>
      <c r="D578" s="337"/>
    </row>
    <row r="579" spans="1:4" x14ac:dyDescent="0.2">
      <c r="A579" s="334" t="s">
        <v>48</v>
      </c>
      <c r="B579" s="346">
        <v>5.5964682194516655</v>
      </c>
      <c r="C579" s="355">
        <f>+'Rate Computation'!M50</f>
        <v>5.3913796326334404</v>
      </c>
      <c r="D579" s="345">
        <f t="shared" ref="D579:D581" si="75">+C579-B579</f>
        <v>-0.20508858681822506</v>
      </c>
    </row>
    <row r="580" spans="1:4" x14ac:dyDescent="0.2">
      <c r="A580" s="334" t="s">
        <v>1300</v>
      </c>
      <c r="B580" s="342">
        <v>9.9000000000000005E-2</v>
      </c>
      <c r="C580" s="352">
        <f>+'Rate Computation'!Q50</f>
        <v>0.10100000000000001</v>
      </c>
      <c r="D580" s="341">
        <f t="shared" si="75"/>
        <v>2.0000000000000018E-3</v>
      </c>
    </row>
    <row r="581" spans="1:4" x14ac:dyDescent="0.2">
      <c r="A581" s="334" t="s">
        <v>1301</v>
      </c>
      <c r="B581" s="335">
        <f>+B561*B580</f>
        <v>1195226.91387</v>
      </c>
      <c r="C581" s="335">
        <f t="shared" ref="C581" si="76">+C561*C580</f>
        <v>2393859.0649960423</v>
      </c>
      <c r="D581" s="340">
        <f t="shared" si="75"/>
        <v>1198632.1511260422</v>
      </c>
    </row>
    <row r="586" spans="1:4" x14ac:dyDescent="0.2">
      <c r="A586" s="407" t="s">
        <v>1284</v>
      </c>
      <c r="B586" s="408"/>
      <c r="C586" s="408"/>
      <c r="D586" s="409"/>
    </row>
    <row r="587" spans="1:4" x14ac:dyDescent="0.2">
      <c r="A587" s="407" t="s">
        <v>1285</v>
      </c>
      <c r="B587" s="408"/>
      <c r="C587" s="408"/>
      <c r="D587" s="409"/>
    </row>
    <row r="588" spans="1:4" x14ac:dyDescent="0.2">
      <c r="A588" s="401" t="s">
        <v>1327</v>
      </c>
      <c r="B588" s="402"/>
      <c r="C588" s="402"/>
      <c r="D588" s="403"/>
    </row>
    <row r="589" spans="1:4" x14ac:dyDescent="0.2">
      <c r="A589" s="404" t="s">
        <v>1328</v>
      </c>
      <c r="B589" s="405"/>
      <c r="C589" s="405"/>
      <c r="D589" s="406"/>
    </row>
    <row r="590" spans="1:4" x14ac:dyDescent="0.2">
      <c r="A590" s="333" t="s">
        <v>1288</v>
      </c>
      <c r="B590" s="333" t="s">
        <v>1289</v>
      </c>
      <c r="C590" s="333">
        <v>2024</v>
      </c>
      <c r="D590" s="333" t="s">
        <v>1270</v>
      </c>
    </row>
    <row r="591" spans="1:4" x14ac:dyDescent="0.2">
      <c r="A591" s="334"/>
      <c r="B591" s="334"/>
      <c r="C591" s="334"/>
      <c r="D591" s="334"/>
    </row>
    <row r="592" spans="1:4" x14ac:dyDescent="0.2">
      <c r="A592" s="334" t="s">
        <v>1290</v>
      </c>
      <c r="B592" s="335">
        <v>12134490.950000001</v>
      </c>
      <c r="C592" s="347">
        <f>+'Rate Computation'!D51</f>
        <v>17803654.689999994</v>
      </c>
      <c r="D592" s="336">
        <f>+C592-B592</f>
        <v>5669163.7399999928</v>
      </c>
    </row>
    <row r="593" spans="1:4" x14ac:dyDescent="0.2">
      <c r="A593" s="334"/>
      <c r="B593" s="334"/>
      <c r="C593" s="348"/>
      <c r="D593" s="337"/>
    </row>
    <row r="594" spans="1:4" x14ac:dyDescent="0.2">
      <c r="A594" s="334" t="s">
        <v>1291</v>
      </c>
      <c r="B594" s="333" t="s">
        <v>1258</v>
      </c>
      <c r="C594" s="349" t="str">
        <f>+Parameter!H34</f>
        <v>L3</v>
      </c>
      <c r="D594" s="337"/>
    </row>
    <row r="595" spans="1:4" x14ac:dyDescent="0.2">
      <c r="A595" s="334" t="s">
        <v>79</v>
      </c>
      <c r="B595" s="333">
        <v>10</v>
      </c>
      <c r="C595" s="349">
        <f>+Parameter!G34</f>
        <v>10</v>
      </c>
      <c r="D595" s="338">
        <f>+C595-B595</f>
        <v>0</v>
      </c>
    </row>
    <row r="596" spans="1:4" x14ac:dyDescent="0.2">
      <c r="A596" s="334"/>
      <c r="B596" s="333"/>
      <c r="C596" s="348"/>
      <c r="D596" s="337"/>
    </row>
    <row r="597" spans="1:4" x14ac:dyDescent="0.2">
      <c r="A597" s="334" t="s">
        <v>1292</v>
      </c>
      <c r="B597" s="339">
        <v>4137904.1800777502</v>
      </c>
      <c r="C597" s="350">
        <f>+'Theoretical Reserve'!H863</f>
        <v>8087562.2320070891</v>
      </c>
      <c r="D597" s="340">
        <f t="shared" ref="D597:D599" si="77">+C597-B597</f>
        <v>3949658.0519293388</v>
      </c>
    </row>
    <row r="598" spans="1:4" x14ac:dyDescent="0.2">
      <c r="A598" s="334" t="s">
        <v>1293</v>
      </c>
      <c r="B598" s="339">
        <v>6619614.1699999999</v>
      </c>
      <c r="C598" s="350">
        <f>+'Rate Computation'!E51</f>
        <v>9635071.750319995</v>
      </c>
      <c r="D598" s="340">
        <f t="shared" si="77"/>
        <v>3015457.5803199951</v>
      </c>
    </row>
    <row r="599" spans="1:4" x14ac:dyDescent="0.2">
      <c r="A599" s="334" t="s">
        <v>1294</v>
      </c>
      <c r="B599" s="339">
        <f>+B598-B597</f>
        <v>2481709.9899222497</v>
      </c>
      <c r="C599" s="350">
        <f>+C598-C597</f>
        <v>1547509.5183129059</v>
      </c>
      <c r="D599" s="340">
        <f t="shared" si="77"/>
        <v>-934200.47160934377</v>
      </c>
    </row>
    <row r="600" spans="1:4" x14ac:dyDescent="0.2">
      <c r="A600" s="334"/>
      <c r="B600" s="334"/>
      <c r="C600" s="351"/>
      <c r="D600" s="337"/>
    </row>
    <row r="601" spans="1:4" x14ac:dyDescent="0.2">
      <c r="A601" s="334" t="s">
        <v>50</v>
      </c>
      <c r="B601" s="342">
        <f>+B598/B592</f>
        <v>0.54552054942197636</v>
      </c>
      <c r="C601" s="352">
        <f>+C598/C592</f>
        <v>0.54118504981630811</v>
      </c>
      <c r="D601" s="337"/>
    </row>
    <row r="602" spans="1:4" x14ac:dyDescent="0.2">
      <c r="A602" s="334"/>
      <c r="B602" s="334"/>
      <c r="C602" s="351"/>
      <c r="D602" s="337"/>
    </row>
    <row r="603" spans="1:4" x14ac:dyDescent="0.2">
      <c r="A603" s="334" t="s">
        <v>1295</v>
      </c>
      <c r="B603" s="343">
        <v>0.11</v>
      </c>
      <c r="C603" s="353">
        <f>+Parameter!I34/100</f>
        <v>0.11</v>
      </c>
      <c r="D603" s="344">
        <f t="shared" ref="D603:D605" si="78">+C603-B603</f>
        <v>0</v>
      </c>
    </row>
    <row r="604" spans="1:4" x14ac:dyDescent="0.2">
      <c r="A604" s="334" t="s">
        <v>1296</v>
      </c>
      <c r="B604" s="343">
        <v>0</v>
      </c>
      <c r="C604" s="353">
        <v>0</v>
      </c>
      <c r="D604" s="344">
        <f t="shared" si="78"/>
        <v>0</v>
      </c>
    </row>
    <row r="605" spans="1:4" x14ac:dyDescent="0.2">
      <c r="A605" s="334" t="s">
        <v>1297</v>
      </c>
      <c r="B605" s="343">
        <f>+B603-B604</f>
        <v>0.11</v>
      </c>
      <c r="C605" s="353">
        <f>+C603-C604</f>
        <v>0.11</v>
      </c>
      <c r="D605" s="344">
        <f t="shared" si="78"/>
        <v>0</v>
      </c>
    </row>
    <row r="606" spans="1:4" x14ac:dyDescent="0.2">
      <c r="A606" s="334"/>
      <c r="B606" s="334"/>
      <c r="C606" s="351"/>
      <c r="D606" s="337"/>
    </row>
    <row r="607" spans="1:4" x14ac:dyDescent="0.2">
      <c r="A607" s="334" t="s">
        <v>1298</v>
      </c>
      <c r="B607" s="342">
        <v>8.8999999999999996E-2</v>
      </c>
      <c r="C607" s="352">
        <f>ROUND((1-C605)/C595,3)</f>
        <v>8.8999999999999996E-2</v>
      </c>
      <c r="D607" s="341">
        <f>+C607-B607</f>
        <v>0</v>
      </c>
    </row>
    <row r="608" spans="1:4" x14ac:dyDescent="0.2">
      <c r="A608" s="334" t="s">
        <v>1299</v>
      </c>
      <c r="B608" s="335">
        <f>+B592*B607</f>
        <v>1079969.6945500001</v>
      </c>
      <c r="C608" s="354">
        <f>+C592*C607</f>
        <v>1584525.2674099994</v>
      </c>
      <c r="D608" s="340">
        <f t="shared" ref="D608" si="79">+C608-B608</f>
        <v>504555.57285999926</v>
      </c>
    </row>
    <row r="609" spans="1:4" x14ac:dyDescent="0.2">
      <c r="A609" s="334"/>
      <c r="B609" s="334"/>
      <c r="C609" s="351"/>
      <c r="D609" s="337"/>
    </row>
    <row r="610" spans="1:4" x14ac:dyDescent="0.2">
      <c r="A610" s="334" t="s">
        <v>48</v>
      </c>
      <c r="B610" s="346">
        <v>5.5964682194516655</v>
      </c>
      <c r="C610" s="355">
        <f>+'Rate Computation'!M51</f>
        <v>4.8959083213442938</v>
      </c>
      <c r="D610" s="345">
        <f t="shared" ref="D610:D612" si="80">+C610-B610</f>
        <v>-0.70055989810737174</v>
      </c>
    </row>
    <row r="611" spans="1:4" x14ac:dyDescent="0.2">
      <c r="A611" s="334" t="s">
        <v>1300</v>
      </c>
      <c r="B611" s="342">
        <v>7.0000000000000007E-2</v>
      </c>
      <c r="C611" s="352">
        <f>+'Rate Computation'!Q51</f>
        <v>7.0999999999999994E-2</v>
      </c>
      <c r="D611" s="341">
        <f t="shared" si="80"/>
        <v>9.9999999999998701E-4</v>
      </c>
    </row>
    <row r="612" spans="1:4" x14ac:dyDescent="0.2">
      <c r="A612" s="334" t="s">
        <v>1301</v>
      </c>
      <c r="B612" s="335">
        <f>+B592*B611</f>
        <v>849414.36650000012</v>
      </c>
      <c r="C612" s="335">
        <f t="shared" ref="C612" si="81">+C592*C611</f>
        <v>1264059.4829899995</v>
      </c>
      <c r="D612" s="340">
        <f t="shared" si="80"/>
        <v>414645.11648999935</v>
      </c>
    </row>
    <row r="616" spans="1:4" x14ac:dyDescent="0.2">
      <c r="A616" s="407" t="s">
        <v>1284</v>
      </c>
      <c r="B616" s="408"/>
      <c r="C616" s="408"/>
      <c r="D616" s="409"/>
    </row>
    <row r="617" spans="1:4" x14ac:dyDescent="0.2">
      <c r="A617" s="407" t="s">
        <v>1285</v>
      </c>
      <c r="B617" s="408"/>
      <c r="C617" s="408"/>
      <c r="D617" s="409"/>
    </row>
    <row r="618" spans="1:4" x14ac:dyDescent="0.2">
      <c r="A618" s="401" t="s">
        <v>1329</v>
      </c>
      <c r="B618" s="402"/>
      <c r="C618" s="402"/>
      <c r="D618" s="403"/>
    </row>
    <row r="619" spans="1:4" x14ac:dyDescent="0.2">
      <c r="A619" s="404" t="s">
        <v>112</v>
      </c>
      <c r="B619" s="405"/>
      <c r="C619" s="405"/>
      <c r="D619" s="406"/>
    </row>
    <row r="620" spans="1:4" x14ac:dyDescent="0.2">
      <c r="A620" s="333" t="s">
        <v>1288</v>
      </c>
      <c r="B620" s="333" t="s">
        <v>1289</v>
      </c>
      <c r="C620" s="333">
        <v>2024</v>
      </c>
      <c r="D620" s="333" t="s">
        <v>1270</v>
      </c>
    </row>
    <row r="621" spans="1:4" x14ac:dyDescent="0.2">
      <c r="A621" s="334"/>
      <c r="B621" s="334"/>
      <c r="C621" s="334"/>
      <c r="D621" s="334"/>
    </row>
    <row r="622" spans="1:4" x14ac:dyDescent="0.2">
      <c r="A622" s="334" t="s">
        <v>1290</v>
      </c>
      <c r="B622" s="335">
        <v>2563258.4599999995</v>
      </c>
      <c r="C622" s="347">
        <f>'Rate Computation'!D52</f>
        <v>4681567.3202562388</v>
      </c>
      <c r="D622" s="336">
        <f>+C622-B622</f>
        <v>2118308.8602562393</v>
      </c>
    </row>
    <row r="623" spans="1:4" x14ac:dyDescent="0.2">
      <c r="A623" s="334"/>
      <c r="B623" s="334"/>
      <c r="C623" s="348"/>
      <c r="D623" s="337"/>
    </row>
    <row r="624" spans="1:4" x14ac:dyDescent="0.2">
      <c r="A624" s="334" t="s">
        <v>1291</v>
      </c>
      <c r="B624" s="333" t="s">
        <v>26</v>
      </c>
      <c r="C624" s="349" t="str">
        <f>+Parameter!H35</f>
        <v>R1.5</v>
      </c>
      <c r="D624" s="337"/>
    </row>
    <row r="625" spans="1:4" x14ac:dyDescent="0.2">
      <c r="A625" s="334" t="s">
        <v>79</v>
      </c>
      <c r="B625" s="333">
        <v>27</v>
      </c>
      <c r="C625" s="349">
        <f>+Parameter!G35</f>
        <v>30</v>
      </c>
      <c r="D625" s="338">
        <f>+C625-B625</f>
        <v>3</v>
      </c>
    </row>
    <row r="626" spans="1:4" x14ac:dyDescent="0.2">
      <c r="A626" s="334"/>
      <c r="B626" s="333"/>
      <c r="C626" s="348"/>
      <c r="D626" s="337"/>
    </row>
    <row r="627" spans="1:4" x14ac:dyDescent="0.2">
      <c r="A627" s="334" t="s">
        <v>1292</v>
      </c>
      <c r="B627" s="339">
        <v>352703.93691106932</v>
      </c>
      <c r="C627" s="350">
        <f>+'Theoretical Reserve'!H904</f>
        <v>605226.20688912738</v>
      </c>
      <c r="D627" s="340">
        <f t="shared" ref="D627:D629" si="82">+C627-B627</f>
        <v>252522.26997805806</v>
      </c>
    </row>
    <row r="628" spans="1:4" x14ac:dyDescent="0.2">
      <c r="A628" s="334" t="s">
        <v>1293</v>
      </c>
      <c r="B628" s="339">
        <v>505320.78</v>
      </c>
      <c r="C628" s="350">
        <f>+'Rate Computation'!E52</f>
        <v>932593.93949549214</v>
      </c>
      <c r="D628" s="340">
        <f t="shared" si="82"/>
        <v>427273.15949549212</v>
      </c>
    </row>
    <row r="629" spans="1:4" x14ac:dyDescent="0.2">
      <c r="A629" s="334" t="s">
        <v>1294</v>
      </c>
      <c r="B629" s="339">
        <f>+B628-B627</f>
        <v>152616.84308893071</v>
      </c>
      <c r="C629" s="350">
        <f>+C628-C627</f>
        <v>327367.73260636476</v>
      </c>
      <c r="D629" s="340">
        <f t="shared" si="82"/>
        <v>174750.88951743406</v>
      </c>
    </row>
    <row r="630" spans="1:4" x14ac:dyDescent="0.2">
      <c r="A630" s="334"/>
      <c r="B630" s="334"/>
      <c r="C630" s="351"/>
      <c r="D630" s="337"/>
    </row>
    <row r="631" spans="1:4" x14ac:dyDescent="0.2">
      <c r="A631" s="334" t="s">
        <v>50</v>
      </c>
      <c r="B631" s="342">
        <f>+B628/B622</f>
        <v>0.1971400028072082</v>
      </c>
      <c r="C631" s="352">
        <f>+C628/C622</f>
        <v>0.19920549587321709</v>
      </c>
      <c r="D631" s="337"/>
    </row>
    <row r="632" spans="1:4" x14ac:dyDescent="0.2">
      <c r="A632" s="334"/>
      <c r="B632" s="334"/>
      <c r="C632" s="351"/>
      <c r="D632" s="337"/>
    </row>
    <row r="633" spans="1:4" x14ac:dyDescent="0.2">
      <c r="A633" s="334" t="s">
        <v>1295</v>
      </c>
      <c r="B633" s="343">
        <v>0.15</v>
      </c>
      <c r="C633" s="353">
        <f>+Parameter!I35/100</f>
        <v>0.2</v>
      </c>
      <c r="D633" s="344">
        <f t="shared" ref="D633:D635" si="83">+C633-B633</f>
        <v>5.0000000000000017E-2</v>
      </c>
    </row>
    <row r="634" spans="1:4" x14ac:dyDescent="0.2">
      <c r="A634" s="334" t="s">
        <v>1296</v>
      </c>
      <c r="B634" s="343">
        <v>0</v>
      </c>
      <c r="C634" s="353">
        <v>0</v>
      </c>
      <c r="D634" s="344">
        <f t="shared" si="83"/>
        <v>0</v>
      </c>
    </row>
    <row r="635" spans="1:4" x14ac:dyDescent="0.2">
      <c r="A635" s="334" t="s">
        <v>1297</v>
      </c>
      <c r="B635" s="343">
        <f>+B633-B634</f>
        <v>0.15</v>
      </c>
      <c r="C635" s="353">
        <f>+C633-C634</f>
        <v>0.2</v>
      </c>
      <c r="D635" s="344">
        <f t="shared" si="83"/>
        <v>5.0000000000000017E-2</v>
      </c>
    </row>
    <row r="636" spans="1:4" x14ac:dyDescent="0.2">
      <c r="A636" s="334"/>
      <c r="B636" s="334"/>
      <c r="C636" s="351"/>
      <c r="D636" s="337"/>
    </row>
    <row r="637" spans="1:4" x14ac:dyDescent="0.2">
      <c r="A637" s="334" t="s">
        <v>1298</v>
      </c>
      <c r="B637" s="342">
        <v>3.1E-2</v>
      </c>
      <c r="C637" s="352">
        <f>ROUND((1-C635)/C625,3)</f>
        <v>2.7E-2</v>
      </c>
      <c r="D637" s="341">
        <f>+C637-B637</f>
        <v>-4.0000000000000001E-3</v>
      </c>
    </row>
    <row r="638" spans="1:4" x14ac:dyDescent="0.2">
      <c r="A638" s="334" t="s">
        <v>1299</v>
      </c>
      <c r="B638" s="335">
        <f>+B622*B637</f>
        <v>79461.012259999989</v>
      </c>
      <c r="C638" s="354">
        <f>+C622*C637</f>
        <v>126402.31764691844</v>
      </c>
      <c r="D638" s="340">
        <f t="shared" ref="D638" si="84">+C638-B638</f>
        <v>46941.305386918451</v>
      </c>
    </row>
    <row r="639" spans="1:4" x14ac:dyDescent="0.2">
      <c r="A639" s="334"/>
      <c r="B639" s="334"/>
      <c r="C639" s="351"/>
      <c r="D639" s="337"/>
    </row>
    <row r="640" spans="1:4" x14ac:dyDescent="0.2">
      <c r="A640" s="334" t="s">
        <v>48</v>
      </c>
      <c r="B640" s="346">
        <v>22.629181764398396</v>
      </c>
      <c r="C640" s="355">
        <f>+'Rate Computation'!M52</f>
        <v>25.152054599291752</v>
      </c>
      <c r="D640" s="345">
        <f t="shared" ref="D640:D642" si="85">+C640-B640</f>
        <v>2.5228728348933558</v>
      </c>
    </row>
    <row r="641" spans="1:4" x14ac:dyDescent="0.2">
      <c r="A641" s="334" t="s">
        <v>1300</v>
      </c>
      <c r="B641" s="342">
        <v>2.9000000000000001E-2</v>
      </c>
      <c r="C641" s="352">
        <f>+'Rate Computation'!Q52</f>
        <v>2.4E-2</v>
      </c>
      <c r="D641" s="341">
        <f t="shared" si="85"/>
        <v>-5.000000000000001E-3</v>
      </c>
    </row>
    <row r="642" spans="1:4" x14ac:dyDescent="0.2">
      <c r="A642" s="334" t="s">
        <v>1301</v>
      </c>
      <c r="B642" s="335">
        <f>+B622*B641</f>
        <v>74334.495339999994</v>
      </c>
      <c r="C642" s="354">
        <f>+C622*C641</f>
        <v>112357.61568614973</v>
      </c>
      <c r="D642" s="340">
        <f t="shared" si="85"/>
        <v>38023.120346149735</v>
      </c>
    </row>
    <row r="643" spans="1:4" x14ac:dyDescent="0.2">
      <c r="C643" s="12"/>
    </row>
    <row r="644" spans="1:4" x14ac:dyDescent="0.2">
      <c r="C644" s="12"/>
    </row>
    <row r="645" spans="1:4" x14ac:dyDescent="0.2">
      <c r="C645" s="12"/>
    </row>
    <row r="646" spans="1:4" x14ac:dyDescent="0.2">
      <c r="A646" s="407" t="s">
        <v>1284</v>
      </c>
      <c r="B646" s="408"/>
      <c r="C646" s="408"/>
      <c r="D646" s="409"/>
    </row>
    <row r="647" spans="1:4" x14ac:dyDescent="0.2">
      <c r="A647" s="407" t="s">
        <v>1285</v>
      </c>
      <c r="B647" s="408"/>
      <c r="C647" s="408"/>
      <c r="D647" s="409"/>
    </row>
    <row r="648" spans="1:4" x14ac:dyDescent="0.2">
      <c r="A648" s="401" t="s">
        <v>1330</v>
      </c>
      <c r="B648" s="402"/>
      <c r="C648" s="402"/>
      <c r="D648" s="403"/>
    </row>
    <row r="649" spans="1:4" x14ac:dyDescent="0.2">
      <c r="A649" s="404" t="s">
        <v>1331</v>
      </c>
      <c r="B649" s="405"/>
      <c r="C649" s="405"/>
      <c r="D649" s="406"/>
    </row>
    <row r="650" spans="1:4" x14ac:dyDescent="0.2">
      <c r="A650" s="333" t="s">
        <v>1288</v>
      </c>
      <c r="B650" s="333" t="s">
        <v>1289</v>
      </c>
      <c r="C650" s="333">
        <v>2024</v>
      </c>
      <c r="D650" s="333" t="s">
        <v>1270</v>
      </c>
    </row>
    <row r="651" spans="1:4" x14ac:dyDescent="0.2">
      <c r="A651" s="334"/>
      <c r="B651" s="334"/>
      <c r="C651" s="334"/>
      <c r="D651" s="334"/>
    </row>
    <row r="652" spans="1:4" x14ac:dyDescent="0.2">
      <c r="A652" s="334" t="s">
        <v>1290</v>
      </c>
      <c r="B652" s="335">
        <v>1900118.2700000005</v>
      </c>
      <c r="C652" s="347">
        <f>+'Rate Computation'!D53</f>
        <v>2564139.2299999995</v>
      </c>
      <c r="D652" s="336">
        <f>+C652-B652</f>
        <v>664020.95999999903</v>
      </c>
    </row>
    <row r="653" spans="1:4" x14ac:dyDescent="0.2">
      <c r="A653" s="334"/>
      <c r="B653" s="334"/>
      <c r="C653" s="348"/>
      <c r="D653" s="337"/>
    </row>
    <row r="654" spans="1:4" x14ac:dyDescent="0.2">
      <c r="A654" s="334" t="s">
        <v>1291</v>
      </c>
      <c r="B654" s="333" t="s">
        <v>707</v>
      </c>
      <c r="C654" s="349" t="str">
        <f>+Parameter!H36</f>
        <v xml:space="preserve">L2 </v>
      </c>
      <c r="D654" s="337"/>
    </row>
    <row r="655" spans="1:4" x14ac:dyDescent="0.2">
      <c r="A655" s="334" t="s">
        <v>79</v>
      </c>
      <c r="B655" s="333">
        <v>12</v>
      </c>
      <c r="C655" s="349">
        <f>+Parameter!G36</f>
        <v>13</v>
      </c>
      <c r="D655" s="338">
        <f>+C655-B655</f>
        <v>1</v>
      </c>
    </row>
    <row r="656" spans="1:4" x14ac:dyDescent="0.2">
      <c r="A656" s="334"/>
      <c r="B656" s="333"/>
      <c r="C656" s="348"/>
      <c r="D656" s="337"/>
    </row>
    <row r="657" spans="1:4" x14ac:dyDescent="0.2">
      <c r="A657" s="334" t="s">
        <v>1292</v>
      </c>
      <c r="B657" s="339">
        <v>816893.30569632084</v>
      </c>
      <c r="C657" s="350">
        <f>+'Theoretical Reserve'!H920</f>
        <v>1110304.5851944366</v>
      </c>
      <c r="D657" s="340">
        <f t="shared" ref="D657:D659" si="86">+C657-B657</f>
        <v>293411.27949811576</v>
      </c>
    </row>
    <row r="658" spans="1:4" x14ac:dyDescent="0.2">
      <c r="A658" s="334" t="s">
        <v>1293</v>
      </c>
      <c r="B658" s="339">
        <v>999339.8</v>
      </c>
      <c r="C658" s="350">
        <f>+'Rate Computation'!E53</f>
        <v>1395539.2506799987</v>
      </c>
      <c r="D658" s="340">
        <f t="shared" si="86"/>
        <v>396199.45067999861</v>
      </c>
    </row>
    <row r="659" spans="1:4" x14ac:dyDescent="0.2">
      <c r="A659" s="334" t="s">
        <v>1294</v>
      </c>
      <c r="B659" s="339">
        <f>+B658-B657</f>
        <v>182446.49430367921</v>
      </c>
      <c r="C659" s="350">
        <f>+C658-C657</f>
        <v>285234.66548556206</v>
      </c>
      <c r="D659" s="340">
        <f t="shared" si="86"/>
        <v>102788.17118188285</v>
      </c>
    </row>
    <row r="660" spans="1:4" x14ac:dyDescent="0.2">
      <c r="A660" s="334"/>
      <c r="B660" s="334"/>
      <c r="C660" s="351"/>
      <c r="D660" s="337"/>
    </row>
    <row r="661" spans="1:4" x14ac:dyDescent="0.2">
      <c r="A661" s="334" t="s">
        <v>50</v>
      </c>
      <c r="B661" s="342">
        <f>+B658/B652</f>
        <v>0.52593557768380372</v>
      </c>
      <c r="C661" s="352">
        <f>+C658/C652</f>
        <v>0.5442525251173661</v>
      </c>
      <c r="D661" s="337"/>
    </row>
    <row r="662" spans="1:4" x14ac:dyDescent="0.2">
      <c r="A662" s="334"/>
      <c r="B662" s="334"/>
      <c r="C662" s="351"/>
      <c r="D662" s="337"/>
    </row>
    <row r="663" spans="1:4" x14ac:dyDescent="0.2">
      <c r="A663" s="334" t="s">
        <v>1295</v>
      </c>
      <c r="B663" s="343">
        <v>0.04</v>
      </c>
      <c r="C663" s="353">
        <f>+Parameter!I36/100</f>
        <v>7.0000000000000007E-2</v>
      </c>
      <c r="D663" s="344">
        <f t="shared" ref="D663:D665" si="87">+C663-B663</f>
        <v>3.0000000000000006E-2</v>
      </c>
    </row>
    <row r="664" spans="1:4" x14ac:dyDescent="0.2">
      <c r="A664" s="334" t="s">
        <v>1296</v>
      </c>
      <c r="B664" s="343">
        <v>0</v>
      </c>
      <c r="C664" s="353">
        <v>0</v>
      </c>
      <c r="D664" s="344">
        <f t="shared" si="87"/>
        <v>0</v>
      </c>
    </row>
    <row r="665" spans="1:4" x14ac:dyDescent="0.2">
      <c r="A665" s="334" t="s">
        <v>1297</v>
      </c>
      <c r="B665" s="343">
        <f>+B663-B664</f>
        <v>0.04</v>
      </c>
      <c r="C665" s="353">
        <f>+C663-C664</f>
        <v>7.0000000000000007E-2</v>
      </c>
      <c r="D665" s="344">
        <f t="shared" si="87"/>
        <v>3.0000000000000006E-2</v>
      </c>
    </row>
    <row r="666" spans="1:4" x14ac:dyDescent="0.2">
      <c r="A666" s="334"/>
      <c r="B666" s="334"/>
      <c r="C666" s="351"/>
      <c r="D666" s="337"/>
    </row>
    <row r="667" spans="1:4" x14ac:dyDescent="0.2">
      <c r="A667" s="334" t="s">
        <v>1298</v>
      </c>
      <c r="B667" s="342">
        <v>0.08</v>
      </c>
      <c r="C667" s="352">
        <f>ROUND((1-C665)/C655,3)</f>
        <v>7.1999999999999995E-2</v>
      </c>
      <c r="D667" s="341">
        <f>+C667-B667</f>
        <v>-8.0000000000000071E-3</v>
      </c>
    </row>
    <row r="668" spans="1:4" x14ac:dyDescent="0.2">
      <c r="A668" s="334" t="s">
        <v>1299</v>
      </c>
      <c r="B668" s="335">
        <f>+B652*B667</f>
        <v>152009.46160000004</v>
      </c>
      <c r="C668" s="354">
        <f>+C652*C667</f>
        <v>184618.02455999996</v>
      </c>
      <c r="D668" s="340">
        <f t="shared" ref="D668" si="88">+C668-B668</f>
        <v>32608.562959999923</v>
      </c>
    </row>
    <row r="669" spans="1:4" x14ac:dyDescent="0.2">
      <c r="A669" s="334"/>
      <c r="B669" s="334"/>
      <c r="C669" s="351"/>
      <c r="D669" s="337"/>
    </row>
    <row r="670" spans="1:4" x14ac:dyDescent="0.2">
      <c r="A670" s="334" t="s">
        <v>48</v>
      </c>
      <c r="B670" s="346">
        <v>6.6260364512973107</v>
      </c>
      <c r="C670" s="355">
        <f>+'Rate Computation'!M53</f>
        <v>6.9471357509861367</v>
      </c>
      <c r="D670" s="345">
        <f t="shared" ref="D670:D672" si="89">+C670-B670</f>
        <v>0.321099299688826</v>
      </c>
    </row>
    <row r="671" spans="1:4" x14ac:dyDescent="0.2">
      <c r="A671" s="334" t="s">
        <v>1300</v>
      </c>
      <c r="B671" s="342">
        <v>6.6000000000000003E-2</v>
      </c>
      <c r="C671" s="352">
        <f>+'Rate Computation'!Q53</f>
        <v>5.6000000000000001E-2</v>
      </c>
      <c r="D671" s="341">
        <f t="shared" si="89"/>
        <v>-1.0000000000000002E-2</v>
      </c>
    </row>
    <row r="672" spans="1:4" x14ac:dyDescent="0.2">
      <c r="A672" s="334" t="s">
        <v>1301</v>
      </c>
      <c r="B672" s="335">
        <f>+B652*B671</f>
        <v>125407.80582000004</v>
      </c>
      <c r="C672" s="354">
        <f>+C652*C671</f>
        <v>143591.79687999998</v>
      </c>
      <c r="D672" s="340">
        <f t="shared" si="89"/>
        <v>18183.991059999942</v>
      </c>
    </row>
    <row r="673" spans="1:4" x14ac:dyDescent="0.2">
      <c r="C673" s="12"/>
    </row>
    <row r="677" spans="1:4" x14ac:dyDescent="0.2">
      <c r="A677" s="407" t="s">
        <v>1284</v>
      </c>
      <c r="B677" s="408"/>
      <c r="C677" s="408"/>
      <c r="D677" s="409"/>
    </row>
    <row r="678" spans="1:4" x14ac:dyDescent="0.2">
      <c r="A678" s="407" t="s">
        <v>1285</v>
      </c>
      <c r="B678" s="408"/>
      <c r="C678" s="408"/>
      <c r="D678" s="409"/>
    </row>
    <row r="679" spans="1:4" x14ac:dyDescent="0.2">
      <c r="A679" s="401" t="s">
        <v>1332</v>
      </c>
      <c r="B679" s="402"/>
      <c r="C679" s="402"/>
      <c r="D679" s="403"/>
    </row>
    <row r="680" spans="1:4" x14ac:dyDescent="0.2">
      <c r="A680" s="404" t="s">
        <v>30</v>
      </c>
      <c r="B680" s="405"/>
      <c r="C680" s="405"/>
      <c r="D680" s="406"/>
    </row>
    <row r="681" spans="1:4" x14ac:dyDescent="0.2">
      <c r="A681" s="333" t="s">
        <v>1288</v>
      </c>
      <c r="B681" s="333" t="s">
        <v>1289</v>
      </c>
      <c r="C681" s="333">
        <v>2024</v>
      </c>
      <c r="D681" s="333" t="s">
        <v>1270</v>
      </c>
    </row>
    <row r="682" spans="1:4" x14ac:dyDescent="0.2">
      <c r="A682" s="334"/>
      <c r="B682" s="334"/>
      <c r="C682" s="334"/>
      <c r="D682" s="334"/>
    </row>
    <row r="683" spans="1:4" x14ac:dyDescent="0.2">
      <c r="A683" s="334" t="s">
        <v>1290</v>
      </c>
      <c r="B683" s="335">
        <v>3203465.4299999997</v>
      </c>
      <c r="C683" s="347">
        <f>+'Rate Computation'!D57</f>
        <v>4522728.60539502</v>
      </c>
      <c r="D683" s="336">
        <f>+C683-B683</f>
        <v>1319263.1753950203</v>
      </c>
    </row>
    <row r="684" spans="1:4" x14ac:dyDescent="0.2">
      <c r="A684" s="334"/>
      <c r="B684" s="334"/>
      <c r="C684" s="348"/>
      <c r="D684" s="337"/>
    </row>
    <row r="685" spans="1:4" x14ac:dyDescent="0.2">
      <c r="A685" s="334" t="s">
        <v>1291</v>
      </c>
      <c r="B685" s="333" t="s">
        <v>1259</v>
      </c>
      <c r="C685" s="349" t="str">
        <f>+Parameter!H51</f>
        <v>L1.5</v>
      </c>
      <c r="D685" s="337"/>
    </row>
    <row r="686" spans="1:4" x14ac:dyDescent="0.2">
      <c r="A686" s="334" t="s">
        <v>79</v>
      </c>
      <c r="B686" s="333">
        <v>18</v>
      </c>
      <c r="C686" s="349">
        <f>+Parameter!G51</f>
        <v>18</v>
      </c>
      <c r="D686" s="338">
        <f>+C686-B686</f>
        <v>0</v>
      </c>
    </row>
    <row r="687" spans="1:4" x14ac:dyDescent="0.2">
      <c r="A687" s="334"/>
      <c r="B687" s="333"/>
      <c r="C687" s="348"/>
      <c r="D687" s="337"/>
    </row>
    <row r="688" spans="1:4" x14ac:dyDescent="0.2">
      <c r="A688" s="334" t="s">
        <v>1292</v>
      </c>
      <c r="B688" s="339">
        <v>1092227.4105957225</v>
      </c>
      <c r="C688" s="350">
        <f>+'Theoretical Reserve'!H987</f>
        <v>1469239.0107407374</v>
      </c>
      <c r="D688" s="340">
        <f t="shared" ref="D688:D690" si="90">+C688-B688</f>
        <v>377011.60014501493</v>
      </c>
    </row>
    <row r="689" spans="1:4" x14ac:dyDescent="0.2">
      <c r="A689" s="334" t="s">
        <v>1293</v>
      </c>
      <c r="B689" s="339">
        <v>1926551.91</v>
      </c>
      <c r="C689" s="350">
        <f>+'Rate Computation'!E57</f>
        <v>2148335.1997778886</v>
      </c>
      <c r="D689" s="340">
        <f t="shared" si="90"/>
        <v>221783.28977788868</v>
      </c>
    </row>
    <row r="690" spans="1:4" x14ac:dyDescent="0.2">
      <c r="A690" s="334" t="s">
        <v>1294</v>
      </c>
      <c r="B690" s="339">
        <f>+B689-B688</f>
        <v>834324.49940427742</v>
      </c>
      <c r="C690" s="350">
        <f>+C689-C688</f>
        <v>679096.18903715117</v>
      </c>
      <c r="D690" s="340">
        <f t="shared" si="90"/>
        <v>-155228.31036712625</v>
      </c>
    </row>
    <row r="691" spans="1:4" x14ac:dyDescent="0.2">
      <c r="A691" s="334"/>
      <c r="B691" s="334"/>
      <c r="C691" s="351"/>
      <c r="D691" s="337"/>
    </row>
    <row r="692" spans="1:4" x14ac:dyDescent="0.2">
      <c r="A692" s="334" t="s">
        <v>50</v>
      </c>
      <c r="B692" s="342">
        <f>+B689/B683</f>
        <v>0.60139619174850911</v>
      </c>
      <c r="C692" s="352">
        <f>+C689/C683</f>
        <v>0.47500864792444264</v>
      </c>
      <c r="D692" s="337"/>
    </row>
    <row r="693" spans="1:4" x14ac:dyDescent="0.2">
      <c r="A693" s="334"/>
      <c r="B693" s="334"/>
      <c r="C693" s="351"/>
      <c r="D693" s="337"/>
    </row>
    <row r="694" spans="1:4" x14ac:dyDescent="0.2">
      <c r="A694" s="334" t="s">
        <v>1295</v>
      </c>
      <c r="B694" s="343">
        <v>0.1</v>
      </c>
      <c r="C694" s="353">
        <f>+Parameter!I51/100</f>
        <v>0.1</v>
      </c>
      <c r="D694" s="344">
        <f t="shared" ref="D694:D696" si="91">+C694-B694</f>
        <v>0</v>
      </c>
    </row>
    <row r="695" spans="1:4" x14ac:dyDescent="0.2">
      <c r="A695" s="334" t="s">
        <v>1296</v>
      </c>
      <c r="B695" s="343">
        <v>0</v>
      </c>
      <c r="C695" s="353">
        <v>0</v>
      </c>
      <c r="D695" s="344">
        <f t="shared" si="91"/>
        <v>0</v>
      </c>
    </row>
    <row r="696" spans="1:4" x14ac:dyDescent="0.2">
      <c r="A696" s="334" t="s">
        <v>1297</v>
      </c>
      <c r="B696" s="343">
        <f>+B694-B695</f>
        <v>0.1</v>
      </c>
      <c r="C696" s="353">
        <f>+C694-C695</f>
        <v>0.1</v>
      </c>
      <c r="D696" s="344">
        <f t="shared" si="91"/>
        <v>0</v>
      </c>
    </row>
    <row r="697" spans="1:4" x14ac:dyDescent="0.2">
      <c r="A697" s="334"/>
      <c r="B697" s="334"/>
      <c r="C697" s="351"/>
      <c r="D697" s="337"/>
    </row>
    <row r="698" spans="1:4" x14ac:dyDescent="0.2">
      <c r="A698" s="334" t="s">
        <v>1298</v>
      </c>
      <c r="B698" s="342">
        <v>0.05</v>
      </c>
      <c r="C698" s="352">
        <f>ROUND((1-C696)/C686,3)</f>
        <v>0.05</v>
      </c>
      <c r="D698" s="341">
        <f>+C698-B698</f>
        <v>0</v>
      </c>
    </row>
    <row r="699" spans="1:4" x14ac:dyDescent="0.2">
      <c r="A699" s="334" t="s">
        <v>1299</v>
      </c>
      <c r="B699" s="335">
        <f>+B683*B698</f>
        <v>160173.2715</v>
      </c>
      <c r="C699" s="354">
        <f>+C683*C698</f>
        <v>226136.430269751</v>
      </c>
      <c r="D699" s="340">
        <f t="shared" ref="D699" si="92">+C699-B699</f>
        <v>65963.158769750997</v>
      </c>
    </row>
    <row r="700" spans="1:4" x14ac:dyDescent="0.2">
      <c r="A700" s="334"/>
      <c r="B700" s="334"/>
      <c r="C700" s="351"/>
      <c r="D700" s="337"/>
    </row>
    <row r="701" spans="1:4" x14ac:dyDescent="0.2">
      <c r="A701" s="334" t="s">
        <v>48</v>
      </c>
      <c r="B701" s="346">
        <v>11.180963338220113</v>
      </c>
      <c r="C701" s="355">
        <f>'Rate Computation'!$M$57</f>
        <v>11.50286458051837</v>
      </c>
      <c r="D701" s="345">
        <f t="shared" ref="D701:D703" si="93">+C701-B701</f>
        <v>0.32190124229825656</v>
      </c>
    </row>
    <row r="702" spans="1:4" x14ac:dyDescent="0.2">
      <c r="A702" s="334" t="s">
        <v>1300</v>
      </c>
      <c r="B702" s="342">
        <v>2.7E-2</v>
      </c>
      <c r="C702" s="352">
        <f>+'Rate Computation'!Q57</f>
        <v>3.6999999999999998E-2</v>
      </c>
      <c r="D702" s="341">
        <f t="shared" si="93"/>
        <v>9.9999999999999985E-3</v>
      </c>
    </row>
    <row r="703" spans="1:4" x14ac:dyDescent="0.2">
      <c r="A703" s="334" t="s">
        <v>1301</v>
      </c>
      <c r="B703" s="335">
        <f>+B683*B702</f>
        <v>86493.566609999994</v>
      </c>
      <c r="C703" s="354">
        <f>+C683*C702</f>
        <v>167340.95839961575</v>
      </c>
      <c r="D703" s="340">
        <f t="shared" si="93"/>
        <v>80847.391789615751</v>
      </c>
    </row>
    <row r="708" spans="1:4" x14ac:dyDescent="0.2">
      <c r="A708" s="407" t="s">
        <v>1284</v>
      </c>
      <c r="B708" s="408"/>
      <c r="C708" s="408"/>
      <c r="D708" s="409"/>
    </row>
    <row r="709" spans="1:4" x14ac:dyDescent="0.2">
      <c r="A709" s="407" t="s">
        <v>1285</v>
      </c>
      <c r="B709" s="408"/>
      <c r="C709" s="408"/>
      <c r="D709" s="409"/>
    </row>
    <row r="710" spans="1:4" x14ac:dyDescent="0.2">
      <c r="A710" s="401" t="s">
        <v>1333</v>
      </c>
      <c r="B710" s="402"/>
      <c r="C710" s="402"/>
      <c r="D710" s="403"/>
    </row>
    <row r="711" spans="1:4" x14ac:dyDescent="0.2">
      <c r="A711" s="404" t="s">
        <v>107</v>
      </c>
      <c r="B711" s="405"/>
      <c r="C711" s="405"/>
      <c r="D711" s="406"/>
    </row>
    <row r="712" spans="1:4" x14ac:dyDescent="0.2">
      <c r="A712" s="333" t="s">
        <v>1288</v>
      </c>
      <c r="B712" s="333" t="s">
        <v>1289</v>
      </c>
      <c r="C712" s="333">
        <v>2024</v>
      </c>
      <c r="D712" s="333" t="s">
        <v>1270</v>
      </c>
    </row>
    <row r="713" spans="1:4" x14ac:dyDescent="0.2">
      <c r="A713" s="334"/>
      <c r="B713" s="334"/>
      <c r="C713" s="334"/>
      <c r="D713" s="334"/>
    </row>
    <row r="714" spans="1:4" x14ac:dyDescent="0.2">
      <c r="A714" s="334" t="s">
        <v>1290</v>
      </c>
      <c r="B714" s="335">
        <v>5898365.7100000018</v>
      </c>
      <c r="C714" s="347">
        <f>+'Rate Computation'!D47</f>
        <v>2192449.73</v>
      </c>
      <c r="D714" s="340">
        <f>+C714-B714</f>
        <v>-3705915.9800000018</v>
      </c>
    </row>
    <row r="715" spans="1:4" x14ac:dyDescent="0.2">
      <c r="A715" s="334"/>
      <c r="B715" s="334"/>
      <c r="C715" s="348"/>
      <c r="D715" s="337"/>
    </row>
    <row r="716" spans="1:4" x14ac:dyDescent="0.2">
      <c r="A716" s="334" t="s">
        <v>1291</v>
      </c>
      <c r="B716" s="333" t="s">
        <v>652</v>
      </c>
      <c r="C716" s="349" t="str">
        <f>+Parameter!H44</f>
        <v>SQ</v>
      </c>
      <c r="D716" s="337"/>
    </row>
    <row r="717" spans="1:4" x14ac:dyDescent="0.2">
      <c r="A717" s="334" t="s">
        <v>79</v>
      </c>
      <c r="B717" s="333">
        <v>17</v>
      </c>
      <c r="C717" s="349">
        <f>+Parameter!G44</f>
        <v>17</v>
      </c>
      <c r="D717" s="338">
        <f>+C717-B717</f>
        <v>0</v>
      </c>
    </row>
    <row r="718" spans="1:4" x14ac:dyDescent="0.2">
      <c r="A718" s="334"/>
      <c r="B718" s="333"/>
      <c r="C718" s="348"/>
      <c r="D718" s="337"/>
    </row>
    <row r="719" spans="1:4" x14ac:dyDescent="0.2">
      <c r="A719" s="334" t="s">
        <v>1292</v>
      </c>
      <c r="B719" s="339">
        <v>1274776.4794117648</v>
      </c>
      <c r="C719" s="350">
        <f>+'Theoretical Reserve'!H785</f>
        <v>1196618.1883333335</v>
      </c>
      <c r="D719" s="340">
        <f t="shared" ref="D719:D721" si="94">+C719-B719</f>
        <v>-78158.291078431299</v>
      </c>
    </row>
    <row r="720" spans="1:4" x14ac:dyDescent="0.2">
      <c r="A720" s="334" t="s">
        <v>1293</v>
      </c>
      <c r="B720" s="339">
        <v>1350659.75</v>
      </c>
      <c r="C720" s="350">
        <f>+'Rate Computation'!E47</f>
        <v>1250876.8360366272</v>
      </c>
      <c r="D720" s="340">
        <f t="shared" si="94"/>
        <v>-99782.913963372819</v>
      </c>
    </row>
    <row r="721" spans="1:4" x14ac:dyDescent="0.2">
      <c r="A721" s="334" t="s">
        <v>1294</v>
      </c>
      <c r="B721" s="339">
        <f>+B720-B719</f>
        <v>75883.270588235231</v>
      </c>
      <c r="C721" s="350">
        <f>+C720-C719</f>
        <v>54258.647703293711</v>
      </c>
      <c r="D721" s="340">
        <f t="shared" si="94"/>
        <v>-21624.62288494152</v>
      </c>
    </row>
    <row r="722" spans="1:4" x14ac:dyDescent="0.2">
      <c r="A722" s="334"/>
      <c r="B722" s="334"/>
      <c r="C722" s="351"/>
      <c r="D722" s="337"/>
    </row>
    <row r="723" spans="1:4" x14ac:dyDescent="0.2">
      <c r="A723" s="334" t="s">
        <v>50</v>
      </c>
      <c r="B723" s="342">
        <f>+B720/B714</f>
        <v>0.22898881086842607</v>
      </c>
      <c r="C723" s="352">
        <f>+C720/C714</f>
        <v>0.57053843420922001</v>
      </c>
      <c r="D723" s="337"/>
    </row>
    <row r="724" spans="1:4" x14ac:dyDescent="0.2">
      <c r="A724" s="334"/>
      <c r="B724" s="334"/>
      <c r="C724" s="351"/>
      <c r="D724" s="337"/>
    </row>
    <row r="725" spans="1:4" x14ac:dyDescent="0.2">
      <c r="A725" s="334" t="s">
        <v>1295</v>
      </c>
      <c r="B725" s="343">
        <v>0</v>
      </c>
      <c r="C725" s="353">
        <v>0</v>
      </c>
      <c r="D725" s="344">
        <f t="shared" ref="D725:D727" si="95">+C725-B725</f>
        <v>0</v>
      </c>
    </row>
    <row r="726" spans="1:4" x14ac:dyDescent="0.2">
      <c r="A726" s="334" t="s">
        <v>1296</v>
      </c>
      <c r="B726" s="343">
        <v>0</v>
      </c>
      <c r="C726" s="353">
        <f>+Parameter!I44/100</f>
        <v>0</v>
      </c>
      <c r="D726" s="344">
        <f t="shared" si="95"/>
        <v>0</v>
      </c>
    </row>
    <row r="727" spans="1:4" x14ac:dyDescent="0.2">
      <c r="A727" s="334" t="s">
        <v>1297</v>
      </c>
      <c r="B727" s="343">
        <f>+B725-B726</f>
        <v>0</v>
      </c>
      <c r="C727" s="353">
        <f>+C725-C726</f>
        <v>0</v>
      </c>
      <c r="D727" s="344">
        <f t="shared" si="95"/>
        <v>0</v>
      </c>
    </row>
    <row r="728" spans="1:4" x14ac:dyDescent="0.2">
      <c r="A728" s="334"/>
      <c r="B728" s="334"/>
      <c r="C728" s="351"/>
      <c r="D728" s="337"/>
    </row>
    <row r="729" spans="1:4" x14ac:dyDescent="0.2">
      <c r="A729" s="334" t="s">
        <v>1298</v>
      </c>
      <c r="B729" s="342">
        <v>5.8999999999999997E-2</v>
      </c>
      <c r="C729" s="352">
        <f>ROUND((1-C727)/C717,3)</f>
        <v>5.8999999999999997E-2</v>
      </c>
      <c r="D729" s="341">
        <f>+C729-B729</f>
        <v>0</v>
      </c>
    </row>
    <row r="730" spans="1:4" x14ac:dyDescent="0.2">
      <c r="A730" s="334" t="s">
        <v>1299</v>
      </c>
      <c r="B730" s="335">
        <f>+B729*B714</f>
        <v>348003.57689000008</v>
      </c>
      <c r="C730" s="354">
        <f>+C729*C714</f>
        <v>129354.53406999999</v>
      </c>
      <c r="D730" s="340">
        <f t="shared" ref="D730" si="96">+C730-B730</f>
        <v>-218649.04282000009</v>
      </c>
    </row>
    <row r="731" spans="1:4" x14ac:dyDescent="0.2">
      <c r="A731" s="334"/>
      <c r="B731" s="334"/>
      <c r="C731" s="351"/>
      <c r="D731" s="337"/>
    </row>
    <row r="732" spans="1:4" x14ac:dyDescent="0.2">
      <c r="A732" s="334" t="s">
        <v>48</v>
      </c>
      <c r="B732" s="346">
        <v>14.532783771207002</v>
      </c>
      <c r="C732" s="355">
        <f>+'Rate Computation'!M47</f>
        <v>6.8131428149096056</v>
      </c>
      <c r="D732" s="345">
        <f t="shared" ref="D732:D734" si="97">+C732-B732</f>
        <v>-7.7196409562973969</v>
      </c>
    </row>
    <row r="733" spans="1:4" x14ac:dyDescent="0.2">
      <c r="A733" s="334" t="s">
        <v>1300</v>
      </c>
      <c r="B733" s="342">
        <v>5.8999999999999997E-2</v>
      </c>
      <c r="C733" s="352">
        <f>+'Rate Computation'!Q47</f>
        <v>6.3E-2</v>
      </c>
      <c r="D733" s="341">
        <f t="shared" si="97"/>
        <v>4.0000000000000036E-3</v>
      </c>
    </row>
    <row r="734" spans="1:4" x14ac:dyDescent="0.2">
      <c r="A734" s="334" t="s">
        <v>1301</v>
      </c>
      <c r="B734" s="335">
        <f>+B733*B714</f>
        <v>348003.57689000008</v>
      </c>
      <c r="C734" s="354">
        <f>+C733*C714</f>
        <v>138124.33299</v>
      </c>
      <c r="D734" s="340">
        <f t="shared" si="97"/>
        <v>-209879.24390000009</v>
      </c>
    </row>
    <row r="735" spans="1:4" x14ac:dyDescent="0.2">
      <c r="C735" s="12"/>
    </row>
    <row r="736" spans="1:4" x14ac:dyDescent="0.2">
      <c r="C736" s="12"/>
    </row>
    <row r="740" spans="1:4" x14ac:dyDescent="0.2">
      <c r="A740" s="407" t="s">
        <v>1284</v>
      </c>
      <c r="B740" s="408"/>
      <c r="C740" s="408"/>
      <c r="D740" s="409"/>
    </row>
    <row r="741" spans="1:4" x14ac:dyDescent="0.2">
      <c r="A741" s="407" t="s">
        <v>1285</v>
      </c>
      <c r="B741" s="408"/>
      <c r="C741" s="408"/>
      <c r="D741" s="409"/>
    </row>
    <row r="742" spans="1:4" x14ac:dyDescent="0.2">
      <c r="A742" s="401" t="s">
        <v>1334</v>
      </c>
      <c r="B742" s="402"/>
      <c r="C742" s="402"/>
      <c r="D742" s="403"/>
    </row>
    <row r="743" spans="1:4" x14ac:dyDescent="0.2">
      <c r="A743" s="404" t="s">
        <v>108</v>
      </c>
      <c r="B743" s="405"/>
      <c r="C743" s="405"/>
      <c r="D743" s="406"/>
    </row>
    <row r="744" spans="1:4" x14ac:dyDescent="0.2">
      <c r="A744" s="333" t="s">
        <v>1288</v>
      </c>
      <c r="B744" s="333" t="s">
        <v>1289</v>
      </c>
      <c r="C744" s="333">
        <v>2024</v>
      </c>
      <c r="D744" s="333" t="s">
        <v>1270</v>
      </c>
    </row>
    <row r="745" spans="1:4" x14ac:dyDescent="0.2">
      <c r="A745" s="334"/>
      <c r="B745" s="334"/>
      <c r="C745" s="334"/>
      <c r="D745" s="334"/>
    </row>
    <row r="746" spans="1:4" x14ac:dyDescent="0.2">
      <c r="A746" s="334" t="s">
        <v>1290</v>
      </c>
      <c r="B746" s="335">
        <v>4500269.3499999996</v>
      </c>
      <c r="C746" s="347">
        <f>+'Rate Computation'!D48</f>
        <v>6423957.1449999902</v>
      </c>
      <c r="D746" s="336">
        <f>+C746-B746</f>
        <v>1923687.7949999906</v>
      </c>
    </row>
    <row r="747" spans="1:4" x14ac:dyDescent="0.2">
      <c r="A747" s="334"/>
      <c r="B747" s="334"/>
      <c r="C747" s="348"/>
      <c r="D747" s="337"/>
    </row>
    <row r="748" spans="1:4" x14ac:dyDescent="0.2">
      <c r="A748" s="334" t="s">
        <v>1291</v>
      </c>
      <c r="B748" s="333" t="s">
        <v>652</v>
      </c>
      <c r="C748" s="349" t="str">
        <f>+Parameter!H45</f>
        <v>SQ</v>
      </c>
      <c r="D748" s="337"/>
    </row>
    <row r="749" spans="1:4" x14ac:dyDescent="0.2">
      <c r="A749" s="334" t="s">
        <v>79</v>
      </c>
      <c r="B749" s="333">
        <v>9</v>
      </c>
      <c r="C749" s="349">
        <f>+Parameter!G45</f>
        <v>9</v>
      </c>
      <c r="D749" s="338">
        <f>+C749-B749</f>
        <v>0</v>
      </c>
    </row>
    <row r="750" spans="1:4" x14ac:dyDescent="0.2">
      <c r="A750" s="334"/>
      <c r="B750" s="333"/>
      <c r="C750" s="348"/>
      <c r="D750" s="337"/>
    </row>
    <row r="751" spans="1:4" x14ac:dyDescent="0.2">
      <c r="A751" s="334" t="s">
        <v>1292</v>
      </c>
      <c r="B751" s="339">
        <v>2983522.0122222221</v>
      </c>
      <c r="C751" s="350">
        <f>+'Theoretical Reserve'!H799</f>
        <v>2954096.7411101125</v>
      </c>
      <c r="D751" s="340">
        <f t="shared" ref="D751:D753" si="98">+C751-B751</f>
        <v>-29425.271112109534</v>
      </c>
    </row>
    <row r="752" spans="1:4" x14ac:dyDescent="0.2">
      <c r="A752" s="334" t="s">
        <v>1293</v>
      </c>
      <c r="B752" s="339">
        <v>3905942.06</v>
      </c>
      <c r="C752" s="350">
        <f>+'Rate Computation'!E48</f>
        <v>3887200.5361898364</v>
      </c>
      <c r="D752" s="340">
        <f t="shared" si="98"/>
        <v>-18741.523810163606</v>
      </c>
    </row>
    <row r="753" spans="1:4" x14ac:dyDescent="0.2">
      <c r="A753" s="334" t="s">
        <v>1294</v>
      </c>
      <c r="B753" s="339">
        <f>+B752-B751</f>
        <v>922420.047777778</v>
      </c>
      <c r="C753" s="350">
        <f>+C752-C751</f>
        <v>933103.79507972393</v>
      </c>
      <c r="D753" s="340">
        <f t="shared" si="98"/>
        <v>10683.747301945928</v>
      </c>
    </row>
    <row r="754" spans="1:4" x14ac:dyDescent="0.2">
      <c r="A754" s="334"/>
      <c r="B754" s="334"/>
      <c r="C754" s="351"/>
      <c r="D754" s="337"/>
    </row>
    <row r="755" spans="1:4" x14ac:dyDescent="0.2">
      <c r="A755" s="334" t="s">
        <v>50</v>
      </c>
      <c r="B755" s="342">
        <f>+B752/B746</f>
        <v>0.86793517370243634</v>
      </c>
      <c r="C755" s="352">
        <f>+C752/C746</f>
        <v>0.60510997325307381</v>
      </c>
      <c r="D755" s="337"/>
    </row>
    <row r="756" spans="1:4" x14ac:dyDescent="0.2">
      <c r="A756" s="334"/>
      <c r="B756" s="334"/>
      <c r="C756" s="351"/>
      <c r="D756" s="337"/>
    </row>
    <row r="757" spans="1:4" x14ac:dyDescent="0.2">
      <c r="A757" s="334" t="s">
        <v>1295</v>
      </c>
      <c r="B757" s="343">
        <v>0</v>
      </c>
      <c r="C757" s="353">
        <v>0</v>
      </c>
      <c r="D757" s="344">
        <f t="shared" ref="D757:D759" si="99">+C757-B757</f>
        <v>0</v>
      </c>
    </row>
    <row r="758" spans="1:4" x14ac:dyDescent="0.2">
      <c r="A758" s="334" t="s">
        <v>1296</v>
      </c>
      <c r="B758" s="343">
        <v>0</v>
      </c>
      <c r="C758" s="353">
        <f>+Parameter!I45/100</f>
        <v>0</v>
      </c>
      <c r="D758" s="344">
        <f t="shared" si="99"/>
        <v>0</v>
      </c>
    </row>
    <row r="759" spans="1:4" x14ac:dyDescent="0.2">
      <c r="A759" s="334" t="s">
        <v>1297</v>
      </c>
      <c r="B759" s="343">
        <f>+B757-B758</f>
        <v>0</v>
      </c>
      <c r="C759" s="353">
        <f>+C757-C758</f>
        <v>0</v>
      </c>
      <c r="D759" s="344">
        <f t="shared" si="99"/>
        <v>0</v>
      </c>
    </row>
    <row r="760" spans="1:4" x14ac:dyDescent="0.2">
      <c r="A760" s="334"/>
      <c r="B760" s="334"/>
      <c r="C760" s="351"/>
      <c r="D760" s="337"/>
    </row>
    <row r="761" spans="1:4" x14ac:dyDescent="0.2">
      <c r="A761" s="334" t="s">
        <v>1298</v>
      </c>
      <c r="B761" s="342">
        <v>0.111</v>
      </c>
      <c r="C761" s="352">
        <f>+'Proposed Accruals'!L51/100</f>
        <v>0.111</v>
      </c>
      <c r="D761" s="341">
        <f>+C761-B761</f>
        <v>0</v>
      </c>
    </row>
    <row r="762" spans="1:4" x14ac:dyDescent="0.2">
      <c r="A762" s="334" t="s">
        <v>1299</v>
      </c>
      <c r="B762" s="335">
        <f>+B746*B761</f>
        <v>499529.89784999995</v>
      </c>
      <c r="C762" s="354">
        <f>+C746*C761</f>
        <v>713059.24309499888</v>
      </c>
      <c r="D762" s="340">
        <f t="shared" ref="D762" si="100">+C762-B762</f>
        <v>213529.34524499893</v>
      </c>
    </row>
    <row r="763" spans="1:4" x14ac:dyDescent="0.2">
      <c r="A763" s="334"/>
      <c r="B763" s="334"/>
      <c r="C763" s="351"/>
      <c r="D763" s="337"/>
    </row>
    <row r="764" spans="1:4" x14ac:dyDescent="0.2">
      <c r="A764" s="334" t="s">
        <v>48</v>
      </c>
      <c r="B764" s="346">
        <v>5.1530116716943164</v>
      </c>
      <c r="C764" s="355">
        <f>+'Rate Computation'!M47</f>
        <v>6.8131428149096056</v>
      </c>
      <c r="D764" s="345">
        <f t="shared" ref="D764:D766" si="101">+C764-B764</f>
        <v>1.6601311432152892</v>
      </c>
    </row>
    <row r="765" spans="1:4" x14ac:dyDescent="0.2">
      <c r="A765" s="334" t="s">
        <v>1300</v>
      </c>
      <c r="B765" s="342">
        <v>0.111</v>
      </c>
      <c r="C765" s="352">
        <f>+'Rate Computation'!Q47</f>
        <v>6.3E-2</v>
      </c>
      <c r="D765" s="341">
        <f t="shared" si="101"/>
        <v>-4.8000000000000001E-2</v>
      </c>
    </row>
    <row r="766" spans="1:4" x14ac:dyDescent="0.2">
      <c r="A766" s="334" t="s">
        <v>1301</v>
      </c>
      <c r="B766" s="335">
        <f>+B746*B765</f>
        <v>499529.89784999995</v>
      </c>
      <c r="C766" s="354">
        <f>+C746*C765</f>
        <v>404709.30013499939</v>
      </c>
      <c r="D766" s="340">
        <f t="shared" si="101"/>
        <v>-94820.597715000564</v>
      </c>
    </row>
    <row r="767" spans="1:4" x14ac:dyDescent="0.2">
      <c r="C767" s="12"/>
    </row>
    <row r="770" spans="1:4" x14ac:dyDescent="0.2">
      <c r="A770" s="407" t="s">
        <v>1284</v>
      </c>
      <c r="B770" s="408"/>
      <c r="C770" s="408"/>
      <c r="D770" s="409"/>
    </row>
    <row r="771" spans="1:4" x14ac:dyDescent="0.2">
      <c r="A771" s="407" t="s">
        <v>1285</v>
      </c>
      <c r="B771" s="408"/>
      <c r="C771" s="408"/>
      <c r="D771" s="409"/>
    </row>
    <row r="772" spans="1:4" x14ac:dyDescent="0.2">
      <c r="A772" s="401" t="s">
        <v>1335</v>
      </c>
      <c r="B772" s="402"/>
      <c r="C772" s="402"/>
      <c r="D772" s="403"/>
    </row>
    <row r="773" spans="1:4" x14ac:dyDescent="0.2">
      <c r="A773" s="404" t="s">
        <v>109</v>
      </c>
      <c r="B773" s="405"/>
      <c r="C773" s="405"/>
      <c r="D773" s="406"/>
    </row>
    <row r="774" spans="1:4" x14ac:dyDescent="0.2">
      <c r="A774" s="333" t="s">
        <v>1288</v>
      </c>
      <c r="B774" s="333" t="s">
        <v>1289</v>
      </c>
      <c r="C774" s="333">
        <v>2024</v>
      </c>
      <c r="D774" s="333" t="s">
        <v>1270</v>
      </c>
    </row>
    <row r="775" spans="1:4" x14ac:dyDescent="0.2">
      <c r="A775" s="334"/>
      <c r="B775" s="334"/>
      <c r="C775" s="334"/>
      <c r="D775" s="334"/>
    </row>
    <row r="776" spans="1:4" x14ac:dyDescent="0.2">
      <c r="A776" s="334" t="s">
        <v>1290</v>
      </c>
      <c r="B776" s="335">
        <v>1402780.0899999999</v>
      </c>
      <c r="C776" s="347">
        <f>+'Rate Computation'!D49</f>
        <v>1529673.7899999998</v>
      </c>
      <c r="D776" s="336">
        <f>+C776-B776</f>
        <v>126893.69999999995</v>
      </c>
    </row>
    <row r="777" spans="1:4" x14ac:dyDescent="0.2">
      <c r="A777" s="334"/>
      <c r="B777" s="334"/>
      <c r="C777" s="348"/>
      <c r="D777" s="337"/>
    </row>
    <row r="778" spans="1:4" x14ac:dyDescent="0.2">
      <c r="A778" s="334" t="s">
        <v>1291</v>
      </c>
      <c r="B778" s="333" t="s">
        <v>652</v>
      </c>
      <c r="C778" s="349" t="str">
        <f>+Parameter!H46</f>
        <v>SQ</v>
      </c>
      <c r="D778" s="337"/>
    </row>
    <row r="779" spans="1:4" x14ac:dyDescent="0.2">
      <c r="A779" s="334" t="s">
        <v>79</v>
      </c>
      <c r="B779" s="333">
        <v>15</v>
      </c>
      <c r="C779" s="349">
        <f>+Parameter!G46</f>
        <v>15</v>
      </c>
      <c r="D779" s="338">
        <f>+C779-B779</f>
        <v>0</v>
      </c>
    </row>
    <row r="780" spans="1:4" x14ac:dyDescent="0.2">
      <c r="A780" s="334"/>
      <c r="B780" s="333"/>
      <c r="C780" s="348"/>
      <c r="D780" s="337"/>
    </row>
    <row r="781" spans="1:4" x14ac:dyDescent="0.2">
      <c r="A781" s="334" t="s">
        <v>1292</v>
      </c>
      <c r="B781" s="339">
        <v>175528.43633333329</v>
      </c>
      <c r="C781" s="350">
        <f>+'Theoretical Reserve'!H819</f>
        <v>1017935.451</v>
      </c>
      <c r="D781" s="340">
        <f t="shared" ref="D781:D783" si="102">+C781-B781</f>
        <v>842407.01466666674</v>
      </c>
    </row>
    <row r="782" spans="1:4" x14ac:dyDescent="0.2">
      <c r="A782" s="334" t="s">
        <v>1293</v>
      </c>
      <c r="B782" s="339">
        <v>729056.68</v>
      </c>
      <c r="C782" s="350">
        <f>+'Rate Computation'!E49</f>
        <v>1057059.5213299992</v>
      </c>
      <c r="D782" s="340">
        <f t="shared" si="102"/>
        <v>328002.84132999915</v>
      </c>
    </row>
    <row r="783" spans="1:4" x14ac:dyDescent="0.2">
      <c r="A783" s="334" t="s">
        <v>1294</v>
      </c>
      <c r="B783" s="339">
        <f>+B782-B781</f>
        <v>553528.24366666679</v>
      </c>
      <c r="C783" s="350">
        <f>+C782-C781</f>
        <v>39124.070329999202</v>
      </c>
      <c r="D783" s="340">
        <f t="shared" si="102"/>
        <v>-514404.17333666759</v>
      </c>
    </row>
    <row r="784" spans="1:4" x14ac:dyDescent="0.2">
      <c r="A784" s="334"/>
      <c r="B784" s="334"/>
      <c r="C784" s="351"/>
      <c r="D784" s="337"/>
    </row>
    <row r="785" spans="1:4" x14ac:dyDescent="0.2">
      <c r="A785" s="334" t="s">
        <v>50</v>
      </c>
      <c r="B785" s="342">
        <f>+B782/B776</f>
        <v>0.51972271719368368</v>
      </c>
      <c r="C785" s="352">
        <f>+C782/C776</f>
        <v>0.69103591121215413</v>
      </c>
      <c r="D785" s="337"/>
    </row>
    <row r="786" spans="1:4" x14ac:dyDescent="0.2">
      <c r="A786" s="334"/>
      <c r="B786" s="334"/>
      <c r="C786" s="351"/>
      <c r="D786" s="337"/>
    </row>
    <row r="787" spans="1:4" x14ac:dyDescent="0.2">
      <c r="A787" s="334" t="s">
        <v>1295</v>
      </c>
      <c r="B787" s="343">
        <v>0</v>
      </c>
      <c r="C787" s="353">
        <v>0</v>
      </c>
      <c r="D787" s="344">
        <f t="shared" ref="D787:D789" si="103">+C787-B787</f>
        <v>0</v>
      </c>
    </row>
    <row r="788" spans="1:4" x14ac:dyDescent="0.2">
      <c r="A788" s="334" t="s">
        <v>1296</v>
      </c>
      <c r="B788" s="343">
        <v>0</v>
      </c>
      <c r="C788" s="353">
        <f>+Parameter!I42/100</f>
        <v>0</v>
      </c>
      <c r="D788" s="344">
        <f t="shared" si="103"/>
        <v>0</v>
      </c>
    </row>
    <row r="789" spans="1:4" x14ac:dyDescent="0.2">
      <c r="A789" s="334" t="s">
        <v>1297</v>
      </c>
      <c r="B789" s="343">
        <f>+B787-B788</f>
        <v>0</v>
      </c>
      <c r="C789" s="353">
        <f>+C787-C788</f>
        <v>0</v>
      </c>
      <c r="D789" s="344">
        <f t="shared" si="103"/>
        <v>0</v>
      </c>
    </row>
    <row r="790" spans="1:4" x14ac:dyDescent="0.2">
      <c r="A790" s="334"/>
      <c r="B790" s="334"/>
      <c r="C790" s="351"/>
      <c r="D790" s="337"/>
    </row>
    <row r="791" spans="1:4" x14ac:dyDescent="0.2">
      <c r="A791" s="334" t="s">
        <v>1298</v>
      </c>
      <c r="B791" s="342">
        <v>6.7000000000000004E-2</v>
      </c>
      <c r="C791" s="352">
        <f>+'Proposed Accruals'!L52/100</f>
        <v>6.7000000000000004E-2</v>
      </c>
      <c r="D791" s="341">
        <f>+C791-B791</f>
        <v>0</v>
      </c>
    </row>
    <row r="792" spans="1:4" x14ac:dyDescent="0.2">
      <c r="A792" s="334" t="s">
        <v>1299</v>
      </c>
      <c r="B792" s="335">
        <f>+B776*B791</f>
        <v>93986.266029999999</v>
      </c>
      <c r="C792" s="354">
        <f>+C776*C791</f>
        <v>102488.14392999999</v>
      </c>
      <c r="D792" s="340">
        <f t="shared" ref="D792" si="104">+C792-B792</f>
        <v>8501.8778999999922</v>
      </c>
    </row>
    <row r="793" spans="1:4" x14ac:dyDescent="0.2">
      <c r="A793" s="334"/>
      <c r="B793" s="334"/>
      <c r="C793" s="351"/>
      <c r="D793" s="337"/>
    </row>
    <row r="794" spans="1:4" x14ac:dyDescent="0.2">
      <c r="A794" s="334" t="s">
        <v>48</v>
      </c>
      <c r="B794" s="346">
        <v>13.082675136200432</v>
      </c>
      <c r="C794" s="355">
        <f>+'Rate Computation'!M49</f>
        <v>5.0181124467066933</v>
      </c>
      <c r="D794" s="345">
        <f t="shared" ref="D794:D796" si="105">+C794-B794</f>
        <v>-8.064562689493739</v>
      </c>
    </row>
    <row r="795" spans="1:4" x14ac:dyDescent="0.2">
      <c r="A795" s="334" t="s">
        <v>1300</v>
      </c>
      <c r="B795" s="342">
        <v>6.7000000000000004E-2</v>
      </c>
      <c r="C795" s="352">
        <f>+'Rate Computation'!Q49</f>
        <v>6.2E-2</v>
      </c>
      <c r="D795" s="341">
        <f t="shared" si="105"/>
        <v>-5.0000000000000044E-3</v>
      </c>
    </row>
    <row r="796" spans="1:4" x14ac:dyDescent="0.2">
      <c r="A796" s="334" t="s">
        <v>1301</v>
      </c>
      <c r="B796" s="335">
        <f>+B776*B795</f>
        <v>93986.266029999999</v>
      </c>
      <c r="C796" s="354">
        <f>+C776*C795</f>
        <v>94839.774979999987</v>
      </c>
      <c r="D796" s="340">
        <f t="shared" si="105"/>
        <v>853.50894999998854</v>
      </c>
    </row>
    <row r="801" spans="1:4" x14ac:dyDescent="0.2">
      <c r="A801" s="407" t="s">
        <v>1284</v>
      </c>
      <c r="B801" s="408"/>
      <c r="C801" s="408"/>
      <c r="D801" s="409"/>
    </row>
    <row r="802" spans="1:4" x14ac:dyDescent="0.2">
      <c r="A802" s="407" t="s">
        <v>1285</v>
      </c>
      <c r="B802" s="408"/>
      <c r="C802" s="408"/>
      <c r="D802" s="409"/>
    </row>
    <row r="803" spans="1:4" x14ac:dyDescent="0.2">
      <c r="A803" s="401" t="s">
        <v>1336</v>
      </c>
      <c r="B803" s="402"/>
      <c r="C803" s="402"/>
      <c r="D803" s="403"/>
    </row>
    <row r="804" spans="1:4" x14ac:dyDescent="0.2">
      <c r="A804" s="404" t="s">
        <v>114</v>
      </c>
      <c r="B804" s="405"/>
      <c r="C804" s="405"/>
      <c r="D804" s="406"/>
    </row>
    <row r="805" spans="1:4" x14ac:dyDescent="0.2">
      <c r="A805" s="333" t="s">
        <v>1288</v>
      </c>
      <c r="B805" s="333" t="s">
        <v>1289</v>
      </c>
      <c r="C805" s="333">
        <v>2024</v>
      </c>
      <c r="D805" s="333" t="s">
        <v>1270</v>
      </c>
    </row>
    <row r="806" spans="1:4" x14ac:dyDescent="0.2">
      <c r="A806" s="334"/>
      <c r="B806" s="334"/>
      <c r="C806" s="334"/>
      <c r="D806" s="334"/>
    </row>
    <row r="807" spans="1:4" x14ac:dyDescent="0.2">
      <c r="A807" s="334" t="s">
        <v>1290</v>
      </c>
      <c r="B807" s="335">
        <v>1283.3900000000001</v>
      </c>
      <c r="C807" s="347">
        <f>+'Rate Computation'!D54</f>
        <v>1283.3900000000001</v>
      </c>
      <c r="D807" s="336">
        <f>+C807-B807</f>
        <v>0</v>
      </c>
    </row>
    <row r="808" spans="1:4" x14ac:dyDescent="0.2">
      <c r="A808" s="334"/>
      <c r="B808" s="334"/>
      <c r="C808" s="348"/>
      <c r="D808" s="337"/>
    </row>
    <row r="809" spans="1:4" x14ac:dyDescent="0.2">
      <c r="A809" s="334" t="s">
        <v>1291</v>
      </c>
      <c r="B809" s="333" t="s">
        <v>652</v>
      </c>
      <c r="C809" s="349" t="str">
        <f>+Parameter!H47</f>
        <v>SQ</v>
      </c>
      <c r="D809" s="337"/>
    </row>
    <row r="810" spans="1:4" x14ac:dyDescent="0.2">
      <c r="A810" s="334" t="s">
        <v>79</v>
      </c>
      <c r="B810" s="333">
        <v>24</v>
      </c>
      <c r="C810" s="349">
        <f>+Parameter!G47</f>
        <v>24</v>
      </c>
      <c r="D810" s="338">
        <f>+C810-B810</f>
        <v>0</v>
      </c>
    </row>
    <row r="811" spans="1:4" x14ac:dyDescent="0.2">
      <c r="A811" s="334"/>
      <c r="B811" s="333"/>
      <c r="C811" s="348"/>
      <c r="D811" s="337"/>
    </row>
    <row r="812" spans="1:4" x14ac:dyDescent="0.2">
      <c r="A812" s="334" t="s">
        <v>1292</v>
      </c>
      <c r="B812" s="339">
        <v>294.11020833333333</v>
      </c>
      <c r="C812" s="350">
        <f>+'Theoretical Reserve'!H921</f>
        <v>668.43229166666663</v>
      </c>
      <c r="D812" s="340">
        <f t="shared" ref="D812:D814" si="106">+C812-B812</f>
        <v>374.3220833333333</v>
      </c>
    </row>
    <row r="813" spans="1:4" x14ac:dyDescent="0.2">
      <c r="A813" s="334" t="s">
        <v>1293</v>
      </c>
      <c r="B813" s="339">
        <v>430.21</v>
      </c>
      <c r="C813" s="350">
        <f>+'Rate Computation'!E54</f>
        <v>647.04815000006727</v>
      </c>
      <c r="D813" s="340">
        <f t="shared" si="106"/>
        <v>216.83815000006729</v>
      </c>
    </row>
    <row r="814" spans="1:4" x14ac:dyDescent="0.2">
      <c r="A814" s="334" t="s">
        <v>1294</v>
      </c>
      <c r="B814" s="339">
        <f>+B813-B812</f>
        <v>136.09979166666665</v>
      </c>
      <c r="C814" s="350">
        <f>+C813-C812</f>
        <v>-21.384141666599362</v>
      </c>
      <c r="D814" s="340">
        <f t="shared" si="106"/>
        <v>-157.48393333326601</v>
      </c>
    </row>
    <row r="815" spans="1:4" x14ac:dyDescent="0.2">
      <c r="A815" s="334"/>
      <c r="B815" s="334"/>
      <c r="C815" s="351"/>
      <c r="D815" s="337"/>
    </row>
    <row r="816" spans="1:4" x14ac:dyDescent="0.2">
      <c r="A816" s="334" t="s">
        <v>50</v>
      </c>
      <c r="B816" s="342">
        <f>+B813/B807</f>
        <v>0.33521376978159401</v>
      </c>
      <c r="C816" s="352">
        <f>+C813/C807</f>
        <v>0.50417110153582867</v>
      </c>
      <c r="D816" s="337"/>
    </row>
    <row r="817" spans="1:4" x14ac:dyDescent="0.2">
      <c r="A817" s="334"/>
      <c r="B817" s="334"/>
      <c r="C817" s="351"/>
      <c r="D817" s="337"/>
    </row>
    <row r="818" spans="1:4" x14ac:dyDescent="0.2">
      <c r="A818" s="334" t="s">
        <v>1295</v>
      </c>
      <c r="B818" s="343">
        <v>0</v>
      </c>
      <c r="C818" s="353">
        <v>0</v>
      </c>
      <c r="D818" s="344">
        <f t="shared" ref="D818:D820" si="107">+C818-B818</f>
        <v>0</v>
      </c>
    </row>
    <row r="819" spans="1:4" x14ac:dyDescent="0.2">
      <c r="A819" s="334" t="s">
        <v>1296</v>
      </c>
      <c r="B819" s="343">
        <v>0</v>
      </c>
      <c r="C819" s="353">
        <f>+Parameter!I47/100</f>
        <v>0</v>
      </c>
      <c r="D819" s="344">
        <f t="shared" si="107"/>
        <v>0</v>
      </c>
    </row>
    <row r="820" spans="1:4" x14ac:dyDescent="0.2">
      <c r="A820" s="334" t="s">
        <v>1297</v>
      </c>
      <c r="B820" s="343">
        <f>+B818-B819</f>
        <v>0</v>
      </c>
      <c r="C820" s="353">
        <f>+C818-C819</f>
        <v>0</v>
      </c>
      <c r="D820" s="344">
        <f t="shared" si="107"/>
        <v>0</v>
      </c>
    </row>
    <row r="821" spans="1:4" x14ac:dyDescent="0.2">
      <c r="A821" s="334"/>
      <c r="B821" s="334"/>
      <c r="C821" s="351"/>
      <c r="D821" s="337"/>
    </row>
    <row r="822" spans="1:4" x14ac:dyDescent="0.2">
      <c r="A822" s="334" t="s">
        <v>1298</v>
      </c>
      <c r="B822" s="342">
        <v>4.2000000000000003E-2</v>
      </c>
      <c r="C822" s="352">
        <f>+'Proposed Accruals'!L53/100</f>
        <v>4.2000000000000003E-2</v>
      </c>
      <c r="D822" s="341">
        <f>+C822-B822</f>
        <v>0</v>
      </c>
    </row>
    <row r="823" spans="1:4" x14ac:dyDescent="0.2">
      <c r="A823" s="334" t="s">
        <v>1299</v>
      </c>
      <c r="B823" s="335">
        <f>+B822*B807</f>
        <v>53.902380000000008</v>
      </c>
      <c r="C823" s="354">
        <f>+C822*C807</f>
        <v>53.902380000000008</v>
      </c>
      <c r="D823" s="340">
        <f t="shared" ref="D823" si="108">+C823-B823</f>
        <v>0</v>
      </c>
    </row>
    <row r="824" spans="1:4" x14ac:dyDescent="0.2">
      <c r="A824" s="334"/>
      <c r="B824" s="334"/>
      <c r="C824" s="351"/>
      <c r="D824" s="337"/>
    </row>
    <row r="825" spans="1:4" x14ac:dyDescent="0.2">
      <c r="A825" s="334" t="s">
        <v>48</v>
      </c>
      <c r="B825" s="346">
        <v>18.5</v>
      </c>
      <c r="C825" s="355">
        <f>+'Rate Computation'!M54</f>
        <v>11.5</v>
      </c>
      <c r="D825" s="345">
        <f t="shared" ref="D825:D827" si="109">+C825-B825</f>
        <v>-7</v>
      </c>
    </row>
    <row r="826" spans="1:4" x14ac:dyDescent="0.2">
      <c r="A826" s="334" t="s">
        <v>1300</v>
      </c>
      <c r="B826" s="342">
        <v>4.2000000000000003E-2</v>
      </c>
      <c r="C826" s="352">
        <f>+'Rate Computation'!Q54</f>
        <v>4.2999999999999997E-2</v>
      </c>
      <c r="D826" s="341">
        <f t="shared" si="109"/>
        <v>9.9999999999999395E-4</v>
      </c>
    </row>
    <row r="827" spans="1:4" x14ac:dyDescent="0.2">
      <c r="A827" s="334" t="s">
        <v>1301</v>
      </c>
      <c r="B827" s="335">
        <f>+B807*B826</f>
        <v>53.902380000000008</v>
      </c>
      <c r="C827" s="354">
        <f>+C807*C826</f>
        <v>55.185769999999998</v>
      </c>
      <c r="D827" s="340">
        <f t="shared" si="109"/>
        <v>1.28338999999999</v>
      </c>
    </row>
    <row r="831" spans="1:4" x14ac:dyDescent="0.2">
      <c r="A831" s="407" t="s">
        <v>1284</v>
      </c>
      <c r="B831" s="408"/>
      <c r="C831" s="408"/>
      <c r="D831" s="409"/>
    </row>
    <row r="832" spans="1:4" x14ac:dyDescent="0.2">
      <c r="A832" s="407" t="s">
        <v>1285</v>
      </c>
      <c r="B832" s="408"/>
      <c r="C832" s="408"/>
      <c r="D832" s="409"/>
    </row>
    <row r="833" spans="1:4" x14ac:dyDescent="0.2">
      <c r="A833" s="401" t="s">
        <v>1337</v>
      </c>
      <c r="B833" s="402"/>
      <c r="C833" s="402"/>
      <c r="D833" s="403"/>
    </row>
    <row r="834" spans="1:4" x14ac:dyDescent="0.2">
      <c r="A834" s="404" t="s">
        <v>1338</v>
      </c>
      <c r="B834" s="405"/>
      <c r="C834" s="405"/>
      <c r="D834" s="406"/>
    </row>
    <row r="835" spans="1:4" x14ac:dyDescent="0.2">
      <c r="A835" s="333" t="s">
        <v>1288</v>
      </c>
      <c r="B835" s="333" t="s">
        <v>1289</v>
      </c>
      <c r="C835" s="333">
        <v>2024</v>
      </c>
      <c r="D835" s="333" t="s">
        <v>1270</v>
      </c>
    </row>
    <row r="836" spans="1:4" x14ac:dyDescent="0.2">
      <c r="A836" s="334"/>
      <c r="B836" s="334"/>
      <c r="C836" s="334"/>
      <c r="D836" s="334"/>
    </row>
    <row r="837" spans="1:4" x14ac:dyDescent="0.2">
      <c r="A837" s="334" t="s">
        <v>1290</v>
      </c>
      <c r="B837" s="354">
        <v>7462061.7800000012</v>
      </c>
      <c r="C837" s="347">
        <f>+'Rate Computation'!D55</f>
        <v>9345098.3999999985</v>
      </c>
      <c r="D837" s="336">
        <f>+C837-B837</f>
        <v>1883036.6199999973</v>
      </c>
    </row>
    <row r="838" spans="1:4" x14ac:dyDescent="0.2">
      <c r="A838" s="334"/>
      <c r="B838" s="351"/>
      <c r="C838" s="348"/>
      <c r="D838" s="337"/>
    </row>
    <row r="839" spans="1:4" x14ac:dyDescent="0.2">
      <c r="A839" s="334" t="s">
        <v>1291</v>
      </c>
      <c r="B839" s="349" t="s">
        <v>652</v>
      </c>
      <c r="C839" s="349" t="str">
        <f>+Parameter!H48</f>
        <v>SQ</v>
      </c>
      <c r="D839" s="337"/>
    </row>
    <row r="840" spans="1:4" x14ac:dyDescent="0.2">
      <c r="A840" s="334" t="s">
        <v>79</v>
      </c>
      <c r="B840" s="349">
        <f>Parameter!$C$48</f>
        <v>18</v>
      </c>
      <c r="C840" s="349">
        <f>+Parameter!G48</f>
        <v>18</v>
      </c>
      <c r="D840" s="338">
        <f>+C840-B840</f>
        <v>0</v>
      </c>
    </row>
    <row r="841" spans="1:4" x14ac:dyDescent="0.2">
      <c r="A841" s="334"/>
      <c r="B841" s="349"/>
      <c r="C841" s="348"/>
      <c r="D841" s="337"/>
    </row>
    <row r="842" spans="1:4" x14ac:dyDescent="0.2">
      <c r="A842" s="334" t="s">
        <v>1292</v>
      </c>
      <c r="B842" s="350">
        <v>2784209.8372222227</v>
      </c>
      <c r="C842" s="350">
        <f>+'Theoretical Reserve'!H944</f>
        <v>4162505.1461111121</v>
      </c>
      <c r="D842" s="340">
        <f t="shared" ref="D842:D844" si="110">+C842-B842</f>
        <v>1378295.3088888894</v>
      </c>
    </row>
    <row r="843" spans="1:4" x14ac:dyDescent="0.2">
      <c r="A843" s="334" t="s">
        <v>1293</v>
      </c>
      <c r="B843" s="350">
        <v>3426293.7</v>
      </c>
      <c r="C843" s="350">
        <f>+'Rate Computation'!E55</f>
        <v>4783405.2230809862</v>
      </c>
      <c r="D843" s="340">
        <f t="shared" si="110"/>
        <v>1357111.523080986</v>
      </c>
    </row>
    <row r="844" spans="1:4" x14ac:dyDescent="0.2">
      <c r="A844" s="334" t="s">
        <v>1294</v>
      </c>
      <c r="B844" s="350">
        <f>+B843-B842</f>
        <v>642083.86277777748</v>
      </c>
      <c r="C844" s="350">
        <f>+C843-C842</f>
        <v>620900.07696987409</v>
      </c>
      <c r="D844" s="340">
        <f t="shared" si="110"/>
        <v>-21183.78580790339</v>
      </c>
    </row>
    <row r="845" spans="1:4" x14ac:dyDescent="0.2">
      <c r="A845" s="334"/>
      <c r="B845" s="351"/>
      <c r="C845" s="351"/>
      <c r="D845" s="337"/>
    </row>
    <row r="846" spans="1:4" x14ac:dyDescent="0.2">
      <c r="A846" s="334" t="s">
        <v>50</v>
      </c>
      <c r="B846" s="352">
        <f>+B843/B837</f>
        <v>0.45916179750524655</v>
      </c>
      <c r="C846" s="352">
        <f>+C843/C837</f>
        <v>0.51186247788262851</v>
      </c>
      <c r="D846" s="337"/>
    </row>
    <row r="847" spans="1:4" x14ac:dyDescent="0.2">
      <c r="A847" s="334"/>
      <c r="B847" s="351"/>
      <c r="C847" s="351"/>
      <c r="D847" s="337"/>
    </row>
    <row r="848" spans="1:4" x14ac:dyDescent="0.2">
      <c r="A848" s="334" t="s">
        <v>1295</v>
      </c>
      <c r="B848" s="353">
        <v>0</v>
      </c>
      <c r="C848" s="353">
        <v>0</v>
      </c>
      <c r="D848" s="344">
        <f t="shared" ref="D848:D850" si="111">+C848-B848</f>
        <v>0</v>
      </c>
    </row>
    <row r="849" spans="1:4" x14ac:dyDescent="0.2">
      <c r="A849" s="334" t="s">
        <v>1296</v>
      </c>
      <c r="B849" s="353">
        <v>0</v>
      </c>
      <c r="C849" s="353">
        <f>+Parameter!I48/100</f>
        <v>0</v>
      </c>
      <c r="D849" s="344">
        <f t="shared" si="111"/>
        <v>0</v>
      </c>
    </row>
    <row r="850" spans="1:4" x14ac:dyDescent="0.2">
      <c r="A850" s="334" t="s">
        <v>1297</v>
      </c>
      <c r="B850" s="353">
        <f>+B848-B849</f>
        <v>0</v>
      </c>
      <c r="C850" s="353">
        <f>+C848-C849</f>
        <v>0</v>
      </c>
      <c r="D850" s="344">
        <f t="shared" si="111"/>
        <v>0</v>
      </c>
    </row>
    <row r="851" spans="1:4" x14ac:dyDescent="0.2">
      <c r="A851" s="334"/>
      <c r="B851" s="351"/>
      <c r="C851" s="351"/>
      <c r="D851" s="337"/>
    </row>
    <row r="852" spans="1:4" x14ac:dyDescent="0.2">
      <c r="A852" s="334" t="s">
        <v>1298</v>
      </c>
      <c r="B852" s="352">
        <f>+'Proposed Rates'!J54</f>
        <v>5.6000000000000001E-2</v>
      </c>
      <c r="C852" s="352">
        <f>+B852</f>
        <v>5.6000000000000001E-2</v>
      </c>
      <c r="D852" s="341">
        <f>+C852-B852</f>
        <v>0</v>
      </c>
    </row>
    <row r="853" spans="1:4" x14ac:dyDescent="0.2">
      <c r="A853" s="334" t="s">
        <v>1299</v>
      </c>
      <c r="B853" s="354">
        <f>+B837*B852</f>
        <v>417875.45968000009</v>
      </c>
      <c r="C853" s="354">
        <f>+C837*C852</f>
        <v>523325.51039999991</v>
      </c>
      <c r="D853" s="340">
        <f t="shared" ref="D853" si="112">+C853-B853</f>
        <v>105450.05071999982</v>
      </c>
    </row>
    <row r="854" spans="1:4" x14ac:dyDescent="0.2">
      <c r="A854" s="334"/>
      <c r="B854" s="351"/>
      <c r="C854" s="351"/>
      <c r="D854" s="337"/>
    </row>
    <row r="855" spans="1:4" x14ac:dyDescent="0.2">
      <c r="A855" s="334" t="s">
        <v>48</v>
      </c>
      <c r="B855" s="355">
        <v>11.43</v>
      </c>
      <c r="C855" s="355">
        <f>+'Rate Computation'!M55</f>
        <v>9.9824180096380797</v>
      </c>
      <c r="D855" s="345">
        <f t="shared" ref="D855:D857" si="113">+C855-B855</f>
        <v>-1.44758199036192</v>
      </c>
    </row>
    <row r="856" spans="1:4" x14ac:dyDescent="0.2">
      <c r="A856" s="334" t="s">
        <v>1300</v>
      </c>
      <c r="B856" s="352">
        <v>0.05</v>
      </c>
      <c r="C856" s="352">
        <f>+'Rate Computation'!Q55</f>
        <v>4.9000000000000002E-2</v>
      </c>
      <c r="D856" s="341">
        <f t="shared" si="113"/>
        <v>-1.0000000000000009E-3</v>
      </c>
    </row>
    <row r="857" spans="1:4" x14ac:dyDescent="0.2">
      <c r="A857" s="334" t="s">
        <v>1301</v>
      </c>
      <c r="B857" s="354">
        <f>+B837*B856</f>
        <v>373103.08900000009</v>
      </c>
      <c r="C857" s="354">
        <f>+C837*C856</f>
        <v>457909.82159999997</v>
      </c>
      <c r="D857" s="340">
        <f t="shared" si="113"/>
        <v>84806.732599999872</v>
      </c>
    </row>
    <row r="861" spans="1:4" x14ac:dyDescent="0.2">
      <c r="A861" s="407" t="s">
        <v>1284</v>
      </c>
      <c r="B861" s="408"/>
      <c r="C861" s="408"/>
      <c r="D861" s="409"/>
    </row>
    <row r="862" spans="1:4" x14ac:dyDescent="0.2">
      <c r="A862" s="407" t="s">
        <v>1285</v>
      </c>
      <c r="B862" s="408"/>
      <c r="C862" s="408"/>
      <c r="D862" s="409"/>
    </row>
    <row r="863" spans="1:4" x14ac:dyDescent="0.2">
      <c r="A863" s="401" t="s">
        <v>1339</v>
      </c>
      <c r="B863" s="402"/>
      <c r="C863" s="402"/>
      <c r="D863" s="403"/>
    </row>
    <row r="864" spans="1:4" x14ac:dyDescent="0.2">
      <c r="A864" s="404" t="s">
        <v>681</v>
      </c>
      <c r="B864" s="405"/>
      <c r="C864" s="405"/>
      <c r="D864" s="406"/>
    </row>
    <row r="865" spans="1:4" x14ac:dyDescent="0.2">
      <c r="A865" s="333" t="s">
        <v>1288</v>
      </c>
      <c r="B865" s="333" t="s">
        <v>1289</v>
      </c>
      <c r="C865" s="333">
        <v>2024</v>
      </c>
      <c r="D865" s="333" t="s">
        <v>1270</v>
      </c>
    </row>
    <row r="866" spans="1:4" x14ac:dyDescent="0.2">
      <c r="A866" s="334"/>
      <c r="B866" s="334"/>
      <c r="C866" s="334"/>
      <c r="D866" s="334"/>
    </row>
    <row r="867" spans="1:4" x14ac:dyDescent="0.2">
      <c r="A867" s="334" t="s">
        <v>1290</v>
      </c>
      <c r="B867" s="335">
        <v>16158263.430000003</v>
      </c>
      <c r="C867" s="347">
        <f>+'Rate Computation'!D56</f>
        <v>3241792.7899999996</v>
      </c>
      <c r="D867" s="340">
        <f>+C867-B867</f>
        <v>-12916470.640000004</v>
      </c>
    </row>
    <row r="868" spans="1:4" x14ac:dyDescent="0.2">
      <c r="A868" s="334"/>
      <c r="B868" s="334"/>
      <c r="C868" s="348"/>
      <c r="D868" s="337"/>
    </row>
    <row r="869" spans="1:4" x14ac:dyDescent="0.2">
      <c r="A869" s="334" t="s">
        <v>1291</v>
      </c>
      <c r="B869" s="333" t="s">
        <v>652</v>
      </c>
      <c r="C869" s="349" t="str">
        <f>+Parameter!H48</f>
        <v>SQ</v>
      </c>
      <c r="D869" s="337"/>
    </row>
    <row r="870" spans="1:4" x14ac:dyDescent="0.2">
      <c r="A870" s="334" t="s">
        <v>79</v>
      </c>
      <c r="B870" s="333">
        <v>20</v>
      </c>
      <c r="C870" s="349">
        <f>+Parameter!G49</f>
        <v>20</v>
      </c>
      <c r="D870" s="338">
        <f>+C870-B870</f>
        <v>0</v>
      </c>
    </row>
    <row r="871" spans="1:4" x14ac:dyDescent="0.2">
      <c r="A871" s="334"/>
      <c r="B871" s="333"/>
      <c r="C871" s="348"/>
      <c r="D871" s="337"/>
    </row>
    <row r="872" spans="1:4" x14ac:dyDescent="0.2">
      <c r="A872" s="334" t="s">
        <v>1292</v>
      </c>
      <c r="B872" s="339">
        <v>2876597.6787499995</v>
      </c>
      <c r="C872" s="350">
        <f>+'Theoretical Reserve'!H953</f>
        <v>982914.31574999948</v>
      </c>
      <c r="D872" s="340">
        <f t="shared" ref="D872:D874" si="114">+C872-B872</f>
        <v>-1893683.3629999999</v>
      </c>
    </row>
    <row r="873" spans="1:4" x14ac:dyDescent="0.2">
      <c r="A873" s="334" t="s">
        <v>1293</v>
      </c>
      <c r="B873" s="339">
        <v>2742085.18</v>
      </c>
      <c r="C873" s="350">
        <f>+'Rate Computation'!E56</f>
        <v>958073.39337000111</v>
      </c>
      <c r="D873" s="340">
        <f t="shared" si="114"/>
        <v>-1784011.7866299991</v>
      </c>
    </row>
    <row r="874" spans="1:4" x14ac:dyDescent="0.2">
      <c r="A874" s="334" t="s">
        <v>1294</v>
      </c>
      <c r="B874" s="339">
        <f>+B873-B872</f>
        <v>-134512.49874999933</v>
      </c>
      <c r="C874" s="350">
        <f>+C873-C872</f>
        <v>-24840.922379998374</v>
      </c>
      <c r="D874" s="340">
        <f t="shared" si="114"/>
        <v>109671.57637000096</v>
      </c>
    </row>
    <row r="875" spans="1:4" x14ac:dyDescent="0.2">
      <c r="A875" s="334"/>
      <c r="B875" s="334"/>
      <c r="C875" s="351"/>
      <c r="D875" s="337"/>
    </row>
    <row r="876" spans="1:4" x14ac:dyDescent="0.2">
      <c r="A876" s="334" t="s">
        <v>50</v>
      </c>
      <c r="B876" s="342">
        <f>+B873/B867</f>
        <v>0.1697017251809961</v>
      </c>
      <c r="C876" s="352">
        <f>+C873/C867</f>
        <v>0.29553813443147342</v>
      </c>
      <c r="D876" s="337"/>
    </row>
    <row r="877" spans="1:4" x14ac:dyDescent="0.2">
      <c r="A877" s="334"/>
      <c r="B877" s="334"/>
      <c r="C877" s="351"/>
      <c r="D877" s="337"/>
    </row>
    <row r="878" spans="1:4" x14ac:dyDescent="0.2">
      <c r="A878" s="334" t="s">
        <v>1295</v>
      </c>
      <c r="B878" s="343">
        <v>0</v>
      </c>
      <c r="C878" s="353">
        <v>0</v>
      </c>
      <c r="D878" s="344">
        <f t="shared" ref="D878:D880" si="115">+C878-B878</f>
        <v>0</v>
      </c>
    </row>
    <row r="879" spans="1:4" x14ac:dyDescent="0.2">
      <c r="A879" s="334" t="s">
        <v>1296</v>
      </c>
      <c r="B879" s="343">
        <v>0</v>
      </c>
      <c r="C879" s="353">
        <f>+Parameter!I49/100</f>
        <v>0</v>
      </c>
      <c r="D879" s="344">
        <f t="shared" si="115"/>
        <v>0</v>
      </c>
    </row>
    <row r="880" spans="1:4" x14ac:dyDescent="0.2">
      <c r="A880" s="334" t="s">
        <v>1297</v>
      </c>
      <c r="B880" s="343">
        <f>+B878-B879</f>
        <v>0</v>
      </c>
      <c r="C880" s="353">
        <f>+C878-C879</f>
        <v>0</v>
      </c>
      <c r="D880" s="344">
        <f t="shared" si="115"/>
        <v>0</v>
      </c>
    </row>
    <row r="881" spans="1:4" x14ac:dyDescent="0.2">
      <c r="A881" s="334"/>
      <c r="B881" s="334"/>
      <c r="C881" s="351"/>
      <c r="D881" s="337"/>
    </row>
    <row r="882" spans="1:4" x14ac:dyDescent="0.2">
      <c r="A882" s="334" t="s">
        <v>1298</v>
      </c>
      <c r="B882" s="342">
        <v>0.05</v>
      </c>
      <c r="C882" s="352">
        <f>+'Proposed Accruals'!L55/100</f>
        <v>0.05</v>
      </c>
      <c r="D882" s="341">
        <f>+C882-B882</f>
        <v>0</v>
      </c>
    </row>
    <row r="883" spans="1:4" x14ac:dyDescent="0.2">
      <c r="A883" s="334" t="s">
        <v>1299</v>
      </c>
      <c r="B883" s="335">
        <f>+B867*B882</f>
        <v>807913.17150000017</v>
      </c>
      <c r="C883" s="354">
        <f>+C867*C882</f>
        <v>162089.63949999999</v>
      </c>
      <c r="D883" s="340">
        <f>+C883-B883</f>
        <v>-645823.53200000012</v>
      </c>
    </row>
    <row r="884" spans="1:4" x14ac:dyDescent="0.2">
      <c r="A884" s="334"/>
      <c r="B884" s="334"/>
      <c r="C884" s="351"/>
      <c r="D884" s="337"/>
    </row>
    <row r="885" spans="1:4" x14ac:dyDescent="0.2">
      <c r="A885" s="334" t="s">
        <v>48</v>
      </c>
      <c r="B885" s="346">
        <v>16.439471740002446</v>
      </c>
      <c r="C885" s="355">
        <f>+'Rate Computation'!M56</f>
        <v>13.935983084532676</v>
      </c>
      <c r="D885" s="345">
        <f t="shared" ref="D885:D887" si="116">+C885-B885</f>
        <v>-2.50348865546977</v>
      </c>
    </row>
    <row r="886" spans="1:4" x14ac:dyDescent="0.2">
      <c r="A886" s="334" t="s">
        <v>1300</v>
      </c>
      <c r="B886" s="342">
        <v>0.05</v>
      </c>
      <c r="C886" s="352">
        <f>+'Rate Computation'!Q56</f>
        <v>5.0999999999999997E-2</v>
      </c>
      <c r="D886" s="341">
        <f t="shared" si="116"/>
        <v>9.9999999999999395E-4</v>
      </c>
    </row>
    <row r="887" spans="1:4" x14ac:dyDescent="0.2">
      <c r="A887" s="334" t="s">
        <v>1301</v>
      </c>
      <c r="B887" s="335">
        <f>+B867*B886</f>
        <v>807913.17150000017</v>
      </c>
      <c r="C887" s="354">
        <f>+C867*C886</f>
        <v>165331.43228999997</v>
      </c>
      <c r="D887" s="340">
        <f t="shared" si="116"/>
        <v>-642581.73921000026</v>
      </c>
    </row>
    <row r="892" spans="1:4" x14ac:dyDescent="0.2">
      <c r="A892" s="407" t="s">
        <v>1284</v>
      </c>
      <c r="B892" s="408"/>
      <c r="C892" s="408"/>
      <c r="D892" s="409"/>
    </row>
    <row r="893" spans="1:4" x14ac:dyDescent="0.2">
      <c r="A893" s="407" t="s">
        <v>1285</v>
      </c>
      <c r="B893" s="408"/>
      <c r="C893" s="408"/>
      <c r="D893" s="409"/>
    </row>
    <row r="894" spans="1:4" x14ac:dyDescent="0.2">
      <c r="A894" s="401" t="s">
        <v>1340</v>
      </c>
      <c r="B894" s="402"/>
      <c r="C894" s="402"/>
      <c r="D894" s="403"/>
    </row>
    <row r="895" spans="1:4" x14ac:dyDescent="0.2">
      <c r="A895" s="404" t="s">
        <v>29</v>
      </c>
      <c r="B895" s="405"/>
      <c r="C895" s="405"/>
      <c r="D895" s="406"/>
    </row>
    <row r="896" spans="1:4" x14ac:dyDescent="0.2">
      <c r="A896" s="333" t="s">
        <v>1288</v>
      </c>
      <c r="B896" s="333" t="s">
        <v>1289</v>
      </c>
      <c r="C896" s="333">
        <v>2024</v>
      </c>
      <c r="D896" s="333" t="s">
        <v>1270</v>
      </c>
    </row>
    <row r="897" spans="1:4" x14ac:dyDescent="0.2">
      <c r="A897" s="334"/>
      <c r="B897" s="334"/>
      <c r="C897" s="334"/>
      <c r="D897" s="334"/>
    </row>
    <row r="898" spans="1:4" x14ac:dyDescent="0.2">
      <c r="A898" s="334" t="s">
        <v>1290</v>
      </c>
      <c r="B898" s="335">
        <v>0</v>
      </c>
      <c r="C898" s="347">
        <v>0</v>
      </c>
      <c r="D898" s="336">
        <f>+C898-B898</f>
        <v>0</v>
      </c>
    </row>
    <row r="899" spans="1:4" x14ac:dyDescent="0.2">
      <c r="A899" s="334"/>
      <c r="B899" s="334"/>
      <c r="C899" s="348"/>
      <c r="D899" s="337"/>
    </row>
    <row r="900" spans="1:4" x14ac:dyDescent="0.2">
      <c r="A900" s="334" t="s">
        <v>1291</v>
      </c>
      <c r="B900" s="333" t="s">
        <v>652</v>
      </c>
      <c r="C900" s="349" t="str">
        <f>+Parameter!H50</f>
        <v>SQ</v>
      </c>
      <c r="D900" s="337"/>
    </row>
    <row r="901" spans="1:4" x14ac:dyDescent="0.2">
      <c r="A901" s="334" t="s">
        <v>79</v>
      </c>
      <c r="B901" s="333">
        <v>20</v>
      </c>
      <c r="C901" s="349">
        <f>+Parameter!G50</f>
        <v>20</v>
      </c>
      <c r="D901" s="338">
        <f>+C901-B901</f>
        <v>0</v>
      </c>
    </row>
    <row r="902" spans="1:4" x14ac:dyDescent="0.2">
      <c r="A902" s="334"/>
      <c r="B902" s="333"/>
      <c r="C902" s="348"/>
      <c r="D902" s="337"/>
    </row>
    <row r="903" spans="1:4" x14ac:dyDescent="0.2">
      <c r="A903" s="334" t="s">
        <v>1292</v>
      </c>
      <c r="B903" s="339">
        <v>0</v>
      </c>
      <c r="C903" s="350">
        <v>0</v>
      </c>
      <c r="D903" s="340">
        <f t="shared" ref="D903:D905" si="117">+C903-B903</f>
        <v>0</v>
      </c>
    </row>
    <row r="904" spans="1:4" x14ac:dyDescent="0.2">
      <c r="A904" s="334" t="s">
        <v>1293</v>
      </c>
      <c r="B904" s="339">
        <v>0</v>
      </c>
      <c r="C904" s="350">
        <v>0</v>
      </c>
      <c r="D904" s="340">
        <f t="shared" si="117"/>
        <v>0</v>
      </c>
    </row>
    <row r="905" spans="1:4" x14ac:dyDescent="0.2">
      <c r="A905" s="334" t="s">
        <v>1294</v>
      </c>
      <c r="B905" s="339">
        <f>+B904-B903</f>
        <v>0</v>
      </c>
      <c r="C905" s="350">
        <f>+C904-C903</f>
        <v>0</v>
      </c>
      <c r="D905" s="340">
        <f t="shared" si="117"/>
        <v>0</v>
      </c>
    </row>
    <row r="906" spans="1:4" x14ac:dyDescent="0.2">
      <c r="A906" s="334"/>
      <c r="B906" s="334"/>
      <c r="C906" s="351"/>
      <c r="D906" s="337"/>
    </row>
    <row r="907" spans="1:4" x14ac:dyDescent="0.2">
      <c r="A907" s="334" t="s">
        <v>50</v>
      </c>
      <c r="B907" s="342">
        <v>0</v>
      </c>
      <c r="C907" s="352">
        <v>0</v>
      </c>
      <c r="D907" s="337"/>
    </row>
    <row r="908" spans="1:4" x14ac:dyDescent="0.2">
      <c r="A908" s="334"/>
      <c r="B908" s="334"/>
      <c r="C908" s="351"/>
      <c r="D908" s="337"/>
    </row>
    <row r="909" spans="1:4" x14ac:dyDescent="0.2">
      <c r="A909" s="334" t="s">
        <v>1295</v>
      </c>
      <c r="B909" s="343">
        <v>0</v>
      </c>
      <c r="C909" s="353">
        <v>0</v>
      </c>
      <c r="D909" s="344">
        <f t="shared" ref="D909:D911" si="118">+C909-B909</f>
        <v>0</v>
      </c>
    </row>
    <row r="910" spans="1:4" x14ac:dyDescent="0.2">
      <c r="A910" s="334" t="s">
        <v>1296</v>
      </c>
      <c r="B910" s="343">
        <v>0</v>
      </c>
      <c r="C910" s="353">
        <f>+Parameter!I50/100</f>
        <v>0</v>
      </c>
      <c r="D910" s="344">
        <f t="shared" si="118"/>
        <v>0</v>
      </c>
    </row>
    <row r="911" spans="1:4" x14ac:dyDescent="0.2">
      <c r="A911" s="334" t="s">
        <v>1297</v>
      </c>
      <c r="B911" s="343">
        <f>+B909-B910</f>
        <v>0</v>
      </c>
      <c r="C911" s="353">
        <f>+C909-C910</f>
        <v>0</v>
      </c>
      <c r="D911" s="344">
        <f t="shared" si="118"/>
        <v>0</v>
      </c>
    </row>
    <row r="912" spans="1:4" x14ac:dyDescent="0.2">
      <c r="A912" s="334"/>
      <c r="B912" s="334"/>
      <c r="C912" s="351"/>
      <c r="D912" s="337"/>
    </row>
    <row r="913" spans="1:4" x14ac:dyDescent="0.2">
      <c r="A913" s="334" t="s">
        <v>1298</v>
      </c>
      <c r="B913" s="342">
        <v>0.05</v>
      </c>
      <c r="C913" s="352">
        <f>+'Proposed Accruals'!L56/100</f>
        <v>0.05</v>
      </c>
      <c r="D913" s="341">
        <f>+C913-B913</f>
        <v>0</v>
      </c>
    </row>
    <row r="914" spans="1:4" x14ac:dyDescent="0.2">
      <c r="A914" s="334" t="s">
        <v>1299</v>
      </c>
      <c r="B914" s="335">
        <v>0</v>
      </c>
      <c r="C914" s="354">
        <v>0</v>
      </c>
      <c r="D914" s="340">
        <f t="shared" ref="D914" si="119">+C914-B914</f>
        <v>0</v>
      </c>
    </row>
    <row r="915" spans="1:4" x14ac:dyDescent="0.2">
      <c r="A915" s="334"/>
      <c r="B915" s="334"/>
      <c r="C915" s="351"/>
      <c r="D915" s="337"/>
    </row>
    <row r="916" spans="1:4" x14ac:dyDescent="0.2">
      <c r="A916" s="334" t="s">
        <v>48</v>
      </c>
      <c r="B916" s="346">
        <v>20</v>
      </c>
      <c r="C916" s="355">
        <v>20</v>
      </c>
      <c r="D916" s="345">
        <f t="shared" ref="D916:D918" si="120">+C916-B916</f>
        <v>0</v>
      </c>
    </row>
    <row r="917" spans="1:4" x14ac:dyDescent="0.2">
      <c r="A917" s="334" t="s">
        <v>1300</v>
      </c>
      <c r="B917" s="342">
        <v>0.05</v>
      </c>
      <c r="C917" s="352">
        <f>+'Proposed Accruals'!P56</f>
        <v>0.05</v>
      </c>
      <c r="D917" s="341">
        <f t="shared" si="120"/>
        <v>0</v>
      </c>
    </row>
    <row r="918" spans="1:4" x14ac:dyDescent="0.2">
      <c r="A918" s="334" t="s">
        <v>1301</v>
      </c>
      <c r="B918" s="335">
        <v>0</v>
      </c>
      <c r="C918" s="354">
        <f>+C898*C917</f>
        <v>0</v>
      </c>
      <c r="D918" s="340">
        <f t="shared" si="120"/>
        <v>0</v>
      </c>
    </row>
    <row r="923" spans="1:4" x14ac:dyDescent="0.2">
      <c r="A923" s="407" t="s">
        <v>1284</v>
      </c>
      <c r="B923" s="408"/>
      <c r="C923" s="408"/>
      <c r="D923" s="409"/>
    </row>
    <row r="924" spans="1:4" x14ac:dyDescent="0.2">
      <c r="A924" s="407" t="s">
        <v>1285</v>
      </c>
      <c r="B924" s="408"/>
      <c r="C924" s="408"/>
      <c r="D924" s="409"/>
    </row>
    <row r="925" spans="1:4" x14ac:dyDescent="0.2">
      <c r="A925" s="401" t="s">
        <v>1341</v>
      </c>
      <c r="B925" s="402"/>
      <c r="C925" s="402"/>
      <c r="D925" s="403"/>
    </row>
    <row r="926" spans="1:4" x14ac:dyDescent="0.2">
      <c r="A926" s="404" t="s">
        <v>32</v>
      </c>
      <c r="B926" s="405"/>
      <c r="C926" s="405"/>
      <c r="D926" s="406"/>
    </row>
    <row r="927" spans="1:4" x14ac:dyDescent="0.2">
      <c r="A927" s="333" t="s">
        <v>1288</v>
      </c>
      <c r="B927" s="333" t="s">
        <v>1289</v>
      </c>
      <c r="C927" s="333">
        <v>2024</v>
      </c>
      <c r="D927" s="333" t="s">
        <v>1270</v>
      </c>
    </row>
    <row r="928" spans="1:4" x14ac:dyDescent="0.2">
      <c r="A928" s="334"/>
      <c r="B928" s="334"/>
      <c r="C928" s="334"/>
      <c r="D928" s="334"/>
    </row>
    <row r="929" spans="1:4" x14ac:dyDescent="0.2">
      <c r="A929" s="334" t="s">
        <v>1290</v>
      </c>
      <c r="B929" s="335">
        <v>3954613.9960000003</v>
      </c>
      <c r="C929" s="347">
        <f>+'Rate Computation'!D58</f>
        <v>3026304.3707999997</v>
      </c>
      <c r="D929" s="340">
        <f>+C929-B929</f>
        <v>-928309.62520000059</v>
      </c>
    </row>
    <row r="930" spans="1:4" x14ac:dyDescent="0.2">
      <c r="A930" s="334"/>
      <c r="B930" s="334"/>
      <c r="C930" s="348"/>
      <c r="D930" s="337"/>
    </row>
    <row r="931" spans="1:4" x14ac:dyDescent="0.2">
      <c r="A931" s="334" t="s">
        <v>1291</v>
      </c>
      <c r="B931" s="333" t="s">
        <v>652</v>
      </c>
      <c r="C931" s="349" t="str">
        <f>+Parameter!H52</f>
        <v>SQ</v>
      </c>
      <c r="D931" s="337"/>
    </row>
    <row r="932" spans="1:4" x14ac:dyDescent="0.2">
      <c r="A932" s="334" t="s">
        <v>79</v>
      </c>
      <c r="B932" s="333">
        <v>13</v>
      </c>
      <c r="C932" s="349">
        <f>+Parameter!G52</f>
        <v>13</v>
      </c>
      <c r="D932" s="338">
        <f>+C932-B932</f>
        <v>0</v>
      </c>
    </row>
    <row r="933" spans="1:4" x14ac:dyDescent="0.2">
      <c r="A933" s="334"/>
      <c r="B933" s="333"/>
      <c r="C933" s="348"/>
      <c r="D933" s="337"/>
    </row>
    <row r="934" spans="1:4" x14ac:dyDescent="0.2">
      <c r="A934" s="334" t="s">
        <v>1292</v>
      </c>
      <c r="B934" s="339">
        <v>2845393.8717692308</v>
      </c>
      <c r="C934" s="350">
        <f>+'Theoretical Reserve'!H1000</f>
        <v>2637260.2415692308</v>
      </c>
      <c r="D934" s="340">
        <f t="shared" ref="D934:D936" si="121">+C934-B934</f>
        <v>-208133.63020000001</v>
      </c>
    </row>
    <row r="935" spans="1:4" x14ac:dyDescent="0.2">
      <c r="A935" s="334" t="s">
        <v>1293</v>
      </c>
      <c r="B935" s="339">
        <v>3219658.99</v>
      </c>
      <c r="C935" s="350">
        <f>+'Rate Computation'!E58</f>
        <v>3012751.6863328698</v>
      </c>
      <c r="D935" s="340">
        <f t="shared" si="121"/>
        <v>-206907.30366713041</v>
      </c>
    </row>
    <row r="936" spans="1:4" x14ac:dyDescent="0.2">
      <c r="A936" s="334" t="s">
        <v>1294</v>
      </c>
      <c r="B936" s="339">
        <f>+B935-B934</f>
        <v>374265.11823076941</v>
      </c>
      <c r="C936" s="350">
        <f>+C935-C934</f>
        <v>375491.44476363901</v>
      </c>
      <c r="D936" s="340">
        <f t="shared" si="121"/>
        <v>1226.3265328695998</v>
      </c>
    </row>
    <row r="937" spans="1:4" x14ac:dyDescent="0.2">
      <c r="A937" s="334"/>
      <c r="B937" s="334"/>
      <c r="C937" s="351"/>
      <c r="D937" s="337"/>
    </row>
    <row r="938" spans="1:4" x14ac:dyDescent="0.2">
      <c r="A938" s="334" t="s">
        <v>50</v>
      </c>
      <c r="B938" s="342">
        <f>+B935/B929</f>
        <v>0.81415252999574927</v>
      </c>
      <c r="C938" s="352">
        <f>+C935/C929</f>
        <v>0.99552170475716317</v>
      </c>
      <c r="D938" s="337"/>
    </row>
    <row r="939" spans="1:4" x14ac:dyDescent="0.2">
      <c r="A939" s="334"/>
      <c r="B939" s="334"/>
      <c r="C939" s="351"/>
      <c r="D939" s="337"/>
    </row>
    <row r="940" spans="1:4" x14ac:dyDescent="0.2">
      <c r="A940" s="334" t="s">
        <v>1295</v>
      </c>
      <c r="B940" s="343">
        <v>0</v>
      </c>
      <c r="C940" s="353">
        <v>0</v>
      </c>
      <c r="D940" s="344">
        <f t="shared" ref="D940:D942" si="122">+C940-B940</f>
        <v>0</v>
      </c>
    </row>
    <row r="941" spans="1:4" x14ac:dyDescent="0.2">
      <c r="A941" s="334" t="s">
        <v>1296</v>
      </c>
      <c r="B941" s="343">
        <v>0</v>
      </c>
      <c r="C941" s="353">
        <f>+Parameter!I52/100</f>
        <v>0</v>
      </c>
      <c r="D941" s="344">
        <f t="shared" si="122"/>
        <v>0</v>
      </c>
    </row>
    <row r="942" spans="1:4" x14ac:dyDescent="0.2">
      <c r="A942" s="334" t="s">
        <v>1297</v>
      </c>
      <c r="B942" s="343">
        <f>+B940-B941</f>
        <v>0</v>
      </c>
      <c r="C942" s="353">
        <f>+C940-C941</f>
        <v>0</v>
      </c>
      <c r="D942" s="344">
        <f t="shared" si="122"/>
        <v>0</v>
      </c>
    </row>
    <row r="943" spans="1:4" x14ac:dyDescent="0.2">
      <c r="A943" s="334"/>
      <c r="B943" s="334"/>
      <c r="C943" s="351"/>
      <c r="D943" s="337"/>
    </row>
    <row r="944" spans="1:4" x14ac:dyDescent="0.2">
      <c r="A944" s="334" t="s">
        <v>1298</v>
      </c>
      <c r="B944" s="342">
        <v>7.6999999999999999E-2</v>
      </c>
      <c r="C944" s="352">
        <f>+'Proposed Rates'!P58/100</f>
        <v>7.6999999999999999E-2</v>
      </c>
      <c r="D944" s="341">
        <f>+C944-B944</f>
        <v>0</v>
      </c>
    </row>
    <row r="945" spans="1:4" x14ac:dyDescent="0.2">
      <c r="A945" s="334" t="s">
        <v>1299</v>
      </c>
      <c r="B945" s="335">
        <f>+B929*B944</f>
        <v>304505.27769200003</v>
      </c>
      <c r="C945" s="354">
        <f>+C929*C944</f>
        <v>233025.43655159997</v>
      </c>
      <c r="D945" s="340">
        <f>+C945-B945</f>
        <v>-71479.841140400065</v>
      </c>
    </row>
    <row r="946" spans="1:4" x14ac:dyDescent="0.2">
      <c r="A946" s="334"/>
      <c r="B946" s="334"/>
      <c r="C946" s="351"/>
      <c r="D946" s="337"/>
    </row>
    <row r="947" spans="1:4" x14ac:dyDescent="0.2">
      <c r="A947" s="334" t="s">
        <v>48</v>
      </c>
      <c r="B947" s="346">
        <v>4.6526349680197931</v>
      </c>
      <c r="C947" s="355">
        <f>+'Rate Computation'!M58</f>
        <v>1.6712045651452556</v>
      </c>
      <c r="D947" s="345">
        <f t="shared" ref="D947:D949" si="123">+C947-B947</f>
        <v>-2.9814304028745378</v>
      </c>
    </row>
    <row r="948" spans="1:4" x14ac:dyDescent="0.2">
      <c r="A948" s="334" t="s">
        <v>1300</v>
      </c>
      <c r="B948" s="342">
        <v>7.6999999999999999E-2</v>
      </c>
      <c r="C948" s="352">
        <f>+'Rate Computation'!Q58/100</f>
        <v>0</v>
      </c>
      <c r="D948" s="341">
        <f t="shared" si="123"/>
        <v>-7.6999999999999999E-2</v>
      </c>
    </row>
    <row r="949" spans="1:4" x14ac:dyDescent="0.2">
      <c r="A949" s="334" t="s">
        <v>1301</v>
      </c>
      <c r="B949" s="335">
        <f>+B929*B948</f>
        <v>304505.27769200003</v>
      </c>
      <c r="C949" s="354">
        <f>+C929*C948</f>
        <v>0</v>
      </c>
      <c r="D949" s="340">
        <f t="shared" si="123"/>
        <v>-304505.27769200003</v>
      </c>
    </row>
    <row r="950" spans="1:4" x14ac:dyDescent="0.2">
      <c r="A950" s="366" t="s">
        <v>1357</v>
      </c>
      <c r="C950" s="104">
        <f>+C944</f>
        <v>7.6999999999999999E-2</v>
      </c>
    </row>
    <row r="953" spans="1:4" x14ac:dyDescent="0.2">
      <c r="A953" s="407" t="s">
        <v>1284</v>
      </c>
      <c r="B953" s="408"/>
      <c r="C953" s="408"/>
      <c r="D953" s="409"/>
    </row>
    <row r="954" spans="1:4" x14ac:dyDescent="0.2">
      <c r="A954" s="407" t="s">
        <v>1285</v>
      </c>
      <c r="B954" s="408"/>
      <c r="C954" s="408"/>
      <c r="D954" s="409"/>
    </row>
    <row r="955" spans="1:4" x14ac:dyDescent="0.2">
      <c r="A955" s="401" t="s">
        <v>1342</v>
      </c>
      <c r="B955" s="402"/>
      <c r="C955" s="402"/>
      <c r="D955" s="403"/>
    </row>
    <row r="956" spans="1:4" x14ac:dyDescent="0.2">
      <c r="A956" s="404" t="s">
        <v>33</v>
      </c>
      <c r="B956" s="405"/>
      <c r="C956" s="405"/>
      <c r="D956" s="406"/>
    </row>
    <row r="957" spans="1:4" x14ac:dyDescent="0.2">
      <c r="A957" s="333" t="s">
        <v>1288</v>
      </c>
      <c r="B957" s="333" t="s">
        <v>1289</v>
      </c>
      <c r="C957" s="333">
        <v>2024</v>
      </c>
      <c r="D957" s="333" t="s">
        <v>1270</v>
      </c>
    </row>
    <row r="958" spans="1:4" x14ac:dyDescent="0.2">
      <c r="A958" s="334"/>
      <c r="B958" s="334"/>
      <c r="C958" s="334"/>
      <c r="D958" s="334"/>
    </row>
    <row r="959" spans="1:4" x14ac:dyDescent="0.2">
      <c r="A959" s="334" t="s">
        <v>1290</v>
      </c>
      <c r="B959" s="335">
        <v>798818.0120000001</v>
      </c>
      <c r="C959" s="347">
        <f>+'Rate Computation'!D59</f>
        <v>923442.00410236092</v>
      </c>
      <c r="D959" s="336">
        <f>+C959-B959</f>
        <v>124623.99210236082</v>
      </c>
    </row>
    <row r="960" spans="1:4" x14ac:dyDescent="0.2">
      <c r="A960" s="334"/>
      <c r="B960" s="334"/>
      <c r="C960" s="348"/>
      <c r="D960" s="337"/>
    </row>
    <row r="961" spans="1:4" x14ac:dyDescent="0.2">
      <c r="A961" s="334" t="s">
        <v>1291</v>
      </c>
      <c r="B961" s="333" t="s">
        <v>652</v>
      </c>
      <c r="C961" s="349" t="str">
        <f>+Parameter!H53</f>
        <v>SQ</v>
      </c>
      <c r="D961" s="337"/>
    </row>
    <row r="962" spans="1:4" x14ac:dyDescent="0.2">
      <c r="A962" s="334" t="s">
        <v>79</v>
      </c>
      <c r="B962" s="333">
        <v>20</v>
      </c>
      <c r="C962" s="349">
        <f>+Parameter!G53</f>
        <v>20</v>
      </c>
      <c r="D962" s="338">
        <f>+C962-B962</f>
        <v>0</v>
      </c>
    </row>
    <row r="963" spans="1:4" x14ac:dyDescent="0.2">
      <c r="A963" s="334"/>
      <c r="B963" s="333"/>
      <c r="C963" s="348"/>
      <c r="D963" s="337"/>
    </row>
    <row r="964" spans="1:4" x14ac:dyDescent="0.2">
      <c r="A964" s="334" t="s">
        <v>1292</v>
      </c>
      <c r="B964" s="339">
        <v>128270.1338</v>
      </c>
      <c r="C964" s="350">
        <f>+'Theoretical Reserve'!H1018</f>
        <v>161215.01680767705</v>
      </c>
      <c r="D964" s="340">
        <f t="shared" ref="D964:D966" si="124">+C964-B964</f>
        <v>32944.883007677054</v>
      </c>
    </row>
    <row r="965" spans="1:4" x14ac:dyDescent="0.2">
      <c r="A965" s="334" t="s">
        <v>1293</v>
      </c>
      <c r="B965" s="339">
        <v>-86156.12</v>
      </c>
      <c r="C965" s="350">
        <f>+'Rate Computation'!E59</f>
        <v>236137.54089293242</v>
      </c>
      <c r="D965" s="340">
        <f t="shared" si="124"/>
        <v>322293.66089293244</v>
      </c>
    </row>
    <row r="966" spans="1:4" x14ac:dyDescent="0.2">
      <c r="A966" s="334" t="s">
        <v>1294</v>
      </c>
      <c r="B966" s="339">
        <f>+B965-B964</f>
        <v>-214426.25380000001</v>
      </c>
      <c r="C966" s="350">
        <f>+C965-C964</f>
        <v>74922.524085255369</v>
      </c>
      <c r="D966" s="340">
        <f t="shared" si="124"/>
        <v>289348.7778852554</v>
      </c>
    </row>
    <row r="967" spans="1:4" x14ac:dyDescent="0.2">
      <c r="A967" s="334"/>
      <c r="B967" s="334"/>
      <c r="C967" s="351"/>
      <c r="D967" s="337"/>
    </row>
    <row r="968" spans="1:4" x14ac:dyDescent="0.2">
      <c r="A968" s="334" t="s">
        <v>50</v>
      </c>
      <c r="B968" s="342">
        <f>+B965/B959</f>
        <v>-0.10785450341097214</v>
      </c>
      <c r="C968" s="352">
        <f>+C965/C959</f>
        <v>0.2557145330663963</v>
      </c>
      <c r="D968" s="337"/>
    </row>
    <row r="969" spans="1:4" x14ac:dyDescent="0.2">
      <c r="A969" s="334"/>
      <c r="B969" s="334"/>
      <c r="C969" s="351"/>
      <c r="D969" s="337"/>
    </row>
    <row r="970" spans="1:4" x14ac:dyDescent="0.2">
      <c r="A970" s="334" t="s">
        <v>1295</v>
      </c>
      <c r="B970" s="343">
        <v>0</v>
      </c>
      <c r="C970" s="353">
        <v>0</v>
      </c>
      <c r="D970" s="344">
        <f t="shared" ref="D970:D972" si="125">+C970-B970</f>
        <v>0</v>
      </c>
    </row>
    <row r="971" spans="1:4" x14ac:dyDescent="0.2">
      <c r="A971" s="334" t="s">
        <v>1296</v>
      </c>
      <c r="B971" s="343">
        <v>0</v>
      </c>
      <c r="C971" s="353">
        <f>+Parameter!I53/100</f>
        <v>0</v>
      </c>
      <c r="D971" s="344">
        <f t="shared" si="125"/>
        <v>0</v>
      </c>
    </row>
    <row r="972" spans="1:4" x14ac:dyDescent="0.2">
      <c r="A972" s="334" t="s">
        <v>1297</v>
      </c>
      <c r="B972" s="343">
        <f>+B970-B971</f>
        <v>0</v>
      </c>
      <c r="C972" s="353">
        <f>+C970-C971</f>
        <v>0</v>
      </c>
      <c r="D972" s="344">
        <f t="shared" si="125"/>
        <v>0</v>
      </c>
    </row>
    <row r="973" spans="1:4" x14ac:dyDescent="0.2">
      <c r="A973" s="334"/>
      <c r="B973" s="334"/>
      <c r="C973" s="351"/>
      <c r="D973" s="337"/>
    </row>
    <row r="974" spans="1:4" x14ac:dyDescent="0.2">
      <c r="A974" s="334" t="s">
        <v>1298</v>
      </c>
      <c r="B974" s="342">
        <v>0.05</v>
      </c>
      <c r="C974" s="352">
        <f>+'Proposed Accruals'!L59/100</f>
        <v>0.05</v>
      </c>
      <c r="D974" s="341">
        <f>+C974-B974</f>
        <v>0</v>
      </c>
    </row>
    <row r="975" spans="1:4" x14ac:dyDescent="0.2">
      <c r="A975" s="334" t="s">
        <v>1299</v>
      </c>
      <c r="B975" s="335">
        <f>+B959*B974</f>
        <v>39940.900600000008</v>
      </c>
      <c r="C975" s="335">
        <f>+C959*C974</f>
        <v>46172.100205118048</v>
      </c>
      <c r="D975" s="340">
        <f t="shared" ref="D975" si="126">+C975-B975</f>
        <v>6231.1996051180395</v>
      </c>
    </row>
    <row r="976" spans="1:4" x14ac:dyDescent="0.2">
      <c r="A976" s="334"/>
      <c r="B976" s="334"/>
      <c r="C976" s="351"/>
      <c r="D976" s="337"/>
    </row>
    <row r="977" spans="1:4" x14ac:dyDescent="0.2">
      <c r="A977" s="334" t="s">
        <v>48</v>
      </c>
      <c r="B977" s="346">
        <v>16.788501714455581</v>
      </c>
      <c r="C977" s="355">
        <f>+'Rate Computation'!M59</f>
        <v>16.508388916867876</v>
      </c>
      <c r="D977" s="345">
        <f t="shared" ref="D977:D979" si="127">+C977-B977</f>
        <v>-0.28011279758770513</v>
      </c>
    </row>
    <row r="978" spans="1:4" x14ac:dyDescent="0.2">
      <c r="A978" s="334" t="s">
        <v>1300</v>
      </c>
      <c r="B978" s="342">
        <v>0.05</v>
      </c>
      <c r="C978" s="352">
        <f>+'Rate Computation'!Q59</f>
        <v>4.4999999999999998E-2</v>
      </c>
      <c r="D978" s="341">
        <f>+C978-B978</f>
        <v>-5.0000000000000044E-3</v>
      </c>
    </row>
    <row r="979" spans="1:4" x14ac:dyDescent="0.2">
      <c r="A979" s="334" t="s">
        <v>1301</v>
      </c>
      <c r="B979" s="335">
        <f>+B959*B978</f>
        <v>39940.900600000008</v>
      </c>
      <c r="C979" s="354">
        <f>+C959*C978</f>
        <v>41554.890184606244</v>
      </c>
      <c r="D979" s="340">
        <f t="shared" si="127"/>
        <v>1613.9895846062354</v>
      </c>
    </row>
    <row r="984" spans="1:4" x14ac:dyDescent="0.2">
      <c r="A984" s="407" t="s">
        <v>1284</v>
      </c>
      <c r="B984" s="408"/>
      <c r="C984" s="408"/>
      <c r="D984" s="409"/>
    </row>
    <row r="985" spans="1:4" x14ac:dyDescent="0.2">
      <c r="A985" s="407" t="s">
        <v>1285</v>
      </c>
      <c r="B985" s="408"/>
      <c r="C985" s="408"/>
      <c r="D985" s="409"/>
    </row>
    <row r="986" spans="1:4" x14ac:dyDescent="0.2">
      <c r="A986" s="401" t="s">
        <v>1343</v>
      </c>
      <c r="B986" s="402"/>
      <c r="C986" s="402"/>
      <c r="D986" s="403"/>
    </row>
    <row r="987" spans="1:4" x14ac:dyDescent="0.2">
      <c r="A987" s="404" t="s">
        <v>1344</v>
      </c>
      <c r="B987" s="405"/>
      <c r="C987" s="405"/>
      <c r="D987" s="406"/>
    </row>
    <row r="988" spans="1:4" x14ac:dyDescent="0.2">
      <c r="A988" s="333" t="s">
        <v>1288</v>
      </c>
      <c r="B988" s="333" t="s">
        <v>1289</v>
      </c>
      <c r="C988" s="333">
        <v>2024</v>
      </c>
      <c r="D988" s="333" t="s">
        <v>1270</v>
      </c>
    </row>
    <row r="989" spans="1:4" x14ac:dyDescent="0.2">
      <c r="A989" s="334"/>
      <c r="B989" s="334"/>
      <c r="C989" s="334"/>
      <c r="D989" s="334"/>
    </row>
    <row r="990" spans="1:4" x14ac:dyDescent="0.2">
      <c r="A990" s="334" t="s">
        <v>1290</v>
      </c>
      <c r="B990" s="335">
        <v>0</v>
      </c>
      <c r="C990" s="347">
        <f>+'Rate Computation'!D66</f>
        <v>16109646.340000002</v>
      </c>
      <c r="D990" s="336">
        <f>+C990-B990</f>
        <v>16109646.340000002</v>
      </c>
    </row>
    <row r="991" spans="1:4" x14ac:dyDescent="0.2">
      <c r="A991" s="334"/>
      <c r="B991" s="334"/>
      <c r="C991" s="348"/>
      <c r="D991" s="337"/>
    </row>
    <row r="992" spans="1:4" x14ac:dyDescent="0.2">
      <c r="A992" s="334" t="s">
        <v>1291</v>
      </c>
      <c r="B992" s="333" t="s">
        <v>26</v>
      </c>
      <c r="C992" s="349" t="str">
        <f>+Parameter!H55</f>
        <v>R2</v>
      </c>
      <c r="D992" s="337"/>
    </row>
    <row r="993" spans="1:4" x14ac:dyDescent="0.2">
      <c r="A993" s="334" t="s">
        <v>79</v>
      </c>
      <c r="B993" s="333">
        <v>30</v>
      </c>
      <c r="C993" s="349">
        <f>+Parameter!G55</f>
        <v>30</v>
      </c>
      <c r="D993" s="338">
        <f>+C993-B993</f>
        <v>0</v>
      </c>
    </row>
    <row r="994" spans="1:4" x14ac:dyDescent="0.2">
      <c r="A994" s="334"/>
      <c r="B994" s="333"/>
      <c r="C994" s="348"/>
      <c r="D994" s="337"/>
    </row>
    <row r="995" spans="1:4" x14ac:dyDescent="0.2">
      <c r="A995" s="334" t="s">
        <v>1292</v>
      </c>
      <c r="B995" s="339">
        <v>0</v>
      </c>
      <c r="C995" s="347">
        <f>+'Theoretical Reserve'!H1026</f>
        <v>761626.78512392368</v>
      </c>
      <c r="D995" s="340">
        <f t="shared" ref="D995:D997" si="128">+C995-B995</f>
        <v>761626.78512392368</v>
      </c>
    </row>
    <row r="996" spans="1:4" x14ac:dyDescent="0.2">
      <c r="A996" s="334" t="s">
        <v>1293</v>
      </c>
      <c r="B996" s="339">
        <v>0</v>
      </c>
      <c r="C996" s="347">
        <f>+'Rate Computation'!E66</f>
        <v>1079308.7666374999</v>
      </c>
      <c r="D996" s="340">
        <f t="shared" si="128"/>
        <v>1079308.7666374999</v>
      </c>
    </row>
    <row r="997" spans="1:4" x14ac:dyDescent="0.2">
      <c r="A997" s="334" t="s">
        <v>1294</v>
      </c>
      <c r="B997" s="339">
        <v>0</v>
      </c>
      <c r="C997" s="350">
        <f>+C996-C995</f>
        <v>317681.98151357623</v>
      </c>
      <c r="D997" s="340">
        <f t="shared" si="128"/>
        <v>317681.98151357623</v>
      </c>
    </row>
    <row r="998" spans="1:4" x14ac:dyDescent="0.2">
      <c r="A998" s="334"/>
      <c r="B998" s="334"/>
      <c r="C998" s="351"/>
      <c r="D998" s="337"/>
    </row>
    <row r="999" spans="1:4" x14ac:dyDescent="0.2">
      <c r="A999" s="334" t="s">
        <v>50</v>
      </c>
      <c r="B999" s="342">
        <v>0</v>
      </c>
      <c r="C999" s="352">
        <f>+C996/C990</f>
        <v>6.6997669834476317E-2</v>
      </c>
      <c r="D999" s="337"/>
    </row>
    <row r="1000" spans="1:4" x14ac:dyDescent="0.2">
      <c r="A1000" s="334"/>
      <c r="B1000" s="334"/>
      <c r="C1000" s="351"/>
      <c r="D1000" s="337"/>
    </row>
    <row r="1001" spans="1:4" x14ac:dyDescent="0.2">
      <c r="A1001" s="334" t="s">
        <v>1295</v>
      </c>
      <c r="B1001" s="343">
        <v>0</v>
      </c>
      <c r="C1001" s="353">
        <v>0</v>
      </c>
      <c r="D1001" s="344">
        <f t="shared" ref="D1001:D1003" si="129">+C1001-B1001</f>
        <v>0</v>
      </c>
    </row>
    <row r="1002" spans="1:4" x14ac:dyDescent="0.2">
      <c r="A1002" s="334" t="s">
        <v>1296</v>
      </c>
      <c r="B1002" s="343">
        <v>0.05</v>
      </c>
      <c r="C1002" s="353">
        <f>-+Parameter!I55/100</f>
        <v>0.05</v>
      </c>
      <c r="D1002" s="344">
        <f t="shared" si="129"/>
        <v>0</v>
      </c>
    </row>
    <row r="1003" spans="1:4" x14ac:dyDescent="0.2">
      <c r="A1003" s="334" t="s">
        <v>1297</v>
      </c>
      <c r="B1003" s="343">
        <f>+B1001-B1002</f>
        <v>-0.05</v>
      </c>
      <c r="C1003" s="353">
        <f>+C1001-C1002</f>
        <v>-0.05</v>
      </c>
      <c r="D1003" s="344">
        <f t="shared" si="129"/>
        <v>0</v>
      </c>
    </row>
    <row r="1004" spans="1:4" x14ac:dyDescent="0.2">
      <c r="A1004" s="334"/>
      <c r="B1004" s="334"/>
      <c r="C1004" s="351"/>
      <c r="D1004" s="337"/>
    </row>
    <row r="1005" spans="1:4" x14ac:dyDescent="0.2">
      <c r="A1005" s="334" t="s">
        <v>1298</v>
      </c>
      <c r="B1005" s="342">
        <v>3.5000000000000003E-2</v>
      </c>
      <c r="C1005" s="352">
        <f>+'Proposed Accruals'!L63/100</f>
        <v>3.5000000000000003E-2</v>
      </c>
      <c r="D1005" s="341">
        <f>+C1005-B1005</f>
        <v>0</v>
      </c>
    </row>
    <row r="1006" spans="1:4" x14ac:dyDescent="0.2">
      <c r="A1006" s="334" t="s">
        <v>1299</v>
      </c>
      <c r="B1006" s="335">
        <v>0</v>
      </c>
      <c r="C1006" s="354">
        <f>+C1005*C990</f>
        <v>563837.62190000014</v>
      </c>
      <c r="D1006" s="340">
        <f t="shared" ref="D1006" si="130">+C1006-B1006</f>
        <v>563837.62190000014</v>
      </c>
    </row>
    <row r="1007" spans="1:4" x14ac:dyDescent="0.2">
      <c r="A1007" s="334"/>
      <c r="B1007" s="334"/>
      <c r="C1007" s="351"/>
      <c r="D1007" s="337"/>
    </row>
    <row r="1008" spans="1:4" x14ac:dyDescent="0.2">
      <c r="A1008" s="334" t="s">
        <v>48</v>
      </c>
      <c r="B1008" s="346">
        <v>30</v>
      </c>
      <c r="C1008" s="355">
        <f>+'Rate Computation'!M66</f>
        <v>28.649208999999999</v>
      </c>
      <c r="D1008" s="345">
        <f t="shared" ref="D1008:D1010" si="131">+C1008-B1008</f>
        <v>-1.350791000000001</v>
      </c>
    </row>
    <row r="1009" spans="1:4" x14ac:dyDescent="0.2">
      <c r="A1009" s="334" t="s">
        <v>1300</v>
      </c>
      <c r="B1009" s="342">
        <v>3.5000000000000003E-2</v>
      </c>
      <c r="C1009" s="352">
        <f>+'Rate Computation'!Q66</f>
        <v>3.4000000000000002E-2</v>
      </c>
      <c r="D1009" s="341">
        <f>+C1009-B1009</f>
        <v>-1.0000000000000009E-3</v>
      </c>
    </row>
    <row r="1010" spans="1:4" x14ac:dyDescent="0.2">
      <c r="A1010" s="334" t="s">
        <v>1301</v>
      </c>
      <c r="B1010" s="335">
        <v>0</v>
      </c>
      <c r="C1010" s="354">
        <f>+C990*C1009</f>
        <v>547727.97556000005</v>
      </c>
      <c r="D1010" s="340">
        <f t="shared" si="131"/>
        <v>547727.97556000005</v>
      </c>
    </row>
    <row r="1015" spans="1:4" s="143" customFormat="1" x14ac:dyDescent="0.2">
      <c r="A1015" s="407" t="s">
        <v>1284</v>
      </c>
      <c r="B1015" s="408"/>
      <c r="C1015" s="408"/>
      <c r="D1015" s="409"/>
    </row>
    <row r="1016" spans="1:4" s="143" customFormat="1" x14ac:dyDescent="0.2">
      <c r="A1016" s="407" t="s">
        <v>1285</v>
      </c>
      <c r="B1016" s="408"/>
      <c r="C1016" s="408"/>
      <c r="D1016" s="409"/>
    </row>
    <row r="1017" spans="1:4" s="143" customFormat="1" x14ac:dyDescent="0.2">
      <c r="A1017" s="410" t="s">
        <v>1354</v>
      </c>
      <c r="B1017" s="402"/>
      <c r="C1017" s="402"/>
      <c r="D1017" s="403"/>
    </row>
    <row r="1018" spans="1:4" s="143" customFormat="1" x14ac:dyDescent="0.2">
      <c r="A1018" s="411" t="s">
        <v>1363</v>
      </c>
      <c r="B1018" s="405"/>
      <c r="C1018" s="405"/>
      <c r="D1018" s="406"/>
    </row>
    <row r="1019" spans="1:4" s="143" customFormat="1" x14ac:dyDescent="0.2">
      <c r="A1019" s="333" t="s">
        <v>1288</v>
      </c>
      <c r="B1019" s="333" t="s">
        <v>1289</v>
      </c>
      <c r="C1019" s="333">
        <v>2024</v>
      </c>
      <c r="D1019" s="333" t="s">
        <v>1270</v>
      </c>
    </row>
    <row r="1020" spans="1:4" s="143" customFormat="1" x14ac:dyDescent="0.2">
      <c r="A1020" s="334"/>
      <c r="B1020" s="334"/>
      <c r="C1020" s="334"/>
      <c r="D1020" s="334"/>
    </row>
    <row r="1021" spans="1:4" s="143" customFormat="1" x14ac:dyDescent="0.2">
      <c r="A1021" s="334" t="s">
        <v>1290</v>
      </c>
      <c r="B1021" s="335">
        <v>0</v>
      </c>
      <c r="C1021" s="347">
        <f>+'Plant &amp; Reserve'!E64</f>
        <v>35668591.620000005</v>
      </c>
      <c r="D1021" s="336">
        <f>+C1021-B1021</f>
        <v>35668591.620000005</v>
      </c>
    </row>
    <row r="1022" spans="1:4" s="143" customFormat="1" x14ac:dyDescent="0.2">
      <c r="A1022" s="334"/>
      <c r="B1022" s="334"/>
      <c r="C1022" s="348"/>
      <c r="D1022" s="337"/>
    </row>
    <row r="1023" spans="1:4" s="143" customFormat="1" x14ac:dyDescent="0.2">
      <c r="A1023" s="334" t="s">
        <v>1291</v>
      </c>
      <c r="B1023" s="368" t="s">
        <v>652</v>
      </c>
      <c r="C1023" s="363" t="s">
        <v>652</v>
      </c>
      <c r="D1023" s="337"/>
    </row>
    <row r="1024" spans="1:4" s="143" customFormat="1" x14ac:dyDescent="0.2">
      <c r="A1024" s="334" t="s">
        <v>79</v>
      </c>
      <c r="B1024" s="368">
        <v>15</v>
      </c>
      <c r="C1024" s="349">
        <v>15</v>
      </c>
      <c r="D1024" s="338">
        <f>+C1024-B1024</f>
        <v>0</v>
      </c>
    </row>
    <row r="1025" spans="1:4" s="143" customFormat="1" x14ac:dyDescent="0.2">
      <c r="A1025" s="334"/>
      <c r="B1025" s="333"/>
      <c r="C1025" s="348"/>
      <c r="D1025" s="337"/>
    </row>
    <row r="1026" spans="1:4" s="143" customFormat="1" x14ac:dyDescent="0.2">
      <c r="A1026" s="334" t="s">
        <v>1292</v>
      </c>
      <c r="B1026" s="339">
        <v>0</v>
      </c>
      <c r="C1026" s="347">
        <f>+'Reserve Allocation'!H66</f>
        <v>3566859.1619999995</v>
      </c>
      <c r="D1026" s="340">
        <f t="shared" ref="D1026:D1028" si="132">+C1026-B1026</f>
        <v>3566859.1619999995</v>
      </c>
    </row>
    <row r="1027" spans="1:4" s="143" customFormat="1" x14ac:dyDescent="0.2">
      <c r="A1027" s="334" t="s">
        <v>1293</v>
      </c>
      <c r="B1027" s="339">
        <v>0</v>
      </c>
      <c r="C1027" s="347">
        <f>+'Reserve Allocation'!F66</f>
        <v>4351568.1776400004</v>
      </c>
      <c r="D1027" s="340">
        <f t="shared" si="132"/>
        <v>4351568.1776400004</v>
      </c>
    </row>
    <row r="1028" spans="1:4" s="143" customFormat="1" x14ac:dyDescent="0.2">
      <c r="A1028" s="334" t="s">
        <v>1294</v>
      </c>
      <c r="B1028" s="339">
        <v>0</v>
      </c>
      <c r="C1028" s="350">
        <f>+C1027-C1026</f>
        <v>784709.01564000081</v>
      </c>
      <c r="D1028" s="340">
        <f t="shared" si="132"/>
        <v>784709.01564000081</v>
      </c>
    </row>
    <row r="1029" spans="1:4" s="143" customFormat="1" x14ac:dyDescent="0.2">
      <c r="A1029" s="334"/>
      <c r="B1029" s="334"/>
      <c r="C1029" s="351"/>
      <c r="D1029" s="337"/>
    </row>
    <row r="1030" spans="1:4" s="143" customFormat="1" x14ac:dyDescent="0.2">
      <c r="A1030" s="334" t="s">
        <v>50</v>
      </c>
      <c r="B1030" s="342">
        <v>0</v>
      </c>
      <c r="C1030" s="352">
        <f>+C1027/C1021</f>
        <v>0.122</v>
      </c>
      <c r="D1030" s="337"/>
    </row>
    <row r="1031" spans="1:4" s="143" customFormat="1" x14ac:dyDescent="0.2">
      <c r="A1031" s="334"/>
      <c r="B1031" s="334"/>
      <c r="C1031" s="351"/>
      <c r="D1031" s="337"/>
    </row>
    <row r="1032" spans="1:4" s="143" customFormat="1" x14ac:dyDescent="0.2">
      <c r="A1032" s="334" t="s">
        <v>1295</v>
      </c>
      <c r="B1032" s="369">
        <v>0</v>
      </c>
      <c r="C1032" s="353">
        <v>0</v>
      </c>
      <c r="D1032" s="344" t="s">
        <v>651</v>
      </c>
    </row>
    <row r="1033" spans="1:4" s="143" customFormat="1" x14ac:dyDescent="0.2">
      <c r="A1033" s="334" t="s">
        <v>1296</v>
      </c>
      <c r="B1033" s="369">
        <v>0</v>
      </c>
      <c r="C1033" s="353">
        <f>-+Parameter!I87/100</f>
        <v>0</v>
      </c>
      <c r="D1033" s="344" t="s">
        <v>651</v>
      </c>
    </row>
    <row r="1034" spans="1:4" s="143" customFormat="1" x14ac:dyDescent="0.2">
      <c r="A1034" s="334" t="s">
        <v>1297</v>
      </c>
      <c r="B1034" s="369">
        <v>0</v>
      </c>
      <c r="C1034" s="353">
        <f>+C1032-C1033</f>
        <v>0</v>
      </c>
      <c r="D1034" s="344" t="s">
        <v>651</v>
      </c>
    </row>
    <row r="1035" spans="1:4" s="143" customFormat="1" x14ac:dyDescent="0.2">
      <c r="A1035" s="334"/>
      <c r="B1035" s="334"/>
      <c r="C1035" s="351"/>
      <c r="D1035" s="337"/>
    </row>
    <row r="1036" spans="1:4" s="143" customFormat="1" x14ac:dyDescent="0.2">
      <c r="A1036" s="334" t="s">
        <v>1298</v>
      </c>
      <c r="B1036" s="342">
        <v>6.7000000000000004E-2</v>
      </c>
      <c r="C1036" s="352">
        <f>'Proposed Rates'!$P$64/100</f>
        <v>6.7000000000000004E-2</v>
      </c>
      <c r="D1036" s="341">
        <f>+C1036-B1036</f>
        <v>0</v>
      </c>
    </row>
    <row r="1037" spans="1:4" s="143" customFormat="1" x14ac:dyDescent="0.2">
      <c r="A1037" s="334" t="s">
        <v>1299</v>
      </c>
      <c r="B1037" s="335">
        <v>0</v>
      </c>
      <c r="C1037" s="354">
        <f>+C1036*C1021</f>
        <v>2389795.6385400007</v>
      </c>
      <c r="D1037" s="340">
        <f t="shared" ref="D1037" si="133">+C1037-B1037</f>
        <v>2389795.6385400007</v>
      </c>
    </row>
    <row r="1038" spans="1:4" s="143" customFormat="1" x14ac:dyDescent="0.2">
      <c r="A1038" s="334"/>
      <c r="B1038" s="334"/>
      <c r="C1038" s="351"/>
      <c r="D1038" s="337"/>
    </row>
    <row r="1039" spans="1:4" s="143" customFormat="1" x14ac:dyDescent="0.2">
      <c r="A1039" s="334" t="s">
        <v>48</v>
      </c>
      <c r="B1039" s="346">
        <v>15</v>
      </c>
      <c r="C1039" s="355">
        <v>15</v>
      </c>
      <c r="D1039" s="345">
        <f t="shared" ref="D1039" si="134">+C1039-B1039</f>
        <v>0</v>
      </c>
    </row>
    <row r="1040" spans="1:4" s="143" customFormat="1" x14ac:dyDescent="0.2">
      <c r="A1040" s="334" t="s">
        <v>1300</v>
      </c>
      <c r="B1040" s="342">
        <v>6.7000000000000004E-2</v>
      </c>
      <c r="C1040" s="352">
        <v>6.7000000000000004E-2</v>
      </c>
      <c r="D1040" s="341">
        <f>+C1040-B1040</f>
        <v>0</v>
      </c>
    </row>
    <row r="1041" spans="1:4" s="143" customFormat="1" x14ac:dyDescent="0.2">
      <c r="A1041" s="334" t="s">
        <v>1301</v>
      </c>
      <c r="B1041" s="335">
        <v>0</v>
      </c>
      <c r="C1041" s="354">
        <f>+C1021*C1040</f>
        <v>2389795.6385400007</v>
      </c>
      <c r="D1041" s="340">
        <f t="shared" ref="D1041" si="135">+C1041-B1041</f>
        <v>2389795.6385400007</v>
      </c>
    </row>
    <row r="1042" spans="1:4" s="143" customFormat="1" x14ac:dyDescent="0.2"/>
    <row r="1043" spans="1:4" s="143" customFormat="1" x14ac:dyDescent="0.2"/>
    <row r="1044" spans="1:4" s="143" customFormat="1" x14ac:dyDescent="0.2"/>
    <row r="1045" spans="1:4" s="143" customFormat="1" x14ac:dyDescent="0.2"/>
    <row r="1046" spans="1:4" s="143" customFormat="1" x14ac:dyDescent="0.2"/>
    <row r="1047" spans="1:4" s="143" customFormat="1" x14ac:dyDescent="0.2"/>
    <row r="1048" spans="1:4" s="143" customFormat="1" x14ac:dyDescent="0.2"/>
    <row r="1049" spans="1:4" s="143" customFormat="1" x14ac:dyDescent="0.2"/>
    <row r="1050" spans="1:4" s="143" customFormat="1" x14ac:dyDescent="0.2"/>
    <row r="1051" spans="1:4" s="143" customFormat="1" x14ac:dyDescent="0.2"/>
    <row r="1052" spans="1:4" s="143" customFormat="1" x14ac:dyDescent="0.2"/>
    <row r="1053" spans="1:4" s="143" customFormat="1" x14ac:dyDescent="0.2"/>
    <row r="1054" spans="1:4" x14ac:dyDescent="0.2">
      <c r="A1054" s="407" t="s">
        <v>1284</v>
      </c>
      <c r="B1054" s="408"/>
      <c r="C1054" s="408"/>
      <c r="D1054" s="409"/>
    </row>
    <row r="1055" spans="1:4" x14ac:dyDescent="0.2">
      <c r="A1055" s="407" t="s">
        <v>1285</v>
      </c>
      <c r="B1055" s="408"/>
      <c r="C1055" s="408"/>
      <c r="D1055" s="409"/>
    </row>
    <row r="1056" spans="1:4" x14ac:dyDescent="0.2">
      <c r="A1056" s="401" t="s">
        <v>1345</v>
      </c>
      <c r="B1056" s="402"/>
      <c r="C1056" s="402"/>
      <c r="D1056" s="403"/>
    </row>
    <row r="1057" spans="1:4" x14ac:dyDescent="0.2">
      <c r="A1057" s="404" t="s">
        <v>1273</v>
      </c>
      <c r="B1057" s="405"/>
      <c r="C1057" s="405"/>
      <c r="D1057" s="406"/>
    </row>
    <row r="1058" spans="1:4" x14ac:dyDescent="0.2">
      <c r="A1058" s="333" t="s">
        <v>1288</v>
      </c>
      <c r="B1058" s="333" t="s">
        <v>1289</v>
      </c>
      <c r="C1058" s="333">
        <v>2024</v>
      </c>
      <c r="D1058" s="333" t="s">
        <v>1270</v>
      </c>
    </row>
    <row r="1059" spans="1:4" x14ac:dyDescent="0.2">
      <c r="A1059" s="334"/>
      <c r="B1059" s="334"/>
      <c r="C1059" s="334"/>
      <c r="D1059" s="334"/>
    </row>
    <row r="1060" spans="1:4" x14ac:dyDescent="0.2">
      <c r="A1060" s="334" t="s">
        <v>1290</v>
      </c>
      <c r="B1060" s="335">
        <v>0</v>
      </c>
      <c r="C1060" s="347">
        <f>+'Rate Computation'!D68</f>
        <v>1503355.97</v>
      </c>
      <c r="D1060" s="336">
        <f>+C1060-B1060</f>
        <v>1503355.97</v>
      </c>
    </row>
    <row r="1061" spans="1:4" x14ac:dyDescent="0.2">
      <c r="A1061" s="334"/>
      <c r="B1061" s="334"/>
      <c r="C1061" s="337"/>
      <c r="D1061" s="337"/>
    </row>
    <row r="1062" spans="1:4" x14ac:dyDescent="0.2">
      <c r="A1062" s="334" t="s">
        <v>1291</v>
      </c>
      <c r="B1062" s="333" t="s">
        <v>26</v>
      </c>
      <c r="C1062" s="349" t="str">
        <f>+Parameter!H57</f>
        <v>R2</v>
      </c>
      <c r="D1062" s="337"/>
    </row>
    <row r="1063" spans="1:4" x14ac:dyDescent="0.2">
      <c r="A1063" s="334" t="s">
        <v>79</v>
      </c>
      <c r="B1063" s="333">
        <v>30</v>
      </c>
      <c r="C1063" s="349">
        <f>+Parameter!G57</f>
        <v>30</v>
      </c>
      <c r="D1063" s="338">
        <f>+C1063-B1063</f>
        <v>0</v>
      </c>
    </row>
    <row r="1064" spans="1:4" x14ac:dyDescent="0.2">
      <c r="A1064" s="334"/>
      <c r="B1064" s="333"/>
      <c r="C1064" s="348"/>
      <c r="D1064" s="337"/>
    </row>
    <row r="1065" spans="1:4" x14ac:dyDescent="0.2">
      <c r="A1065" s="334" t="s">
        <v>1292</v>
      </c>
      <c r="B1065" s="339">
        <v>0</v>
      </c>
      <c r="C1065" s="347">
        <f>+'Reserve Allocation'!F67</f>
        <v>79584.682884999987</v>
      </c>
      <c r="D1065" s="340">
        <f t="shared" ref="D1065:D1067" si="136">+C1065-B1065</f>
        <v>79584.682884999987</v>
      </c>
    </row>
    <row r="1066" spans="1:4" x14ac:dyDescent="0.2">
      <c r="A1066" s="334" t="s">
        <v>1293</v>
      </c>
      <c r="B1066" s="339">
        <v>0</v>
      </c>
      <c r="C1066" s="347">
        <f>+'Reserve Allocation'!H67</f>
        <v>70509.870227827516</v>
      </c>
      <c r="D1066" s="340">
        <f t="shared" si="136"/>
        <v>70509.870227827516</v>
      </c>
    </row>
    <row r="1067" spans="1:4" x14ac:dyDescent="0.2">
      <c r="A1067" s="334" t="s">
        <v>1294</v>
      </c>
      <c r="B1067" s="339">
        <f>+B1066-B1065</f>
        <v>0</v>
      </c>
      <c r="C1067" s="350">
        <f>+C1066-C1065</f>
        <v>-9074.8126571724715</v>
      </c>
      <c r="D1067" s="340">
        <f t="shared" si="136"/>
        <v>-9074.8126571724715</v>
      </c>
    </row>
    <row r="1068" spans="1:4" x14ac:dyDescent="0.2">
      <c r="A1068" s="334"/>
      <c r="B1068" s="334"/>
      <c r="C1068" s="351"/>
      <c r="D1068" s="337"/>
    </row>
    <row r="1069" spans="1:4" x14ac:dyDescent="0.2">
      <c r="A1069" s="334" t="s">
        <v>50</v>
      </c>
      <c r="B1069" s="342">
        <v>0</v>
      </c>
      <c r="C1069" s="352">
        <f>+C1066/C1060</f>
        <v>4.6901646472875959E-2</v>
      </c>
      <c r="D1069" s="337"/>
    </row>
    <row r="1070" spans="1:4" x14ac:dyDescent="0.2">
      <c r="A1070" s="334"/>
      <c r="B1070" s="334"/>
      <c r="C1070" s="351"/>
      <c r="D1070" s="337"/>
    </row>
    <row r="1071" spans="1:4" x14ac:dyDescent="0.2">
      <c r="A1071" s="334" t="s">
        <v>1295</v>
      </c>
      <c r="B1071" s="343">
        <v>0</v>
      </c>
      <c r="C1071" s="353">
        <v>0</v>
      </c>
      <c r="D1071" s="344">
        <f t="shared" ref="D1071:D1073" si="137">+C1071-B1071</f>
        <v>0</v>
      </c>
    </row>
    <row r="1072" spans="1:4" x14ac:dyDescent="0.2">
      <c r="A1072" s="334" t="s">
        <v>1296</v>
      </c>
      <c r="B1072" s="343">
        <v>0.05</v>
      </c>
      <c r="C1072" s="353">
        <f>-+Parameter!I57/100</f>
        <v>0.05</v>
      </c>
      <c r="D1072" s="344">
        <f t="shared" si="137"/>
        <v>0</v>
      </c>
    </row>
    <row r="1073" spans="1:4" x14ac:dyDescent="0.2">
      <c r="A1073" s="334" t="s">
        <v>1297</v>
      </c>
      <c r="B1073" s="343">
        <f>+B1071-B1072</f>
        <v>-0.05</v>
      </c>
      <c r="C1073" s="353">
        <f>+C1071-C1072</f>
        <v>-0.05</v>
      </c>
      <c r="D1073" s="344">
        <f t="shared" si="137"/>
        <v>0</v>
      </c>
    </row>
    <row r="1074" spans="1:4" x14ac:dyDescent="0.2">
      <c r="A1074" s="334"/>
      <c r="B1074" s="334"/>
      <c r="C1074" s="351"/>
      <c r="D1074" s="337"/>
    </row>
    <row r="1075" spans="1:4" x14ac:dyDescent="0.2">
      <c r="A1075" s="334" t="s">
        <v>1298</v>
      </c>
      <c r="B1075" s="342">
        <v>3.5000000000000003E-2</v>
      </c>
      <c r="C1075" s="352">
        <f>+'Proposed Accruals'!L65/100</f>
        <v>3.5000000000000003E-2</v>
      </c>
      <c r="D1075" s="352">
        <f t="shared" ref="D1075:D1076" si="138">+C1075-B1075</f>
        <v>0</v>
      </c>
    </row>
    <row r="1076" spans="1:4" x14ac:dyDescent="0.2">
      <c r="A1076" s="334" t="s">
        <v>1299</v>
      </c>
      <c r="B1076" s="335">
        <v>0</v>
      </c>
      <c r="C1076" s="354">
        <f>+C1075*C1060</f>
        <v>52617.458950000007</v>
      </c>
      <c r="D1076" s="340">
        <f t="shared" si="138"/>
        <v>52617.458950000007</v>
      </c>
    </row>
    <row r="1077" spans="1:4" x14ac:dyDescent="0.2">
      <c r="A1077" s="334"/>
      <c r="B1077" s="334"/>
      <c r="C1077" s="351"/>
      <c r="D1077" s="337"/>
    </row>
    <row r="1078" spans="1:4" x14ac:dyDescent="0.2">
      <c r="A1078" s="334" t="s">
        <v>48</v>
      </c>
      <c r="B1078" s="346">
        <v>30</v>
      </c>
      <c r="C1078" s="355">
        <f>+'Rate Computation'!M68</f>
        <v>28.659952957917831</v>
      </c>
      <c r="D1078" s="345">
        <f t="shared" ref="D1078:D1080" si="139">+C1078-B1078</f>
        <v>-1.3400470420821691</v>
      </c>
    </row>
    <row r="1079" spans="1:4" x14ac:dyDescent="0.2">
      <c r="A1079" s="334" t="s">
        <v>1300</v>
      </c>
      <c r="B1079" s="342">
        <v>3.5000000000000003E-2</v>
      </c>
      <c r="C1079" s="352">
        <f>+'Rate Computation'!Q68</f>
        <v>3.5000000000000003E-2</v>
      </c>
      <c r="D1079" s="341">
        <f>+C1079-B1079</f>
        <v>0</v>
      </c>
    </row>
    <row r="1080" spans="1:4" x14ac:dyDescent="0.2">
      <c r="A1080" s="334" t="s">
        <v>1301</v>
      </c>
      <c r="B1080" s="335">
        <v>0</v>
      </c>
      <c r="C1080" s="354">
        <f>+C1060*C1079</f>
        <v>52617.458950000007</v>
      </c>
      <c r="D1080" s="340">
        <f t="shared" si="139"/>
        <v>52617.458950000007</v>
      </c>
    </row>
    <row r="1084" spans="1:4" x14ac:dyDescent="0.2">
      <c r="A1084" s="407" t="s">
        <v>1284</v>
      </c>
      <c r="B1084" s="408"/>
      <c r="C1084" s="408"/>
      <c r="D1084" s="409"/>
    </row>
    <row r="1085" spans="1:4" x14ac:dyDescent="0.2">
      <c r="A1085" s="407" t="s">
        <v>1285</v>
      </c>
      <c r="B1085" s="408"/>
      <c r="C1085" s="408"/>
      <c r="D1085" s="409"/>
    </row>
    <row r="1086" spans="1:4" x14ac:dyDescent="0.2">
      <c r="A1086" s="401" t="s">
        <v>1346</v>
      </c>
      <c r="B1086" s="402"/>
      <c r="C1086" s="402"/>
      <c r="D1086" s="403"/>
    </row>
    <row r="1087" spans="1:4" x14ac:dyDescent="0.2">
      <c r="A1087" s="404" t="s">
        <v>1347</v>
      </c>
      <c r="B1087" s="405"/>
      <c r="C1087" s="405"/>
      <c r="D1087" s="406"/>
    </row>
    <row r="1088" spans="1:4" x14ac:dyDescent="0.2">
      <c r="A1088" s="333" t="s">
        <v>1288</v>
      </c>
      <c r="B1088" s="333" t="s">
        <v>1289</v>
      </c>
      <c r="C1088" s="333">
        <v>2024</v>
      </c>
      <c r="D1088" s="333" t="s">
        <v>1270</v>
      </c>
    </row>
    <row r="1089" spans="1:4" x14ac:dyDescent="0.2">
      <c r="A1089" s="334"/>
      <c r="B1089" s="334"/>
      <c r="C1089" s="334"/>
      <c r="D1089" s="334"/>
    </row>
    <row r="1090" spans="1:4" x14ac:dyDescent="0.2">
      <c r="A1090" s="334" t="s">
        <v>1290</v>
      </c>
      <c r="B1090" s="335">
        <v>0</v>
      </c>
      <c r="C1090" s="347">
        <f>'Rate Computation'!$D$25</f>
        <v>19187297.899999999</v>
      </c>
      <c r="D1090" s="336">
        <f>+C1090-B1090</f>
        <v>19187297.899999999</v>
      </c>
    </row>
    <row r="1091" spans="1:4" x14ac:dyDescent="0.2">
      <c r="A1091" s="334"/>
      <c r="B1091" s="334"/>
      <c r="C1091" s="348"/>
      <c r="D1091" s="337"/>
    </row>
    <row r="1092" spans="1:4" x14ac:dyDescent="0.2">
      <c r="A1092" s="334" t="s">
        <v>1291</v>
      </c>
      <c r="B1092" s="333" t="s">
        <v>26</v>
      </c>
      <c r="C1092" s="356" t="str">
        <f>+Parameter!H19</f>
        <v>R2</v>
      </c>
      <c r="D1092" s="337"/>
    </row>
    <row r="1093" spans="1:4" x14ac:dyDescent="0.2">
      <c r="A1093" s="334" t="s">
        <v>79</v>
      </c>
      <c r="B1093" s="333">
        <v>35</v>
      </c>
      <c r="C1093" s="349">
        <f>+Parameter!G19</f>
        <v>35</v>
      </c>
      <c r="D1093" s="338">
        <f>+C1093-B1093</f>
        <v>0</v>
      </c>
    </row>
    <row r="1094" spans="1:4" x14ac:dyDescent="0.2">
      <c r="A1094" s="334"/>
      <c r="B1094" s="333"/>
      <c r="C1094" s="348"/>
      <c r="D1094" s="337"/>
    </row>
    <row r="1095" spans="1:4" x14ac:dyDescent="0.2">
      <c r="A1095" s="334" t="s">
        <v>1292</v>
      </c>
      <c r="B1095" s="339">
        <v>0</v>
      </c>
      <c r="C1095" s="350">
        <f>+'Theoretical Reserve'!H231</f>
        <v>1712927.2714726988</v>
      </c>
      <c r="D1095" s="340">
        <f t="shared" ref="D1095:D1097" si="140">+C1095-B1095</f>
        <v>1712927.2714726988</v>
      </c>
    </row>
    <row r="1096" spans="1:4" x14ac:dyDescent="0.2">
      <c r="A1096" s="334" t="s">
        <v>1293</v>
      </c>
      <c r="B1096" s="339">
        <v>0</v>
      </c>
      <c r="C1096" s="350">
        <f>+'Rate Computation'!E25</f>
        <v>1872818.6248070037</v>
      </c>
      <c r="D1096" s="340">
        <f t="shared" si="140"/>
        <v>1872818.6248070037</v>
      </c>
    </row>
    <row r="1097" spans="1:4" x14ac:dyDescent="0.2">
      <c r="A1097" s="334" t="s">
        <v>1294</v>
      </c>
      <c r="B1097" s="339">
        <f>+B1096-B1095</f>
        <v>0</v>
      </c>
      <c r="C1097" s="350">
        <f>+C1096-C1095</f>
        <v>159891.35333430488</v>
      </c>
      <c r="D1097" s="340">
        <f t="shared" si="140"/>
        <v>159891.35333430488</v>
      </c>
    </row>
    <row r="1098" spans="1:4" x14ac:dyDescent="0.2">
      <c r="A1098" s="334"/>
      <c r="B1098" s="334"/>
      <c r="C1098" s="351"/>
      <c r="D1098" s="337"/>
    </row>
    <row r="1099" spans="1:4" x14ac:dyDescent="0.2">
      <c r="A1099" s="334" t="s">
        <v>50</v>
      </c>
      <c r="B1099" s="342">
        <v>0</v>
      </c>
      <c r="C1099" s="352">
        <f>+C1096/C1090</f>
        <v>9.7607210487256985E-2</v>
      </c>
      <c r="D1099" s="337"/>
    </row>
    <row r="1100" spans="1:4" x14ac:dyDescent="0.2">
      <c r="A1100" s="334"/>
      <c r="B1100" s="334"/>
      <c r="C1100" s="351"/>
      <c r="D1100" s="337"/>
    </row>
    <row r="1101" spans="1:4" x14ac:dyDescent="0.2">
      <c r="A1101" s="334" t="s">
        <v>1295</v>
      </c>
      <c r="B1101" s="343">
        <v>0</v>
      </c>
      <c r="C1101" s="353">
        <v>0</v>
      </c>
      <c r="D1101" s="344">
        <f t="shared" ref="D1101:D1103" si="141">+C1101-B1101</f>
        <v>0</v>
      </c>
    </row>
    <row r="1102" spans="1:4" x14ac:dyDescent="0.2">
      <c r="A1102" s="334" t="s">
        <v>1296</v>
      </c>
      <c r="B1102" s="343">
        <v>0.05</v>
      </c>
      <c r="C1102" s="353">
        <f>-+Parameter!I19/100</f>
        <v>0.05</v>
      </c>
      <c r="D1102" s="344">
        <f t="shared" si="141"/>
        <v>0</v>
      </c>
    </row>
    <row r="1103" spans="1:4" x14ac:dyDescent="0.2">
      <c r="A1103" s="334" t="s">
        <v>1297</v>
      </c>
      <c r="B1103" s="343">
        <f>+B1101-B1102</f>
        <v>-0.05</v>
      </c>
      <c r="C1103" s="353">
        <f>+C1101-C1102</f>
        <v>-0.05</v>
      </c>
      <c r="D1103" s="344">
        <f t="shared" si="141"/>
        <v>0</v>
      </c>
    </row>
    <row r="1104" spans="1:4" x14ac:dyDescent="0.2">
      <c r="A1104" s="334"/>
      <c r="B1104" s="334"/>
      <c r="C1104" s="351"/>
      <c r="D1104" s="337"/>
    </row>
    <row r="1105" spans="1:4" x14ac:dyDescent="0.2">
      <c r="A1105" s="334" t="s">
        <v>1298</v>
      </c>
      <c r="B1105" s="342">
        <v>0.03</v>
      </c>
      <c r="C1105" s="352">
        <f>+'Proposed Accruals'!L20/100</f>
        <v>0.03</v>
      </c>
      <c r="D1105" s="341">
        <f>+C1105-B1105</f>
        <v>0</v>
      </c>
    </row>
    <row r="1106" spans="1:4" x14ac:dyDescent="0.2">
      <c r="A1106" s="334" t="s">
        <v>1299</v>
      </c>
      <c r="B1106" s="335">
        <v>0</v>
      </c>
      <c r="C1106" s="354">
        <f>+C1090*C1105</f>
        <v>575618.93699999992</v>
      </c>
      <c r="D1106" s="340">
        <f t="shared" ref="D1106" si="142">+C1106-B1106</f>
        <v>575618.93699999992</v>
      </c>
    </row>
    <row r="1107" spans="1:4" x14ac:dyDescent="0.2">
      <c r="A1107" s="334"/>
      <c r="B1107" s="334"/>
      <c r="C1107" s="351"/>
      <c r="D1107" s="337"/>
    </row>
    <row r="1108" spans="1:4" x14ac:dyDescent="0.2">
      <c r="A1108" s="334" t="s">
        <v>48</v>
      </c>
      <c r="B1108" s="346">
        <v>35</v>
      </c>
      <c r="C1108" s="355">
        <f>+'Rate Computation'!M25</f>
        <v>31.875409199669306</v>
      </c>
      <c r="D1108" s="345">
        <f t="shared" ref="D1108:D1110" si="143">+C1108-B1108</f>
        <v>-3.1245908003306937</v>
      </c>
    </row>
    <row r="1109" spans="1:4" x14ac:dyDescent="0.2">
      <c r="A1109" s="334" t="s">
        <v>1300</v>
      </c>
      <c r="B1109" s="342">
        <v>0.03</v>
      </c>
      <c r="C1109" s="352">
        <f>+'Rate Computation'!Q25</f>
        <v>0.03</v>
      </c>
      <c r="D1109" s="341">
        <f>+C1109-B1109</f>
        <v>0</v>
      </c>
    </row>
    <row r="1110" spans="1:4" x14ac:dyDescent="0.2">
      <c r="A1110" s="334" t="s">
        <v>1301</v>
      </c>
      <c r="B1110" s="335">
        <v>0</v>
      </c>
      <c r="C1110" s="354">
        <f>+C1090*C1109</f>
        <v>575618.93699999992</v>
      </c>
      <c r="D1110" s="340">
        <f t="shared" si="143"/>
        <v>575618.93699999992</v>
      </c>
    </row>
  </sheetData>
  <mergeCells count="144">
    <mergeCell ref="A1:D1"/>
    <mergeCell ref="A2:D2"/>
    <mergeCell ref="A3:D3"/>
    <mergeCell ref="A4:D4"/>
    <mergeCell ref="A33:D33"/>
    <mergeCell ref="A34:D34"/>
    <mergeCell ref="A94:D94"/>
    <mergeCell ref="A95:D95"/>
    <mergeCell ref="A96:D96"/>
    <mergeCell ref="A97:D97"/>
    <mergeCell ref="A124:D124"/>
    <mergeCell ref="A125:D125"/>
    <mergeCell ref="A35:D35"/>
    <mergeCell ref="A36:D36"/>
    <mergeCell ref="A63:D63"/>
    <mergeCell ref="A64:D64"/>
    <mergeCell ref="A65:D65"/>
    <mergeCell ref="A66:D66"/>
    <mergeCell ref="A185:D185"/>
    <mergeCell ref="A186:D186"/>
    <mergeCell ref="A187:D187"/>
    <mergeCell ref="A188:D188"/>
    <mergeCell ref="A216:D216"/>
    <mergeCell ref="A217:D217"/>
    <mergeCell ref="A126:D126"/>
    <mergeCell ref="A127:D127"/>
    <mergeCell ref="A154:D154"/>
    <mergeCell ref="A155:D155"/>
    <mergeCell ref="A156:D156"/>
    <mergeCell ref="A157:D157"/>
    <mergeCell ref="A277:D277"/>
    <mergeCell ref="A278:D278"/>
    <mergeCell ref="A279:D279"/>
    <mergeCell ref="A280:D280"/>
    <mergeCell ref="A307:D307"/>
    <mergeCell ref="A308:D308"/>
    <mergeCell ref="A218:D218"/>
    <mergeCell ref="A219:D219"/>
    <mergeCell ref="A245:D245"/>
    <mergeCell ref="A246:D246"/>
    <mergeCell ref="A247:D247"/>
    <mergeCell ref="A248:D248"/>
    <mergeCell ref="A368:D368"/>
    <mergeCell ref="A369:D369"/>
    <mergeCell ref="A370:D370"/>
    <mergeCell ref="A371:D371"/>
    <mergeCell ref="A398:D398"/>
    <mergeCell ref="A399:D399"/>
    <mergeCell ref="A309:D309"/>
    <mergeCell ref="A310:D310"/>
    <mergeCell ref="A338:D338"/>
    <mergeCell ref="A339:D339"/>
    <mergeCell ref="A340:D340"/>
    <mergeCell ref="A341:D341"/>
    <mergeCell ref="A460:D460"/>
    <mergeCell ref="A461:D461"/>
    <mergeCell ref="A462:D462"/>
    <mergeCell ref="A463:D463"/>
    <mergeCell ref="A493:D493"/>
    <mergeCell ref="A494:D494"/>
    <mergeCell ref="A400:D400"/>
    <mergeCell ref="A401:D401"/>
    <mergeCell ref="A429:D429"/>
    <mergeCell ref="A430:D430"/>
    <mergeCell ref="A431:D431"/>
    <mergeCell ref="A432:D432"/>
    <mergeCell ref="A555:D555"/>
    <mergeCell ref="A556:D556"/>
    <mergeCell ref="A557:D557"/>
    <mergeCell ref="A558:D558"/>
    <mergeCell ref="A586:D586"/>
    <mergeCell ref="A587:D587"/>
    <mergeCell ref="A495:D495"/>
    <mergeCell ref="A496:D496"/>
    <mergeCell ref="A525:D525"/>
    <mergeCell ref="A526:D526"/>
    <mergeCell ref="A527:D527"/>
    <mergeCell ref="A528:D528"/>
    <mergeCell ref="A646:D646"/>
    <mergeCell ref="A647:D647"/>
    <mergeCell ref="A648:D648"/>
    <mergeCell ref="A649:D649"/>
    <mergeCell ref="A677:D677"/>
    <mergeCell ref="A678:D678"/>
    <mergeCell ref="A588:D588"/>
    <mergeCell ref="A589:D589"/>
    <mergeCell ref="A616:D616"/>
    <mergeCell ref="A617:D617"/>
    <mergeCell ref="A618:D618"/>
    <mergeCell ref="A619:D619"/>
    <mergeCell ref="A740:D740"/>
    <mergeCell ref="A741:D741"/>
    <mergeCell ref="A742:D742"/>
    <mergeCell ref="A743:D743"/>
    <mergeCell ref="A770:D770"/>
    <mergeCell ref="A771:D771"/>
    <mergeCell ref="A679:D679"/>
    <mergeCell ref="A680:D680"/>
    <mergeCell ref="A708:D708"/>
    <mergeCell ref="A709:D709"/>
    <mergeCell ref="A710:D710"/>
    <mergeCell ref="A711:D711"/>
    <mergeCell ref="A831:D831"/>
    <mergeCell ref="A832:D832"/>
    <mergeCell ref="A833:D833"/>
    <mergeCell ref="A834:D834"/>
    <mergeCell ref="A861:D861"/>
    <mergeCell ref="A862:D862"/>
    <mergeCell ref="A772:D772"/>
    <mergeCell ref="A773:D773"/>
    <mergeCell ref="A801:D801"/>
    <mergeCell ref="A802:D802"/>
    <mergeCell ref="A803:D803"/>
    <mergeCell ref="A804:D804"/>
    <mergeCell ref="A923:D923"/>
    <mergeCell ref="A924:D924"/>
    <mergeCell ref="A925:D925"/>
    <mergeCell ref="A926:D926"/>
    <mergeCell ref="A953:D953"/>
    <mergeCell ref="A954:D954"/>
    <mergeCell ref="A863:D863"/>
    <mergeCell ref="A864:D864"/>
    <mergeCell ref="A892:D892"/>
    <mergeCell ref="A893:D893"/>
    <mergeCell ref="A894:D894"/>
    <mergeCell ref="A895:D895"/>
    <mergeCell ref="A1086:D1086"/>
    <mergeCell ref="A1087:D1087"/>
    <mergeCell ref="A1054:D1054"/>
    <mergeCell ref="A1055:D1055"/>
    <mergeCell ref="A1056:D1056"/>
    <mergeCell ref="A1057:D1057"/>
    <mergeCell ref="A1084:D1084"/>
    <mergeCell ref="A1085:D1085"/>
    <mergeCell ref="A955:D955"/>
    <mergeCell ref="A956:D956"/>
    <mergeCell ref="A984:D984"/>
    <mergeCell ref="A985:D985"/>
    <mergeCell ref="A986:D986"/>
    <mergeCell ref="A987:D987"/>
    <mergeCell ref="A1015:D1015"/>
    <mergeCell ref="A1016:D1016"/>
    <mergeCell ref="A1017:D1017"/>
    <mergeCell ref="A1018:D1018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66"/>
  <sheetViews>
    <sheetView tabSelected="1" topLeftCell="A39" workbookViewId="0">
      <selection activeCell="P44" sqref="P44:P58"/>
    </sheetView>
  </sheetViews>
  <sheetFormatPr defaultRowHeight="12.75" x14ac:dyDescent="0.2"/>
  <cols>
    <col min="3" max="3" width="44" customWidth="1"/>
    <col min="4" max="4" width="17.42578125" customWidth="1"/>
    <col min="5" max="5" width="4.28515625" customWidth="1"/>
    <col min="7" max="7" width="7" customWidth="1"/>
    <col min="8" max="8" width="15.42578125" customWidth="1"/>
    <col min="9" max="9" width="1.5703125" customWidth="1"/>
    <col min="11" max="11" width="11" customWidth="1"/>
    <col min="12" max="12" width="20.28515625" customWidth="1"/>
    <col min="13" max="13" width="1.140625" customWidth="1"/>
    <col min="14" max="14" width="16" customWidth="1"/>
    <col min="15" max="15" width="9.7109375" bestFit="1" customWidth="1"/>
    <col min="16" max="16" width="20" customWidth="1"/>
  </cols>
  <sheetData>
    <row r="1" spans="1:16" x14ac:dyDescent="0.2">
      <c r="A1" s="400" t="str">
        <f>'Rate Computation'!A2</f>
        <v>Peoples Gas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</row>
    <row r="2" spans="1:16" x14ac:dyDescent="0.2">
      <c r="A2" t="s">
        <v>1230</v>
      </c>
    </row>
    <row r="3" spans="1:16" x14ac:dyDescent="0.2">
      <c r="A3" s="400" t="s">
        <v>1243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</row>
    <row r="4" spans="1:16" x14ac:dyDescent="0.2">
      <c r="A4" s="400" t="str">
        <f>'Rate Computation'!A5</f>
        <v>Using Average Life Group Depreciation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</row>
    <row r="5" spans="1:16" x14ac:dyDescent="0.2">
      <c r="A5" s="400" t="str">
        <f>'Rate Computation'!A6</f>
        <v>As of December 31, 2024</v>
      </c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400"/>
      <c r="N5" s="400"/>
    </row>
    <row r="6" spans="1:16" x14ac:dyDescent="0.2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</row>
    <row r="7" spans="1:16" x14ac:dyDescent="0.2">
      <c r="A7" s="296"/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5" t="s">
        <v>1230</v>
      </c>
    </row>
    <row r="8" spans="1:16" x14ac:dyDescent="0.2">
      <c r="A8" s="296"/>
      <c r="B8" s="296"/>
      <c r="C8" s="296"/>
      <c r="D8" s="296"/>
      <c r="E8" s="296"/>
      <c r="F8" s="296" t="s">
        <v>1233</v>
      </c>
      <c r="G8" s="296"/>
      <c r="H8" s="296" t="s">
        <v>1235</v>
      </c>
      <c r="I8" s="296"/>
      <c r="J8" s="296" t="s">
        <v>1238</v>
      </c>
      <c r="K8" s="296"/>
      <c r="L8" s="296" t="s">
        <v>1217</v>
      </c>
      <c r="M8" s="296"/>
      <c r="N8" s="296" t="s">
        <v>1240</v>
      </c>
    </row>
    <row r="9" spans="1:16" x14ac:dyDescent="0.2">
      <c r="A9" s="296"/>
      <c r="B9" s="296"/>
      <c r="C9" s="296"/>
      <c r="D9" s="296" t="str">
        <f>'Rate Computation'!D10</f>
        <v>Plant</v>
      </c>
      <c r="E9" s="296"/>
      <c r="F9" s="296" t="s">
        <v>1234</v>
      </c>
      <c r="G9" s="296"/>
      <c r="H9" s="296" t="s">
        <v>1236</v>
      </c>
      <c r="I9" s="296"/>
      <c r="J9" s="296" t="s">
        <v>1234</v>
      </c>
      <c r="K9" s="296"/>
      <c r="L9" s="296" t="s">
        <v>1239</v>
      </c>
      <c r="M9" s="296"/>
      <c r="N9" s="296" t="s">
        <v>1241</v>
      </c>
    </row>
    <row r="10" spans="1:16" x14ac:dyDescent="0.2">
      <c r="A10" s="296"/>
      <c r="B10" s="296"/>
      <c r="C10" s="296"/>
      <c r="D10" s="296" t="str">
        <f>'Rate Computation'!D11</f>
        <v>Balance</v>
      </c>
      <c r="E10" s="296"/>
      <c r="F10" s="296" t="s">
        <v>21</v>
      </c>
      <c r="G10" s="296"/>
      <c r="H10" s="296" t="s">
        <v>1237</v>
      </c>
      <c r="I10" s="296"/>
      <c r="J10" s="296" t="s">
        <v>21</v>
      </c>
      <c r="K10" s="296"/>
      <c r="L10" s="296" t="s">
        <v>1237</v>
      </c>
      <c r="M10" s="296"/>
      <c r="N10" s="296" t="s">
        <v>1242</v>
      </c>
    </row>
    <row r="11" spans="1:16" x14ac:dyDescent="0.2">
      <c r="A11" s="307" t="str">
        <f>'Rate Computation'!A12</f>
        <v>Account</v>
      </c>
      <c r="B11" s="307"/>
      <c r="C11" s="307" t="str">
        <f>'Rate Computation'!C12</f>
        <v>Description</v>
      </c>
      <c r="D11" s="307" t="str">
        <f>'Rate Computation'!D12</f>
        <v xml:space="preserve">    (c)</v>
      </c>
      <c r="E11" s="307"/>
      <c r="F11" s="307" t="str">
        <f>'Rate Computation'!E12</f>
        <v>(d)</v>
      </c>
      <c r="G11" s="307"/>
      <c r="H11" s="310" t="s">
        <v>1262</v>
      </c>
      <c r="I11" s="307"/>
      <c r="J11" s="310" t="s">
        <v>1244</v>
      </c>
      <c r="K11" s="307"/>
      <c r="L11" s="310" t="s">
        <v>1245</v>
      </c>
      <c r="M11" s="307"/>
      <c r="N11" s="310" t="s">
        <v>1246</v>
      </c>
    </row>
    <row r="12" spans="1:16" x14ac:dyDescent="0.2">
      <c r="A12" s="89" t="str">
        <f>'Rate Computation'!A14</f>
        <v>Intangible Plant</v>
      </c>
      <c r="B12" s="143"/>
      <c r="C12" s="89"/>
      <c r="D12" s="292"/>
    </row>
    <row r="13" spans="1:16" x14ac:dyDescent="0.2">
      <c r="A13" s="89">
        <f>'Rate Computation'!A15</f>
        <v>30300</v>
      </c>
      <c r="B13" s="143"/>
      <c r="C13" s="89" t="str">
        <f>'Rate Computation'!C15</f>
        <v>Misc Intangible Plant</v>
      </c>
      <c r="D13" s="309">
        <f>'Rate Computation'!D15</f>
        <v>815325.07000000007</v>
      </c>
      <c r="F13" s="294">
        <f>+'Proposed Rates'!J47</f>
        <v>0.04</v>
      </c>
      <c r="H13" s="309">
        <v>0</v>
      </c>
      <c r="J13" s="294">
        <v>0.04</v>
      </c>
      <c r="K13" s="367" t="s">
        <v>1358</v>
      </c>
      <c r="L13" s="309">
        <v>0</v>
      </c>
      <c r="M13" s="309"/>
      <c r="N13" s="309">
        <f>+L13-H13</f>
        <v>0</v>
      </c>
      <c r="P13" s="291"/>
    </row>
    <row r="14" spans="1:16" x14ac:dyDescent="0.2">
      <c r="A14" s="89">
        <f>'Rate Computation'!A16</f>
        <v>30301</v>
      </c>
      <c r="B14" s="143"/>
      <c r="C14" s="89" t="str">
        <f>'Rate Computation'!C16</f>
        <v>Custom Intangible Plant</v>
      </c>
      <c r="D14" s="309">
        <f>'Rate Computation'!D16</f>
        <v>124829688.78999999</v>
      </c>
      <c r="F14" s="294">
        <f>+'Proposed Rates'!J48</f>
        <v>6.6000000000000003E-2</v>
      </c>
      <c r="H14" s="309">
        <f t="shared" ref="H14:H47" si="0">+F14*D14</f>
        <v>8238759.4601400001</v>
      </c>
      <c r="J14" s="294">
        <f>ROUND('Rate Computation'!Q16,3)</f>
        <v>6.6000000000000003E-2</v>
      </c>
      <c r="L14" s="309">
        <f t="shared" ref="L14:L47" si="1">+D14*J14</f>
        <v>8238759.4601400001</v>
      </c>
      <c r="M14" s="309"/>
      <c r="N14" s="309">
        <f t="shared" ref="N14:N47" si="2">+L14-H14</f>
        <v>0</v>
      </c>
      <c r="P14" s="291"/>
    </row>
    <row r="15" spans="1:16" x14ac:dyDescent="0.2">
      <c r="A15" s="89"/>
      <c r="B15" s="143"/>
      <c r="C15" s="89"/>
      <c r="D15" s="309"/>
      <c r="F15" s="294"/>
      <c r="H15" s="309"/>
      <c r="J15" s="294"/>
      <c r="L15" s="309"/>
      <c r="M15" s="309"/>
      <c r="N15" s="309"/>
      <c r="P15" s="291"/>
    </row>
    <row r="16" spans="1:16" x14ac:dyDescent="0.2">
      <c r="A16" s="89" t="str">
        <f>'Rate Computation'!A20</f>
        <v>Distribution</v>
      </c>
      <c r="B16" s="143"/>
      <c r="C16" s="143"/>
      <c r="D16" s="309"/>
      <c r="F16" s="294"/>
      <c r="H16" s="309"/>
      <c r="J16" s="294"/>
      <c r="L16" s="309"/>
      <c r="M16" s="309"/>
      <c r="N16" s="309"/>
      <c r="P16" s="291"/>
    </row>
    <row r="17" spans="1:16" x14ac:dyDescent="0.2">
      <c r="A17" s="143">
        <f>'Rate Computation'!A21</f>
        <v>37402</v>
      </c>
      <c r="B17" s="143"/>
      <c r="C17" s="143" t="str">
        <f>'Rate Computation'!C21</f>
        <v>Land Rights</v>
      </c>
      <c r="D17" s="309">
        <f>'Rate Computation'!D21</f>
        <v>4268872.66</v>
      </c>
      <c r="F17" s="294">
        <f>+'Proposed Rates'!J16</f>
        <v>1.2999999999999999E-2</v>
      </c>
      <c r="G17" s="104"/>
      <c r="H17" s="309">
        <f t="shared" si="0"/>
        <v>55495.344579999997</v>
      </c>
      <c r="J17" s="294">
        <f>ROUND('Rate Computation'!Q21,3)</f>
        <v>1.2999999999999999E-2</v>
      </c>
      <c r="L17" s="309">
        <f t="shared" si="1"/>
        <v>55495.344579999997</v>
      </c>
      <c r="M17" s="309"/>
      <c r="N17" s="309">
        <f t="shared" si="2"/>
        <v>0</v>
      </c>
      <c r="P17" s="291"/>
    </row>
    <row r="18" spans="1:16" x14ac:dyDescent="0.2">
      <c r="A18" s="143">
        <f>'Rate Computation'!A22</f>
        <v>37500</v>
      </c>
      <c r="B18" s="143"/>
      <c r="C18" s="143" t="str">
        <f>'Rate Computation'!C22</f>
        <v>Structures &amp; Improvements</v>
      </c>
      <c r="D18" s="309">
        <f>'Rate Computation'!D22</f>
        <v>42540041.509999983</v>
      </c>
      <c r="F18" s="294">
        <f>+'Proposed Rates'!J17</f>
        <v>2.8000000000000001E-2</v>
      </c>
      <c r="G18" s="104"/>
      <c r="H18" s="309">
        <f t="shared" si="0"/>
        <v>1191121.1622799996</v>
      </c>
      <c r="J18" s="294">
        <f>ROUND('Rate Computation'!Q22,3)</f>
        <v>2.9000000000000001E-2</v>
      </c>
      <c r="L18" s="309">
        <f t="shared" si="1"/>
        <v>1233661.2037899995</v>
      </c>
      <c r="M18" s="309"/>
      <c r="N18" s="309">
        <f t="shared" si="2"/>
        <v>42540.041509999894</v>
      </c>
      <c r="P18" s="291"/>
    </row>
    <row r="19" spans="1:16" x14ac:dyDescent="0.2">
      <c r="A19" s="143">
        <f>'Rate Computation'!A23</f>
        <v>37600</v>
      </c>
      <c r="B19" s="143"/>
      <c r="C19" s="143" t="str">
        <f>'Rate Computation'!C23</f>
        <v>Mains Steel</v>
      </c>
      <c r="D19" s="309">
        <f>'Rate Computation'!D23</f>
        <v>839424834.85876846</v>
      </c>
      <c r="F19" s="294">
        <f>+'Proposed Rates'!J18</f>
        <v>2.1000000000000001E-2</v>
      </c>
      <c r="G19" s="104"/>
      <c r="H19" s="309">
        <f t="shared" si="0"/>
        <v>17627921.53203414</v>
      </c>
      <c r="J19" s="294">
        <f>ROUND('Rate Computation'!Q23,3)</f>
        <v>2.4E-2</v>
      </c>
      <c r="L19" s="309">
        <f t="shared" si="1"/>
        <v>20146196.036610443</v>
      </c>
      <c r="M19" s="309"/>
      <c r="N19" s="309">
        <f t="shared" si="2"/>
        <v>2518274.5045763031</v>
      </c>
      <c r="P19" s="291"/>
    </row>
    <row r="20" spans="1:16" x14ac:dyDescent="0.2">
      <c r="A20" s="143">
        <f>'Rate Computation'!A24</f>
        <v>37602</v>
      </c>
      <c r="B20" s="143"/>
      <c r="C20" s="143" t="str">
        <f>'Rate Computation'!C24</f>
        <v>Mains Plastic</v>
      </c>
      <c r="D20" s="309">
        <f>'Rate Computation'!D24</f>
        <v>1076321266.0438066</v>
      </c>
      <c r="F20" s="294">
        <f>+'Proposed Rates'!J19</f>
        <v>1.6E-2</v>
      </c>
      <c r="G20" s="104"/>
      <c r="H20" s="309">
        <f t="shared" si="0"/>
        <v>17221140.256700907</v>
      </c>
      <c r="J20" s="294">
        <f>ROUND('Rate Computation'!Q24,3)</f>
        <v>1.7999999999999999E-2</v>
      </c>
      <c r="L20" s="309">
        <f t="shared" si="1"/>
        <v>19373782.788788516</v>
      </c>
      <c r="M20" s="309"/>
      <c r="N20" s="309">
        <f t="shared" si="2"/>
        <v>2152642.5320876092</v>
      </c>
      <c r="P20" s="291"/>
    </row>
    <row r="21" spans="1:16" s="143" customFormat="1" x14ac:dyDescent="0.2">
      <c r="A21" s="143">
        <f>'Rate Computation'!A25</f>
        <v>37700</v>
      </c>
      <c r="C21" s="143" t="str">
        <f>'Rate Computation'!C25</f>
        <v>Compressor Equipment</v>
      </c>
      <c r="D21" s="309">
        <f>'Rate Computation'!D25</f>
        <v>19187297.899999999</v>
      </c>
      <c r="F21" s="294">
        <f>+'Proposed Rates'!J20</f>
        <v>0.03</v>
      </c>
      <c r="G21" s="104"/>
      <c r="H21" s="309">
        <f t="shared" ref="H21" si="3">+F21*D21</f>
        <v>575618.93699999992</v>
      </c>
      <c r="J21" s="294">
        <f>ROUND('Rate Computation'!Q25,3)</f>
        <v>0.03</v>
      </c>
      <c r="L21" s="309">
        <f t="shared" ref="L21" si="4">+D21*J21</f>
        <v>575618.93699999992</v>
      </c>
      <c r="M21" s="309"/>
      <c r="N21" s="309">
        <f t="shared" ref="N21" si="5">+L21-H21</f>
        <v>0</v>
      </c>
      <c r="P21" s="291"/>
    </row>
    <row r="22" spans="1:16" x14ac:dyDescent="0.2">
      <c r="A22" s="143">
        <f>'Rate Computation'!A26</f>
        <v>37800</v>
      </c>
      <c r="B22" s="143"/>
      <c r="C22" s="143" t="str">
        <f>'Rate Computation'!C26</f>
        <v>Meas &amp; Reg Station Eqp Gen</v>
      </c>
      <c r="D22" s="309">
        <f>'Rate Computation'!D26</f>
        <v>22828790.149999987</v>
      </c>
      <c r="F22" s="294">
        <f>+'Proposed Rates'!J21</f>
        <v>2.7E-2</v>
      </c>
      <c r="G22" s="104"/>
      <c r="H22" s="309">
        <f t="shared" si="0"/>
        <v>616377.3340499996</v>
      </c>
      <c r="J22" s="294">
        <f>ROUND('Rate Computation'!Q26,3)</f>
        <v>0.03</v>
      </c>
      <c r="L22" s="309">
        <f t="shared" si="1"/>
        <v>684863.70449999964</v>
      </c>
      <c r="M22" s="309"/>
      <c r="N22" s="309">
        <f t="shared" si="2"/>
        <v>68486.370450000046</v>
      </c>
      <c r="P22" s="291"/>
    </row>
    <row r="23" spans="1:16" x14ac:dyDescent="0.2">
      <c r="A23" s="143">
        <f>'Rate Computation'!A27</f>
        <v>37900</v>
      </c>
      <c r="B23" s="143"/>
      <c r="C23" s="143" t="str">
        <f>'Rate Computation'!C27</f>
        <v>Meas &amp; Reg Station Eqp City</v>
      </c>
      <c r="D23" s="309">
        <f>'Rate Computation'!D27</f>
        <v>122736793.25999998</v>
      </c>
      <c r="F23" s="294">
        <f>+'Proposed Rates'!J22</f>
        <v>2.1000000000000001E-2</v>
      </c>
      <c r="G23" s="104"/>
      <c r="H23" s="309">
        <f t="shared" si="0"/>
        <v>2577472.6584599996</v>
      </c>
      <c r="J23" s="294">
        <f>ROUND('Rate Computation'!Q27,3)</f>
        <v>2.1999999999999999E-2</v>
      </c>
      <c r="L23" s="309">
        <f t="shared" si="1"/>
        <v>2700209.4517199993</v>
      </c>
      <c r="M23" s="309"/>
      <c r="N23" s="309">
        <f t="shared" si="2"/>
        <v>122736.79325999971</v>
      </c>
      <c r="P23" s="291"/>
    </row>
    <row r="24" spans="1:16" x14ac:dyDescent="0.2">
      <c r="A24" s="143">
        <f>'Rate Computation'!A28</f>
        <v>38000</v>
      </c>
      <c r="B24" s="143"/>
      <c r="C24" s="143" t="str">
        <f>'Rate Computation'!C28</f>
        <v>Services Steel</v>
      </c>
      <c r="D24" s="309">
        <f>'Rate Computation'!D28</f>
        <v>68085342.289999977</v>
      </c>
      <c r="F24" s="294">
        <f>+'Proposed Rates'!J23</f>
        <v>0.04</v>
      </c>
      <c r="G24" s="104"/>
      <c r="H24" s="309">
        <f t="shared" si="0"/>
        <v>2723413.6915999991</v>
      </c>
      <c r="J24" s="294">
        <f>ROUND('Rate Computation'!Q28,3)</f>
        <v>4.2999999999999997E-2</v>
      </c>
      <c r="L24" s="309">
        <f t="shared" si="1"/>
        <v>2927669.7184699988</v>
      </c>
      <c r="M24" s="309"/>
      <c r="N24" s="309">
        <f t="shared" si="2"/>
        <v>204256.02686999971</v>
      </c>
      <c r="P24" s="291"/>
    </row>
    <row r="25" spans="1:16" x14ac:dyDescent="0.2">
      <c r="A25" s="143">
        <f>'Rate Computation'!A29</f>
        <v>38002</v>
      </c>
      <c r="B25" s="143"/>
      <c r="C25" s="143" t="str">
        <f>'Rate Computation'!C29</f>
        <v>Services Plastic</v>
      </c>
      <c r="D25" s="309">
        <f>'Rate Computation'!D29</f>
        <v>667590895.32999992</v>
      </c>
      <c r="F25" s="294">
        <f>+'Proposed Rates'!J24</f>
        <v>2.7E-2</v>
      </c>
      <c r="G25" s="104"/>
      <c r="H25" s="309">
        <f t="shared" si="0"/>
        <v>18024954.173909999</v>
      </c>
      <c r="J25" s="294">
        <f>ROUND('Rate Computation'!Q29,3)</f>
        <v>3.1E-2</v>
      </c>
      <c r="L25" s="309">
        <f t="shared" si="1"/>
        <v>20695317.755229998</v>
      </c>
      <c r="M25" s="309"/>
      <c r="N25" s="309">
        <f t="shared" si="2"/>
        <v>2670363.5813199989</v>
      </c>
      <c r="P25" s="291"/>
    </row>
    <row r="26" spans="1:16" x14ac:dyDescent="0.2">
      <c r="A26" s="143">
        <f>'Rate Computation'!A30</f>
        <v>38100</v>
      </c>
      <c r="B26" s="143"/>
      <c r="C26" s="143" t="str">
        <f>'Rate Computation'!C30</f>
        <v>Meters</v>
      </c>
      <c r="D26" s="309">
        <f>'Rate Computation'!D30</f>
        <v>113411738.28066561</v>
      </c>
      <c r="F26" s="294">
        <f>+'Proposed Rates'!J25</f>
        <v>0.05</v>
      </c>
      <c r="G26" s="104"/>
      <c r="H26" s="309">
        <f t="shared" si="0"/>
        <v>5670586.9140332807</v>
      </c>
      <c r="J26" s="294">
        <f>ROUND('Rate Computation'!Q30,3)</f>
        <v>4.7E-2</v>
      </c>
      <c r="L26" s="309">
        <f t="shared" si="1"/>
        <v>5330351.6991912834</v>
      </c>
      <c r="M26" s="309"/>
      <c r="N26" s="309">
        <f t="shared" si="2"/>
        <v>-340235.21484199725</v>
      </c>
      <c r="P26" s="291"/>
    </row>
    <row r="27" spans="1:16" x14ac:dyDescent="0.2">
      <c r="A27" s="143">
        <f>'Rate Computation'!A31</f>
        <v>38200</v>
      </c>
      <c r="B27" s="143"/>
      <c r="C27" s="143" t="str">
        <f>'Rate Computation'!C31</f>
        <v>Meter Installations</v>
      </c>
      <c r="D27" s="309">
        <f>'Rate Computation'!D31</f>
        <v>119185919.39246112</v>
      </c>
      <c r="F27" s="294">
        <f>+'Proposed Rates'!J26</f>
        <v>2.1999999999999999E-2</v>
      </c>
      <c r="G27" s="104"/>
      <c r="H27" s="309">
        <f t="shared" si="0"/>
        <v>2622090.2266341443</v>
      </c>
      <c r="J27" s="294">
        <f>ROUND('Rate Computation'!Q31,3)</f>
        <v>2.7E-2</v>
      </c>
      <c r="L27" s="309">
        <f t="shared" si="1"/>
        <v>3218019.82359645</v>
      </c>
      <c r="M27" s="309"/>
      <c r="N27" s="309">
        <f t="shared" si="2"/>
        <v>595929.59696230572</v>
      </c>
      <c r="P27" s="291"/>
    </row>
    <row r="28" spans="1:16" x14ac:dyDescent="0.2">
      <c r="A28" s="143">
        <f>'Rate Computation'!A32</f>
        <v>38300</v>
      </c>
      <c r="B28" s="143"/>
      <c r="C28" s="143" t="str">
        <f>'Rate Computation'!C32</f>
        <v>House Regulators</v>
      </c>
      <c r="D28" s="309">
        <f>'Rate Computation'!D32</f>
        <v>21662897.199999996</v>
      </c>
      <c r="F28" s="294">
        <f>+'Proposed Rates'!J27</f>
        <v>1.7999999999999999E-2</v>
      </c>
      <c r="G28" s="104"/>
      <c r="H28" s="309">
        <f t="shared" si="0"/>
        <v>389932.14959999989</v>
      </c>
      <c r="J28" s="294">
        <f>ROUND('Rate Computation'!Q32,3)</f>
        <v>2.1000000000000001E-2</v>
      </c>
      <c r="L28" s="309">
        <f t="shared" si="1"/>
        <v>454920.84119999991</v>
      </c>
      <c r="M28" s="309"/>
      <c r="N28" s="309">
        <f t="shared" si="2"/>
        <v>64988.69160000002</v>
      </c>
      <c r="P28" s="291"/>
    </row>
    <row r="29" spans="1:16" x14ac:dyDescent="0.2">
      <c r="A29" s="143">
        <f>'Rate Computation'!A33</f>
        <v>38400</v>
      </c>
      <c r="B29" s="143"/>
      <c r="C29" s="143" t="str">
        <f>'Rate Computation'!C33</f>
        <v>House Regulator Installs</v>
      </c>
      <c r="D29" s="309">
        <f>'Rate Computation'!D33</f>
        <v>38677154.929999985</v>
      </c>
      <c r="F29" s="294">
        <f>+'Proposed Rates'!J28</f>
        <v>1.9E-2</v>
      </c>
      <c r="G29" s="104"/>
      <c r="H29" s="309">
        <f t="shared" si="0"/>
        <v>734865.94366999972</v>
      </c>
      <c r="J29" s="294">
        <f>ROUND('Rate Computation'!Q33,3)</f>
        <v>2.4E-2</v>
      </c>
      <c r="L29" s="309">
        <f t="shared" si="1"/>
        <v>928251.71831999964</v>
      </c>
      <c r="M29" s="309"/>
      <c r="N29" s="309">
        <f t="shared" si="2"/>
        <v>193385.77464999992</v>
      </c>
      <c r="P29" s="291"/>
    </row>
    <row r="30" spans="1:16" x14ac:dyDescent="0.2">
      <c r="A30" s="143">
        <f>'Rate Computation'!A34</f>
        <v>38500</v>
      </c>
      <c r="B30" s="143"/>
      <c r="C30" s="143" t="str">
        <f>'Rate Computation'!C34</f>
        <v>Meas &amp; Reg Station Eqp Ind</v>
      </c>
      <c r="D30" s="309">
        <f>'Rate Computation'!D34</f>
        <v>15196826.639999999</v>
      </c>
      <c r="F30" s="294">
        <f>+'Proposed Rates'!J29</f>
        <v>2.3E-2</v>
      </c>
      <c r="G30" s="104"/>
      <c r="H30" s="309">
        <f t="shared" si="0"/>
        <v>349527.01271999994</v>
      </c>
      <c r="J30" s="294">
        <f>ROUND('Rate Computation'!Q34,3)</f>
        <v>2.1999999999999999E-2</v>
      </c>
      <c r="L30" s="309">
        <f t="shared" si="1"/>
        <v>334330.18607999996</v>
      </c>
      <c r="M30" s="309"/>
      <c r="N30" s="309">
        <f t="shared" si="2"/>
        <v>-15196.826639999985</v>
      </c>
      <c r="P30" s="291"/>
    </row>
    <row r="31" spans="1:16" x14ac:dyDescent="0.2">
      <c r="A31" s="143">
        <f>'Rate Computation'!A35</f>
        <v>38700</v>
      </c>
      <c r="B31" s="143"/>
      <c r="C31" s="143" t="str">
        <f>'Rate Computation'!C35</f>
        <v>Other Equipment</v>
      </c>
      <c r="D31" s="309">
        <f>'Rate Computation'!D35</f>
        <v>13431843.029999996</v>
      </c>
      <c r="F31" s="294">
        <f>+'Proposed Rates'!J31</f>
        <v>0.03</v>
      </c>
      <c r="G31" s="104"/>
      <c r="H31" s="309">
        <f t="shared" si="0"/>
        <v>402955.29089999985</v>
      </c>
      <c r="J31" s="294">
        <f>ROUND('Rate Computation'!Q35,3)</f>
        <v>0.03</v>
      </c>
      <c r="L31" s="309">
        <f t="shared" si="1"/>
        <v>402955.29089999985</v>
      </c>
      <c r="M31" s="309"/>
      <c r="N31" s="309">
        <f t="shared" si="2"/>
        <v>0</v>
      </c>
      <c r="P31" s="291">
        <f>SUM(L17:L31)</f>
        <v>79061644.49997668</v>
      </c>
    </row>
    <row r="32" spans="1:16" x14ac:dyDescent="0.2">
      <c r="A32" s="89"/>
      <c r="B32" s="143"/>
      <c r="C32" s="89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291"/>
    </row>
    <row r="33" spans="1:16" x14ac:dyDescent="0.2">
      <c r="A33" s="89" t="str">
        <f>'Rate Computation'!A45</f>
        <v>General</v>
      </c>
      <c r="B33" s="143"/>
      <c r="C33" s="143"/>
      <c r="D33" s="309"/>
      <c r="F33" s="294"/>
      <c r="G33" s="143"/>
      <c r="H33" s="309"/>
      <c r="J33" s="294"/>
      <c r="L33" s="309"/>
      <c r="M33" s="309"/>
      <c r="N33" s="309"/>
      <c r="P33" s="291"/>
    </row>
    <row r="34" spans="1:16" x14ac:dyDescent="0.2">
      <c r="A34" s="143">
        <f>'Rate Computation'!A46</f>
        <v>39000</v>
      </c>
      <c r="B34" s="143"/>
      <c r="C34" s="143" t="str">
        <f>'Rate Computation'!C46</f>
        <v>Structures &amp; Improvements</v>
      </c>
      <c r="D34" s="309">
        <f>'Rate Computation'!D46</f>
        <v>663068.9</v>
      </c>
      <c r="F34" s="294">
        <f>+'Proposed Rates'!J49</f>
        <v>2.4E-2</v>
      </c>
      <c r="G34" s="104"/>
      <c r="H34" s="309">
        <f t="shared" si="0"/>
        <v>15913.653600000001</v>
      </c>
      <c r="J34" s="294">
        <f>'Rate Computation'!Q46</f>
        <v>4.1000000000000002E-2</v>
      </c>
      <c r="L34" s="309">
        <f t="shared" si="1"/>
        <v>27185.824900000003</v>
      </c>
      <c r="M34" s="309"/>
      <c r="N34" s="309">
        <f t="shared" si="2"/>
        <v>11272.171300000002</v>
      </c>
      <c r="P34" s="291"/>
    </row>
    <row r="35" spans="1:16" x14ac:dyDescent="0.2">
      <c r="A35" s="143">
        <f>'Rate Computation'!A47</f>
        <v>39100</v>
      </c>
      <c r="B35" s="143"/>
      <c r="C35" s="143" t="str">
        <f>'Rate Computation'!C47</f>
        <v>Office Furniture</v>
      </c>
      <c r="D35" s="309">
        <f>'Rate Computation'!D47</f>
        <v>2192449.73</v>
      </c>
      <c r="F35" s="294">
        <f>+'Proposed Rates'!J50</f>
        <v>5.8999999999999997E-2</v>
      </c>
      <c r="G35" s="104"/>
      <c r="H35" s="309">
        <f t="shared" si="0"/>
        <v>129354.53406999999</v>
      </c>
      <c r="J35" s="294">
        <f>'Rate Computation'!Q47</f>
        <v>6.3E-2</v>
      </c>
      <c r="L35" s="309">
        <f t="shared" si="1"/>
        <v>138124.33299</v>
      </c>
      <c r="M35" s="309"/>
      <c r="N35" s="309">
        <f t="shared" si="2"/>
        <v>8769.7989200000011</v>
      </c>
      <c r="P35" s="291"/>
    </row>
    <row r="36" spans="1:16" x14ac:dyDescent="0.2">
      <c r="A36" s="143">
        <f>'Rate Computation'!A48</f>
        <v>39101</v>
      </c>
      <c r="B36" s="143"/>
      <c r="C36" s="143" t="str">
        <f>'Rate Computation'!C48</f>
        <v>Computer Equipment</v>
      </c>
      <c r="D36" s="309">
        <f>'Rate Computation'!D48</f>
        <v>6423957.1449999902</v>
      </c>
      <c r="F36" s="294">
        <f>+'Proposed Rates'!J51</f>
        <v>0.111</v>
      </c>
      <c r="G36" s="104"/>
      <c r="H36" s="309">
        <f t="shared" si="0"/>
        <v>713059.24309499888</v>
      </c>
      <c r="J36" s="294">
        <f>'Rate Computation'!Q48</f>
        <v>8.1000000000000003E-2</v>
      </c>
      <c r="L36" s="309">
        <f t="shared" si="1"/>
        <v>520340.5287449992</v>
      </c>
      <c r="M36" s="309"/>
      <c r="N36" s="309">
        <f t="shared" si="2"/>
        <v>-192718.71434999967</v>
      </c>
      <c r="P36" s="291"/>
    </row>
    <row r="37" spans="1:16" x14ac:dyDescent="0.2">
      <c r="A37" s="143">
        <f>'Rate Computation'!A49</f>
        <v>39102</v>
      </c>
      <c r="B37" s="143"/>
      <c r="C37" s="143" t="str">
        <f>'Rate Computation'!C49</f>
        <v>Office Equipment</v>
      </c>
      <c r="D37" s="309">
        <f>'Rate Computation'!D49</f>
        <v>1529673.7899999998</v>
      </c>
      <c r="F37" s="294">
        <f>+'Proposed Rates'!J52</f>
        <v>6.7000000000000004E-2</v>
      </c>
      <c r="G37" s="104"/>
      <c r="H37" s="309">
        <f t="shared" si="0"/>
        <v>102488.14392999999</v>
      </c>
      <c r="J37" s="294">
        <f>'Rate Computation'!Q49</f>
        <v>6.2E-2</v>
      </c>
      <c r="L37" s="309">
        <f t="shared" si="1"/>
        <v>94839.774979999987</v>
      </c>
      <c r="M37" s="309"/>
      <c r="N37" s="309">
        <f t="shared" si="2"/>
        <v>-7648.3689500000037</v>
      </c>
      <c r="P37" s="291"/>
    </row>
    <row r="38" spans="1:16" x14ac:dyDescent="0.2">
      <c r="A38" s="143">
        <f>'Rate Computation'!A50</f>
        <v>39201</v>
      </c>
      <c r="B38" s="143"/>
      <c r="C38" s="143" t="str">
        <f>'Rate Computation'!C50</f>
        <v>Vehicles up to 1/2 Tons</v>
      </c>
      <c r="D38" s="309">
        <f>'Rate Computation'!D50</f>
        <v>23701574.900950912</v>
      </c>
      <c r="F38" s="294">
        <f>+'Proposed Rates'!J38</f>
        <v>7.0000000000000007E-2</v>
      </c>
      <c r="G38" s="104"/>
      <c r="H38" s="309">
        <f t="shared" si="0"/>
        <v>1659110.243066564</v>
      </c>
      <c r="J38" s="294">
        <f>ROUND('Rate Computation'!Q50,3)</f>
        <v>0.10100000000000001</v>
      </c>
      <c r="L38" s="309">
        <f t="shared" si="1"/>
        <v>2393859.0649960423</v>
      </c>
      <c r="M38" s="309"/>
      <c r="N38" s="309">
        <f t="shared" si="2"/>
        <v>734748.82192947832</v>
      </c>
      <c r="P38" s="291"/>
    </row>
    <row r="39" spans="1:16" x14ac:dyDescent="0.2">
      <c r="A39" s="143">
        <f>'Rate Computation'!A51</f>
        <v>39202</v>
      </c>
      <c r="B39" s="143"/>
      <c r="C39" s="143" t="str">
        <f>'Rate Computation'!C51</f>
        <v>Vehicles from 1/2 - 1 Tons</v>
      </c>
      <c r="D39" s="309">
        <f>'Rate Computation'!D51</f>
        <v>17803654.689999994</v>
      </c>
      <c r="F39" s="294">
        <f>+'Proposed Rates'!J39</f>
        <v>5.6000000000000001E-2</v>
      </c>
      <c r="G39" s="104"/>
      <c r="H39" s="309">
        <f t="shared" si="0"/>
        <v>997004.66263999965</v>
      </c>
      <c r="J39" s="294">
        <f>ROUND('Rate Computation'!Q51,3)</f>
        <v>7.0999999999999994E-2</v>
      </c>
      <c r="L39" s="309">
        <f t="shared" si="1"/>
        <v>1264059.4829899995</v>
      </c>
      <c r="M39" s="309"/>
      <c r="N39" s="309">
        <f t="shared" si="2"/>
        <v>267054.82034999982</v>
      </c>
      <c r="P39" s="291"/>
    </row>
    <row r="40" spans="1:16" x14ac:dyDescent="0.2">
      <c r="A40" s="143">
        <f>'Rate Computation'!A52</f>
        <v>39204</v>
      </c>
      <c r="B40" s="143"/>
      <c r="C40" s="143" t="str">
        <f>'Rate Computation'!C52</f>
        <v>Trailers &amp; Other</v>
      </c>
      <c r="D40" s="309">
        <f>'Rate Computation'!D52</f>
        <v>4681567.3202562388</v>
      </c>
      <c r="F40" s="294">
        <f>+'Proposed Rates'!J40</f>
        <v>2.9000000000000001E-2</v>
      </c>
      <c r="G40" s="104"/>
      <c r="H40" s="309">
        <f t="shared" si="0"/>
        <v>135765.45228743093</v>
      </c>
      <c r="J40" s="294">
        <f>ROUND('Rate Computation'!Q52,3)</f>
        <v>2.4E-2</v>
      </c>
      <c r="L40" s="309">
        <f t="shared" si="1"/>
        <v>112357.61568614973</v>
      </c>
      <c r="M40" s="309"/>
      <c r="N40" s="309">
        <f t="shared" si="2"/>
        <v>-23407.836601281204</v>
      </c>
      <c r="P40" s="291"/>
    </row>
    <row r="41" spans="1:16" x14ac:dyDescent="0.2">
      <c r="A41" s="143">
        <f>'Rate Computation'!A53</f>
        <v>39205</v>
      </c>
      <c r="B41" s="143"/>
      <c r="C41" s="143" t="str">
        <f>'Rate Computation'!C53</f>
        <v>Vehicles over 1 Ton</v>
      </c>
      <c r="D41" s="309">
        <f>'Rate Computation'!D53</f>
        <v>2564139.2299999995</v>
      </c>
      <c r="F41" s="294">
        <f>+'Proposed Rates'!J41</f>
        <v>6.6000000000000003E-2</v>
      </c>
      <c r="G41" s="104"/>
      <c r="H41" s="309">
        <f t="shared" si="0"/>
        <v>169233.18917999999</v>
      </c>
      <c r="J41" s="294">
        <f>ROUND('Rate Computation'!Q53,3)</f>
        <v>5.6000000000000001E-2</v>
      </c>
      <c r="L41" s="309">
        <f t="shared" si="1"/>
        <v>143591.79687999998</v>
      </c>
      <c r="M41" s="309"/>
      <c r="N41" s="309">
        <f t="shared" si="2"/>
        <v>-25641.392300000007</v>
      </c>
      <c r="P41" s="291"/>
    </row>
    <row r="42" spans="1:16" x14ac:dyDescent="0.2">
      <c r="A42" s="143">
        <f>'Rate Computation'!A54</f>
        <v>39300</v>
      </c>
      <c r="B42" s="143"/>
      <c r="C42" s="143" t="str">
        <f>'Rate Computation'!C54</f>
        <v>Stores Equipment</v>
      </c>
      <c r="D42" s="309">
        <f>'Rate Computation'!D54</f>
        <v>1283.3900000000001</v>
      </c>
      <c r="F42" s="294">
        <f>+'Proposed Rates'!J53</f>
        <v>4.2000000000000003E-2</v>
      </c>
      <c r="G42" s="104"/>
      <c r="H42" s="309">
        <f t="shared" si="0"/>
        <v>53.902380000000008</v>
      </c>
      <c r="J42" s="294">
        <f>ROUND('Rate Computation'!Q54,3)</f>
        <v>4.2999999999999997E-2</v>
      </c>
      <c r="L42" s="309">
        <f t="shared" si="1"/>
        <v>55.185769999999998</v>
      </c>
      <c r="M42" s="309"/>
      <c r="N42" s="309">
        <f t="shared" si="2"/>
        <v>1.28338999999999</v>
      </c>
      <c r="P42" s="291"/>
    </row>
    <row r="43" spans="1:16" x14ac:dyDescent="0.2">
      <c r="A43" s="143">
        <f>'Rate Computation'!A55</f>
        <v>39400</v>
      </c>
      <c r="B43" s="143"/>
      <c r="C43" s="143" t="str">
        <f>'Rate Computation'!C55</f>
        <v>Tools, Shop &amp; Garage Equip</v>
      </c>
      <c r="D43" s="309">
        <f>'Rate Computation'!D55</f>
        <v>9345098.3999999985</v>
      </c>
      <c r="F43" s="294">
        <f>+'Proposed Rates'!J54</f>
        <v>5.6000000000000001E-2</v>
      </c>
      <c r="G43" s="104"/>
      <c r="H43" s="309">
        <f t="shared" si="0"/>
        <v>523325.51039999991</v>
      </c>
      <c r="J43" s="294">
        <f>ROUND('Rate Computation'!Q55,3)</f>
        <v>4.9000000000000002E-2</v>
      </c>
      <c r="L43" s="309">
        <f t="shared" si="1"/>
        <v>457909.82159999997</v>
      </c>
      <c r="M43" s="309"/>
      <c r="N43" s="309">
        <f t="shared" si="2"/>
        <v>-65415.688799999945</v>
      </c>
      <c r="P43" s="291"/>
    </row>
    <row r="44" spans="1:16" x14ac:dyDescent="0.2">
      <c r="A44" s="143">
        <f>'Rate Computation'!A56</f>
        <v>39401</v>
      </c>
      <c r="B44" s="143"/>
      <c r="C44" s="143" t="str">
        <f>'Rate Computation'!C56</f>
        <v>CNC Station Equipment</v>
      </c>
      <c r="D44" s="309">
        <f>'Rate Computation'!D56</f>
        <v>3241792.7899999996</v>
      </c>
      <c r="F44" s="294">
        <f>+'Proposed Rates'!J55</f>
        <v>0.05</v>
      </c>
      <c r="G44" s="104"/>
      <c r="H44" s="309">
        <f t="shared" si="0"/>
        <v>162089.63949999999</v>
      </c>
      <c r="J44" s="294">
        <f>ROUND('Rate Computation'!Q56,3)</f>
        <v>5.0999999999999997E-2</v>
      </c>
      <c r="L44" s="309">
        <f t="shared" si="1"/>
        <v>165331.43228999997</v>
      </c>
      <c r="M44" s="309"/>
      <c r="N44" s="309">
        <f t="shared" si="2"/>
        <v>3241.7927899999777</v>
      </c>
      <c r="P44" s="291"/>
    </row>
    <row r="45" spans="1:16" x14ac:dyDescent="0.2">
      <c r="A45" s="143">
        <f>'Rate Computation'!A57</f>
        <v>39600</v>
      </c>
      <c r="B45" s="143"/>
      <c r="C45" s="143" t="str">
        <f>'Rate Computation'!C57</f>
        <v>Power Operated Equipment</v>
      </c>
      <c r="D45" s="309">
        <f>'Rate Computation'!D57</f>
        <v>4522728.60539502</v>
      </c>
      <c r="F45" s="294">
        <f>'Proposed Rates'!J57</f>
        <v>2.7E-2</v>
      </c>
      <c r="G45" s="104"/>
      <c r="H45" s="309">
        <f t="shared" si="0"/>
        <v>122113.67234566555</v>
      </c>
      <c r="J45" s="294">
        <f>ROUND('Rate Computation'!Q57,3)</f>
        <v>3.6999999999999998E-2</v>
      </c>
      <c r="L45" s="309">
        <f t="shared" si="1"/>
        <v>167340.95839961575</v>
      </c>
      <c r="M45" s="309"/>
      <c r="N45" s="309">
        <f t="shared" si="2"/>
        <v>45227.2860539502</v>
      </c>
      <c r="P45" s="291"/>
    </row>
    <row r="46" spans="1:16" x14ac:dyDescent="0.2">
      <c r="A46" s="143">
        <f>'Rate Computation'!A58</f>
        <v>39700</v>
      </c>
      <c r="B46" s="143"/>
      <c r="C46" s="143" t="str">
        <f>'Rate Computation'!C58</f>
        <v>Communication Equipment</v>
      </c>
      <c r="D46" s="309">
        <f>'Rate Computation'!D58</f>
        <v>3026304.3707999997</v>
      </c>
      <c r="F46" s="294">
        <f>'Proposed Rates'!J58</f>
        <v>7.6999999999999999E-2</v>
      </c>
      <c r="G46" s="104"/>
      <c r="H46" s="309">
        <v>0</v>
      </c>
      <c r="J46" s="294">
        <v>7.6999999999999999E-2</v>
      </c>
      <c r="K46" s="367" t="s">
        <v>1359</v>
      </c>
      <c r="L46" s="309">
        <v>0</v>
      </c>
      <c r="M46" s="309"/>
      <c r="N46" s="309">
        <f t="shared" si="2"/>
        <v>0</v>
      </c>
      <c r="P46" s="291"/>
    </row>
    <row r="47" spans="1:16" x14ac:dyDescent="0.2">
      <c r="A47" s="143">
        <f>'Rate Computation'!A59</f>
        <v>39800</v>
      </c>
      <c r="B47" s="143"/>
      <c r="C47" s="143" t="str">
        <f>'Rate Computation'!C59</f>
        <v>Miscellaneous Equipment</v>
      </c>
      <c r="D47" s="309">
        <f>'Rate Computation'!D59</f>
        <v>923442.00410236092</v>
      </c>
      <c r="F47" s="294">
        <f>'Proposed Rates'!J59</f>
        <v>0.05</v>
      </c>
      <c r="G47" s="104"/>
      <c r="H47" s="309">
        <f t="shared" si="0"/>
        <v>46172.100205118048</v>
      </c>
      <c r="J47" s="294">
        <f>ROUND('Rate Computation'!Q59,3)</f>
        <v>4.4999999999999998E-2</v>
      </c>
      <c r="L47" s="309">
        <f t="shared" si="1"/>
        <v>41554.890184606244</v>
      </c>
      <c r="M47" s="309"/>
      <c r="N47" s="309">
        <f t="shared" si="2"/>
        <v>-4617.210020511804</v>
      </c>
      <c r="P47" s="291"/>
    </row>
    <row r="48" spans="1:16" s="143" customFormat="1" x14ac:dyDescent="0.2">
      <c r="D48" s="309"/>
      <c r="F48" s="309"/>
      <c r="G48" s="309"/>
      <c r="H48" s="309"/>
      <c r="I48" s="309"/>
      <c r="J48" s="309"/>
      <c r="K48" s="309"/>
      <c r="L48" s="309"/>
      <c r="M48" s="309"/>
      <c r="N48" s="309"/>
      <c r="O48" s="309"/>
      <c r="P48" s="291"/>
    </row>
    <row r="49" spans="1:16" s="143" customFormat="1" x14ac:dyDescent="0.2">
      <c r="D49" s="309"/>
      <c r="F49" s="294"/>
      <c r="G49" s="104"/>
      <c r="H49" s="309"/>
      <c r="J49" s="294"/>
      <c r="L49" s="309"/>
      <c r="M49" s="309"/>
      <c r="N49" s="309"/>
      <c r="P49" s="291"/>
    </row>
    <row r="50" spans="1:16" x14ac:dyDescent="0.2">
      <c r="A50" s="143">
        <f>'Rate Computation'!A66</f>
        <v>33600</v>
      </c>
      <c r="C50" t="str">
        <f>'Rate Computation'!C66</f>
        <v>Renewable Natural Gas (RNG)</v>
      </c>
      <c r="D50" s="309">
        <f>'Rate Computation'!D66</f>
        <v>16109646.340000002</v>
      </c>
      <c r="F50" s="294">
        <f>'Proposed Rates'!J63</f>
        <v>3.5000000000000003E-2</v>
      </c>
      <c r="H50" s="309">
        <f t="shared" ref="H50:H52" si="6">+F50*D50</f>
        <v>563837.62190000014</v>
      </c>
      <c r="J50" s="294">
        <f>ROUND('Rate Computation'!Q66,3)</f>
        <v>3.4000000000000002E-2</v>
      </c>
      <c r="L50" s="309">
        <f t="shared" ref="L50:L52" si="7">+D50*J50</f>
        <v>547727.97556000005</v>
      </c>
      <c r="M50" s="309"/>
      <c r="N50" s="309">
        <f t="shared" ref="N50:N52" si="8">+L50-H50</f>
        <v>-16109.646340000094</v>
      </c>
      <c r="P50" s="291"/>
    </row>
    <row r="51" spans="1:16" s="143" customFormat="1" x14ac:dyDescent="0.2">
      <c r="A51" s="143">
        <v>33601</v>
      </c>
      <c r="C51" s="143" t="s">
        <v>1362</v>
      </c>
      <c r="D51" s="309">
        <f>'Rate Computation'!D79</f>
        <v>35668591.620000005</v>
      </c>
      <c r="F51" s="294">
        <v>6.7000000000000004E-2</v>
      </c>
      <c r="H51" s="309">
        <f t="shared" ref="H51" si="9">+F51*D51</f>
        <v>2389795.6385400007</v>
      </c>
      <c r="J51" s="294">
        <f>+F51</f>
        <v>6.7000000000000004E-2</v>
      </c>
      <c r="K51" s="367" t="s">
        <v>1367</v>
      </c>
      <c r="L51" s="309">
        <f t="shared" ref="L51" si="10">+D51*J51</f>
        <v>2389795.6385400007</v>
      </c>
      <c r="M51" s="309"/>
      <c r="N51" s="309">
        <f t="shared" ref="N51" si="11">+L51-H51</f>
        <v>0</v>
      </c>
      <c r="P51" s="291"/>
    </row>
    <row r="52" spans="1:16" x14ac:dyDescent="0.2">
      <c r="A52" s="143">
        <f>'Rate Computation'!A68</f>
        <v>36400</v>
      </c>
      <c r="C52" t="str">
        <f>'Rate Computation'!C68</f>
        <v>Liquified Natural Gas (LNG)</v>
      </c>
      <c r="D52" s="309">
        <f>'Rate Computation'!D68</f>
        <v>1503355.97</v>
      </c>
      <c r="F52" s="294">
        <f>'Proposed Rates'!J65</f>
        <v>3.5000000000000003E-2</v>
      </c>
      <c r="H52" s="309">
        <f t="shared" si="6"/>
        <v>52617.458950000007</v>
      </c>
      <c r="J52" s="294">
        <f>ROUND('Rate Computation'!Q68,3)</f>
        <v>3.5000000000000003E-2</v>
      </c>
      <c r="L52" s="309">
        <f t="shared" si="7"/>
        <v>52617.458950000007</v>
      </c>
      <c r="M52" s="309"/>
      <c r="N52" s="309">
        <f t="shared" si="8"/>
        <v>0</v>
      </c>
      <c r="P52" s="291"/>
    </row>
    <row r="53" spans="1:16" ht="13.5" thickBot="1" x14ac:dyDescent="0.25">
      <c r="C53" s="89" t="s">
        <v>34</v>
      </c>
      <c r="D53" s="311">
        <f>SUM(D13:D52)</f>
        <v>3444097856.5322056</v>
      </c>
      <c r="E53" s="312"/>
      <c r="F53" s="312"/>
      <c r="G53" s="312"/>
      <c r="H53" s="311">
        <f>SUM(H13:H52)</f>
        <v>86804166.75440231</v>
      </c>
      <c r="I53" s="311"/>
      <c r="J53" s="311"/>
      <c r="K53" s="313" t="s">
        <v>1230</v>
      </c>
      <c r="L53" s="311">
        <f>SUM(L13:L52)</f>
        <v>95817095.743578106</v>
      </c>
      <c r="M53" s="313" t="s">
        <v>1230</v>
      </c>
      <c r="N53" s="311">
        <f>SUM(N13:N52)</f>
        <v>9012928.9891758543</v>
      </c>
      <c r="P53" s="291"/>
    </row>
    <row r="54" spans="1:16" ht="13.5" thickTop="1" x14ac:dyDescent="0.2">
      <c r="P54" s="291"/>
    </row>
    <row r="55" spans="1:16" x14ac:dyDescent="0.2">
      <c r="A55" s="89" t="s">
        <v>1360</v>
      </c>
      <c r="C55" t="str">
        <f>'Report Table'!A60</f>
        <v xml:space="preserve">Account is fully accrued.  If assets are added, the Company proposes a rate of </v>
      </c>
      <c r="J55" s="294">
        <f>'Report Table'!C60</f>
        <v>0.04</v>
      </c>
      <c r="P55" s="291"/>
    </row>
    <row r="56" spans="1:16" x14ac:dyDescent="0.2">
      <c r="A56" s="89" t="s">
        <v>1361</v>
      </c>
      <c r="B56" s="143"/>
      <c r="C56" s="143" t="s">
        <v>1357</v>
      </c>
      <c r="D56" s="143"/>
      <c r="E56" s="143"/>
      <c r="F56" s="143"/>
      <c r="J56" s="104">
        <f>+'Report Table'!C950</f>
        <v>7.6999999999999999E-2</v>
      </c>
      <c r="L56" s="309"/>
      <c r="P56" s="291"/>
    </row>
    <row r="57" spans="1:16" x14ac:dyDescent="0.2">
      <c r="A57" s="89" t="s">
        <v>1364</v>
      </c>
      <c r="B57" s="143"/>
      <c r="C57" s="89" t="s">
        <v>1365</v>
      </c>
      <c r="D57" s="4"/>
      <c r="P57" s="291"/>
    </row>
    <row r="58" spans="1:16" x14ac:dyDescent="0.2">
      <c r="P58" s="291"/>
    </row>
    <row r="59" spans="1:16" x14ac:dyDescent="0.2">
      <c r="H59" s="309"/>
      <c r="L59" s="309"/>
      <c r="P59" s="291"/>
    </row>
    <row r="60" spans="1:16" x14ac:dyDescent="0.2">
      <c r="P60" s="291"/>
    </row>
    <row r="61" spans="1:16" x14ac:dyDescent="0.2">
      <c r="H61" s="309"/>
      <c r="L61" s="309"/>
      <c r="M61" s="309"/>
      <c r="N61" s="309"/>
      <c r="P61" s="291"/>
    </row>
    <row r="62" spans="1:16" x14ac:dyDescent="0.2">
      <c r="D62" s="4"/>
      <c r="P62" s="291"/>
    </row>
    <row r="63" spans="1:16" x14ac:dyDescent="0.2">
      <c r="L63" s="309"/>
      <c r="P63" s="291"/>
    </row>
    <row r="64" spans="1:16" x14ac:dyDescent="0.2">
      <c r="P64" s="291"/>
    </row>
    <row r="65" spans="16:16" x14ac:dyDescent="0.2">
      <c r="P65" s="291"/>
    </row>
    <row r="66" spans="16:16" x14ac:dyDescent="0.2">
      <c r="P66" s="291"/>
    </row>
  </sheetData>
  <mergeCells count="4">
    <mergeCell ref="A1:N1"/>
    <mergeCell ref="A3:N3"/>
    <mergeCell ref="A4:N4"/>
    <mergeCell ref="A5:N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G89"/>
  <sheetViews>
    <sheetView topLeftCell="A41" zoomScaleNormal="100" workbookViewId="0">
      <selection activeCell="P63" sqref="P63"/>
    </sheetView>
  </sheetViews>
  <sheetFormatPr defaultRowHeight="12.75" x14ac:dyDescent="0.2"/>
  <cols>
    <col min="1" max="1" width="8.28515625" style="11" bestFit="1" customWidth="1"/>
    <col min="2" max="2" width="1.7109375" customWidth="1"/>
    <col min="3" max="3" width="31" bestFit="1" customWidth="1"/>
    <col min="4" max="4" width="1.7109375" customWidth="1"/>
    <col min="5" max="5" width="14.140625" bestFit="1" customWidth="1"/>
    <col min="6" max="6" width="13" bestFit="1" customWidth="1"/>
    <col min="7" max="7" width="2.28515625" customWidth="1"/>
    <col min="8" max="8" width="6.85546875" bestFit="1" customWidth="1"/>
    <col min="9" max="9" width="11.42578125" bestFit="1" customWidth="1"/>
    <col min="10" max="11" width="1.7109375" customWidth="1"/>
    <col min="12" max="12" width="6.85546875" bestFit="1" customWidth="1"/>
    <col min="13" max="13" width="11.42578125" bestFit="1" customWidth="1"/>
    <col min="14" max="14" width="12.140625" bestFit="1" customWidth="1"/>
    <col min="15" max="15" width="1" customWidth="1"/>
    <col min="16" max="16" width="17" style="117" customWidth="1"/>
    <col min="17" max="17" width="16.28515625" customWidth="1"/>
    <col min="18" max="18" width="13.7109375" bestFit="1" customWidth="1"/>
    <col min="19" max="19" width="3.28515625" customWidth="1"/>
    <col min="20" max="20" width="17.5703125" customWidth="1"/>
    <col min="33" max="33" width="12.85546875" style="323" bestFit="1" customWidth="1"/>
  </cols>
  <sheetData>
    <row r="1" spans="1:21" ht="16.5" x14ac:dyDescent="0.2">
      <c r="A1" s="151" t="s">
        <v>88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380"/>
      <c r="Q1" s="151"/>
      <c r="R1" s="151"/>
      <c r="S1" s="30"/>
    </row>
    <row r="2" spans="1:21" ht="16.5" x14ac:dyDescent="0.2">
      <c r="A2" s="151" t="str">
        <f>'Proposed Rates'!$A2</f>
        <v>2022 Depreciation Rate Review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380"/>
      <c r="Q2" s="151"/>
      <c r="R2" s="151"/>
      <c r="S2" s="30"/>
    </row>
    <row r="3" spans="1:21" ht="16.5" x14ac:dyDescent="0.2">
      <c r="A3" s="151" t="s">
        <v>63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380"/>
      <c r="Q3" s="151"/>
      <c r="R3" s="151"/>
      <c r="S3" s="30"/>
    </row>
    <row r="4" spans="1:21" x14ac:dyDescent="0.2">
      <c r="A4" s="153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381"/>
      <c r="Q4" s="166"/>
      <c r="R4" s="166"/>
      <c r="S4" s="30"/>
    </row>
    <row r="5" spans="1:21" ht="13.5" thickBot="1" x14ac:dyDescent="0.25">
      <c r="A5" s="153"/>
      <c r="B5" s="166"/>
      <c r="C5" s="166"/>
      <c r="D5" s="166"/>
      <c r="E5" s="203" t="str">
        <f>'Proposed Rates'!$E5</f>
        <v>Settlement Proposed - Effective 1/1/2021</v>
      </c>
      <c r="F5" s="203"/>
      <c r="G5" s="203"/>
      <c r="H5" s="203"/>
      <c r="I5" s="203"/>
      <c r="J5" s="166"/>
      <c r="K5" s="166"/>
      <c r="L5" s="203" t="str">
        <f>'Proposed Rates'!M5</f>
        <v>Company Proposed - Effective 1/1/2024</v>
      </c>
      <c r="M5" s="203"/>
      <c r="N5" s="203"/>
      <c r="O5" s="203"/>
      <c r="P5" s="382"/>
      <c r="Q5" s="203"/>
      <c r="R5" s="203"/>
      <c r="S5" s="30"/>
    </row>
    <row r="6" spans="1:21" x14ac:dyDescent="0.2">
      <c r="A6" s="204"/>
      <c r="B6" s="166"/>
      <c r="C6" s="166"/>
      <c r="D6" s="166"/>
      <c r="E6" s="166"/>
      <c r="F6" s="166"/>
      <c r="G6" s="166"/>
      <c r="H6" s="166"/>
      <c r="I6" s="166"/>
      <c r="J6" s="205"/>
      <c r="K6" s="166"/>
      <c r="L6" s="166"/>
      <c r="M6" s="166"/>
      <c r="N6" s="166"/>
      <c r="O6" s="166"/>
      <c r="P6" s="381"/>
      <c r="Q6" s="166"/>
      <c r="R6" s="166"/>
      <c r="S6" s="30"/>
    </row>
    <row r="7" spans="1:21" x14ac:dyDescent="0.2">
      <c r="A7" s="204"/>
      <c r="B7" s="166"/>
      <c r="C7" s="166"/>
      <c r="D7" s="166"/>
      <c r="E7" s="166"/>
      <c r="F7" s="166"/>
      <c r="G7" s="166"/>
      <c r="H7" s="166"/>
      <c r="I7" s="166"/>
      <c r="J7" s="205"/>
      <c r="K7" s="166"/>
      <c r="L7" s="206" t="s">
        <v>1</v>
      </c>
      <c r="M7" s="206"/>
      <c r="N7" s="206"/>
      <c r="O7" s="166"/>
      <c r="P7" s="383" t="s">
        <v>2</v>
      </c>
      <c r="Q7" s="206"/>
      <c r="R7" s="206"/>
      <c r="S7" s="30"/>
    </row>
    <row r="8" spans="1:21" x14ac:dyDescent="0.2">
      <c r="A8" s="204"/>
      <c r="B8" s="166"/>
      <c r="C8" s="166"/>
      <c r="D8" s="166"/>
      <c r="E8" s="207"/>
      <c r="F8" s="156"/>
      <c r="G8" s="166"/>
      <c r="H8" s="166"/>
      <c r="I8" s="166"/>
      <c r="J8" s="205"/>
      <c r="K8" s="166"/>
      <c r="L8" s="166"/>
      <c r="M8" s="166"/>
      <c r="N8" s="166"/>
      <c r="O8" s="166"/>
      <c r="P8" s="381"/>
      <c r="Q8" s="166"/>
      <c r="R8" s="166"/>
      <c r="S8" s="30"/>
    </row>
    <row r="9" spans="1:21" x14ac:dyDescent="0.2">
      <c r="A9" s="204"/>
      <c r="B9" s="156"/>
      <c r="C9" s="156"/>
      <c r="D9" s="156"/>
      <c r="E9" s="156" t="s">
        <v>34</v>
      </c>
      <c r="F9" s="156" t="s">
        <v>71</v>
      </c>
      <c r="G9" s="156"/>
      <c r="H9" s="245" t="s">
        <v>7</v>
      </c>
      <c r="I9" s="156" t="s">
        <v>7</v>
      </c>
      <c r="J9" s="211"/>
      <c r="K9" s="156"/>
      <c r="L9" s="245" t="s">
        <v>7</v>
      </c>
      <c r="M9" s="156" t="s">
        <v>7</v>
      </c>
      <c r="N9" s="156" t="s">
        <v>35</v>
      </c>
      <c r="O9" s="156"/>
      <c r="P9" s="384" t="s">
        <v>7</v>
      </c>
      <c r="Q9" s="156" t="s">
        <v>7</v>
      </c>
      <c r="R9" s="156" t="s">
        <v>35</v>
      </c>
      <c r="S9" s="30"/>
    </row>
    <row r="10" spans="1:21" x14ac:dyDescent="0.2">
      <c r="A10" s="156" t="s">
        <v>9</v>
      </c>
      <c r="B10" s="156"/>
      <c r="C10" s="156"/>
      <c r="D10" s="156"/>
      <c r="E10" s="161" t="s">
        <v>72</v>
      </c>
      <c r="F10" s="161" t="s">
        <v>6</v>
      </c>
      <c r="G10" s="156"/>
      <c r="H10" s="245" t="s">
        <v>15</v>
      </c>
      <c r="I10" s="156" t="s">
        <v>15</v>
      </c>
      <c r="J10" s="211"/>
      <c r="K10" s="156"/>
      <c r="L10" s="245" t="s">
        <v>15</v>
      </c>
      <c r="M10" s="156" t="s">
        <v>15</v>
      </c>
      <c r="N10" s="156" t="s">
        <v>36</v>
      </c>
      <c r="O10" s="156"/>
      <c r="P10" s="384" t="s">
        <v>15</v>
      </c>
      <c r="Q10" s="156" t="s">
        <v>15</v>
      </c>
      <c r="R10" s="156" t="s">
        <v>36</v>
      </c>
      <c r="S10" s="30"/>
    </row>
    <row r="11" spans="1:21" ht="13.5" thickBot="1" x14ac:dyDescent="0.25">
      <c r="A11" s="164" t="s">
        <v>17</v>
      </c>
      <c r="B11" s="156"/>
      <c r="C11" s="164" t="s">
        <v>18</v>
      </c>
      <c r="D11" s="156"/>
      <c r="E11" s="165">
        <f>'Plant &amp; Reserve'!$E11</f>
        <v>45657</v>
      </c>
      <c r="F11" s="165">
        <f>'Plant &amp; Reserve'!$E11</f>
        <v>45657</v>
      </c>
      <c r="G11" s="156"/>
      <c r="H11" s="246" t="s">
        <v>21</v>
      </c>
      <c r="I11" s="164" t="s">
        <v>37</v>
      </c>
      <c r="J11" s="211"/>
      <c r="K11" s="156"/>
      <c r="L11" s="246" t="s">
        <v>21</v>
      </c>
      <c r="M11" s="164" t="s">
        <v>37</v>
      </c>
      <c r="N11" s="164" t="s">
        <v>37</v>
      </c>
      <c r="O11" s="156"/>
      <c r="P11" s="385" t="s">
        <v>21</v>
      </c>
      <c r="Q11" s="164" t="s">
        <v>37</v>
      </c>
      <c r="R11" s="164" t="s">
        <v>37</v>
      </c>
      <c r="S11" s="30"/>
    </row>
    <row r="12" spans="1:21" ht="13.5" thickTop="1" x14ac:dyDescent="0.2">
      <c r="A12" s="157"/>
      <c r="B12" s="154"/>
      <c r="C12" s="154"/>
      <c r="D12" s="156"/>
      <c r="E12" s="159" t="s">
        <v>38</v>
      </c>
      <c r="F12" s="159" t="s">
        <v>38</v>
      </c>
      <c r="G12" s="156"/>
      <c r="H12" s="247" t="s">
        <v>24</v>
      </c>
      <c r="I12" s="159" t="s">
        <v>38</v>
      </c>
      <c r="J12" s="211"/>
      <c r="K12" s="156"/>
      <c r="L12" s="247" t="s">
        <v>24</v>
      </c>
      <c r="M12" s="159" t="s">
        <v>38</v>
      </c>
      <c r="N12" s="159" t="s">
        <v>38</v>
      </c>
      <c r="O12" s="156"/>
      <c r="P12" s="386" t="s">
        <v>24</v>
      </c>
      <c r="Q12" s="159" t="s">
        <v>38</v>
      </c>
      <c r="R12" s="159" t="s">
        <v>38</v>
      </c>
      <c r="S12" s="30"/>
    </row>
    <row r="13" spans="1:21" x14ac:dyDescent="0.2">
      <c r="A13" s="157"/>
      <c r="B13" s="154"/>
      <c r="C13" s="154"/>
      <c r="D13" s="156"/>
      <c r="E13" s="215"/>
      <c r="F13" s="248"/>
      <c r="G13" s="156"/>
      <c r="H13" s="249"/>
      <c r="I13" s="173"/>
      <c r="J13" s="211"/>
      <c r="K13" s="156"/>
      <c r="L13" s="249"/>
      <c r="M13" s="170"/>
      <c r="N13" s="154"/>
      <c r="O13" s="156"/>
      <c r="P13" s="387"/>
      <c r="Q13" s="170"/>
      <c r="R13" s="170"/>
      <c r="S13" s="30"/>
    </row>
    <row r="14" spans="1:21" x14ac:dyDescent="0.2">
      <c r="A14" s="157"/>
      <c r="B14" s="154"/>
      <c r="C14" s="175" t="str">
        <f>'Proposed Rates'!$C14</f>
        <v>Distribution Plant</v>
      </c>
      <c r="D14" s="156"/>
      <c r="E14" s="184"/>
      <c r="F14" s="184"/>
      <c r="G14" s="156"/>
      <c r="H14" s="249"/>
      <c r="I14" s="176"/>
      <c r="J14" s="211"/>
      <c r="K14" s="156"/>
      <c r="L14" s="249"/>
      <c r="M14" s="176"/>
      <c r="N14" s="176"/>
      <c r="O14" s="156"/>
      <c r="P14" s="387"/>
      <c r="Q14" s="176"/>
      <c r="R14" s="176"/>
      <c r="S14" s="30"/>
    </row>
    <row r="15" spans="1:21" x14ac:dyDescent="0.2">
      <c r="A15" s="157"/>
      <c r="B15" s="154"/>
      <c r="C15" s="154"/>
      <c r="D15" s="156"/>
      <c r="E15" s="184"/>
      <c r="F15" s="184"/>
      <c r="G15" s="156"/>
      <c r="H15" s="249"/>
      <c r="I15" s="176"/>
      <c r="J15" s="211"/>
      <c r="K15" s="156"/>
      <c r="L15" s="249"/>
      <c r="M15" s="176"/>
      <c r="N15" s="176"/>
      <c r="O15" s="156"/>
      <c r="P15" s="387"/>
      <c r="Q15" s="176"/>
      <c r="R15" s="176"/>
      <c r="S15" s="30"/>
    </row>
    <row r="16" spans="1:21" x14ac:dyDescent="0.2">
      <c r="A16" s="183">
        <f>'Plant &amp; Reserve'!A16</f>
        <v>37402</v>
      </c>
      <c r="B16" s="218"/>
      <c r="C16" s="215" t="str">
        <f>'Plant &amp; Reserve'!C16</f>
        <v>Land Rights</v>
      </c>
      <c r="D16" s="156"/>
      <c r="E16" s="184">
        <f>'Plant &amp; Reserve'!E16</f>
        <v>4268872.66</v>
      </c>
      <c r="F16" s="184">
        <f>'Plant &amp; Reserve'!F16</f>
        <v>1135965.6754117727</v>
      </c>
      <c r="G16" s="156"/>
      <c r="H16" s="290">
        <f>'Proposed Rates'!J16</f>
        <v>1.2999999999999999E-2</v>
      </c>
      <c r="I16" s="176">
        <f>ROUND(E16*H16,0)</f>
        <v>55495</v>
      </c>
      <c r="J16" s="211"/>
      <c r="K16" s="156"/>
      <c r="L16" s="249">
        <f>'Proposed Rates'!P16</f>
        <v>1.3</v>
      </c>
      <c r="M16" s="176">
        <f>ROUND($E16*L16/100,0)</f>
        <v>55495</v>
      </c>
      <c r="N16" s="176">
        <f>M16-$I16</f>
        <v>0</v>
      </c>
      <c r="O16" s="156"/>
      <c r="P16" s="388">
        <f>'Proposed Rates'!X16</f>
        <v>1.3000000000000001E-2</v>
      </c>
      <c r="Q16" s="176">
        <f>ROUND(E16*P16,0)</f>
        <v>55495</v>
      </c>
      <c r="R16" s="176">
        <f>Q16-$I16</f>
        <v>0</v>
      </c>
      <c r="S16" s="30"/>
      <c r="U16" s="10"/>
    </row>
    <row r="17" spans="1:33" x14ac:dyDescent="0.2">
      <c r="A17" s="183">
        <f>'Plant &amp; Reserve'!A17</f>
        <v>37500</v>
      </c>
      <c r="B17" s="218"/>
      <c r="C17" s="215" t="str">
        <f>'Plant &amp; Reserve'!C17</f>
        <v>Structures &amp; Improvements</v>
      </c>
      <c r="D17" s="156"/>
      <c r="E17" s="184">
        <f>'Plant &amp; Reserve'!E17</f>
        <v>42540041.509999983</v>
      </c>
      <c r="F17" s="184">
        <f>'Plant &amp; Reserve'!F17</f>
        <v>8327025.3461523298</v>
      </c>
      <c r="G17" s="156"/>
      <c r="H17" s="290">
        <f>'Proposed Rates'!J17</f>
        <v>2.8000000000000001E-2</v>
      </c>
      <c r="I17" s="176">
        <f t="shared" ref="I17:I31" si="0">ROUND(E17*H17,0)</f>
        <v>1191121</v>
      </c>
      <c r="J17" s="211"/>
      <c r="K17" s="156"/>
      <c r="L17" s="249">
        <f>'Proposed Rates'!P17</f>
        <v>3</v>
      </c>
      <c r="M17" s="176">
        <f>ROUND($E17*L17/100,0)</f>
        <v>1276201</v>
      </c>
      <c r="N17" s="176">
        <f>M17-$I17</f>
        <v>85080</v>
      </c>
      <c r="O17" s="156"/>
      <c r="P17" s="388">
        <f>'Proposed Rates'!X17</f>
        <v>2.8999999999999998E-2</v>
      </c>
      <c r="Q17" s="176">
        <f t="shared" ref="Q17:Q31" si="1">ROUND(E17*P17,0)</f>
        <v>1233661</v>
      </c>
      <c r="R17" s="176">
        <f t="shared" ref="R17:R31" si="2">Q17-$I17</f>
        <v>42540</v>
      </c>
      <c r="S17" s="30"/>
      <c r="T17" s="143"/>
      <c r="U17" s="10"/>
    </row>
    <row r="18" spans="1:33" x14ac:dyDescent="0.2">
      <c r="A18" s="183">
        <f>'Plant &amp; Reserve'!A18</f>
        <v>37600</v>
      </c>
      <c r="B18" s="218"/>
      <c r="C18" s="215" t="str">
        <f>'Plant &amp; Reserve'!C18</f>
        <v>Mains Steel</v>
      </c>
      <c r="D18" s="156"/>
      <c r="E18" s="184">
        <f>'Plant &amp; Reserve'!E18</f>
        <v>839424834.85876846</v>
      </c>
      <c r="F18" s="184">
        <f>'Plant &amp; Reserve'!F18</f>
        <v>219421191.02617225</v>
      </c>
      <c r="G18" s="156"/>
      <c r="H18" s="290">
        <f>'Proposed Rates'!J18</f>
        <v>2.1000000000000001E-2</v>
      </c>
      <c r="I18" s="176">
        <f t="shared" si="0"/>
        <v>17627922</v>
      </c>
      <c r="J18" s="211"/>
      <c r="K18" s="156"/>
      <c r="L18" s="249">
        <f>'Proposed Rates'!P18</f>
        <v>2.5</v>
      </c>
      <c r="M18" s="176">
        <f t="shared" ref="M18:M31" si="3">ROUND($E18*L18/100,0)</f>
        <v>20985621</v>
      </c>
      <c r="N18" s="176">
        <f t="shared" ref="N18:N31" si="4">M18-$I18</f>
        <v>3357699</v>
      </c>
      <c r="O18" s="156"/>
      <c r="P18" s="388">
        <f>'Proposed Rates'!X18</f>
        <v>2.4E-2</v>
      </c>
      <c r="Q18" s="176">
        <f t="shared" si="1"/>
        <v>20146196</v>
      </c>
      <c r="R18" s="319">
        <f t="shared" si="2"/>
        <v>2518274</v>
      </c>
      <c r="S18" s="30"/>
      <c r="U18" s="10"/>
    </row>
    <row r="19" spans="1:33" x14ac:dyDescent="0.2">
      <c r="A19" s="183">
        <f>'Plant &amp; Reserve'!A19</f>
        <v>37602</v>
      </c>
      <c r="B19" s="218"/>
      <c r="C19" s="215" t="str">
        <f>'Plant &amp; Reserve'!C19</f>
        <v>Mains Plastic</v>
      </c>
      <c r="D19" s="156"/>
      <c r="E19" s="184">
        <f>'Plant &amp; Reserve'!E19</f>
        <v>1076321266.0438066</v>
      </c>
      <c r="F19" s="184">
        <f>'Plant &amp; Reserve'!F19</f>
        <v>199350416.49198416</v>
      </c>
      <c r="G19" s="156"/>
      <c r="H19" s="290">
        <f>'Proposed Rates'!J19</f>
        <v>1.6E-2</v>
      </c>
      <c r="I19" s="176">
        <f t="shared" si="0"/>
        <v>17221140</v>
      </c>
      <c r="J19" s="211"/>
      <c r="K19" s="156"/>
      <c r="L19" s="249">
        <f>'Proposed Rates'!P19</f>
        <v>1.9</v>
      </c>
      <c r="M19" s="176">
        <f t="shared" si="3"/>
        <v>20450104</v>
      </c>
      <c r="N19" s="176">
        <f t="shared" si="4"/>
        <v>3228964</v>
      </c>
      <c r="O19" s="156"/>
      <c r="P19" s="388">
        <f>'Proposed Rates'!X19</f>
        <v>1.8000000000000002E-2</v>
      </c>
      <c r="Q19" s="176">
        <f t="shared" si="1"/>
        <v>19373783</v>
      </c>
      <c r="R19" s="319">
        <f t="shared" si="2"/>
        <v>2152643</v>
      </c>
      <c r="S19" s="30"/>
      <c r="U19" s="10"/>
    </row>
    <row r="20" spans="1:33" s="143" customFormat="1" x14ac:dyDescent="0.2">
      <c r="A20" s="183">
        <v>37700</v>
      </c>
      <c r="B20" s="218"/>
      <c r="C20" s="320" t="s">
        <v>1253</v>
      </c>
      <c r="D20" s="156"/>
      <c r="E20" s="184">
        <f>'Plant &amp; Reserve'!E20</f>
        <v>19187297.899999999</v>
      </c>
      <c r="F20" s="184">
        <f>'Plant &amp; Reserve'!F20</f>
        <v>1872818.6248070037</v>
      </c>
      <c r="G20" s="156"/>
      <c r="H20" s="290">
        <f>'Proposed Rates'!J20</f>
        <v>0.03</v>
      </c>
      <c r="I20" s="176">
        <f t="shared" ref="I20" si="5">ROUND(E20*H20,0)</f>
        <v>575619</v>
      </c>
      <c r="J20" s="211"/>
      <c r="K20" s="156"/>
      <c r="L20" s="249">
        <f>'Proposed Rates'!P20</f>
        <v>3</v>
      </c>
      <c r="M20" s="176">
        <f t="shared" ref="M20" si="6">ROUND($E20*L20/100,0)</f>
        <v>575619</v>
      </c>
      <c r="N20" s="176">
        <f t="shared" ref="N20" si="7">M20-$I20</f>
        <v>0</v>
      </c>
      <c r="O20" s="156"/>
      <c r="P20" s="388">
        <f>+'Rate Comparsion'!J21</f>
        <v>0.03</v>
      </c>
      <c r="Q20" s="176">
        <f t="shared" ref="Q20" si="8">ROUND(E20*P20,0)</f>
        <v>575619</v>
      </c>
      <c r="R20" s="319">
        <f t="shared" ref="R20" si="9">Q20-$I20</f>
        <v>0</v>
      </c>
      <c r="S20" s="30"/>
      <c r="T20"/>
      <c r="U20" s="10"/>
      <c r="AG20" s="323"/>
    </row>
    <row r="21" spans="1:33" x14ac:dyDescent="0.2">
      <c r="A21" s="183">
        <f>'Plant &amp; Reserve'!A21</f>
        <v>37800</v>
      </c>
      <c r="B21" s="218"/>
      <c r="C21" s="215" t="str">
        <f>'Plant &amp; Reserve'!C21</f>
        <v>Meas &amp; Reg Station Eqp Gen</v>
      </c>
      <c r="D21" s="156"/>
      <c r="E21" s="184">
        <f>'Plant &amp; Reserve'!E21</f>
        <v>22828790.149999987</v>
      </c>
      <c r="F21" s="184">
        <f>'Plant &amp; Reserve'!F21</f>
        <v>6391146.6009152206</v>
      </c>
      <c r="G21" s="156"/>
      <c r="H21" s="290">
        <f>'Proposed Rates'!J21</f>
        <v>2.7E-2</v>
      </c>
      <c r="I21" s="176">
        <f t="shared" si="0"/>
        <v>616377</v>
      </c>
      <c r="J21" s="211"/>
      <c r="K21" s="156"/>
      <c r="L21" s="249">
        <f>'Proposed Rates'!P21</f>
        <v>3</v>
      </c>
      <c r="M21" s="176">
        <f t="shared" si="3"/>
        <v>684864</v>
      </c>
      <c r="N21" s="176">
        <f t="shared" si="4"/>
        <v>68487</v>
      </c>
      <c r="O21" s="156"/>
      <c r="P21" s="388">
        <f>'Proposed Rates'!X21</f>
        <v>0.03</v>
      </c>
      <c r="Q21" s="176">
        <f t="shared" si="1"/>
        <v>684864</v>
      </c>
      <c r="R21" s="319">
        <f t="shared" si="2"/>
        <v>68487</v>
      </c>
      <c r="S21" s="30"/>
      <c r="U21" s="10"/>
    </row>
    <row r="22" spans="1:33" x14ac:dyDescent="0.2">
      <c r="A22" s="183">
        <f>'Plant &amp; Reserve'!A22</f>
        <v>37900</v>
      </c>
      <c r="B22" s="218"/>
      <c r="C22" s="215" t="str">
        <f>'Plant &amp; Reserve'!C22</f>
        <v>Meas &amp; Reg Station Eqp City</v>
      </c>
      <c r="D22" s="156"/>
      <c r="E22" s="184">
        <f>'Plant &amp; Reserve'!E22</f>
        <v>122736793.25999998</v>
      </c>
      <c r="F22" s="184">
        <f>'Plant &amp; Reserve'!F22</f>
        <v>20597693.57577337</v>
      </c>
      <c r="G22" s="156"/>
      <c r="H22" s="290">
        <f>'Proposed Rates'!J22</f>
        <v>2.1000000000000001E-2</v>
      </c>
      <c r="I22" s="176">
        <f t="shared" si="0"/>
        <v>2577473</v>
      </c>
      <c r="J22" s="211"/>
      <c r="K22" s="156"/>
      <c r="L22" s="249">
        <f>'Proposed Rates'!P22</f>
        <v>2.2999999999999998</v>
      </c>
      <c r="M22" s="176">
        <f t="shared" si="3"/>
        <v>2822946</v>
      </c>
      <c r="N22" s="176">
        <f t="shared" si="4"/>
        <v>245473</v>
      </c>
      <c r="O22" s="156"/>
      <c r="P22" s="388">
        <f>'Proposed Rates'!X22</f>
        <v>2.2000000000000002E-2</v>
      </c>
      <c r="Q22" s="176">
        <f t="shared" si="1"/>
        <v>2700209</v>
      </c>
      <c r="R22" s="319">
        <f t="shared" si="2"/>
        <v>122736</v>
      </c>
      <c r="S22" s="30"/>
      <c r="U22" s="10"/>
    </row>
    <row r="23" spans="1:33" x14ac:dyDescent="0.2">
      <c r="A23" s="183">
        <f>'Plant &amp; Reserve'!A23</f>
        <v>38000</v>
      </c>
      <c r="B23" s="218"/>
      <c r="C23" s="215" t="str">
        <f>'Plant &amp; Reserve'!C23</f>
        <v>Services Steel</v>
      </c>
      <c r="D23" s="156"/>
      <c r="E23" s="184">
        <f>'Plant &amp; Reserve'!E23</f>
        <v>68085342.289999977</v>
      </c>
      <c r="F23" s="184">
        <f>'Plant &amp; Reserve'!F23</f>
        <v>44097347.061889209</v>
      </c>
      <c r="G23" s="156"/>
      <c r="H23" s="290">
        <f>'Proposed Rates'!J23</f>
        <v>0.04</v>
      </c>
      <c r="I23" s="176">
        <f t="shared" si="0"/>
        <v>2723414</v>
      </c>
      <c r="J23" s="211"/>
      <c r="K23" s="156"/>
      <c r="L23" s="249">
        <f>'Proposed Rates'!P23</f>
        <v>4.4000000000000004</v>
      </c>
      <c r="M23" s="176">
        <f t="shared" si="3"/>
        <v>2995755</v>
      </c>
      <c r="N23" s="176">
        <f t="shared" si="4"/>
        <v>272341</v>
      </c>
      <c r="O23" s="156"/>
      <c r="P23" s="388">
        <f>'Proposed Rates'!X23</f>
        <v>4.2999999999999997E-2</v>
      </c>
      <c r="Q23" s="176">
        <f t="shared" si="1"/>
        <v>2927670</v>
      </c>
      <c r="R23" s="319">
        <f t="shared" si="2"/>
        <v>204256</v>
      </c>
      <c r="S23" s="30"/>
      <c r="U23" s="10"/>
    </row>
    <row r="24" spans="1:33" x14ac:dyDescent="0.2">
      <c r="A24" s="183">
        <f>'Plant &amp; Reserve'!A24</f>
        <v>38002</v>
      </c>
      <c r="B24" s="218"/>
      <c r="C24" s="215" t="str">
        <f>'Plant &amp; Reserve'!C24</f>
        <v>Services Plastic</v>
      </c>
      <c r="D24" s="156"/>
      <c r="E24" s="184">
        <f>'Plant &amp; Reserve'!E24</f>
        <v>667590895.32999992</v>
      </c>
      <c r="F24" s="184">
        <f>'Plant &amp; Reserve'!F24</f>
        <v>212877942.27598739</v>
      </c>
      <c r="G24" s="156"/>
      <c r="H24" s="290">
        <f>'Proposed Rates'!J24</f>
        <v>2.7E-2</v>
      </c>
      <c r="I24" s="176">
        <f t="shared" si="0"/>
        <v>18024954</v>
      </c>
      <c r="J24" s="211"/>
      <c r="K24" s="156"/>
      <c r="L24" s="249">
        <f>'Proposed Rates'!P24</f>
        <v>3.2</v>
      </c>
      <c r="M24" s="176">
        <f t="shared" si="3"/>
        <v>21362909</v>
      </c>
      <c r="N24" s="176">
        <f t="shared" si="4"/>
        <v>3337955</v>
      </c>
      <c r="O24" s="156"/>
      <c r="P24" s="388">
        <f>'Proposed Rates'!X24</f>
        <v>3.1E-2</v>
      </c>
      <c r="Q24" s="176">
        <f t="shared" si="1"/>
        <v>20695318</v>
      </c>
      <c r="R24" s="319">
        <f t="shared" si="2"/>
        <v>2670364</v>
      </c>
      <c r="S24" s="30"/>
      <c r="U24" s="10"/>
    </row>
    <row r="25" spans="1:33" x14ac:dyDescent="0.2">
      <c r="A25" s="183">
        <f>'Plant &amp; Reserve'!A25</f>
        <v>38100</v>
      </c>
      <c r="B25" s="218"/>
      <c r="C25" s="215" t="str">
        <f>'Plant &amp; Reserve'!C25</f>
        <v>Meters</v>
      </c>
      <c r="D25" s="156"/>
      <c r="E25" s="184">
        <f>'Plant &amp; Reserve'!E25</f>
        <v>113411738.28066561</v>
      </c>
      <c r="F25" s="184">
        <f>'Plant &amp; Reserve'!F25</f>
        <v>44575767.843240783</v>
      </c>
      <c r="G25" s="156"/>
      <c r="H25" s="290">
        <f>'Proposed Rates'!J25</f>
        <v>0.05</v>
      </c>
      <c r="I25" s="176">
        <f t="shared" si="0"/>
        <v>5670587</v>
      </c>
      <c r="J25" s="211"/>
      <c r="K25" s="156"/>
      <c r="L25" s="249">
        <f>'Proposed Rates'!P25</f>
        <v>5</v>
      </c>
      <c r="M25" s="176">
        <f t="shared" si="3"/>
        <v>5670587</v>
      </c>
      <c r="N25" s="176">
        <f t="shared" si="4"/>
        <v>0</v>
      </c>
      <c r="O25" s="156"/>
      <c r="P25" s="388">
        <f>'Proposed Rates'!X25</f>
        <v>4.7E-2</v>
      </c>
      <c r="Q25" s="176">
        <f t="shared" si="1"/>
        <v>5330352</v>
      </c>
      <c r="R25" s="319">
        <f t="shared" si="2"/>
        <v>-340235</v>
      </c>
      <c r="S25" s="30"/>
      <c r="U25" s="10"/>
    </row>
    <row r="26" spans="1:33" x14ac:dyDescent="0.2">
      <c r="A26" s="183">
        <f>'Plant &amp; Reserve'!A26</f>
        <v>38200</v>
      </c>
      <c r="B26" s="218"/>
      <c r="C26" s="215" t="str">
        <f>'Plant &amp; Reserve'!C26</f>
        <v>Meter Installations</v>
      </c>
      <c r="D26" s="156"/>
      <c r="E26" s="184">
        <f>'Plant &amp; Reserve'!E26</f>
        <v>119185919.39246112</v>
      </c>
      <c r="F26" s="184">
        <f>'Plant &amp; Reserve'!F26</f>
        <v>36161018.361859567</v>
      </c>
      <c r="G26" s="156"/>
      <c r="H26" s="290">
        <f>'Proposed Rates'!J26</f>
        <v>2.1999999999999999E-2</v>
      </c>
      <c r="I26" s="176">
        <f t="shared" si="0"/>
        <v>2622090</v>
      </c>
      <c r="J26" s="211"/>
      <c r="K26" s="156"/>
      <c r="L26" s="249">
        <f>'Proposed Rates'!P26</f>
        <v>2.9</v>
      </c>
      <c r="M26" s="176">
        <f t="shared" si="3"/>
        <v>3456392</v>
      </c>
      <c r="N26" s="176">
        <f t="shared" si="4"/>
        <v>834302</v>
      </c>
      <c r="O26" s="156"/>
      <c r="P26" s="388">
        <f>'Proposed Rates'!X26</f>
        <v>2.7000000000000003E-2</v>
      </c>
      <c r="Q26" s="176">
        <f t="shared" si="1"/>
        <v>3218020</v>
      </c>
      <c r="R26" s="319">
        <f t="shared" si="2"/>
        <v>595930</v>
      </c>
      <c r="S26" s="30"/>
      <c r="U26" s="10"/>
    </row>
    <row r="27" spans="1:33" x14ac:dyDescent="0.2">
      <c r="A27" s="183">
        <f>'Plant &amp; Reserve'!A27</f>
        <v>38300</v>
      </c>
      <c r="B27" s="218"/>
      <c r="C27" s="215" t="str">
        <f>'Plant &amp; Reserve'!C27</f>
        <v>House Regulators</v>
      </c>
      <c r="D27" s="156"/>
      <c r="E27" s="184">
        <f>'Plant &amp; Reserve'!E27</f>
        <v>21662897.199999996</v>
      </c>
      <c r="F27" s="184">
        <f>'Plant &amp; Reserve'!F27</f>
        <v>9132324.756926477</v>
      </c>
      <c r="G27" s="156"/>
      <c r="H27" s="290">
        <f>'Proposed Rates'!J27</f>
        <v>1.7999999999999999E-2</v>
      </c>
      <c r="I27" s="176">
        <f t="shared" si="0"/>
        <v>389932</v>
      </c>
      <c r="J27" s="211"/>
      <c r="K27" s="156"/>
      <c r="L27" s="249">
        <f>'Proposed Rates'!P27</f>
        <v>2.4</v>
      </c>
      <c r="M27" s="176">
        <f t="shared" si="3"/>
        <v>519910</v>
      </c>
      <c r="N27" s="176">
        <f t="shared" si="4"/>
        <v>129978</v>
      </c>
      <c r="O27" s="156"/>
      <c r="P27" s="388">
        <f>'Proposed Rates'!X27</f>
        <v>2.1000000000000001E-2</v>
      </c>
      <c r="Q27" s="176">
        <f t="shared" si="1"/>
        <v>454921</v>
      </c>
      <c r="R27" s="319">
        <f t="shared" si="2"/>
        <v>64989</v>
      </c>
      <c r="S27" s="30"/>
      <c r="U27" s="10"/>
    </row>
    <row r="28" spans="1:33" x14ac:dyDescent="0.2">
      <c r="A28" s="183">
        <f>'Plant &amp; Reserve'!A28</f>
        <v>38400</v>
      </c>
      <c r="B28" s="218"/>
      <c r="C28" s="215" t="str">
        <f>'Plant &amp; Reserve'!C28</f>
        <v>House Regulator Installs</v>
      </c>
      <c r="D28" s="156"/>
      <c r="E28" s="184">
        <f>'Plant &amp; Reserve'!E28</f>
        <v>38677154.929999985</v>
      </c>
      <c r="F28" s="184">
        <f>'Plant &amp; Reserve'!F28</f>
        <v>15584499.545730432</v>
      </c>
      <c r="G28" s="156"/>
      <c r="H28" s="290">
        <f>'Proposed Rates'!J28</f>
        <v>1.9E-2</v>
      </c>
      <c r="I28" s="176">
        <f t="shared" si="0"/>
        <v>734866</v>
      </c>
      <c r="J28" s="211"/>
      <c r="K28" s="156"/>
      <c r="L28" s="249">
        <f>'Proposed Rates'!P28</f>
        <v>2.8</v>
      </c>
      <c r="M28" s="176">
        <f t="shared" si="3"/>
        <v>1082960</v>
      </c>
      <c r="N28" s="176">
        <f t="shared" si="4"/>
        <v>348094</v>
      </c>
      <c r="O28" s="156"/>
      <c r="P28" s="388">
        <f>'Proposed Rates'!X28</f>
        <v>2.4E-2</v>
      </c>
      <c r="Q28" s="176">
        <f t="shared" si="1"/>
        <v>928252</v>
      </c>
      <c r="R28" s="319">
        <f t="shared" si="2"/>
        <v>193386</v>
      </c>
      <c r="S28" s="30"/>
      <c r="U28" s="10"/>
    </row>
    <row r="29" spans="1:33" x14ac:dyDescent="0.2">
      <c r="A29" s="183">
        <f>'Plant &amp; Reserve'!A29</f>
        <v>38500</v>
      </c>
      <c r="B29" s="218"/>
      <c r="C29" s="215" t="str">
        <f>'Plant &amp; Reserve'!C29</f>
        <v>Meas &amp; Reg Station Eqp Ind</v>
      </c>
      <c r="D29" s="156"/>
      <c r="E29" s="184">
        <f>'Plant &amp; Reserve'!E29</f>
        <v>15196826.639999999</v>
      </c>
      <c r="F29" s="184">
        <f>'Plant &amp; Reserve'!F29</f>
        <v>7287259.3511351217</v>
      </c>
      <c r="G29" s="156"/>
      <c r="H29" s="290">
        <f>'Proposed Rates'!J29</f>
        <v>2.3E-2</v>
      </c>
      <c r="I29" s="176">
        <f t="shared" si="0"/>
        <v>349527</v>
      </c>
      <c r="J29" s="211"/>
      <c r="K29" s="156"/>
      <c r="L29" s="249">
        <f>'Proposed Rates'!P29</f>
        <v>2.6</v>
      </c>
      <c r="M29" s="176">
        <f t="shared" si="3"/>
        <v>395117</v>
      </c>
      <c r="N29" s="176">
        <f t="shared" si="4"/>
        <v>45590</v>
      </c>
      <c r="O29" s="156"/>
      <c r="P29" s="388">
        <f>'Proposed Rates'!X29</f>
        <v>2.2000000000000002E-2</v>
      </c>
      <c r="Q29" s="176">
        <f t="shared" si="1"/>
        <v>334330</v>
      </c>
      <c r="R29" s="319">
        <f t="shared" si="2"/>
        <v>-15197</v>
      </c>
      <c r="S29" s="30"/>
      <c r="U29" s="10"/>
    </row>
    <row r="30" spans="1:33" x14ac:dyDescent="0.2">
      <c r="A30" s="183">
        <f>'Plant &amp; Reserve'!A30</f>
        <v>38600</v>
      </c>
      <c r="B30" s="218"/>
      <c r="C30" s="215" t="str">
        <f>'Plant &amp; Reserve'!C30</f>
        <v>Other Property Cust Premise</v>
      </c>
      <c r="D30" s="156"/>
      <c r="E30" s="184">
        <f>'Plant &amp; Reserve'!E30</f>
        <v>0</v>
      </c>
      <c r="F30" s="184">
        <f>'Plant &amp; Reserve'!F30</f>
        <v>0</v>
      </c>
      <c r="G30" s="156"/>
      <c r="H30" s="290">
        <f>'Proposed Rates'!J30</f>
        <v>6.7000000000000004E-2</v>
      </c>
      <c r="I30" s="176">
        <f t="shared" si="0"/>
        <v>0</v>
      </c>
      <c r="J30" s="211"/>
      <c r="K30" s="156"/>
      <c r="L30" s="249">
        <f>'Proposed Rates'!P30</f>
        <v>6.7</v>
      </c>
      <c r="M30" s="176">
        <f t="shared" si="3"/>
        <v>0</v>
      </c>
      <c r="N30" s="176">
        <f t="shared" si="4"/>
        <v>0</v>
      </c>
      <c r="O30" s="156"/>
      <c r="P30" s="388">
        <f>'Proposed Rates'!X30</f>
        <v>6.7000000000000004E-2</v>
      </c>
      <c r="Q30" s="176">
        <f t="shared" si="1"/>
        <v>0</v>
      </c>
      <c r="R30" s="319">
        <f t="shared" si="2"/>
        <v>0</v>
      </c>
      <c r="S30" s="30"/>
    </row>
    <row r="31" spans="1:33" x14ac:dyDescent="0.2">
      <c r="A31" s="183">
        <f>'Plant &amp; Reserve'!A31</f>
        <v>38700</v>
      </c>
      <c r="B31" s="218"/>
      <c r="C31" s="215" t="str">
        <f>'Plant &amp; Reserve'!C31</f>
        <v>Other Equipment</v>
      </c>
      <c r="D31" s="156"/>
      <c r="E31" s="184">
        <f>'Plant &amp; Reserve'!E31</f>
        <v>13431843.029999996</v>
      </c>
      <c r="F31" s="184">
        <f>'Plant &amp; Reserve'!F31</f>
        <v>5670671.8931667153</v>
      </c>
      <c r="G31" s="156"/>
      <c r="H31" s="290">
        <f>'Proposed Rates'!J31</f>
        <v>0.03</v>
      </c>
      <c r="I31" s="176">
        <f t="shared" si="0"/>
        <v>402955</v>
      </c>
      <c r="J31" s="211"/>
      <c r="K31" s="156"/>
      <c r="L31" s="249">
        <f>'Proposed Rates'!P31</f>
        <v>3.7</v>
      </c>
      <c r="M31" s="176">
        <f t="shared" si="3"/>
        <v>496978</v>
      </c>
      <c r="N31" s="176">
        <f t="shared" si="4"/>
        <v>94023</v>
      </c>
      <c r="O31" s="156"/>
      <c r="P31" s="388">
        <f>'Proposed Rates'!X31</f>
        <v>0.03</v>
      </c>
      <c r="Q31" s="176">
        <f t="shared" si="1"/>
        <v>402955</v>
      </c>
      <c r="R31" s="319">
        <f t="shared" si="2"/>
        <v>0</v>
      </c>
      <c r="S31" s="30"/>
    </row>
    <row r="32" spans="1:33" ht="13.5" thickBot="1" x14ac:dyDescent="0.25">
      <c r="A32" s="250"/>
      <c r="B32" s="250"/>
      <c r="C32" s="250"/>
      <c r="D32" s="156"/>
      <c r="E32" s="251"/>
      <c r="F32" s="251"/>
      <c r="G32" s="156"/>
      <c r="H32" s="252"/>
      <c r="I32" s="190"/>
      <c r="J32" s="211"/>
      <c r="K32" s="156"/>
      <c r="L32" s="252"/>
      <c r="M32" s="190"/>
      <c r="N32" s="190"/>
      <c r="O32" s="156"/>
      <c r="P32" s="389"/>
      <c r="Q32" s="190"/>
      <c r="R32" s="190"/>
      <c r="S32" s="30"/>
    </row>
    <row r="33" spans="1:33" ht="19.899999999999999" customHeight="1" thickTop="1" thickBot="1" x14ac:dyDescent="0.25">
      <c r="A33" s="250"/>
      <c r="B33" s="250"/>
      <c r="C33" s="253" t="s">
        <v>39</v>
      </c>
      <c r="D33" s="156"/>
      <c r="E33" s="192">
        <f>SUM(E16:E32)</f>
        <v>3184550513.4757018</v>
      </c>
      <c r="F33" s="192">
        <f>SUM(F16:F32)</f>
        <v>832483088.43115175</v>
      </c>
      <c r="G33" s="156"/>
      <c r="H33" s="246">
        <f>IF($E33=0,0,ROUND(I33/$E33*100,1))</f>
        <v>2.2000000000000002</v>
      </c>
      <c r="I33" s="192">
        <f>SUM(I16:I32)</f>
        <v>70783472</v>
      </c>
      <c r="J33" s="211"/>
      <c r="K33" s="156"/>
      <c r="L33" s="246">
        <f>IF($E33=0,0,ROUND(M33/$E33*100,1))</f>
        <v>2.6</v>
      </c>
      <c r="M33" s="192">
        <f>SUM(M16:M32)</f>
        <v>82831458</v>
      </c>
      <c r="N33" s="192">
        <f>SUM(N16:N32)</f>
        <v>12047986</v>
      </c>
      <c r="O33" s="156"/>
      <c r="P33" s="385">
        <f>IF($E33=0,0,ROUND(Q33/$E33*100,1))</f>
        <v>2.5</v>
      </c>
      <c r="Q33" s="192">
        <f>SUM(Q16:Q32)</f>
        <v>79061645</v>
      </c>
      <c r="R33" s="192">
        <f>SUM(R16:R32)</f>
        <v>8278173</v>
      </c>
      <c r="S33" s="30"/>
      <c r="T33" s="192"/>
    </row>
    <row r="34" spans="1:33" ht="13.5" thickTop="1" x14ac:dyDescent="0.2">
      <c r="A34" s="194"/>
      <c r="B34" s="154"/>
      <c r="C34" s="154"/>
      <c r="D34" s="156"/>
      <c r="E34" s="184"/>
      <c r="F34" s="184"/>
      <c r="G34" s="156"/>
      <c r="H34" s="249"/>
      <c r="I34" s="176"/>
      <c r="J34" s="176"/>
      <c r="K34" s="176"/>
      <c r="L34" s="176"/>
      <c r="M34" s="176"/>
      <c r="N34" s="176"/>
      <c r="O34" s="156"/>
      <c r="P34" s="387"/>
      <c r="Q34" s="176"/>
      <c r="R34" s="176"/>
      <c r="S34" s="30"/>
      <c r="AG34" s="324"/>
    </row>
    <row r="35" spans="1:33" x14ac:dyDescent="0.2">
      <c r="A35" s="194"/>
      <c r="B35" s="154"/>
      <c r="C35" s="154"/>
      <c r="D35" s="156"/>
      <c r="E35" s="184"/>
      <c r="F35" s="184"/>
      <c r="G35" s="156"/>
      <c r="H35" s="249"/>
      <c r="I35" s="176"/>
      <c r="J35" s="211"/>
      <c r="K35" s="156"/>
      <c r="L35" s="249"/>
      <c r="M35" s="176"/>
      <c r="N35" s="176"/>
      <c r="O35" s="156"/>
      <c r="P35" s="387"/>
      <c r="Q35" s="176"/>
      <c r="R35" s="176"/>
      <c r="S35" s="30"/>
    </row>
    <row r="36" spans="1:33" x14ac:dyDescent="0.2">
      <c r="A36" s="194"/>
      <c r="B36" s="154"/>
      <c r="C36" s="175" t="str">
        <f>'Proposed Rates'!$C36</f>
        <v>Transportation Equipment</v>
      </c>
      <c r="D36" s="156"/>
      <c r="E36" s="184"/>
      <c r="F36" s="184"/>
      <c r="G36" s="156"/>
      <c r="H36" s="249"/>
      <c r="I36" s="176"/>
      <c r="J36" s="211"/>
      <c r="K36" s="156"/>
      <c r="L36" s="249"/>
      <c r="M36" s="176"/>
      <c r="N36" s="176"/>
      <c r="O36" s="156"/>
      <c r="P36" s="387"/>
      <c r="Q36" s="176"/>
      <c r="R36" s="176"/>
      <c r="S36" s="30"/>
    </row>
    <row r="37" spans="1:33" x14ac:dyDescent="0.2">
      <c r="A37" s="194"/>
      <c r="B37" s="154"/>
      <c r="C37" s="254"/>
      <c r="D37" s="156"/>
      <c r="E37" s="184"/>
      <c r="F37" s="184"/>
      <c r="G37" s="156"/>
      <c r="H37" s="249"/>
      <c r="I37" s="176"/>
      <c r="J37" s="211"/>
      <c r="K37" s="156"/>
      <c r="L37" s="249"/>
      <c r="M37" s="176"/>
      <c r="N37" s="176"/>
      <c r="O37" s="156"/>
      <c r="P37" s="387"/>
      <c r="Q37" s="176"/>
      <c r="R37" s="176"/>
      <c r="S37" s="30"/>
    </row>
    <row r="38" spans="1:33" x14ac:dyDescent="0.2">
      <c r="A38" s="183">
        <f>'Plant &amp; Reserve'!A38</f>
        <v>39201</v>
      </c>
      <c r="B38" s="218"/>
      <c r="C38" s="215" t="str">
        <f>'Plant &amp; Reserve'!C38</f>
        <v>Vehicles up to 1/2 Tons</v>
      </c>
      <c r="D38" s="156"/>
      <c r="E38" s="184">
        <f>'Plant &amp; Reserve'!E38</f>
        <v>23701574.900950912</v>
      </c>
      <c r="F38" s="184">
        <f>'Plant &amp; Reserve'!F38</f>
        <v>8222729.2678835941</v>
      </c>
      <c r="G38" s="156"/>
      <c r="H38" s="290">
        <f>'Proposed Rates'!J38</f>
        <v>7.0000000000000007E-2</v>
      </c>
      <c r="I38" s="176">
        <f t="shared" ref="I38:I59" si="10">ROUND(E38*H38,0)</f>
        <v>1659110</v>
      </c>
      <c r="J38" s="211"/>
      <c r="K38" s="156"/>
      <c r="L38" s="249">
        <f>'Proposed Rates'!P38</f>
        <v>11.1</v>
      </c>
      <c r="M38" s="176">
        <f>ROUND($E38*L38/100,0)</f>
        <v>2630875</v>
      </c>
      <c r="N38" s="176">
        <f>M38-$I38</f>
        <v>971765</v>
      </c>
      <c r="O38" s="156"/>
      <c r="P38" s="388">
        <f>'Proposed Rates'!X38</f>
        <v>0.10099999999999999</v>
      </c>
      <c r="Q38" s="176">
        <f t="shared" ref="Q38:Q59" si="11">ROUND(E38*P38,0)</f>
        <v>2393859</v>
      </c>
      <c r="R38" s="176">
        <f>Q38-$I38</f>
        <v>734749</v>
      </c>
      <c r="S38" s="30"/>
    </row>
    <row r="39" spans="1:33" x14ac:dyDescent="0.2">
      <c r="A39" s="183">
        <f>'Plant &amp; Reserve'!A39</f>
        <v>39202</v>
      </c>
      <c r="B39" s="218"/>
      <c r="C39" s="215" t="str">
        <f>'Plant &amp; Reserve'!C39</f>
        <v>Vehicles from 1/2 - 1 Tons</v>
      </c>
      <c r="D39" s="156"/>
      <c r="E39" s="184">
        <f>'Plant &amp; Reserve'!E39</f>
        <v>17803654.689999994</v>
      </c>
      <c r="F39" s="184">
        <f>'Plant &amp; Reserve'!F39</f>
        <v>9635071.750319995</v>
      </c>
      <c r="G39" s="156"/>
      <c r="H39" s="290">
        <f>'Proposed Rates'!J39</f>
        <v>5.6000000000000001E-2</v>
      </c>
      <c r="I39" s="176">
        <f t="shared" si="10"/>
        <v>997005</v>
      </c>
      <c r="J39" s="211"/>
      <c r="K39" s="156"/>
      <c r="L39" s="249">
        <f>'Proposed Rates'!P39</f>
        <v>8.9</v>
      </c>
      <c r="M39" s="176">
        <f>ROUND($E39*L39/100,0)</f>
        <v>1584525</v>
      </c>
      <c r="N39" s="176">
        <f>M39-$I39</f>
        <v>587520</v>
      </c>
      <c r="O39" s="156"/>
      <c r="P39" s="388">
        <f>'Proposed Rates'!X39</f>
        <v>7.0999999999999994E-2</v>
      </c>
      <c r="Q39" s="176">
        <f t="shared" si="11"/>
        <v>1264059</v>
      </c>
      <c r="R39" s="176">
        <f>Q39-$I39</f>
        <v>267054</v>
      </c>
      <c r="S39" s="30"/>
    </row>
    <row r="40" spans="1:33" x14ac:dyDescent="0.2">
      <c r="A40" s="183">
        <f>'Plant &amp; Reserve'!A40</f>
        <v>39204</v>
      </c>
      <c r="B40" s="218"/>
      <c r="C40" s="215" t="str">
        <f>'Plant &amp; Reserve'!C40</f>
        <v>Trailers &amp; Other</v>
      </c>
      <c r="D40" s="156"/>
      <c r="E40" s="184">
        <f>'Plant &amp; Reserve'!E40</f>
        <v>4681567.3202562388</v>
      </c>
      <c r="F40" s="184">
        <f>'Plant &amp; Reserve'!F40</f>
        <v>932593.93949549214</v>
      </c>
      <c r="G40" s="156"/>
      <c r="H40" s="290">
        <f>'Proposed Rates'!J40</f>
        <v>2.9000000000000001E-2</v>
      </c>
      <c r="I40" s="176">
        <f t="shared" si="10"/>
        <v>135765</v>
      </c>
      <c r="J40" s="211"/>
      <c r="K40" s="156"/>
      <c r="L40" s="249">
        <f>'Proposed Rates'!P40</f>
        <v>2.7</v>
      </c>
      <c r="M40" s="176">
        <f>ROUND($E40*L40/100,0)</f>
        <v>126402</v>
      </c>
      <c r="N40" s="176">
        <f>M40-$I40</f>
        <v>-9363</v>
      </c>
      <c r="O40" s="156"/>
      <c r="P40" s="388">
        <f>'Proposed Rates'!X40</f>
        <v>2.4E-2</v>
      </c>
      <c r="Q40" s="176">
        <f t="shared" si="11"/>
        <v>112358</v>
      </c>
      <c r="R40" s="176">
        <f>Q40-$I40</f>
        <v>-23407</v>
      </c>
      <c r="S40" s="30"/>
    </row>
    <row r="41" spans="1:33" x14ac:dyDescent="0.2">
      <c r="A41" s="183">
        <f>'Plant &amp; Reserve'!A41</f>
        <v>39205</v>
      </c>
      <c r="B41" s="218"/>
      <c r="C41" s="215" t="str">
        <f>'Plant &amp; Reserve'!C41</f>
        <v>Vehicles over 1 Ton</v>
      </c>
      <c r="D41" s="156"/>
      <c r="E41" s="184">
        <f>'Plant &amp; Reserve'!E41</f>
        <v>2564139.2299999995</v>
      </c>
      <c r="F41" s="184">
        <f>'Plant &amp; Reserve'!F41</f>
        <v>1395539.2506799987</v>
      </c>
      <c r="G41" s="156"/>
      <c r="H41" s="290">
        <f>'Proposed Rates'!J41</f>
        <v>6.6000000000000003E-2</v>
      </c>
      <c r="I41" s="176">
        <f t="shared" si="10"/>
        <v>169233</v>
      </c>
      <c r="J41" s="211"/>
      <c r="K41" s="156"/>
      <c r="L41" s="249">
        <f>'Proposed Rates'!P41</f>
        <v>7.2</v>
      </c>
      <c r="M41" s="176">
        <f>ROUND($E41*L41/100,0)</f>
        <v>184618</v>
      </c>
      <c r="N41" s="176">
        <f>M41-$I41</f>
        <v>15385</v>
      </c>
      <c r="O41" s="156"/>
      <c r="P41" s="388">
        <f>'Proposed Rates'!X41</f>
        <v>5.5999999999999994E-2</v>
      </c>
      <c r="Q41" s="176">
        <f t="shared" si="11"/>
        <v>143592</v>
      </c>
      <c r="R41" s="176">
        <f>Q41-$I41</f>
        <v>-25641</v>
      </c>
      <c r="S41" s="30"/>
    </row>
    <row r="42" spans="1:33" x14ac:dyDescent="0.2">
      <c r="A42" s="194"/>
      <c r="B42" s="154"/>
      <c r="C42" s="154"/>
      <c r="D42" s="156"/>
      <c r="E42" s="184"/>
      <c r="F42" s="184"/>
      <c r="G42" s="156"/>
      <c r="H42" s="290"/>
      <c r="I42" s="176">
        <f t="shared" si="10"/>
        <v>0</v>
      </c>
      <c r="J42" s="211"/>
      <c r="K42" s="156"/>
      <c r="L42" s="249"/>
      <c r="M42" s="176"/>
      <c r="N42" s="176"/>
      <c r="O42" s="156"/>
      <c r="P42" s="388"/>
      <c r="Q42" s="176">
        <f t="shared" si="11"/>
        <v>0</v>
      </c>
      <c r="R42" s="176"/>
      <c r="S42" s="30"/>
    </row>
    <row r="43" spans="1:33" x14ac:dyDescent="0.2">
      <c r="A43" s="194"/>
      <c r="B43" s="154"/>
      <c r="C43" s="175" t="str">
        <f>'Proposed Rates'!$C43</f>
        <v>General Plant</v>
      </c>
      <c r="D43" s="156"/>
      <c r="E43" s="184"/>
      <c r="F43" s="184"/>
      <c r="G43" s="156"/>
      <c r="H43" s="290"/>
      <c r="I43" s="176">
        <f t="shared" si="10"/>
        <v>0</v>
      </c>
      <c r="J43" s="211"/>
      <c r="K43" s="156"/>
      <c r="L43" s="249"/>
      <c r="M43" s="176"/>
      <c r="N43" s="176"/>
      <c r="O43" s="156"/>
      <c r="P43" s="388"/>
      <c r="Q43" s="176">
        <f t="shared" si="11"/>
        <v>0</v>
      </c>
      <c r="R43" s="176"/>
      <c r="S43" s="30"/>
    </row>
    <row r="44" spans="1:33" x14ac:dyDescent="0.2">
      <c r="A44" s="194"/>
      <c r="B44" s="154"/>
      <c r="C44" s="154"/>
      <c r="D44" s="156"/>
      <c r="E44" s="184"/>
      <c r="F44" s="184"/>
      <c r="G44" s="156"/>
      <c r="H44" s="290"/>
      <c r="I44" s="176">
        <f t="shared" si="10"/>
        <v>0</v>
      </c>
      <c r="J44" s="211"/>
      <c r="K44" s="156"/>
      <c r="L44" s="249"/>
      <c r="M44" s="176">
        <f>ROUND($E44*L44/100,0)</f>
        <v>0</v>
      </c>
      <c r="N44" s="176">
        <f t="shared" ref="N44:N59" si="12">M44-$I44</f>
        <v>0</v>
      </c>
      <c r="O44" s="156"/>
      <c r="P44" s="388"/>
      <c r="Q44" s="176">
        <f t="shared" si="11"/>
        <v>0</v>
      </c>
      <c r="R44" s="176"/>
      <c r="S44" s="30"/>
    </row>
    <row r="45" spans="1:33" x14ac:dyDescent="0.2">
      <c r="A45" s="183">
        <f>'Plant &amp; Reserve'!A45</f>
        <v>30100</v>
      </c>
      <c r="B45" s="218"/>
      <c r="C45" s="215" t="str">
        <f>'Plant &amp; Reserve'!C45</f>
        <v>Organization Costs</v>
      </c>
      <c r="D45" s="156"/>
      <c r="E45" s="184">
        <f>'Plant &amp; Reserve'!E45</f>
        <v>12620.1</v>
      </c>
      <c r="F45" s="184">
        <f>'Plant &amp; Reserve'!F45</f>
        <v>0</v>
      </c>
      <c r="G45" s="156"/>
      <c r="H45" s="290">
        <f>'Proposed Rates'!J45</f>
        <v>0</v>
      </c>
      <c r="I45" s="176">
        <f t="shared" si="10"/>
        <v>0</v>
      </c>
      <c r="J45" s="211"/>
      <c r="K45" s="156"/>
      <c r="L45" s="249">
        <f>'Proposed Rates'!P45</f>
        <v>0</v>
      </c>
      <c r="M45" s="176">
        <f t="shared" ref="M45:M59" si="13">ROUND($E45*L45/100,0)</f>
        <v>0</v>
      </c>
      <c r="N45" s="176">
        <f t="shared" si="12"/>
        <v>0</v>
      </c>
      <c r="O45" s="156"/>
      <c r="P45" s="388">
        <f>'Proposed Rates'!X45</f>
        <v>0</v>
      </c>
      <c r="Q45" s="176">
        <f t="shared" si="11"/>
        <v>0</v>
      </c>
      <c r="R45" s="176">
        <f t="shared" ref="R45:R59" si="14">Q45-$I45</f>
        <v>0</v>
      </c>
      <c r="S45" s="30"/>
    </row>
    <row r="46" spans="1:33" x14ac:dyDescent="0.2">
      <c r="A46" s="183">
        <f>'Plant &amp; Reserve'!A46</f>
        <v>30200</v>
      </c>
      <c r="B46" s="218"/>
      <c r="C46" s="215" t="str">
        <f>'Plant &amp; Reserve'!C46</f>
        <v>Franchise &amp; Consents</v>
      </c>
      <c r="D46" s="156"/>
      <c r="E46" s="184">
        <f>'Plant &amp; Reserve'!E46</f>
        <v>0</v>
      </c>
      <c r="F46" s="184">
        <f>'Plant &amp; Reserve'!F46</f>
        <v>0</v>
      </c>
      <c r="G46" s="156"/>
      <c r="H46" s="290">
        <f>'Proposed Rates'!J46</f>
        <v>0.04</v>
      </c>
      <c r="I46" s="176">
        <f t="shared" si="10"/>
        <v>0</v>
      </c>
      <c r="J46" s="211"/>
      <c r="K46" s="156"/>
      <c r="L46" s="249">
        <f>'Proposed Rates'!P46</f>
        <v>4</v>
      </c>
      <c r="M46" s="176">
        <f t="shared" si="13"/>
        <v>0</v>
      </c>
      <c r="N46" s="176">
        <f t="shared" si="12"/>
        <v>0</v>
      </c>
      <c r="O46" s="156"/>
      <c r="P46" s="388">
        <f>'Proposed Rates'!X46</f>
        <v>0.04</v>
      </c>
      <c r="Q46" s="176">
        <f t="shared" si="11"/>
        <v>0</v>
      </c>
      <c r="R46" s="176">
        <f t="shared" si="14"/>
        <v>0</v>
      </c>
      <c r="S46" s="30"/>
    </row>
    <row r="47" spans="1:33" x14ac:dyDescent="0.2">
      <c r="A47" s="183">
        <f>'Plant &amp; Reserve'!A47</f>
        <v>30300</v>
      </c>
      <c r="B47" s="218"/>
      <c r="C47" s="215" t="str">
        <f>'Plant &amp; Reserve'!C47</f>
        <v>Misc Intangible Plant</v>
      </c>
      <c r="D47" s="156"/>
      <c r="E47" s="184">
        <f>'Plant &amp; Reserve'!E47</f>
        <v>815325.07</v>
      </c>
      <c r="F47" s="184">
        <f>+'Reserve Allocation'!N14</f>
        <v>815325.0699999989</v>
      </c>
      <c r="G47" s="156"/>
      <c r="H47" s="290">
        <f>'Proposed Rates'!J47</f>
        <v>0.04</v>
      </c>
      <c r="I47" s="176">
        <v>0</v>
      </c>
      <c r="J47" s="211"/>
      <c r="K47" s="156"/>
      <c r="L47" s="249">
        <f>'Proposed Rates'!P47</f>
        <v>4</v>
      </c>
      <c r="M47" s="176">
        <v>0</v>
      </c>
      <c r="N47" s="176">
        <f t="shared" si="12"/>
        <v>0</v>
      </c>
      <c r="O47" s="156"/>
      <c r="P47" s="388">
        <v>0.04</v>
      </c>
      <c r="Q47" s="176">
        <v>0</v>
      </c>
      <c r="R47" s="176">
        <f t="shared" si="14"/>
        <v>0</v>
      </c>
      <c r="S47" s="30"/>
    </row>
    <row r="48" spans="1:33" x14ac:dyDescent="0.2">
      <c r="A48" s="183">
        <f>'Plant &amp; Reserve'!A48</f>
        <v>30301</v>
      </c>
      <c r="B48" s="218"/>
      <c r="C48" s="215" t="str">
        <f>'Plant &amp; Reserve'!C48</f>
        <v>Custom Intangible Plant</v>
      </c>
      <c r="D48" s="156"/>
      <c r="E48" s="184">
        <f>'Plant &amp; Reserve'!E48</f>
        <v>124829688.78999999</v>
      </c>
      <c r="F48" s="184">
        <f>+'Reserve Allocation'!N15</f>
        <v>37523500.841743499</v>
      </c>
      <c r="G48" s="156"/>
      <c r="H48" s="290">
        <f>'Proposed Rates'!J48</f>
        <v>6.6000000000000003E-2</v>
      </c>
      <c r="I48" s="176">
        <f t="shared" si="10"/>
        <v>8238759</v>
      </c>
      <c r="J48" s="211"/>
      <c r="K48" s="156"/>
      <c r="L48" s="249">
        <f>'Proposed Rates'!P48</f>
        <v>6.7</v>
      </c>
      <c r="O48" s="156"/>
      <c r="P48" s="388">
        <f>'Proposed Rates'!X48</f>
        <v>6.6000000000000003E-2</v>
      </c>
      <c r="Q48" s="176">
        <f t="shared" si="11"/>
        <v>8238759</v>
      </c>
      <c r="R48" s="176">
        <f t="shared" si="14"/>
        <v>0</v>
      </c>
      <c r="S48" s="30"/>
      <c r="T48" s="176"/>
    </row>
    <row r="49" spans="1:33" x14ac:dyDescent="0.2">
      <c r="A49" s="183">
        <f>'Plant &amp; Reserve'!A49</f>
        <v>39000</v>
      </c>
      <c r="B49" s="218"/>
      <c r="C49" s="215" t="str">
        <f>'Plant &amp; Reserve'!C49</f>
        <v>Structures &amp; Improvements</v>
      </c>
      <c r="D49" s="156"/>
      <c r="E49" s="184">
        <f>'Plant &amp; Reserve'!E49</f>
        <v>663068.9</v>
      </c>
      <c r="F49" s="184">
        <f>+'Reserve Allocation'!N45</f>
        <v>45567.602230799923</v>
      </c>
      <c r="G49" s="156"/>
      <c r="H49" s="290">
        <f>'Proposed Rates'!J49</f>
        <v>2.4E-2</v>
      </c>
      <c r="I49" s="176">
        <f t="shared" si="10"/>
        <v>15914</v>
      </c>
      <c r="J49" s="211"/>
      <c r="K49" s="156"/>
      <c r="L49" s="249">
        <f>'Proposed Rates'!P49</f>
        <v>4</v>
      </c>
      <c r="M49" s="176">
        <f>ROUND($E49*L49/100,0)</f>
        <v>26523</v>
      </c>
      <c r="N49" s="176">
        <f>M49-$I49</f>
        <v>10609</v>
      </c>
      <c r="O49" s="156"/>
      <c r="P49" s="388">
        <f>'Proposed Rates'!X49</f>
        <v>4.0999999999999995E-2</v>
      </c>
      <c r="Q49" s="176">
        <f t="shared" si="11"/>
        <v>27186</v>
      </c>
      <c r="R49" s="176">
        <f>Q49-$I49</f>
        <v>11272</v>
      </c>
      <c r="S49" s="30"/>
      <c r="T49" s="176"/>
    </row>
    <row r="50" spans="1:33" x14ac:dyDescent="0.2">
      <c r="A50" s="183">
        <f>'Plant &amp; Reserve'!A50</f>
        <v>39100</v>
      </c>
      <c r="B50" s="218"/>
      <c r="C50" s="215" t="str">
        <f>'Plant &amp; Reserve'!C50</f>
        <v>Office Furniture</v>
      </c>
      <c r="D50" s="156"/>
      <c r="E50" s="184">
        <f>'Plant &amp; Reserve'!E50</f>
        <v>2192449.73</v>
      </c>
      <c r="F50" s="184">
        <f>+'Reserve Allocation'!N46</f>
        <v>1250876.8360366272</v>
      </c>
      <c r="G50" s="156"/>
      <c r="H50" s="290">
        <f>'Proposed Rates'!J50</f>
        <v>5.8999999999999997E-2</v>
      </c>
      <c r="I50" s="176">
        <f t="shared" si="10"/>
        <v>129355</v>
      </c>
      <c r="J50" s="211"/>
      <c r="K50" s="156"/>
      <c r="L50" s="249">
        <f>'Proposed Rates'!P50</f>
        <v>5.9</v>
      </c>
      <c r="M50" s="176">
        <f t="shared" si="13"/>
        <v>129355</v>
      </c>
      <c r="N50" s="176">
        <f t="shared" si="12"/>
        <v>0</v>
      </c>
      <c r="O50" s="156"/>
      <c r="P50" s="388">
        <f>'Proposed Rates'!X50</f>
        <v>6.3E-2</v>
      </c>
      <c r="Q50" s="176">
        <f t="shared" si="11"/>
        <v>138124</v>
      </c>
      <c r="R50" s="176">
        <f t="shared" si="14"/>
        <v>8769</v>
      </c>
      <c r="S50" s="30"/>
      <c r="T50" s="176"/>
    </row>
    <row r="51" spans="1:33" x14ac:dyDescent="0.2">
      <c r="A51" s="183">
        <f>'Plant &amp; Reserve'!A51</f>
        <v>39101</v>
      </c>
      <c r="B51" s="218"/>
      <c r="C51" s="215" t="str">
        <f>'Plant &amp; Reserve'!C51</f>
        <v>Computer Equipment</v>
      </c>
      <c r="D51" s="156"/>
      <c r="E51" s="184">
        <f>'Plant &amp; Reserve'!E51</f>
        <v>6423957.1449999902</v>
      </c>
      <c r="F51" s="184">
        <f>+'Reserve Allocation'!N47</f>
        <v>3887200.5361898364</v>
      </c>
      <c r="G51" s="156"/>
      <c r="H51" s="290">
        <f>'Proposed Rates'!J51</f>
        <v>0.111</v>
      </c>
      <c r="I51" s="176">
        <f t="shared" si="10"/>
        <v>713059</v>
      </c>
      <c r="J51" s="211"/>
      <c r="K51" s="156"/>
      <c r="L51" s="249">
        <f>'Proposed Rates'!P51</f>
        <v>11.1</v>
      </c>
      <c r="M51" s="176">
        <f t="shared" si="13"/>
        <v>713059</v>
      </c>
      <c r="N51" s="176">
        <f t="shared" si="12"/>
        <v>0</v>
      </c>
      <c r="O51" s="156"/>
      <c r="P51" s="388">
        <f>'Rate Computation'!$Q$48</f>
        <v>8.1000000000000003E-2</v>
      </c>
      <c r="Q51" s="176">
        <f t="shared" si="11"/>
        <v>520341</v>
      </c>
      <c r="R51" s="176">
        <f t="shared" si="14"/>
        <v>-192718</v>
      </c>
      <c r="S51" s="30"/>
      <c r="T51" s="176"/>
    </row>
    <row r="52" spans="1:33" x14ac:dyDescent="0.2">
      <c r="A52" s="183">
        <f>'Plant &amp; Reserve'!A52</f>
        <v>39102</v>
      </c>
      <c r="B52" s="218"/>
      <c r="C52" s="215" t="str">
        <f>'Plant &amp; Reserve'!C52</f>
        <v>Office Equipment</v>
      </c>
      <c r="D52" s="156"/>
      <c r="E52" s="184">
        <f>'Plant &amp; Reserve'!E52</f>
        <v>1529673.7899999998</v>
      </c>
      <c r="F52" s="184">
        <f>+'Reserve Allocation'!N48</f>
        <v>1057059.5213299992</v>
      </c>
      <c r="G52" s="156"/>
      <c r="H52" s="290">
        <f>'Proposed Rates'!J52</f>
        <v>6.7000000000000004E-2</v>
      </c>
      <c r="I52" s="176">
        <f t="shared" si="10"/>
        <v>102488</v>
      </c>
      <c r="J52" s="211"/>
      <c r="K52" s="156"/>
      <c r="L52" s="249">
        <f>'Proposed Rates'!P52</f>
        <v>6.7</v>
      </c>
      <c r="M52" s="176">
        <f t="shared" si="13"/>
        <v>102488</v>
      </c>
      <c r="N52" s="176">
        <f t="shared" si="12"/>
        <v>0</v>
      </c>
      <c r="O52" s="156"/>
      <c r="P52" s="388">
        <f>'Proposed Rates'!X52</f>
        <v>6.2E-2</v>
      </c>
      <c r="Q52" s="176">
        <f t="shared" si="11"/>
        <v>94840</v>
      </c>
      <c r="R52" s="176">
        <f t="shared" si="14"/>
        <v>-7648</v>
      </c>
      <c r="S52" s="30"/>
      <c r="T52" s="176"/>
    </row>
    <row r="53" spans="1:33" x14ac:dyDescent="0.2">
      <c r="A53" s="183">
        <f>'Plant &amp; Reserve'!A53</f>
        <v>39300</v>
      </c>
      <c r="B53" s="218"/>
      <c r="C53" s="215" t="str">
        <f>'Plant &amp; Reserve'!C53</f>
        <v>Stores Equipment</v>
      </c>
      <c r="D53" s="156"/>
      <c r="E53" s="184">
        <f>'Plant &amp; Reserve'!E53</f>
        <v>1283.3900000000001</v>
      </c>
      <c r="F53" s="184">
        <f>'Plant &amp; Reserve'!F53</f>
        <v>647.04815000006727</v>
      </c>
      <c r="G53" s="156"/>
      <c r="H53" s="290">
        <f>'Proposed Rates'!J53</f>
        <v>4.2000000000000003E-2</v>
      </c>
      <c r="I53" s="176">
        <f t="shared" si="10"/>
        <v>54</v>
      </c>
      <c r="J53" s="211"/>
      <c r="K53" s="156"/>
      <c r="L53" s="249">
        <f>'Proposed Rates'!P53</f>
        <v>4.2</v>
      </c>
      <c r="M53" s="176">
        <f t="shared" si="13"/>
        <v>54</v>
      </c>
      <c r="N53" s="176">
        <f t="shared" si="12"/>
        <v>0</v>
      </c>
      <c r="O53" s="156"/>
      <c r="P53" s="388">
        <f>'Proposed Rates'!X53</f>
        <v>4.2999999999999997E-2</v>
      </c>
      <c r="Q53" s="176">
        <f t="shared" si="11"/>
        <v>55</v>
      </c>
      <c r="R53" s="176">
        <f t="shared" si="14"/>
        <v>1</v>
      </c>
      <c r="S53" s="30"/>
      <c r="T53" s="176"/>
    </row>
    <row r="54" spans="1:33" x14ac:dyDescent="0.2">
      <c r="A54" s="183">
        <f>'Plant &amp; Reserve'!A54</f>
        <v>39400</v>
      </c>
      <c r="B54" s="218"/>
      <c r="C54" s="215" t="str">
        <f>'Plant &amp; Reserve'!C54</f>
        <v>Tools, Shop &amp; Garage Equip</v>
      </c>
      <c r="D54" s="156"/>
      <c r="E54" s="184">
        <f>'Plant &amp; Reserve'!E54</f>
        <v>9345098.3999999985</v>
      </c>
      <c r="F54" s="184">
        <f>'Plant &amp; Reserve'!F54</f>
        <v>4783405.2230809862</v>
      </c>
      <c r="G54" s="156"/>
      <c r="H54" s="290">
        <f>'Proposed Rates'!J54</f>
        <v>5.6000000000000001E-2</v>
      </c>
      <c r="I54" s="176">
        <f t="shared" si="10"/>
        <v>523326</v>
      </c>
      <c r="J54" s="211"/>
      <c r="K54" s="156"/>
      <c r="L54" s="249">
        <f>'Proposed Rates'!P54</f>
        <v>5.6</v>
      </c>
      <c r="M54" s="176">
        <f t="shared" si="13"/>
        <v>523326</v>
      </c>
      <c r="N54" s="176">
        <f t="shared" si="12"/>
        <v>0</v>
      </c>
      <c r="O54" s="156"/>
      <c r="P54" s="388">
        <f>'Proposed Rates'!X54</f>
        <v>4.9000000000000002E-2</v>
      </c>
      <c r="Q54" s="176">
        <f t="shared" si="11"/>
        <v>457910</v>
      </c>
      <c r="R54" s="176">
        <f t="shared" si="14"/>
        <v>-65416</v>
      </c>
      <c r="S54" s="30"/>
      <c r="T54" s="176"/>
    </row>
    <row r="55" spans="1:33" x14ac:dyDescent="0.2">
      <c r="A55" s="183">
        <f>'Plant &amp; Reserve'!A55</f>
        <v>39401</v>
      </c>
      <c r="B55" s="218"/>
      <c r="C55" s="181" t="s">
        <v>681</v>
      </c>
      <c r="D55" s="156"/>
      <c r="E55" s="184">
        <f>'Plant &amp; Reserve'!E55</f>
        <v>3241792.7899999996</v>
      </c>
      <c r="F55" s="184">
        <f>'Plant &amp; Reserve'!F55</f>
        <v>958073.39337000111</v>
      </c>
      <c r="G55" s="156"/>
      <c r="H55" s="290">
        <f>'Proposed Rates'!J55</f>
        <v>0.05</v>
      </c>
      <c r="I55" s="176">
        <f t="shared" si="10"/>
        <v>162090</v>
      </c>
      <c r="J55" s="211"/>
      <c r="K55" s="156"/>
      <c r="L55" s="249">
        <f>'Proposed Rates'!P55</f>
        <v>5</v>
      </c>
      <c r="M55" s="176">
        <f t="shared" ref="M55" si="15">ROUND($E55*L55/100,0)</f>
        <v>162090</v>
      </c>
      <c r="N55" s="176">
        <f t="shared" ref="N55" si="16">M55-$I55</f>
        <v>0</v>
      </c>
      <c r="O55" s="156"/>
      <c r="P55" s="388">
        <f>'Proposed Rates'!X55</f>
        <v>5.0999999999999997E-2</v>
      </c>
      <c r="Q55" s="176">
        <f t="shared" si="11"/>
        <v>165331</v>
      </c>
      <c r="R55" s="176">
        <f t="shared" ref="R55" si="17">Q55-$I55</f>
        <v>3241</v>
      </c>
      <c r="S55" s="30"/>
      <c r="T55" s="176"/>
    </row>
    <row r="56" spans="1:33" x14ac:dyDescent="0.2">
      <c r="A56" s="183">
        <f>'Plant &amp; Reserve'!A56</f>
        <v>39500</v>
      </c>
      <c r="B56" s="218"/>
      <c r="C56" s="215" t="str">
        <f>'Plant &amp; Reserve'!C56</f>
        <v>Laboratory Equipment</v>
      </c>
      <c r="D56" s="156"/>
      <c r="E56" s="184">
        <f>'Plant &amp; Reserve'!E56</f>
        <v>0</v>
      </c>
      <c r="F56" s="184">
        <f>'Plant &amp; Reserve'!F56</f>
        <v>0</v>
      </c>
      <c r="G56" s="156"/>
      <c r="H56" s="290">
        <f>'Proposed Rates'!J56</f>
        <v>0.05</v>
      </c>
      <c r="I56" s="176">
        <f t="shared" si="10"/>
        <v>0</v>
      </c>
      <c r="J56" s="211"/>
      <c r="K56" s="156"/>
      <c r="L56" s="249">
        <f>'Proposed Rates'!P56</f>
        <v>5</v>
      </c>
      <c r="M56" s="176">
        <f t="shared" si="13"/>
        <v>0</v>
      </c>
      <c r="N56" s="176">
        <f t="shared" si="12"/>
        <v>0</v>
      </c>
      <c r="O56" s="156"/>
      <c r="P56" s="388">
        <f>'Proposed Rates'!X56</f>
        <v>0.05</v>
      </c>
      <c r="Q56" s="176">
        <f t="shared" si="11"/>
        <v>0</v>
      </c>
      <c r="R56" s="176">
        <f t="shared" si="14"/>
        <v>0</v>
      </c>
      <c r="S56" s="30"/>
      <c r="T56" s="176"/>
    </row>
    <row r="57" spans="1:33" x14ac:dyDescent="0.2">
      <c r="A57" s="183">
        <f>'Plant &amp; Reserve'!A57</f>
        <v>39600</v>
      </c>
      <c r="B57" s="218"/>
      <c r="C57" s="215" t="str">
        <f>'Plant &amp; Reserve'!C57</f>
        <v>Power Operated Equipment</v>
      </c>
      <c r="D57" s="156"/>
      <c r="E57" s="184">
        <f>'Plant &amp; Reserve'!E57</f>
        <v>4522728.60539502</v>
      </c>
      <c r="F57" s="184">
        <f>'Plant &amp; Reserve'!F57</f>
        <v>2148335.1997778886</v>
      </c>
      <c r="G57" s="156"/>
      <c r="H57" s="290">
        <f>'Proposed Rates'!J57</f>
        <v>2.7E-2</v>
      </c>
      <c r="I57" s="176">
        <f t="shared" si="10"/>
        <v>122114</v>
      </c>
      <c r="J57" s="211"/>
      <c r="K57" s="156"/>
      <c r="L57" s="249">
        <f>'Proposed Rates'!P57</f>
        <v>9.76</v>
      </c>
      <c r="M57" s="176">
        <f t="shared" si="13"/>
        <v>441418</v>
      </c>
      <c r="N57" s="176">
        <f t="shared" si="12"/>
        <v>319304</v>
      </c>
      <c r="O57" s="156"/>
      <c r="P57" s="388">
        <f>'Proposed Rates'!X57</f>
        <v>3.7000000000000005E-2</v>
      </c>
      <c r="Q57" s="176">
        <f t="shared" si="11"/>
        <v>167341</v>
      </c>
      <c r="R57" s="176">
        <f t="shared" si="14"/>
        <v>45227</v>
      </c>
      <c r="S57" s="30"/>
      <c r="T57" s="176"/>
    </row>
    <row r="58" spans="1:33" x14ac:dyDescent="0.2">
      <c r="A58" s="183">
        <f>'Plant &amp; Reserve'!A58</f>
        <v>39700</v>
      </c>
      <c r="B58" s="218"/>
      <c r="C58" s="215" t="str">
        <f>'Plant &amp; Reserve'!C58</f>
        <v>Communication Equipment</v>
      </c>
      <c r="D58" s="156"/>
      <c r="E58" s="184">
        <f>'Rate Computation'!D58</f>
        <v>3026304.3707999997</v>
      </c>
      <c r="F58" s="184">
        <f>'Plant &amp; Reserve'!F58</f>
        <v>3012751.6863328698</v>
      </c>
      <c r="G58" s="156"/>
      <c r="H58" s="290">
        <f>'Proposed Rates'!J58</f>
        <v>7.6999999999999999E-2</v>
      </c>
      <c r="I58" s="176">
        <v>0</v>
      </c>
      <c r="J58" s="211"/>
      <c r="K58" s="156"/>
      <c r="L58" s="249">
        <f>'Proposed Rates'!P58</f>
        <v>7.7</v>
      </c>
      <c r="M58" s="176">
        <f t="shared" si="13"/>
        <v>233025</v>
      </c>
      <c r="N58" s="176">
        <f t="shared" si="12"/>
        <v>233025</v>
      </c>
      <c r="O58" s="156"/>
      <c r="P58" s="388">
        <v>7.6999999999999999E-2</v>
      </c>
      <c r="Q58" s="176">
        <v>0</v>
      </c>
      <c r="R58" s="176">
        <f t="shared" si="14"/>
        <v>0</v>
      </c>
      <c r="S58" s="30"/>
    </row>
    <row r="59" spans="1:33" x14ac:dyDescent="0.2">
      <c r="A59" s="183">
        <f>'Plant &amp; Reserve'!A59</f>
        <v>39800</v>
      </c>
      <c r="B59" s="218"/>
      <c r="C59" s="215" t="str">
        <f>'Plant &amp; Reserve'!C59</f>
        <v>Miscellaneous Equipment</v>
      </c>
      <c r="D59" s="156"/>
      <c r="E59" s="184">
        <f>'Rate Computation'!D59</f>
        <v>923442.00410236092</v>
      </c>
      <c r="F59" s="184">
        <f>'Plant &amp; Reserve'!F59</f>
        <v>236137.54089293242</v>
      </c>
      <c r="G59" s="156"/>
      <c r="H59" s="290">
        <f>'Proposed Rates'!J59</f>
        <v>0.05</v>
      </c>
      <c r="I59" s="176">
        <f t="shared" si="10"/>
        <v>46172</v>
      </c>
      <c r="J59" s="211"/>
      <c r="K59" s="156"/>
      <c r="L59" s="249">
        <f>'Proposed Rates'!P59</f>
        <v>5</v>
      </c>
      <c r="M59" s="176">
        <f t="shared" si="13"/>
        <v>46172</v>
      </c>
      <c r="N59" s="176">
        <f t="shared" si="12"/>
        <v>0</v>
      </c>
      <c r="O59" s="156"/>
      <c r="P59" s="388">
        <f>'Proposed Rates'!X59</f>
        <v>4.4999999999999998E-2</v>
      </c>
      <c r="Q59" s="176">
        <f t="shared" si="11"/>
        <v>41555</v>
      </c>
      <c r="R59" s="176">
        <f t="shared" si="14"/>
        <v>-4617</v>
      </c>
      <c r="S59" s="30"/>
      <c r="T59" s="176"/>
    </row>
    <row r="60" spans="1:33" ht="13.5" thickBot="1" x14ac:dyDescent="0.25">
      <c r="A60" s="255"/>
      <c r="B60" s="250"/>
      <c r="C60" s="250"/>
      <c r="D60" s="156"/>
      <c r="E60" s="251"/>
      <c r="F60" s="251"/>
      <c r="G60" s="156"/>
      <c r="H60" s="252"/>
      <c r="I60" s="190"/>
      <c r="J60" s="211"/>
      <c r="K60" s="156"/>
      <c r="L60" s="252"/>
      <c r="M60" s="190"/>
      <c r="N60" s="190"/>
      <c r="O60" s="156"/>
      <c r="P60" s="389"/>
      <c r="Q60" s="190"/>
      <c r="R60" s="190"/>
      <c r="S60" s="30"/>
    </row>
    <row r="61" spans="1:33" ht="19.899999999999999" customHeight="1" thickTop="1" thickBot="1" x14ac:dyDescent="0.25">
      <c r="A61" s="255"/>
      <c r="B61" s="250"/>
      <c r="C61" s="253" t="s">
        <v>60</v>
      </c>
      <c r="D61" s="156"/>
      <c r="E61" s="192">
        <f>SUM(E36:E60)</f>
        <v>206278369.22650445</v>
      </c>
      <c r="F61" s="192">
        <f>SUM(F36:F60)</f>
        <v>75904814.707514524</v>
      </c>
      <c r="G61" s="156"/>
      <c r="H61" s="246">
        <f>IF($E61=0,0,ROUND(I61/$E61*100,1))</f>
        <v>6.3</v>
      </c>
      <c r="I61" s="192">
        <f>SUM(I36:I60)</f>
        <v>13014444</v>
      </c>
      <c r="J61" s="211"/>
      <c r="K61" s="156"/>
      <c r="L61" s="246">
        <f>IF($E61=0,0,ROUND(M61/$E61*100,1))</f>
        <v>3.3</v>
      </c>
      <c r="M61" s="192">
        <f>SUM(M36:M60)</f>
        <v>6903930</v>
      </c>
      <c r="N61" s="192">
        <f>SUM(N36:N60)</f>
        <v>2128245</v>
      </c>
      <c r="O61" s="156"/>
      <c r="P61" s="385">
        <f>IF($E61=0,0,ROUND(Q61/$E61*100,1))</f>
        <v>6.7</v>
      </c>
      <c r="Q61" s="192">
        <f>SUM(Q36:Q60)</f>
        <v>13765310</v>
      </c>
      <c r="R61" s="192">
        <f>SUM(R36:R60)</f>
        <v>750866</v>
      </c>
      <c r="S61" s="30"/>
    </row>
    <row r="62" spans="1:33" s="143" customFormat="1" ht="19.899999999999999" customHeight="1" thickTop="1" x14ac:dyDescent="0.2">
      <c r="A62" s="325"/>
      <c r="B62" s="244"/>
      <c r="C62" s="326"/>
      <c r="D62" s="156"/>
      <c r="E62" s="327"/>
      <c r="F62" s="327"/>
      <c r="G62" s="156"/>
      <c r="H62" s="328"/>
      <c r="I62" s="327"/>
      <c r="J62" s="211"/>
      <c r="K62" s="156"/>
      <c r="L62" s="328"/>
      <c r="M62" s="327"/>
      <c r="N62" s="327"/>
      <c r="O62" s="156"/>
      <c r="P62" s="390"/>
      <c r="Q62" s="327"/>
      <c r="R62" s="327"/>
      <c r="S62" s="30"/>
      <c r="AG62" s="323"/>
    </row>
    <row r="63" spans="1:33" s="143" customFormat="1" ht="19.899999999999999" customHeight="1" x14ac:dyDescent="0.2">
      <c r="A63" s="325">
        <f>'Plant &amp; Reserve'!A63</f>
        <v>33600</v>
      </c>
      <c r="B63" s="244"/>
      <c r="C63" s="329" t="str">
        <f>'Plant &amp; Reserve'!C63</f>
        <v>RNG Plant</v>
      </c>
      <c r="E63" s="184">
        <f>'Plant &amp; Reserve'!E63</f>
        <v>16109646.340000002</v>
      </c>
      <c r="F63" s="184">
        <f>'Plant &amp; Reserve'!F63</f>
        <v>1079308.7666374999</v>
      </c>
      <c r="G63" s="156" t="s">
        <v>1230</v>
      </c>
      <c r="H63" s="290">
        <f>+'Rate Comparsion'!F50</f>
        <v>3.5000000000000003E-2</v>
      </c>
      <c r="I63" s="176">
        <f t="shared" ref="I63:I65" si="18">ROUND(E63*H63,0)</f>
        <v>563838</v>
      </c>
      <c r="J63" s="211"/>
      <c r="K63" s="156"/>
      <c r="L63" s="249">
        <f>'Proposed Rates'!P63</f>
        <v>3.5</v>
      </c>
      <c r="M63" s="176">
        <f t="shared" ref="M63:M65" si="19">ROUND($E63*L63/100,0)</f>
        <v>563838</v>
      </c>
      <c r="N63" s="176">
        <f t="shared" ref="N63:N65" si="20">M63-$I63</f>
        <v>0</v>
      </c>
      <c r="O63" s="156"/>
      <c r="P63" s="388">
        <f>+'Proposed Rates'!W63</f>
        <v>3.4000000000000002E-2</v>
      </c>
      <c r="Q63" s="176">
        <f t="shared" ref="Q63:Q65" si="21">ROUND(E63*P63,0)</f>
        <v>547728</v>
      </c>
      <c r="R63" s="176">
        <f t="shared" ref="R63:R65" si="22">Q63-$I63</f>
        <v>-16110</v>
      </c>
      <c r="S63" s="30"/>
      <c r="AG63" s="323"/>
    </row>
    <row r="64" spans="1:33" s="143" customFormat="1" ht="19.899999999999999" customHeight="1" x14ac:dyDescent="0.2">
      <c r="A64" s="325">
        <f>'Plant &amp; Reserve'!A64</f>
        <v>33601</v>
      </c>
      <c r="B64" s="244"/>
      <c r="C64" s="329" t="s">
        <v>1362</v>
      </c>
      <c r="E64" s="184">
        <f>'Plant &amp; Reserve'!E64</f>
        <v>35668591.620000005</v>
      </c>
      <c r="F64" s="184">
        <f>'Plant &amp; Reserve'!F64</f>
        <v>4351568.1776400004</v>
      </c>
      <c r="G64" s="156"/>
      <c r="H64" s="290">
        <v>6.7000000000000004E-2</v>
      </c>
      <c r="I64" s="176">
        <f t="shared" si="18"/>
        <v>2389796</v>
      </c>
      <c r="J64" s="211"/>
      <c r="K64" s="156"/>
      <c r="L64" s="249">
        <f>'Proposed Rates'!P64</f>
        <v>6.7</v>
      </c>
      <c r="M64" s="176">
        <f t="shared" si="19"/>
        <v>2389796</v>
      </c>
      <c r="N64" s="176">
        <f t="shared" si="20"/>
        <v>0</v>
      </c>
      <c r="O64" s="156"/>
      <c r="P64" s="388">
        <f>+H64</f>
        <v>6.7000000000000004E-2</v>
      </c>
      <c r="Q64" s="176">
        <f t="shared" ref="Q64" si="23">ROUND(E64*P64,0)</f>
        <v>2389796</v>
      </c>
      <c r="R64" s="176">
        <f t="shared" ref="R64" si="24">Q64-$I64</f>
        <v>0</v>
      </c>
      <c r="S64" s="30"/>
      <c r="AG64" s="323"/>
    </row>
    <row r="65" spans="1:33" s="143" customFormat="1" ht="19.899999999999999" customHeight="1" x14ac:dyDescent="0.2">
      <c r="A65" s="325">
        <f>'Plant &amp; Reserve'!A65</f>
        <v>36400</v>
      </c>
      <c r="B65" s="244"/>
      <c r="C65" s="329" t="str">
        <f>'Plant &amp; Reserve'!C65</f>
        <v>LNG Plant</v>
      </c>
      <c r="E65" s="184">
        <f>'Plant &amp; Reserve'!E65</f>
        <v>1503355.97</v>
      </c>
      <c r="F65" s="184">
        <f>'Plant &amp; Reserve'!F65</f>
        <v>79584.682884999987</v>
      </c>
      <c r="G65" s="156" t="s">
        <v>1230</v>
      </c>
      <c r="H65" s="290">
        <f>+'Rate Comparsion'!F52</f>
        <v>3.5000000000000003E-2</v>
      </c>
      <c r="I65" s="176">
        <f t="shared" si="18"/>
        <v>52617</v>
      </c>
      <c r="J65" s="211"/>
      <c r="K65" s="156"/>
      <c r="L65" s="249">
        <f>'Proposed Rates'!P65</f>
        <v>3.5</v>
      </c>
      <c r="M65" s="176">
        <f t="shared" si="19"/>
        <v>52617</v>
      </c>
      <c r="N65" s="176">
        <f t="shared" si="20"/>
        <v>0</v>
      </c>
      <c r="O65" s="156"/>
      <c r="P65" s="388">
        <f>+'Proposed Rates'!W65</f>
        <v>3.5000000000000003E-2</v>
      </c>
      <c r="Q65" s="176">
        <f t="shared" si="21"/>
        <v>52617</v>
      </c>
      <c r="R65" s="176">
        <f t="shared" si="22"/>
        <v>0</v>
      </c>
      <c r="S65" s="30"/>
      <c r="AG65" s="323"/>
    </row>
    <row r="66" spans="1:33" x14ac:dyDescent="0.2">
      <c r="A66" s="256"/>
      <c r="B66" s="154"/>
      <c r="C66" s="154"/>
      <c r="D66" s="156"/>
      <c r="E66" s="184"/>
      <c r="F66" s="184"/>
      <c r="G66" s="156"/>
      <c r="H66" s="171"/>
      <c r="I66" s="176"/>
      <c r="J66" s="211"/>
      <c r="K66" s="156"/>
      <c r="L66" s="171"/>
      <c r="M66" s="176"/>
      <c r="N66" s="176"/>
      <c r="O66" s="156"/>
      <c r="P66" s="391"/>
      <c r="Q66" s="176"/>
      <c r="R66" s="176"/>
      <c r="S66" s="30"/>
    </row>
    <row r="67" spans="1:33" ht="13.5" thickBot="1" x14ac:dyDescent="0.25">
      <c r="A67" s="196"/>
      <c r="B67" s="197"/>
      <c r="C67" s="197"/>
      <c r="D67" s="156"/>
      <c r="E67" s="257"/>
      <c r="F67" s="257"/>
      <c r="G67" s="156"/>
      <c r="H67" s="258"/>
      <c r="I67" s="198"/>
      <c r="J67" s="211"/>
      <c r="K67" s="156"/>
      <c r="L67" s="258"/>
      <c r="M67" s="198"/>
      <c r="N67" s="198"/>
      <c r="O67" s="156"/>
      <c r="P67" s="392"/>
      <c r="Q67" s="198"/>
      <c r="R67" s="198"/>
      <c r="S67" s="30"/>
    </row>
    <row r="68" spans="1:33" ht="19.899999999999999" customHeight="1" thickBot="1" x14ac:dyDescent="0.25">
      <c r="A68" s="196"/>
      <c r="B68" s="197"/>
      <c r="C68" s="259" t="s">
        <v>697</v>
      </c>
      <c r="D68" s="156"/>
      <c r="E68" s="201">
        <f>E61+E33+E63+E65+E64</f>
        <v>3444110476.632206</v>
      </c>
      <c r="F68" s="201">
        <f>F61+F33+F63+F65+F64</f>
        <v>913898364.76582873</v>
      </c>
      <c r="G68" s="156"/>
      <c r="H68" s="260">
        <f>IF($E68=0,0,ROUND(I68/$E68*100,1))</f>
        <v>2.5</v>
      </c>
      <c r="I68" s="201">
        <f>I61+I33+I63+I65+I64</f>
        <v>86804167</v>
      </c>
      <c r="J68" s="211"/>
      <c r="K68" s="156"/>
      <c r="L68" s="260">
        <f>IF($E68=0,0,ROUND(M68/$E68*100,1))</f>
        <v>2.7</v>
      </c>
      <c r="M68" s="201">
        <f t="shared" ref="M68:N68" si="25">M61+M33+M63+M65+M64</f>
        <v>92741639</v>
      </c>
      <c r="N68" s="201">
        <f t="shared" si="25"/>
        <v>14176231</v>
      </c>
      <c r="O68" s="156"/>
      <c r="P68" s="393">
        <f>IF($E68=0,0,ROUND(Q68/$E68*100,1))</f>
        <v>2.8</v>
      </c>
      <c r="Q68" s="201">
        <f t="shared" ref="Q68:R68" si="26">Q61+Q33+Q63+Q65+Q64</f>
        <v>95817096</v>
      </c>
      <c r="R68" s="201">
        <f t="shared" si="26"/>
        <v>9012929</v>
      </c>
      <c r="S68" s="30"/>
    </row>
    <row r="69" spans="1:33" x14ac:dyDescent="0.2">
      <c r="A69" s="31"/>
      <c r="B69" s="30"/>
      <c r="C69" s="30"/>
      <c r="D69" s="32"/>
      <c r="E69" s="37"/>
      <c r="F69" s="38"/>
      <c r="G69" s="32"/>
      <c r="H69" s="34"/>
      <c r="I69" s="33"/>
      <c r="J69" s="32"/>
      <c r="K69" s="32"/>
      <c r="L69" s="34"/>
      <c r="M69" s="33"/>
      <c r="N69" s="30"/>
      <c r="O69" s="32"/>
      <c r="P69" s="394"/>
      <c r="Q69" s="35"/>
      <c r="R69" s="33"/>
      <c r="S69" s="30"/>
    </row>
    <row r="70" spans="1:33" x14ac:dyDescent="0.2">
      <c r="C70" s="7" t="s">
        <v>67</v>
      </c>
      <c r="E70" s="36">
        <v>3467239074.6882105</v>
      </c>
      <c r="F70" s="36">
        <v>918866293.14582872</v>
      </c>
      <c r="G70" s="23"/>
      <c r="H70" s="142"/>
      <c r="I70" s="278"/>
      <c r="J70" s="3"/>
      <c r="K70" s="3"/>
      <c r="L70" s="3"/>
      <c r="M70" s="3"/>
      <c r="N70" s="3"/>
      <c r="O70" s="3"/>
      <c r="P70" s="395"/>
      <c r="Q70" s="278"/>
      <c r="R70" s="3"/>
      <c r="S70" s="3"/>
      <c r="T70" s="3"/>
    </row>
    <row r="71" spans="1:33" s="143" customFormat="1" x14ac:dyDescent="0.2">
      <c r="A71" s="11"/>
      <c r="C71" s="7" t="str">
        <f>'Plant &amp; Reserve'!C72</f>
        <v>Less Land Distribution 37400</v>
      </c>
      <c r="D71" s="143">
        <f>'Plant &amp; Reserve'!D72</f>
        <v>0</v>
      </c>
      <c r="E71" s="36">
        <v>-16157149.27</v>
      </c>
      <c r="F71" s="36">
        <f>'Plant &amp; Reserve'!F72</f>
        <v>60224.600000000399</v>
      </c>
      <c r="G71" s="144"/>
      <c r="H71" s="142"/>
      <c r="I71" s="278"/>
      <c r="J71" s="3"/>
      <c r="K71" s="3"/>
      <c r="L71" s="3"/>
      <c r="M71" s="3"/>
      <c r="N71" s="3"/>
      <c r="O71" s="3"/>
      <c r="P71" s="395"/>
      <c r="Q71" s="278"/>
      <c r="R71" s="3"/>
      <c r="S71" s="3"/>
      <c r="T71" s="3"/>
      <c r="AG71" s="323"/>
    </row>
    <row r="72" spans="1:33" s="143" customFormat="1" x14ac:dyDescent="0.2">
      <c r="A72" s="11"/>
      <c r="C72" s="7" t="str">
        <f>'Plant &amp; Reserve'!C73</f>
        <v>Less 115 PGS Acq Adj</v>
      </c>
      <c r="D72" s="143">
        <f>'Plant &amp; Reserve'!D73</f>
        <v>0</v>
      </c>
      <c r="E72" s="36">
        <f>'Plant &amp; Reserve'!E73</f>
        <v>-5031897.24</v>
      </c>
      <c r="F72" s="36">
        <f>'Plant &amp; Reserve'!F73</f>
        <v>-5028152.9800000098</v>
      </c>
      <c r="G72" s="144"/>
      <c r="H72" s="142"/>
      <c r="I72" s="278"/>
      <c r="J72" s="3"/>
      <c r="K72" s="3"/>
      <c r="L72" s="3"/>
      <c r="M72" s="3"/>
      <c r="N72" s="3"/>
      <c r="O72" s="3"/>
      <c r="P72" s="395"/>
      <c r="Q72" s="278"/>
      <c r="R72" s="3"/>
      <c r="S72" s="3"/>
      <c r="T72" s="3"/>
      <c r="AG72" s="323"/>
    </row>
    <row r="73" spans="1:33" s="143" customFormat="1" x14ac:dyDescent="0.2">
      <c r="A73" s="11"/>
      <c r="C73" s="7" t="str">
        <f>'Plant &amp; Reserve'!C74</f>
        <v>Less 10500 - Future Use</v>
      </c>
      <c r="D73" s="143">
        <f>'Plant &amp; Reserve'!D74</f>
        <v>0</v>
      </c>
      <c r="E73" s="36">
        <f>'Plant &amp; Reserve'!E74</f>
        <v>-1939551.55</v>
      </c>
      <c r="F73" s="36">
        <f>'Plant &amp; Reserve'!F74</f>
        <v>0</v>
      </c>
      <c r="G73" s="144"/>
      <c r="H73" s="142"/>
      <c r="I73" s="278"/>
      <c r="J73" s="3"/>
      <c r="K73" s="3"/>
      <c r="L73" s="3"/>
      <c r="M73" s="3"/>
      <c r="N73" s="3"/>
      <c r="O73" s="3"/>
      <c r="P73" s="395"/>
      <c r="Q73" s="278"/>
      <c r="R73" s="3"/>
      <c r="S73" s="3"/>
      <c r="T73" s="3"/>
      <c r="AG73" s="323"/>
    </row>
    <row r="74" spans="1:33" s="143" customFormat="1" x14ac:dyDescent="0.2">
      <c r="A74" s="11"/>
      <c r="C74" s="7" t="str">
        <f>'Plant &amp; Reserve'!C75</f>
        <v>Transfers In/Out</v>
      </c>
      <c r="D74" s="143">
        <f>'Plant &amp; Reserve'!D75</f>
        <v>0</v>
      </c>
      <c r="E74" s="36">
        <f>'Plant &amp; Reserve'!E75</f>
        <v>0</v>
      </c>
      <c r="F74" s="36">
        <f>'Plant &amp; Reserve'!F75</f>
        <v>0</v>
      </c>
      <c r="G74" s="144"/>
      <c r="H74" s="142"/>
      <c r="I74" s="278"/>
      <c r="J74" s="3"/>
      <c r="K74" s="3"/>
      <c r="L74" s="3"/>
      <c r="M74" s="3"/>
      <c r="N74" s="3"/>
      <c r="O74" s="3"/>
      <c r="P74" s="395"/>
      <c r="Q74" s="278"/>
      <c r="R74" s="3"/>
      <c r="S74" s="3"/>
      <c r="T74" s="3"/>
      <c r="AG74" s="323"/>
    </row>
    <row r="75" spans="1:33" ht="13.5" thickBot="1" x14ac:dyDescent="0.25">
      <c r="C75" s="7" t="s">
        <v>73</v>
      </c>
      <c r="E75" s="43">
        <f>SUM(E70:E74)</f>
        <v>3444110476.6282105</v>
      </c>
      <c r="F75" s="43">
        <f>SUM(F70:F74)</f>
        <v>913898364.76582873</v>
      </c>
      <c r="G75" s="23"/>
      <c r="H75" s="4"/>
      <c r="I75" s="3"/>
      <c r="J75" s="3"/>
      <c r="K75" s="3"/>
      <c r="L75" s="3"/>
      <c r="M75" s="3"/>
      <c r="N75" s="3"/>
      <c r="O75" s="3"/>
      <c r="P75" s="395"/>
      <c r="Q75" s="3"/>
      <c r="R75" s="3"/>
      <c r="S75" s="3"/>
      <c r="T75" s="3"/>
    </row>
    <row r="76" spans="1:33" ht="13.5" thickTop="1" x14ac:dyDescent="0.2">
      <c r="C76" s="140" t="s">
        <v>68</v>
      </c>
      <c r="E76" s="10">
        <f>E68-E75</f>
        <v>3.9954185485839844E-3</v>
      </c>
      <c r="F76" s="10">
        <f>F68-F75</f>
        <v>0</v>
      </c>
      <c r="G76" s="23"/>
      <c r="H76" s="4"/>
      <c r="I76" s="3"/>
      <c r="J76" s="3"/>
      <c r="K76" s="3"/>
      <c r="L76" s="3"/>
      <c r="M76" s="3"/>
      <c r="N76" s="3"/>
      <c r="O76" s="3"/>
      <c r="P76" s="395"/>
      <c r="Q76" s="3"/>
      <c r="R76" s="3"/>
      <c r="S76" s="3"/>
      <c r="T76" s="3"/>
    </row>
    <row r="77" spans="1:33" x14ac:dyDescent="0.2">
      <c r="M77" s="143"/>
      <c r="N77" s="143"/>
      <c r="O77" s="143"/>
      <c r="Q77" s="143"/>
      <c r="R77" s="143"/>
      <c r="S77" s="143"/>
      <c r="T77" s="143"/>
    </row>
    <row r="78" spans="1:33" x14ac:dyDescent="0.2">
      <c r="M78" s="143"/>
      <c r="N78" s="143"/>
      <c r="O78" s="143"/>
      <c r="Q78" s="143"/>
      <c r="R78" s="143"/>
      <c r="S78" s="143"/>
      <c r="T78" s="143"/>
    </row>
    <row r="79" spans="1:33" x14ac:dyDescent="0.2">
      <c r="M79" s="143"/>
      <c r="N79" s="143"/>
      <c r="O79" s="143"/>
      <c r="Q79" s="143"/>
      <c r="R79" s="143"/>
      <c r="S79" s="143"/>
      <c r="T79" s="143"/>
    </row>
    <row r="80" spans="1:33" x14ac:dyDescent="0.2">
      <c r="M80" s="143"/>
      <c r="N80" s="143"/>
      <c r="O80" s="143"/>
      <c r="Q80" s="143"/>
      <c r="R80" s="143"/>
      <c r="S80" s="143"/>
      <c r="T80" s="143"/>
    </row>
    <row r="81" spans="5:20" x14ac:dyDescent="0.2">
      <c r="M81" s="143"/>
      <c r="N81" s="143"/>
      <c r="O81" s="143"/>
      <c r="Q81" s="143"/>
      <c r="R81" s="143"/>
      <c r="S81" s="143"/>
      <c r="T81" s="143"/>
    </row>
    <row r="82" spans="5:20" x14ac:dyDescent="0.2">
      <c r="M82" s="143"/>
      <c r="N82" s="143"/>
      <c r="O82" s="143"/>
      <c r="Q82" s="143"/>
      <c r="R82" s="143"/>
      <c r="S82" s="143"/>
      <c r="T82" s="143"/>
    </row>
    <row r="83" spans="5:20" x14ac:dyDescent="0.2">
      <c r="M83" s="143"/>
      <c r="N83" s="143"/>
      <c r="O83" s="143"/>
      <c r="Q83" s="143"/>
      <c r="R83" s="143"/>
      <c r="S83" s="143"/>
      <c r="T83" s="143"/>
    </row>
    <row r="84" spans="5:20" x14ac:dyDescent="0.2">
      <c r="M84" s="143"/>
      <c r="N84" s="143"/>
      <c r="O84" s="143"/>
      <c r="Q84" s="143"/>
      <c r="R84" s="143"/>
      <c r="S84" s="143"/>
      <c r="T84" s="143"/>
    </row>
    <row r="85" spans="5:20" x14ac:dyDescent="0.2">
      <c r="E85" s="309"/>
      <c r="F85" s="309"/>
      <c r="G85" s="309"/>
      <c r="H85" s="309"/>
      <c r="I85" s="309"/>
      <c r="J85" s="309"/>
      <c r="K85" s="309"/>
      <c r="L85" s="309"/>
      <c r="M85" s="309"/>
      <c r="N85" s="309"/>
      <c r="O85" s="309"/>
      <c r="Q85" s="143"/>
      <c r="R85" s="143"/>
      <c r="S85" s="143"/>
      <c r="T85" s="143"/>
    </row>
    <row r="86" spans="5:20" x14ac:dyDescent="0.2">
      <c r="M86" s="143"/>
      <c r="N86" s="143"/>
      <c r="O86" s="143"/>
      <c r="Q86" s="143"/>
      <c r="R86" s="143"/>
      <c r="S86" s="143"/>
      <c r="T86" s="143"/>
    </row>
    <row r="87" spans="5:20" x14ac:dyDescent="0.2">
      <c r="M87" s="143"/>
      <c r="N87" s="143"/>
      <c r="O87" s="143"/>
      <c r="Q87" s="143"/>
      <c r="R87" s="143"/>
      <c r="S87" s="143"/>
      <c r="T87" s="143"/>
    </row>
    <row r="88" spans="5:20" x14ac:dyDescent="0.2">
      <c r="M88" s="143"/>
      <c r="N88" s="143"/>
      <c r="O88" s="143"/>
      <c r="Q88" s="143"/>
      <c r="R88" s="143"/>
      <c r="S88" s="143"/>
      <c r="T88" s="143"/>
    </row>
    <row r="89" spans="5:20" x14ac:dyDescent="0.2">
      <c r="M89" s="143"/>
      <c r="N89" s="143"/>
      <c r="O89" s="143"/>
      <c r="Q89" s="143"/>
      <c r="R89" s="143"/>
      <c r="S89" s="143"/>
      <c r="T89" s="143"/>
    </row>
  </sheetData>
  <phoneticPr fontId="0" type="noConversion"/>
  <printOptions horizontalCentered="1"/>
  <pageMargins left="0.5" right="0.5" top="0.5" bottom="0.5" header="0" footer="0"/>
  <pageSetup scale="76" fitToHeight="2" orientation="landscape" blackAndWhite="1" r:id="rId1"/>
  <headerFooter alignWithMargins="0"/>
  <rowBreaks count="1" manualBreakCount="1">
    <brk id="34" max="17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W82"/>
  <sheetViews>
    <sheetView topLeftCell="A52" zoomScaleNormal="100" workbookViewId="0">
      <selection activeCell="E37" sqref="E37"/>
    </sheetView>
  </sheetViews>
  <sheetFormatPr defaultRowHeight="12.75" x14ac:dyDescent="0.2"/>
  <cols>
    <col min="1" max="1" width="8.28515625" bestFit="1" customWidth="1"/>
    <col min="2" max="2" width="1.7109375" customWidth="1"/>
    <col min="3" max="3" width="31" style="12" bestFit="1" customWidth="1"/>
    <col min="4" max="4" width="1.7109375" style="12" customWidth="1"/>
    <col min="5" max="5" width="14.140625" style="12" bestFit="1" customWidth="1"/>
    <col min="6" max="6" width="13.5703125" style="12" customWidth="1"/>
    <col min="7" max="7" width="8.28515625" style="12" bestFit="1" customWidth="1"/>
    <col min="8" max="8" width="18" style="12" customWidth="1"/>
    <col min="9" max="9" width="10.85546875" style="12" customWidth="1"/>
    <col min="10" max="10" width="14.140625" style="12" bestFit="1" customWidth="1"/>
    <col min="11" max="11" width="12.42578125" style="12" bestFit="1" customWidth="1"/>
    <col min="12" max="12" width="5.7109375" style="12" customWidth="1"/>
    <col min="13" max="13" width="8.28515625" style="12" bestFit="1" customWidth="1"/>
    <col min="14" max="14" width="1.7109375" style="12" customWidth="1"/>
    <col min="15" max="15" width="31" style="12" bestFit="1" customWidth="1"/>
    <col min="16" max="16" width="1.7109375" style="12" customWidth="1"/>
    <col min="17" max="17" width="14.28515625" style="12" customWidth="1"/>
    <col min="18" max="18" width="1.7109375" style="12" customWidth="1"/>
    <col min="19" max="19" width="14.28515625" style="12" customWidth="1"/>
    <col min="20" max="20" width="1.7109375" style="12" customWidth="1"/>
    <col min="21" max="21" width="14.28515625" style="475" customWidth="1"/>
    <col min="22" max="22" width="5" customWidth="1"/>
    <col min="23" max="23" width="12.85546875" bestFit="1" customWidth="1"/>
  </cols>
  <sheetData>
    <row r="1" spans="1:23" ht="16.5" x14ac:dyDescent="0.25">
      <c r="A1" s="151" t="s">
        <v>88</v>
      </c>
      <c r="B1" s="152"/>
      <c r="C1" s="418"/>
      <c r="D1" s="418"/>
      <c r="E1" s="418"/>
      <c r="F1" s="418"/>
      <c r="G1" s="418"/>
      <c r="H1" s="418"/>
      <c r="I1" s="418"/>
      <c r="J1" s="418"/>
      <c r="K1" s="418"/>
      <c r="L1" s="419"/>
      <c r="M1" s="420" t="s">
        <v>88</v>
      </c>
      <c r="N1" s="418"/>
      <c r="O1" s="418"/>
      <c r="P1" s="418"/>
      <c r="Q1" s="418"/>
      <c r="R1" s="418"/>
      <c r="S1" s="418"/>
      <c r="T1" s="418"/>
      <c r="U1" s="421"/>
      <c r="V1" s="46"/>
    </row>
    <row r="2" spans="1:23" ht="16.5" x14ac:dyDescent="0.25">
      <c r="A2" s="151" t="str">
        <f>'Proposed Rates'!$A2</f>
        <v>2022 Depreciation Rate Review</v>
      </c>
      <c r="B2" s="152"/>
      <c r="C2" s="418"/>
      <c r="D2" s="418"/>
      <c r="E2" s="418"/>
      <c r="F2" s="418"/>
      <c r="G2" s="418"/>
      <c r="H2" s="418"/>
      <c r="I2" s="418"/>
      <c r="J2" s="418"/>
      <c r="K2" s="418"/>
      <c r="L2" s="419"/>
      <c r="M2" s="420" t="str">
        <f>'Proposed Rates'!$A2</f>
        <v>2022 Depreciation Rate Review</v>
      </c>
      <c r="N2" s="418"/>
      <c r="O2" s="418"/>
      <c r="P2" s="418"/>
      <c r="Q2" s="418"/>
      <c r="R2" s="418"/>
      <c r="S2" s="418"/>
      <c r="T2" s="418"/>
      <c r="U2" s="421"/>
      <c r="V2" s="46"/>
    </row>
    <row r="3" spans="1:23" ht="16.5" x14ac:dyDescent="0.25">
      <c r="A3" s="151" t="s">
        <v>40</v>
      </c>
      <c r="B3" s="152"/>
      <c r="C3" s="418"/>
      <c r="D3" s="418"/>
      <c r="E3" s="418"/>
      <c r="F3" s="418"/>
      <c r="G3" s="418"/>
      <c r="H3" s="418"/>
      <c r="I3" s="418"/>
      <c r="J3" s="418"/>
      <c r="K3" s="418"/>
      <c r="L3" s="419"/>
      <c r="M3" s="420" t="s">
        <v>69</v>
      </c>
      <c r="N3" s="418"/>
      <c r="O3" s="418"/>
      <c r="P3" s="418"/>
      <c r="Q3" s="418"/>
      <c r="R3" s="418"/>
      <c r="S3" s="418"/>
      <c r="T3" s="418"/>
      <c r="U3" s="421"/>
      <c r="V3" s="46"/>
    </row>
    <row r="4" spans="1:23" x14ac:dyDescent="0.2">
      <c r="A4" s="153"/>
      <c r="B4" s="154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422"/>
      <c r="N4" s="155"/>
      <c r="O4" s="155"/>
      <c r="P4" s="155"/>
      <c r="Q4" s="155"/>
      <c r="R4" s="155"/>
      <c r="S4" s="155"/>
      <c r="T4" s="155"/>
      <c r="U4" s="423"/>
      <c r="V4" s="30"/>
    </row>
    <row r="5" spans="1:23" x14ac:dyDescent="0.2">
      <c r="A5" s="153"/>
      <c r="B5" s="154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422"/>
      <c r="N5" s="155"/>
      <c r="O5" s="155"/>
      <c r="P5" s="155"/>
      <c r="Q5" s="155"/>
      <c r="R5" s="155"/>
      <c r="S5" s="155"/>
      <c r="T5" s="155"/>
      <c r="U5" s="423"/>
      <c r="V5" s="30"/>
    </row>
    <row r="6" spans="1:23" x14ac:dyDescent="0.2">
      <c r="A6" s="154"/>
      <c r="B6" s="154"/>
      <c r="C6" s="155"/>
      <c r="D6" s="155"/>
      <c r="E6" s="210"/>
      <c r="F6" s="424"/>
      <c r="G6" s="155"/>
      <c r="H6" s="155"/>
      <c r="I6" s="155"/>
      <c r="J6" s="155"/>
      <c r="K6" s="425"/>
      <c r="L6" s="155"/>
      <c r="M6" s="155"/>
      <c r="N6" s="155"/>
      <c r="O6" s="155"/>
      <c r="P6" s="155"/>
      <c r="Q6" s="210" t="s">
        <v>1230</v>
      </c>
      <c r="R6" s="155"/>
      <c r="S6" s="424"/>
      <c r="T6" s="155"/>
      <c r="U6" s="424" t="s">
        <v>1230</v>
      </c>
      <c r="V6" s="30"/>
    </row>
    <row r="7" spans="1:23" x14ac:dyDescent="0.2">
      <c r="A7" s="154"/>
      <c r="B7" s="154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424"/>
      <c r="V7" s="30"/>
    </row>
    <row r="8" spans="1:23" x14ac:dyDescent="0.2">
      <c r="A8" s="154"/>
      <c r="B8" s="154"/>
      <c r="C8" s="155"/>
      <c r="D8" s="155"/>
      <c r="E8" s="155"/>
      <c r="F8" s="210"/>
      <c r="G8" s="155"/>
      <c r="H8" s="426"/>
      <c r="I8" s="155"/>
      <c r="J8" s="155"/>
      <c r="K8" s="155"/>
      <c r="L8" s="155"/>
      <c r="M8" s="155"/>
      <c r="N8" s="155"/>
      <c r="O8" s="155"/>
      <c r="P8" s="155"/>
      <c r="Q8" s="210"/>
      <c r="R8" s="155"/>
      <c r="S8" s="155"/>
      <c r="T8" s="155"/>
      <c r="U8" s="424" t="s">
        <v>70</v>
      </c>
      <c r="V8" s="30"/>
    </row>
    <row r="9" spans="1:23" x14ac:dyDescent="0.2">
      <c r="A9" s="156"/>
      <c r="B9" s="156"/>
      <c r="C9" s="210"/>
      <c r="D9" s="210"/>
      <c r="E9" s="210" t="s">
        <v>34</v>
      </c>
      <c r="F9" s="210" t="s">
        <v>71</v>
      </c>
      <c r="G9" s="210" t="s">
        <v>6</v>
      </c>
      <c r="H9" s="158" t="s">
        <v>41</v>
      </c>
      <c r="I9" s="158" t="s">
        <v>41</v>
      </c>
      <c r="J9" s="210" t="s">
        <v>42</v>
      </c>
      <c r="K9" s="160" t="s">
        <v>42</v>
      </c>
      <c r="L9" s="155"/>
      <c r="M9" s="210"/>
      <c r="N9" s="210"/>
      <c r="O9" s="210"/>
      <c r="P9" s="210"/>
      <c r="Q9" s="427" t="s">
        <v>6</v>
      </c>
      <c r="R9" s="210"/>
      <c r="S9" s="210" t="s">
        <v>64</v>
      </c>
      <c r="T9" s="210"/>
      <c r="U9" s="428" t="s">
        <v>6</v>
      </c>
      <c r="V9" s="30"/>
    </row>
    <row r="10" spans="1:23" x14ac:dyDescent="0.2">
      <c r="A10" s="162" t="s">
        <v>9</v>
      </c>
      <c r="B10" s="156"/>
      <c r="C10" s="210"/>
      <c r="D10" s="210"/>
      <c r="E10" s="427" t="s">
        <v>72</v>
      </c>
      <c r="F10" s="427" t="s">
        <v>6</v>
      </c>
      <c r="G10" s="210" t="s">
        <v>14</v>
      </c>
      <c r="H10" s="210" t="s">
        <v>6</v>
      </c>
      <c r="I10" s="210" t="s">
        <v>6</v>
      </c>
      <c r="J10" s="210" t="s">
        <v>43</v>
      </c>
      <c r="K10" s="160" t="s">
        <v>66</v>
      </c>
      <c r="L10" s="155"/>
      <c r="M10" s="429" t="s">
        <v>9</v>
      </c>
      <c r="N10" s="210"/>
      <c r="O10" s="210"/>
      <c r="P10" s="210"/>
      <c r="Q10" s="428" t="s">
        <v>83</v>
      </c>
      <c r="R10" s="210"/>
      <c r="S10" s="210" t="s">
        <v>6</v>
      </c>
      <c r="T10" s="210"/>
      <c r="U10" s="428" t="s">
        <v>65</v>
      </c>
      <c r="V10" s="30"/>
    </row>
    <row r="11" spans="1:23" ht="13.5" thickBot="1" x14ac:dyDescent="0.25">
      <c r="A11" s="163" t="s">
        <v>17</v>
      </c>
      <c r="B11" s="156"/>
      <c r="C11" s="430" t="s">
        <v>18</v>
      </c>
      <c r="D11" s="210"/>
      <c r="E11" s="431">
        <v>45657</v>
      </c>
      <c r="F11" s="432">
        <f>$E11</f>
        <v>45657</v>
      </c>
      <c r="G11" s="432"/>
      <c r="H11" s="433" t="s">
        <v>80</v>
      </c>
      <c r="I11" s="430" t="s">
        <v>14</v>
      </c>
      <c r="J11" s="430" t="s">
        <v>41</v>
      </c>
      <c r="K11" s="430" t="s">
        <v>41</v>
      </c>
      <c r="L11" s="155"/>
      <c r="M11" s="434" t="s">
        <v>17</v>
      </c>
      <c r="N11" s="210"/>
      <c r="O11" s="430" t="s">
        <v>18</v>
      </c>
      <c r="P11" s="210"/>
      <c r="Q11" s="432">
        <f>$E11</f>
        <v>45657</v>
      </c>
      <c r="R11" s="210"/>
      <c r="S11" s="430" t="s">
        <v>65</v>
      </c>
      <c r="T11" s="210"/>
      <c r="U11" s="432">
        <f>$E11</f>
        <v>45657</v>
      </c>
      <c r="V11" s="30"/>
    </row>
    <row r="12" spans="1:23" ht="13.5" thickTop="1" x14ac:dyDescent="0.2">
      <c r="A12" s="162"/>
      <c r="B12" s="166"/>
      <c r="C12" s="207"/>
      <c r="D12" s="207"/>
      <c r="E12" s="158" t="s">
        <v>38</v>
      </c>
      <c r="F12" s="158" t="s">
        <v>38</v>
      </c>
      <c r="G12" s="158" t="s">
        <v>24</v>
      </c>
      <c r="H12" s="158" t="s">
        <v>38</v>
      </c>
      <c r="I12" s="158" t="s">
        <v>38</v>
      </c>
      <c r="J12" s="158" t="s">
        <v>38</v>
      </c>
      <c r="K12" s="167" t="s">
        <v>24</v>
      </c>
      <c r="L12" s="155"/>
      <c r="M12" s="429"/>
      <c r="N12" s="207"/>
      <c r="O12" s="207"/>
      <c r="P12" s="207"/>
      <c r="Q12" s="158" t="s">
        <v>38</v>
      </c>
      <c r="R12" s="207"/>
      <c r="S12" s="158" t="s">
        <v>38</v>
      </c>
      <c r="T12" s="207"/>
      <c r="U12" s="435" t="s">
        <v>38</v>
      </c>
      <c r="V12" s="30"/>
    </row>
    <row r="13" spans="1:23" x14ac:dyDescent="0.2">
      <c r="A13" s="168"/>
      <c r="B13" s="169"/>
      <c r="C13" s="436"/>
      <c r="D13" s="155"/>
      <c r="E13" s="155"/>
      <c r="F13" s="241"/>
      <c r="G13" s="437"/>
      <c r="H13" s="438"/>
      <c r="I13" s="439"/>
      <c r="J13" s="287"/>
      <c r="K13" s="174"/>
      <c r="L13" s="155"/>
      <c r="M13" s="178"/>
      <c r="N13" s="436"/>
      <c r="O13" s="436"/>
      <c r="P13" s="155"/>
      <c r="Q13" s="155"/>
      <c r="R13" s="436"/>
      <c r="S13" s="287"/>
      <c r="T13" s="436"/>
      <c r="U13" s="423"/>
      <c r="V13" s="277"/>
    </row>
    <row r="14" spans="1:23" x14ac:dyDescent="0.2">
      <c r="A14" s="168"/>
      <c r="B14" s="169"/>
      <c r="C14" s="440" t="str">
        <f>'Proposed Rates'!$C14</f>
        <v>Distribution Plant</v>
      </c>
      <c r="D14" s="155"/>
      <c r="E14" s="441"/>
      <c r="F14" s="441"/>
      <c r="G14" s="437"/>
      <c r="H14" s="441"/>
      <c r="I14" s="442"/>
      <c r="J14" s="319"/>
      <c r="K14" s="177"/>
      <c r="L14" s="155"/>
      <c r="M14" s="178"/>
      <c r="N14" s="436"/>
      <c r="O14" s="443" t="str">
        <f>'Proposed Accruals'!$C14</f>
        <v>Distribution Plant</v>
      </c>
      <c r="P14" s="155"/>
      <c r="Q14" s="210"/>
      <c r="R14" s="155"/>
      <c r="S14" s="424"/>
      <c r="T14" s="155"/>
      <c r="U14" s="424"/>
      <c r="V14" s="276"/>
    </row>
    <row r="15" spans="1:23" x14ac:dyDescent="0.2">
      <c r="A15" s="178"/>
      <c r="B15" s="169"/>
      <c r="C15" s="436"/>
      <c r="D15" s="155"/>
      <c r="E15" s="227" t="s">
        <v>77</v>
      </c>
      <c r="F15" s="441"/>
      <c r="G15" s="444"/>
      <c r="H15" s="227"/>
      <c r="I15" s="444"/>
      <c r="J15" s="319"/>
      <c r="K15" s="177"/>
      <c r="L15" s="155"/>
      <c r="M15" s="178"/>
      <c r="N15" s="436"/>
      <c r="O15" s="436"/>
      <c r="P15" s="155"/>
      <c r="Q15" s="227"/>
      <c r="R15" s="436"/>
      <c r="S15" s="445"/>
      <c r="T15" s="436"/>
      <c r="U15" s="441"/>
      <c r="V15" s="273"/>
    </row>
    <row r="16" spans="1:23" x14ac:dyDescent="0.2">
      <c r="A16" s="180">
        <v>37402</v>
      </c>
      <c r="B16" s="169"/>
      <c r="C16" s="446" t="s">
        <v>646</v>
      </c>
      <c r="D16" s="155"/>
      <c r="E16" s="321">
        <f>+'Rate Computation'!D21</f>
        <v>4268872.66</v>
      </c>
      <c r="F16" s="182">
        <f>'Reserve Allocation'!N20</f>
        <v>1135965.6754117727</v>
      </c>
      <c r="G16" s="444">
        <f>ROUND(IF($E16=0,0,(F16/$E16)*100),2)</f>
        <v>26.61</v>
      </c>
      <c r="H16" s="321">
        <f>'Theoretical Reserve'!H67</f>
        <v>1089359.1105333332</v>
      </c>
      <c r="I16" s="444">
        <f>ROUND(IF($E16=0,0,(H16/E16)*100),2)</f>
        <v>25.52</v>
      </c>
      <c r="J16" s="319">
        <f>F16-H16</f>
        <v>46606.564878439531</v>
      </c>
      <c r="K16" s="447">
        <f>ROUND(IF(E16=0,0,(F16/H16)*100),0)</f>
        <v>104</v>
      </c>
      <c r="L16" s="155"/>
      <c r="M16" s="180">
        <f t="shared" ref="M16:M31" si="0">$A16</f>
        <v>37402</v>
      </c>
      <c r="N16" s="436"/>
      <c r="O16" s="436" t="str">
        <f t="shared" ref="O16:O31" si="1">$C16</f>
        <v>Land Rights</v>
      </c>
      <c r="P16" s="155"/>
      <c r="Q16" s="321">
        <f>+F16</f>
        <v>1135965.6754117727</v>
      </c>
      <c r="R16" s="436"/>
      <c r="S16" s="448"/>
      <c r="T16" s="436"/>
      <c r="U16" s="186">
        <f>+Q16+S16</f>
        <v>1135965.6754117727</v>
      </c>
      <c r="V16" s="274"/>
      <c r="W16" s="10"/>
    </row>
    <row r="17" spans="1:23" x14ac:dyDescent="0.2">
      <c r="A17" s="180">
        <v>37500</v>
      </c>
      <c r="B17" s="169"/>
      <c r="C17" s="436" t="s">
        <v>93</v>
      </c>
      <c r="D17" s="423"/>
      <c r="E17" s="321">
        <f>+'Rate Computation'!D22</f>
        <v>42540041.509999983</v>
      </c>
      <c r="F17" s="182">
        <f>'Reserve Allocation'!N21</f>
        <v>8327025.3461523298</v>
      </c>
      <c r="G17" s="444">
        <f t="shared" ref="G17:G31" si="2">ROUND(IF($E17=0,0,(F17/$E17)*100),2)</f>
        <v>19.57</v>
      </c>
      <c r="H17" s="321">
        <f>'Theoretical Reserve'!H117</f>
        <v>6646684.4072978618</v>
      </c>
      <c r="I17" s="444">
        <f t="shared" ref="I17:I29" si="3">ROUND(IF($E17=0,0,(H17/E17)*100),2)</f>
        <v>15.62</v>
      </c>
      <c r="J17" s="319">
        <f t="shared" ref="J17:J28" si="4">F17-H17</f>
        <v>1680340.9388544681</v>
      </c>
      <c r="K17" s="447">
        <f t="shared" ref="K17:K28" si="5">ROUND(IF(E17=0,0,(F17/H17)*100),0)</f>
        <v>125</v>
      </c>
      <c r="L17" s="155"/>
      <c r="M17" s="180">
        <f t="shared" si="0"/>
        <v>37500</v>
      </c>
      <c r="N17" s="436"/>
      <c r="O17" s="436" t="str">
        <f t="shared" si="1"/>
        <v>Structures &amp; Improvements</v>
      </c>
      <c r="P17" s="155"/>
      <c r="Q17" s="321">
        <f t="shared" ref="Q17:Q29" si="6">+F17</f>
        <v>8327025.3461523298</v>
      </c>
      <c r="R17" s="449"/>
      <c r="S17" s="448"/>
      <c r="T17" s="436"/>
      <c r="U17" s="186">
        <f t="shared" ref="U17:U31" si="7">+Q17+S17</f>
        <v>8327025.3461523298</v>
      </c>
      <c r="V17" s="30"/>
      <c r="W17" s="10"/>
    </row>
    <row r="18" spans="1:23" x14ac:dyDescent="0.2">
      <c r="A18" s="180">
        <v>37600</v>
      </c>
      <c r="B18" s="169"/>
      <c r="C18" s="436" t="s">
        <v>94</v>
      </c>
      <c r="D18" s="423"/>
      <c r="E18" s="321">
        <f>+'Rate Computation'!D23</f>
        <v>839424834.85876846</v>
      </c>
      <c r="F18" s="182">
        <f>'Reserve Allocation'!N22</f>
        <v>219421191.02617225</v>
      </c>
      <c r="G18" s="444">
        <f t="shared" si="2"/>
        <v>26.14</v>
      </c>
      <c r="H18" s="321">
        <f>'Theoretical Reserve'!H189</f>
        <v>213455382.31925929</v>
      </c>
      <c r="I18" s="444">
        <f t="shared" si="3"/>
        <v>25.43</v>
      </c>
      <c r="J18" s="319">
        <f t="shared" si="4"/>
        <v>5965808.7069129646</v>
      </c>
      <c r="K18" s="447">
        <f t="shared" si="5"/>
        <v>103</v>
      </c>
      <c r="L18" s="155"/>
      <c r="M18" s="180">
        <f t="shared" si="0"/>
        <v>37600</v>
      </c>
      <c r="N18" s="436"/>
      <c r="O18" s="436" t="str">
        <f t="shared" si="1"/>
        <v>Mains Steel</v>
      </c>
      <c r="P18" s="155"/>
      <c r="Q18" s="321">
        <f t="shared" si="6"/>
        <v>219421191.02617225</v>
      </c>
      <c r="R18" s="449"/>
      <c r="S18" s="448"/>
      <c r="T18" s="436"/>
      <c r="U18" s="186">
        <f t="shared" si="7"/>
        <v>219421191.02617225</v>
      </c>
      <c r="V18" s="275"/>
      <c r="W18" s="10"/>
    </row>
    <row r="19" spans="1:23" x14ac:dyDescent="0.2">
      <c r="A19" s="180">
        <v>37602</v>
      </c>
      <c r="B19" s="169"/>
      <c r="C19" s="436" t="s">
        <v>95</v>
      </c>
      <c r="D19" s="423"/>
      <c r="E19" s="321">
        <f>+'Rate Computation'!D24</f>
        <v>1076321266.0438066</v>
      </c>
      <c r="F19" s="182">
        <f>'Reserve Allocation'!N23</f>
        <v>199350416.49198416</v>
      </c>
      <c r="G19" s="444">
        <f t="shared" si="2"/>
        <v>18.52</v>
      </c>
      <c r="H19" s="321">
        <f>'Theoretical Reserve'!H227</f>
        <v>154020496.13400501</v>
      </c>
      <c r="I19" s="444">
        <f t="shared" si="3"/>
        <v>14.31</v>
      </c>
      <c r="J19" s="319">
        <f t="shared" si="4"/>
        <v>45329920.357979149</v>
      </c>
      <c r="K19" s="447">
        <f t="shared" si="5"/>
        <v>129</v>
      </c>
      <c r="L19" s="155"/>
      <c r="M19" s="180">
        <f t="shared" si="0"/>
        <v>37602</v>
      </c>
      <c r="N19" s="436"/>
      <c r="O19" s="436" t="str">
        <f t="shared" si="1"/>
        <v>Mains Plastic</v>
      </c>
      <c r="P19" s="155"/>
      <c r="Q19" s="321">
        <f t="shared" si="6"/>
        <v>199350416.49198416</v>
      </c>
      <c r="R19" s="449"/>
      <c r="S19" s="448"/>
      <c r="T19" s="436"/>
      <c r="U19" s="186">
        <f t="shared" si="7"/>
        <v>199350416.49198416</v>
      </c>
      <c r="V19" s="275"/>
      <c r="W19" s="10"/>
    </row>
    <row r="20" spans="1:23" s="143" customFormat="1" x14ac:dyDescent="0.2">
      <c r="A20" s="180">
        <v>37700</v>
      </c>
      <c r="B20" s="169"/>
      <c r="C20" s="436" t="str">
        <f>'Rate Computation'!$C$25</f>
        <v>Compressor Equipment</v>
      </c>
      <c r="D20" s="423"/>
      <c r="E20" s="321">
        <f>+'Rate Computation'!D25</f>
        <v>19187297.899999999</v>
      </c>
      <c r="F20" s="182">
        <f>'Reserve Allocation'!N24</f>
        <v>1872818.6248070037</v>
      </c>
      <c r="G20" s="444">
        <f t="shared" ref="G20" si="8">ROUND(IF($E20=0,0,(F20/$E20)*100),2)</f>
        <v>9.76</v>
      </c>
      <c r="H20" s="321">
        <f>+'Theoretical Reserve'!H231</f>
        <v>1712927.2714726988</v>
      </c>
      <c r="I20" s="444">
        <f t="shared" ref="I20" si="9">ROUND(IF($E20=0,0,(H20/E20)*100),2)</f>
        <v>8.93</v>
      </c>
      <c r="J20" s="319">
        <f t="shared" ref="J20" si="10">F20-H20</f>
        <v>159891.35333430488</v>
      </c>
      <c r="K20" s="447">
        <f t="shared" ref="K20" si="11">ROUND(IF(E20=0,0,(F20/H20)*100),0)</f>
        <v>109</v>
      </c>
      <c r="L20" s="155"/>
      <c r="M20" s="180">
        <f t="shared" si="0"/>
        <v>37700</v>
      </c>
      <c r="N20" s="436"/>
      <c r="O20" s="436" t="s">
        <v>1253</v>
      </c>
      <c r="P20" s="155"/>
      <c r="Q20" s="321">
        <f t="shared" si="6"/>
        <v>1872818.6248070037</v>
      </c>
      <c r="R20" s="449"/>
      <c r="S20" s="448"/>
      <c r="T20" s="436"/>
      <c r="U20" s="186">
        <f t="shared" si="7"/>
        <v>1872818.6248070037</v>
      </c>
      <c r="V20" s="275"/>
      <c r="W20" s="10"/>
    </row>
    <row r="21" spans="1:23" x14ac:dyDescent="0.2">
      <c r="A21" s="180">
        <v>37800</v>
      </c>
      <c r="B21" s="169"/>
      <c r="C21" s="436" t="s">
        <v>96</v>
      </c>
      <c r="D21" s="423"/>
      <c r="E21" s="321">
        <f>+'Rate Computation'!D26</f>
        <v>22828790.149999987</v>
      </c>
      <c r="F21" s="182">
        <f>'Reserve Allocation'!N25</f>
        <v>6391146.6009152206</v>
      </c>
      <c r="G21" s="444">
        <f t="shared" si="2"/>
        <v>28</v>
      </c>
      <c r="H21" s="321">
        <f>'Theoretical Reserve'!H290</f>
        <v>6284422.7513010539</v>
      </c>
      <c r="I21" s="444">
        <f t="shared" si="3"/>
        <v>27.53</v>
      </c>
      <c r="J21" s="319">
        <f t="shared" si="4"/>
        <v>106723.84961416665</v>
      </c>
      <c r="K21" s="447">
        <f t="shared" si="5"/>
        <v>102</v>
      </c>
      <c r="L21" s="155"/>
      <c r="M21" s="180">
        <f t="shared" si="0"/>
        <v>37800</v>
      </c>
      <c r="N21" s="436"/>
      <c r="O21" s="436" t="str">
        <f t="shared" si="1"/>
        <v>Meas &amp; Reg Station Eqp Gen</v>
      </c>
      <c r="P21" s="155"/>
      <c r="Q21" s="321">
        <f t="shared" si="6"/>
        <v>6391146.6009152206</v>
      </c>
      <c r="R21" s="449"/>
      <c r="S21" s="448"/>
      <c r="T21" s="436"/>
      <c r="U21" s="186">
        <f t="shared" si="7"/>
        <v>6391146.6009152206</v>
      </c>
      <c r="V21" s="275"/>
      <c r="W21" s="10"/>
    </row>
    <row r="22" spans="1:23" x14ac:dyDescent="0.2">
      <c r="A22" s="180">
        <v>37900</v>
      </c>
      <c r="B22" s="169"/>
      <c r="C22" s="436" t="s">
        <v>97</v>
      </c>
      <c r="D22" s="423"/>
      <c r="E22" s="321">
        <f>+'Rate Computation'!D27</f>
        <v>122736793.25999998</v>
      </c>
      <c r="F22" s="182">
        <f>'Reserve Allocation'!N26</f>
        <v>20597693.57577337</v>
      </c>
      <c r="G22" s="444">
        <f t="shared" si="2"/>
        <v>16.78</v>
      </c>
      <c r="H22" s="321">
        <f>'Theoretical Reserve'!H323</f>
        <v>17264597.749771152</v>
      </c>
      <c r="I22" s="444">
        <f t="shared" si="3"/>
        <v>14.07</v>
      </c>
      <c r="J22" s="319">
        <f t="shared" si="4"/>
        <v>3333095.8260022178</v>
      </c>
      <c r="K22" s="447">
        <f t="shared" si="5"/>
        <v>119</v>
      </c>
      <c r="L22" s="155"/>
      <c r="M22" s="180">
        <f t="shared" si="0"/>
        <v>37900</v>
      </c>
      <c r="N22" s="436"/>
      <c r="O22" s="436" t="str">
        <f t="shared" si="1"/>
        <v>Meas &amp; Reg Station Eqp City</v>
      </c>
      <c r="P22" s="155"/>
      <c r="Q22" s="321">
        <f t="shared" si="6"/>
        <v>20597693.57577337</v>
      </c>
      <c r="R22" s="449"/>
      <c r="S22" s="448"/>
      <c r="T22" s="436"/>
      <c r="U22" s="186">
        <f t="shared" si="7"/>
        <v>20597693.57577337</v>
      </c>
      <c r="V22" s="275"/>
      <c r="W22" s="10"/>
    </row>
    <row r="23" spans="1:23" x14ac:dyDescent="0.2">
      <c r="A23" s="180">
        <v>38000</v>
      </c>
      <c r="B23" s="169"/>
      <c r="C23" s="436" t="s">
        <v>98</v>
      </c>
      <c r="D23" s="423"/>
      <c r="E23" s="321">
        <f>+'Rate Computation'!D28</f>
        <v>68085342.289999977</v>
      </c>
      <c r="F23" s="182">
        <f>'Reserve Allocation'!N27</f>
        <v>44097347.061889209</v>
      </c>
      <c r="G23" s="444">
        <f t="shared" si="2"/>
        <v>64.77</v>
      </c>
      <c r="H23" s="321">
        <f>'Theoretical Reserve'!H416</f>
        <v>39910593.943207212</v>
      </c>
      <c r="I23" s="444">
        <f t="shared" si="3"/>
        <v>58.62</v>
      </c>
      <c r="J23" s="319">
        <f t="shared" si="4"/>
        <v>4186753.1186819971</v>
      </c>
      <c r="K23" s="447">
        <f t="shared" si="5"/>
        <v>110</v>
      </c>
      <c r="L23" s="155"/>
      <c r="M23" s="180">
        <f t="shared" si="0"/>
        <v>38000</v>
      </c>
      <c r="N23" s="436"/>
      <c r="O23" s="436" t="str">
        <f t="shared" si="1"/>
        <v>Services Steel</v>
      </c>
      <c r="P23" s="155"/>
      <c r="Q23" s="321">
        <f t="shared" si="6"/>
        <v>44097347.061889209</v>
      </c>
      <c r="R23" s="449"/>
      <c r="S23" s="448"/>
      <c r="T23" s="436"/>
      <c r="U23" s="186">
        <f t="shared" si="7"/>
        <v>44097347.061889209</v>
      </c>
      <c r="V23" s="275"/>
      <c r="W23" s="10"/>
    </row>
    <row r="24" spans="1:23" x14ac:dyDescent="0.2">
      <c r="A24" s="180">
        <v>38002</v>
      </c>
      <c r="B24" s="169"/>
      <c r="C24" s="436" t="s">
        <v>99</v>
      </c>
      <c r="D24" s="423"/>
      <c r="E24" s="321">
        <f>+'Rate Computation'!D29</f>
        <v>667590895.32999992</v>
      </c>
      <c r="F24" s="182">
        <f>'Reserve Allocation'!N28</f>
        <v>212877942.27598739</v>
      </c>
      <c r="G24" s="444">
        <f t="shared" si="2"/>
        <v>31.89</v>
      </c>
      <c r="H24" s="321">
        <f>'Theoretical Reserve'!H475</f>
        <v>185714204.14471656</v>
      </c>
      <c r="I24" s="444">
        <f t="shared" si="3"/>
        <v>27.82</v>
      </c>
      <c r="J24" s="319">
        <f t="shared" si="4"/>
        <v>27163738.131270826</v>
      </c>
      <c r="K24" s="447">
        <f t="shared" si="5"/>
        <v>115</v>
      </c>
      <c r="L24" s="155"/>
      <c r="M24" s="180">
        <f t="shared" si="0"/>
        <v>38002</v>
      </c>
      <c r="N24" s="436"/>
      <c r="O24" s="436" t="str">
        <f t="shared" si="1"/>
        <v>Services Plastic</v>
      </c>
      <c r="P24" s="155"/>
      <c r="Q24" s="321">
        <f t="shared" si="6"/>
        <v>212877942.27598739</v>
      </c>
      <c r="R24" s="449"/>
      <c r="S24" s="448"/>
      <c r="T24" s="436"/>
      <c r="U24" s="186">
        <f t="shared" si="7"/>
        <v>212877942.27598739</v>
      </c>
      <c r="V24" s="275"/>
      <c r="W24" s="10"/>
    </row>
    <row r="25" spans="1:23" x14ac:dyDescent="0.2">
      <c r="A25" s="180">
        <v>38100</v>
      </c>
      <c r="B25" s="169"/>
      <c r="C25" s="436" t="s">
        <v>100</v>
      </c>
      <c r="D25" s="423"/>
      <c r="E25" s="321">
        <f>+'Rate Computation'!D30</f>
        <v>113411738.28066561</v>
      </c>
      <c r="F25" s="182">
        <f>'Reserve Allocation'!N29</f>
        <v>44575767.843240783</v>
      </c>
      <c r="G25" s="444">
        <f t="shared" si="2"/>
        <v>39.299999999999997</v>
      </c>
      <c r="H25" s="321">
        <f>'Theoretical Reserve'!H501</f>
        <v>40793282.630863972</v>
      </c>
      <c r="I25" s="444">
        <f t="shared" si="3"/>
        <v>35.97</v>
      </c>
      <c r="J25" s="319">
        <f t="shared" si="4"/>
        <v>3782485.2123768106</v>
      </c>
      <c r="K25" s="447">
        <f t="shared" si="5"/>
        <v>109</v>
      </c>
      <c r="L25" s="155"/>
      <c r="M25" s="180">
        <f t="shared" si="0"/>
        <v>38100</v>
      </c>
      <c r="N25" s="436"/>
      <c r="O25" s="436" t="str">
        <f t="shared" si="1"/>
        <v>Meters</v>
      </c>
      <c r="P25" s="155"/>
      <c r="Q25" s="321">
        <f t="shared" si="6"/>
        <v>44575767.843240783</v>
      </c>
      <c r="R25" s="449"/>
      <c r="S25" s="448"/>
      <c r="T25" s="436"/>
      <c r="U25" s="186">
        <f t="shared" si="7"/>
        <v>44575767.843240783</v>
      </c>
      <c r="V25" s="273"/>
      <c r="W25" s="10"/>
    </row>
    <row r="26" spans="1:23" x14ac:dyDescent="0.2">
      <c r="A26" s="180">
        <v>38200</v>
      </c>
      <c r="B26" s="169"/>
      <c r="C26" s="436" t="s">
        <v>101</v>
      </c>
      <c r="D26" s="423"/>
      <c r="E26" s="321">
        <f>+'Rate Computation'!D31</f>
        <v>119185919.39246112</v>
      </c>
      <c r="F26" s="182">
        <f>'Reserve Allocation'!N30</f>
        <v>36161018.361859567</v>
      </c>
      <c r="G26" s="444">
        <f t="shared" si="2"/>
        <v>30.34</v>
      </c>
      <c r="H26" s="321">
        <f>'Theoretical Reserve'!H546</f>
        <v>26090765.795172412</v>
      </c>
      <c r="I26" s="444">
        <f t="shared" si="3"/>
        <v>21.89</v>
      </c>
      <c r="J26" s="319">
        <f t="shared" si="4"/>
        <v>10070252.566687156</v>
      </c>
      <c r="K26" s="447">
        <f t="shared" si="5"/>
        <v>139</v>
      </c>
      <c r="L26" s="155"/>
      <c r="M26" s="180">
        <f t="shared" si="0"/>
        <v>38200</v>
      </c>
      <c r="N26" s="436"/>
      <c r="O26" s="436" t="str">
        <f t="shared" si="1"/>
        <v>Meter Installations</v>
      </c>
      <c r="P26" s="155"/>
      <c r="Q26" s="321">
        <f t="shared" si="6"/>
        <v>36161018.361859567</v>
      </c>
      <c r="R26" s="449"/>
      <c r="S26" s="448"/>
      <c r="T26" s="436"/>
      <c r="U26" s="186">
        <f t="shared" si="7"/>
        <v>36161018.361859567</v>
      </c>
      <c r="V26" s="273"/>
      <c r="W26" s="10"/>
    </row>
    <row r="27" spans="1:23" x14ac:dyDescent="0.2">
      <c r="A27" s="180">
        <v>38300</v>
      </c>
      <c r="B27" s="169"/>
      <c r="C27" s="436" t="s">
        <v>102</v>
      </c>
      <c r="D27" s="423"/>
      <c r="E27" s="321">
        <f>+'Rate Computation'!D32</f>
        <v>21662897.199999996</v>
      </c>
      <c r="F27" s="182">
        <f>'Reserve Allocation'!N31</f>
        <v>9132324.756926477</v>
      </c>
      <c r="G27" s="444">
        <f t="shared" si="2"/>
        <v>42.16</v>
      </c>
      <c r="H27" s="321">
        <f>'Theoretical Reserve'!H599</f>
        <v>7147798.035088392</v>
      </c>
      <c r="I27" s="444">
        <f t="shared" si="3"/>
        <v>33</v>
      </c>
      <c r="J27" s="319">
        <f t="shared" si="4"/>
        <v>1984526.721838085</v>
      </c>
      <c r="K27" s="447">
        <f t="shared" si="5"/>
        <v>128</v>
      </c>
      <c r="L27" s="155"/>
      <c r="M27" s="180">
        <f t="shared" si="0"/>
        <v>38300</v>
      </c>
      <c r="N27" s="436"/>
      <c r="O27" s="436" t="str">
        <f t="shared" si="1"/>
        <v>House Regulators</v>
      </c>
      <c r="P27" s="155"/>
      <c r="Q27" s="321">
        <f t="shared" si="6"/>
        <v>9132324.756926477</v>
      </c>
      <c r="R27" s="449"/>
      <c r="S27" s="448"/>
      <c r="T27" s="436"/>
      <c r="U27" s="186">
        <f t="shared" si="7"/>
        <v>9132324.756926477</v>
      </c>
      <c r="V27" s="273"/>
      <c r="W27" s="10"/>
    </row>
    <row r="28" spans="1:23" x14ac:dyDescent="0.2">
      <c r="A28" s="180">
        <v>38400</v>
      </c>
      <c r="B28" s="169"/>
      <c r="C28" s="436" t="s">
        <v>103</v>
      </c>
      <c r="D28" s="423"/>
      <c r="E28" s="321">
        <f>+'Rate Computation'!D33</f>
        <v>38677154.929999985</v>
      </c>
      <c r="F28" s="182">
        <f>'Reserve Allocation'!N32</f>
        <v>15584499.545730432</v>
      </c>
      <c r="G28" s="444">
        <f t="shared" si="2"/>
        <v>40.29</v>
      </c>
      <c r="H28" s="321">
        <f>'Theoretical Reserve'!H667</f>
        <v>10539845.870312724</v>
      </c>
      <c r="I28" s="444">
        <f t="shared" si="3"/>
        <v>27.25</v>
      </c>
      <c r="J28" s="319">
        <f t="shared" si="4"/>
        <v>5044653.6754177082</v>
      </c>
      <c r="K28" s="447">
        <f t="shared" si="5"/>
        <v>148</v>
      </c>
      <c r="L28" s="155"/>
      <c r="M28" s="180">
        <f t="shared" si="0"/>
        <v>38400</v>
      </c>
      <c r="N28" s="436"/>
      <c r="O28" s="436" t="str">
        <f t="shared" si="1"/>
        <v>House Regulator Installs</v>
      </c>
      <c r="P28" s="155"/>
      <c r="Q28" s="321">
        <f t="shared" si="6"/>
        <v>15584499.545730432</v>
      </c>
      <c r="R28" s="449"/>
      <c r="S28" s="448"/>
      <c r="T28" s="436"/>
      <c r="U28" s="186">
        <f t="shared" si="7"/>
        <v>15584499.545730432</v>
      </c>
      <c r="V28" s="30"/>
      <c r="W28" s="10"/>
    </row>
    <row r="29" spans="1:23" x14ac:dyDescent="0.2">
      <c r="A29" s="180">
        <v>38500</v>
      </c>
      <c r="B29" s="169"/>
      <c r="C29" s="436" t="s">
        <v>104</v>
      </c>
      <c r="D29" s="423"/>
      <c r="E29" s="321">
        <f>+'Rate Computation'!D34</f>
        <v>15196826.639999999</v>
      </c>
      <c r="F29" s="182">
        <f>'Reserve Allocation'!N33</f>
        <v>7287259.3511351217</v>
      </c>
      <c r="G29" s="444">
        <f t="shared" si="2"/>
        <v>47.95</v>
      </c>
      <c r="H29" s="321">
        <f>'Theoretical Reserve'!H715</f>
        <v>6042387.4269409757</v>
      </c>
      <c r="I29" s="444">
        <f t="shared" si="3"/>
        <v>39.76</v>
      </c>
      <c r="J29" s="319">
        <f>F29-H29</f>
        <v>1244871.9241941459</v>
      </c>
      <c r="K29" s="447">
        <f>ROUND(IF(E29=0,0,(F29/H29)*100),0)</f>
        <v>121</v>
      </c>
      <c r="L29" s="155"/>
      <c r="M29" s="180">
        <f t="shared" si="0"/>
        <v>38500</v>
      </c>
      <c r="N29" s="436"/>
      <c r="O29" s="436" t="str">
        <f t="shared" si="1"/>
        <v>Meas &amp; Reg Station Eqp Ind</v>
      </c>
      <c r="P29" s="155"/>
      <c r="Q29" s="321">
        <f t="shared" si="6"/>
        <v>7287259.3511351217</v>
      </c>
      <c r="R29" s="449"/>
      <c r="S29" s="448"/>
      <c r="T29" s="436"/>
      <c r="U29" s="186">
        <f t="shared" si="7"/>
        <v>7287259.3511351217</v>
      </c>
      <c r="V29" s="30"/>
      <c r="W29" s="10"/>
    </row>
    <row r="30" spans="1:23" x14ac:dyDescent="0.2">
      <c r="A30" s="180">
        <v>38600</v>
      </c>
      <c r="B30" s="169"/>
      <c r="C30" s="436" t="s">
        <v>105</v>
      </c>
      <c r="D30" s="423"/>
      <c r="E30" s="321"/>
      <c r="F30" s="182">
        <v>0</v>
      </c>
      <c r="G30" s="444">
        <f t="shared" si="2"/>
        <v>0</v>
      </c>
      <c r="H30" s="321"/>
      <c r="I30" s="444">
        <f t="shared" ref="I30" si="12">ROUND(IF($E30=0,0,(H30/$E30)*100),2)</f>
        <v>0</v>
      </c>
      <c r="J30" s="319">
        <f t="shared" ref="J30" si="13">F30-H30</f>
        <v>0</v>
      </c>
      <c r="K30" s="447">
        <f t="shared" ref="K30:K33" si="14">ROUND(IF(H30=0,0,(F30/H30)*100),0)</f>
        <v>0</v>
      </c>
      <c r="L30" s="155"/>
      <c r="M30" s="180">
        <f t="shared" si="0"/>
        <v>38600</v>
      </c>
      <c r="N30" s="436"/>
      <c r="O30" s="436" t="str">
        <f t="shared" si="1"/>
        <v>Other Property Cust Premise</v>
      </c>
      <c r="P30" s="155"/>
      <c r="Q30" s="321">
        <v>0</v>
      </c>
      <c r="R30" s="449"/>
      <c r="S30" s="448"/>
      <c r="T30" s="436"/>
      <c r="U30" s="186">
        <f t="shared" si="7"/>
        <v>0</v>
      </c>
      <c r="V30" s="273"/>
      <c r="W30" s="10"/>
    </row>
    <row r="31" spans="1:23" x14ac:dyDescent="0.2">
      <c r="A31" s="180">
        <v>38700</v>
      </c>
      <c r="B31" s="169"/>
      <c r="C31" s="185" t="s">
        <v>106</v>
      </c>
      <c r="D31" s="423"/>
      <c r="E31" s="321">
        <f>+'Rate Computation'!D35</f>
        <v>13431843.029999996</v>
      </c>
      <c r="F31" s="182">
        <f>+'Reserve Allocation'!N34</f>
        <v>5670671.8931667153</v>
      </c>
      <c r="G31" s="444">
        <f t="shared" si="2"/>
        <v>42.22</v>
      </c>
      <c r="H31" s="321">
        <f>'Theoretical Reserve'!H759</f>
        <v>3853653.0657618181</v>
      </c>
      <c r="I31" s="444">
        <f>ROUND(IF($E31=0,0,(H31/E31)*100),2)</f>
        <v>28.69</v>
      </c>
      <c r="J31" s="319">
        <f>F31-H31</f>
        <v>1817018.8274048972</v>
      </c>
      <c r="K31" s="447">
        <f>ROUND(IF(E31=0,0,(F31/H31)*100),0)</f>
        <v>147</v>
      </c>
      <c r="L31" s="155"/>
      <c r="M31" s="180">
        <f t="shared" si="0"/>
        <v>38700</v>
      </c>
      <c r="N31" s="436"/>
      <c r="O31" s="436" t="str">
        <f t="shared" si="1"/>
        <v>Other Equipment</v>
      </c>
      <c r="P31" s="155"/>
      <c r="Q31" s="321">
        <f>+F31</f>
        <v>5670671.8931667153</v>
      </c>
      <c r="R31" s="449"/>
      <c r="S31" s="448"/>
      <c r="T31" s="436"/>
      <c r="U31" s="186">
        <f t="shared" si="7"/>
        <v>5670671.8931667153</v>
      </c>
      <c r="V31" s="273"/>
      <c r="W31" s="10"/>
    </row>
    <row r="32" spans="1:23" ht="13.5" thickBot="1" x14ac:dyDescent="0.25">
      <c r="A32" s="187"/>
      <c r="B32" s="188"/>
      <c r="C32" s="450"/>
      <c r="D32" s="423"/>
      <c r="E32" s="451"/>
      <c r="F32" s="189"/>
      <c r="G32" s="452"/>
      <c r="H32" s="189"/>
      <c r="I32" s="452"/>
      <c r="J32" s="453"/>
      <c r="K32" s="454"/>
      <c r="L32" s="155"/>
      <c r="M32" s="187"/>
      <c r="N32" s="450"/>
      <c r="O32" s="450"/>
      <c r="P32" s="155"/>
      <c r="Q32" s="451"/>
      <c r="R32" s="450"/>
      <c r="S32" s="455"/>
      <c r="T32" s="450"/>
      <c r="U32" s="451"/>
      <c r="V32" s="30"/>
    </row>
    <row r="33" spans="1:23" ht="22.15" customHeight="1" thickTop="1" thickBot="1" x14ac:dyDescent="0.25">
      <c r="A33" s="187"/>
      <c r="B33" s="188"/>
      <c r="C33" s="456" t="s">
        <v>39</v>
      </c>
      <c r="D33" s="423"/>
      <c r="E33" s="195">
        <f>SUM(E16:E32)</f>
        <v>3184550513.4757018</v>
      </c>
      <c r="F33" s="195">
        <f>SUM(F16:F32)</f>
        <v>832483088.43115175</v>
      </c>
      <c r="G33" s="457"/>
      <c r="H33" s="195">
        <f>SUM(H16:H32)</f>
        <v>720566400.6557045</v>
      </c>
      <c r="I33" s="457"/>
      <c r="J33" s="195">
        <f>SUM(J16:J32)</f>
        <v>111916687.77544734</v>
      </c>
      <c r="K33" s="458">
        <f t="shared" si="14"/>
        <v>116</v>
      </c>
      <c r="L33" s="155"/>
      <c r="M33" s="187"/>
      <c r="N33" s="450"/>
      <c r="O33" s="456" t="str">
        <f>'Proposed Accruals'!$C33</f>
        <v>Total Distribution Plant</v>
      </c>
      <c r="P33" s="155"/>
      <c r="Q33" s="195">
        <f>SUM(Q16:Q32)</f>
        <v>832483088.43115175</v>
      </c>
      <c r="R33" s="450"/>
      <c r="S33" s="195">
        <f>SUM(S16:S32)</f>
        <v>0</v>
      </c>
      <c r="T33" s="450"/>
      <c r="U33" s="195">
        <f>SUM(U16:U32)</f>
        <v>832483088.43115175</v>
      </c>
      <c r="V33" s="30"/>
    </row>
    <row r="34" spans="1:23" ht="13.5" thickTop="1" x14ac:dyDescent="0.2">
      <c r="A34" s="193"/>
      <c r="B34" s="154"/>
      <c r="C34" s="155"/>
      <c r="D34" s="423"/>
      <c r="E34" s="319"/>
      <c r="F34" s="182"/>
      <c r="G34" s="444"/>
      <c r="H34" s="441"/>
      <c r="I34" s="444"/>
      <c r="J34" s="319"/>
      <c r="K34" s="447"/>
      <c r="L34" s="155"/>
      <c r="M34" s="193"/>
      <c r="N34" s="155"/>
      <c r="O34" s="155"/>
      <c r="P34" s="155"/>
      <c r="Q34" s="319"/>
      <c r="R34" s="155"/>
      <c r="S34" s="448"/>
      <c r="T34" s="155"/>
      <c r="U34" s="319"/>
      <c r="V34" s="30"/>
    </row>
    <row r="35" spans="1:23" x14ac:dyDescent="0.2">
      <c r="A35" s="193"/>
      <c r="B35" s="154"/>
      <c r="C35" s="155"/>
      <c r="D35" s="423"/>
      <c r="E35" s="319"/>
      <c r="F35" s="182"/>
      <c r="G35" s="444"/>
      <c r="H35" s="441"/>
      <c r="I35" s="444"/>
      <c r="J35" s="319"/>
      <c r="K35" s="447"/>
      <c r="L35" s="155"/>
      <c r="M35" s="193"/>
      <c r="N35" s="155"/>
      <c r="O35" s="155"/>
      <c r="P35" s="155"/>
      <c r="Q35" s="319"/>
      <c r="R35" s="155"/>
      <c r="S35" s="448"/>
      <c r="T35" s="155"/>
      <c r="U35" s="319"/>
      <c r="V35" s="30"/>
    </row>
    <row r="36" spans="1:23" x14ac:dyDescent="0.2">
      <c r="A36" s="193"/>
      <c r="B36" s="154"/>
      <c r="C36" s="440" t="str">
        <f>'Proposed Rates'!$C36</f>
        <v>Transportation Equipment</v>
      </c>
      <c r="D36" s="423"/>
      <c r="E36" s="321"/>
      <c r="F36" s="182"/>
      <c r="G36" s="444"/>
      <c r="H36" s="321"/>
      <c r="I36" s="444"/>
      <c r="J36" s="319"/>
      <c r="K36" s="447"/>
      <c r="L36" s="155"/>
      <c r="M36" s="193"/>
      <c r="N36" s="155"/>
      <c r="O36" s="440" t="str">
        <f>'Proposed Rates'!$C36</f>
        <v>Transportation Equipment</v>
      </c>
      <c r="P36" s="155"/>
      <c r="Q36" s="321"/>
      <c r="R36" s="449"/>
      <c r="S36" s="448"/>
      <c r="T36" s="155"/>
      <c r="U36" s="321"/>
      <c r="V36" s="30"/>
    </row>
    <row r="37" spans="1:23" x14ac:dyDescent="0.2">
      <c r="A37" s="193"/>
      <c r="B37" s="154"/>
      <c r="C37" s="155"/>
      <c r="D37" s="423"/>
      <c r="E37" s="321"/>
      <c r="F37" s="182"/>
      <c r="G37" s="444"/>
      <c r="H37" s="321"/>
      <c r="I37" s="444"/>
      <c r="J37" s="319"/>
      <c r="K37" s="447"/>
      <c r="L37" s="155"/>
      <c r="M37" s="193"/>
      <c r="N37" s="155"/>
      <c r="O37" s="155"/>
      <c r="P37" s="155"/>
      <c r="Q37" s="321"/>
      <c r="R37" s="449"/>
      <c r="S37" s="448"/>
      <c r="T37" s="155"/>
      <c r="U37" s="321"/>
      <c r="V37" s="30"/>
    </row>
    <row r="38" spans="1:23" x14ac:dyDescent="0.2">
      <c r="A38" s="193">
        <v>39201</v>
      </c>
      <c r="B38" s="169"/>
      <c r="C38" s="436" t="s">
        <v>110</v>
      </c>
      <c r="D38" s="423"/>
      <c r="E38" s="321">
        <f>+'Rate Computation'!D50</f>
        <v>23701574.900950912</v>
      </c>
      <c r="F38" s="182">
        <f>+'Reserve Allocation'!N49</f>
        <v>8222729.2678835941</v>
      </c>
      <c r="G38" s="444">
        <f>ROUND(IF($E38=0,0,(F38/$E38)*100),2)</f>
        <v>34.69</v>
      </c>
      <c r="H38" s="182">
        <f>'Theoretical Reserve'!H843</f>
        <v>6878410.7265629126</v>
      </c>
      <c r="I38" s="444">
        <f>ROUND(IF($E38=0,0,(H38/E38)*100),2)</f>
        <v>29.02</v>
      </c>
      <c r="J38" s="319">
        <f t="shared" ref="J38:J41" si="15">F38-H38</f>
        <v>1344318.5413206816</v>
      </c>
      <c r="K38" s="447">
        <f>ROUND(IF(E38=0,0,(F38/H38)*100),0)</f>
        <v>120</v>
      </c>
      <c r="L38" s="155"/>
      <c r="M38" s="193">
        <f>$A38</f>
        <v>39201</v>
      </c>
      <c r="N38" s="436"/>
      <c r="O38" s="436" t="str">
        <f>$C38</f>
        <v>Vehicles up to 1/2 Tons</v>
      </c>
      <c r="P38" s="155"/>
      <c r="Q38" s="321">
        <f t="shared" ref="Q38:Q41" si="16">+F38</f>
        <v>8222729.2678835941</v>
      </c>
      <c r="R38" s="449"/>
      <c r="S38" s="448"/>
      <c r="T38" s="155"/>
      <c r="U38" s="186">
        <f t="shared" ref="U38:U59" si="17">+Q38+S38</f>
        <v>8222729.2678835941</v>
      </c>
      <c r="V38" s="30"/>
      <c r="W38" s="10"/>
    </row>
    <row r="39" spans="1:23" x14ac:dyDescent="0.2">
      <c r="A39" s="193">
        <v>39202</v>
      </c>
      <c r="B39" s="169"/>
      <c r="C39" s="436" t="s">
        <v>111</v>
      </c>
      <c r="D39" s="423"/>
      <c r="E39" s="321">
        <f>+'Rate Computation'!D51</f>
        <v>17803654.689999994</v>
      </c>
      <c r="F39" s="182">
        <f>+'Reserve Allocation'!N50</f>
        <v>9635071.750319995</v>
      </c>
      <c r="G39" s="444">
        <f>ROUND(IF($E39=0,0,(F39/$E39)*100),2)</f>
        <v>54.12</v>
      </c>
      <c r="H39" s="182">
        <f>'Theoretical Reserve'!H863</f>
        <v>8087562.2320070891</v>
      </c>
      <c r="I39" s="444">
        <f>ROUND(IF($E39=0,0,(H39/E39)*100),2)</f>
        <v>45.43</v>
      </c>
      <c r="J39" s="319">
        <f t="shared" si="15"/>
        <v>1547509.5183129059</v>
      </c>
      <c r="K39" s="447">
        <f>ROUND(IF(E39=0,0,(F39/H39)*100),0)</f>
        <v>119</v>
      </c>
      <c r="L39" s="155"/>
      <c r="M39" s="193">
        <f>$A39</f>
        <v>39202</v>
      </c>
      <c r="N39" s="436"/>
      <c r="O39" s="436" t="str">
        <f>$C39</f>
        <v>Vehicles from 1/2 - 1 Tons</v>
      </c>
      <c r="P39" s="155"/>
      <c r="Q39" s="321">
        <f t="shared" si="16"/>
        <v>9635071.750319995</v>
      </c>
      <c r="R39" s="449"/>
      <c r="S39" s="448"/>
      <c r="T39" s="155"/>
      <c r="U39" s="186">
        <f t="shared" si="17"/>
        <v>9635071.750319995</v>
      </c>
      <c r="V39" s="30"/>
      <c r="W39" s="10"/>
    </row>
    <row r="40" spans="1:23" x14ac:dyDescent="0.2">
      <c r="A40" s="193">
        <v>39204</v>
      </c>
      <c r="B40" s="169"/>
      <c r="C40" s="436" t="s">
        <v>112</v>
      </c>
      <c r="D40" s="423"/>
      <c r="E40" s="321">
        <f>+'Rate Computation'!D52</f>
        <v>4681567.3202562388</v>
      </c>
      <c r="F40" s="182">
        <f>+'Reserve Allocation'!N51</f>
        <v>932593.93949549214</v>
      </c>
      <c r="G40" s="444">
        <f>ROUND(IF($E40=0,0,(F40/$E40)*100),2)</f>
        <v>19.920000000000002</v>
      </c>
      <c r="H40" s="182">
        <f>'Theoretical Reserve'!H904</f>
        <v>605226.20688912738</v>
      </c>
      <c r="I40" s="444">
        <f>ROUND(IF($E40=0,0,(H40/E40)*100),2)</f>
        <v>12.93</v>
      </c>
      <c r="J40" s="319">
        <f t="shared" si="15"/>
        <v>327367.73260636476</v>
      </c>
      <c r="K40" s="447">
        <f>ROUND(IF(E40=0,0,(F40/H40)*100),0)</f>
        <v>154</v>
      </c>
      <c r="L40" s="155"/>
      <c r="M40" s="193">
        <f>$A40</f>
        <v>39204</v>
      </c>
      <c r="N40" s="436"/>
      <c r="O40" s="436" t="str">
        <f>$C40</f>
        <v>Trailers &amp; Other</v>
      </c>
      <c r="P40" s="155"/>
      <c r="Q40" s="321">
        <f t="shared" si="16"/>
        <v>932593.93949549214</v>
      </c>
      <c r="R40" s="449"/>
      <c r="S40" s="448"/>
      <c r="T40" s="155"/>
      <c r="U40" s="186">
        <f t="shared" si="17"/>
        <v>932593.93949549214</v>
      </c>
      <c r="V40" s="30"/>
      <c r="W40" s="10"/>
    </row>
    <row r="41" spans="1:23" x14ac:dyDescent="0.2">
      <c r="A41" s="193">
        <v>39205</v>
      </c>
      <c r="B41" s="169"/>
      <c r="C41" s="436" t="s">
        <v>113</v>
      </c>
      <c r="D41" s="423"/>
      <c r="E41" s="321">
        <f>+'Rate Computation'!D53</f>
        <v>2564139.2299999995</v>
      </c>
      <c r="F41" s="182">
        <f>+'Reserve Allocation'!N52</f>
        <v>1395539.2506799987</v>
      </c>
      <c r="G41" s="444">
        <f>ROUND(IF($E41=0,0,(F41/$E41)*100),2)</f>
        <v>54.43</v>
      </c>
      <c r="H41" s="182">
        <f>'Theoretical Reserve'!H920</f>
        <v>1110304.5851944366</v>
      </c>
      <c r="I41" s="444">
        <f>ROUND(IF($E41=0,0,(H41/E41)*100),2)</f>
        <v>43.3</v>
      </c>
      <c r="J41" s="319">
        <f t="shared" si="15"/>
        <v>285234.66548556206</v>
      </c>
      <c r="K41" s="447">
        <f>ROUND(IF(E41=0,0,(F41/H41)*100),0)</f>
        <v>126</v>
      </c>
      <c r="L41" s="155"/>
      <c r="M41" s="193">
        <f>$A41</f>
        <v>39205</v>
      </c>
      <c r="N41" s="436"/>
      <c r="O41" s="436" t="str">
        <f>$C41</f>
        <v>Vehicles over 1 Ton</v>
      </c>
      <c r="P41" s="155"/>
      <c r="Q41" s="321">
        <f t="shared" si="16"/>
        <v>1395539.2506799987</v>
      </c>
      <c r="R41" s="449"/>
      <c r="S41" s="448"/>
      <c r="T41" s="155"/>
      <c r="U41" s="186">
        <f t="shared" si="17"/>
        <v>1395539.2506799987</v>
      </c>
      <c r="V41" s="30"/>
      <c r="W41" s="10"/>
    </row>
    <row r="42" spans="1:23" x14ac:dyDescent="0.2">
      <c r="A42" s="193"/>
      <c r="B42" s="154"/>
      <c r="C42" s="155"/>
      <c r="D42" s="423"/>
      <c r="E42" s="321"/>
      <c r="F42" s="182"/>
      <c r="G42" s="444"/>
      <c r="H42" s="321"/>
      <c r="I42" s="444"/>
      <c r="J42" s="319"/>
      <c r="K42" s="447"/>
      <c r="L42" s="155"/>
      <c r="M42" s="193"/>
      <c r="N42" s="155"/>
      <c r="O42" s="155"/>
      <c r="P42" s="155"/>
      <c r="Q42" s="321"/>
      <c r="R42" s="155"/>
      <c r="S42" s="448"/>
      <c r="T42" s="155"/>
      <c r="U42" s="186">
        <f t="shared" si="17"/>
        <v>0</v>
      </c>
      <c r="V42" s="30"/>
    </row>
    <row r="43" spans="1:23" x14ac:dyDescent="0.2">
      <c r="A43" s="193"/>
      <c r="B43" s="154"/>
      <c r="C43" s="440" t="str">
        <f>'Proposed Rates'!$C43</f>
        <v>General Plant</v>
      </c>
      <c r="D43" s="423"/>
      <c r="E43" s="321"/>
      <c r="F43" s="182"/>
      <c r="G43" s="444"/>
      <c r="H43" s="321"/>
      <c r="I43" s="444"/>
      <c r="J43" s="319"/>
      <c r="K43" s="447"/>
      <c r="L43" s="155"/>
      <c r="M43" s="193"/>
      <c r="N43" s="155"/>
      <c r="O43" s="440" t="str">
        <f>'Proposed Rates'!$C43</f>
        <v>General Plant</v>
      </c>
      <c r="P43" s="155"/>
      <c r="Q43" s="321"/>
      <c r="R43" s="155"/>
      <c r="S43" s="448"/>
      <c r="T43" s="155"/>
      <c r="U43" s="186">
        <f t="shared" si="17"/>
        <v>0</v>
      </c>
      <c r="V43" s="30"/>
    </row>
    <row r="44" spans="1:23" x14ac:dyDescent="0.2">
      <c r="A44" s="193"/>
      <c r="B44" s="154"/>
      <c r="C44" s="155"/>
      <c r="D44" s="423"/>
      <c r="E44" s="321"/>
      <c r="F44" s="182"/>
      <c r="G44" s="444"/>
      <c r="H44" s="321"/>
      <c r="I44" s="444"/>
      <c r="J44" s="319"/>
      <c r="K44" s="447"/>
      <c r="L44" s="155"/>
      <c r="M44" s="193"/>
      <c r="N44" s="155"/>
      <c r="O44" s="155"/>
      <c r="P44" s="155"/>
      <c r="Q44" s="321"/>
      <c r="R44" s="155"/>
      <c r="S44" s="448"/>
      <c r="T44" s="155"/>
      <c r="U44" s="186">
        <f t="shared" si="17"/>
        <v>0</v>
      </c>
      <c r="V44" s="30"/>
    </row>
    <row r="45" spans="1:23" x14ac:dyDescent="0.2">
      <c r="A45" s="193">
        <v>30100</v>
      </c>
      <c r="B45" s="169"/>
      <c r="C45" s="446" t="s">
        <v>655</v>
      </c>
      <c r="D45" s="423"/>
      <c r="E45" s="321">
        <v>12620.1</v>
      </c>
      <c r="F45" s="182">
        <v>0</v>
      </c>
      <c r="G45" s="444">
        <f t="shared" ref="G45:G59" si="18">ROUND(IF($E45=0,0,(F45/$E45)*100),2)</f>
        <v>0</v>
      </c>
      <c r="H45" s="182">
        <v>0</v>
      </c>
      <c r="I45" s="444">
        <f t="shared" ref="I45:I46" si="19">ROUND(IF($E45=0,0,(H45/$E45)*100),2)</f>
        <v>0</v>
      </c>
      <c r="J45" s="319">
        <f t="shared" ref="J45:J59" si="20">F45-H45</f>
        <v>0</v>
      </c>
      <c r="K45" s="447">
        <f t="shared" ref="K45:K46" si="21">ROUND(IF(H45=0,0,(F45/H45)*100),0)</f>
        <v>0</v>
      </c>
      <c r="L45" s="155"/>
      <c r="M45" s="193">
        <f t="shared" ref="M45:M59" si="22">$A45</f>
        <v>30100</v>
      </c>
      <c r="N45" s="436"/>
      <c r="O45" s="436" t="str">
        <f t="shared" ref="O45:O59" si="23">$C45</f>
        <v>Organization Costs</v>
      </c>
      <c r="P45" s="155"/>
      <c r="Q45" s="321">
        <v>0</v>
      </c>
      <c r="R45" s="449"/>
      <c r="S45" s="448"/>
      <c r="T45" s="155"/>
      <c r="U45" s="186">
        <f t="shared" si="17"/>
        <v>0</v>
      </c>
      <c r="V45" s="30"/>
      <c r="W45" s="10"/>
    </row>
    <row r="46" spans="1:23" x14ac:dyDescent="0.2">
      <c r="A46" s="193">
        <v>30200</v>
      </c>
      <c r="B46" s="169"/>
      <c r="C46" s="436" t="s">
        <v>90</v>
      </c>
      <c r="D46" s="423"/>
      <c r="E46" s="321">
        <f>VLOOKUP(A46,'ASR Assets'!B:H,6,FALSE)</f>
        <v>0</v>
      </c>
      <c r="F46" s="182">
        <v>0</v>
      </c>
      <c r="G46" s="444">
        <f t="shared" si="18"/>
        <v>0</v>
      </c>
      <c r="H46" s="182">
        <v>0</v>
      </c>
      <c r="I46" s="444">
        <f t="shared" si="19"/>
        <v>0</v>
      </c>
      <c r="J46" s="319">
        <f t="shared" si="20"/>
        <v>0</v>
      </c>
      <c r="K46" s="447">
        <f t="shared" si="21"/>
        <v>0</v>
      </c>
      <c r="L46" s="155"/>
      <c r="M46" s="193">
        <f t="shared" si="22"/>
        <v>30200</v>
      </c>
      <c r="N46" s="436"/>
      <c r="O46" s="436" t="str">
        <f t="shared" si="23"/>
        <v>Franchise &amp; Consents</v>
      </c>
      <c r="P46" s="155"/>
      <c r="Q46" s="321">
        <v>0</v>
      </c>
      <c r="R46" s="449"/>
      <c r="S46" s="448"/>
      <c r="T46" s="155"/>
      <c r="U46" s="186">
        <f t="shared" si="17"/>
        <v>0</v>
      </c>
      <c r="V46" s="30"/>
      <c r="W46" s="10"/>
    </row>
    <row r="47" spans="1:23" x14ac:dyDescent="0.2">
      <c r="A47" s="193">
        <v>30300</v>
      </c>
      <c r="B47" s="169"/>
      <c r="C47" s="436" t="s">
        <v>91</v>
      </c>
      <c r="D47" s="423"/>
      <c r="E47" s="321">
        <v>815325.07</v>
      </c>
      <c r="F47" s="182">
        <f>+'Reserve Allocation'!F14</f>
        <v>815325.0699999989</v>
      </c>
      <c r="G47" s="444">
        <f t="shared" si="18"/>
        <v>100</v>
      </c>
      <c r="H47" s="182">
        <f>'Theoretical Reserve'!H5</f>
        <v>815325.07000000007</v>
      </c>
      <c r="I47" s="444">
        <f t="shared" ref="I47:I59" si="24">ROUND(IF($E47=0,0,(H47/E47)*100),2)</f>
        <v>100</v>
      </c>
      <c r="J47" s="319">
        <f t="shared" si="20"/>
        <v>-1.1641532182693481E-9</v>
      </c>
      <c r="K47" s="447">
        <f t="shared" ref="K47:K59" si="25">ROUND(IF(E47=0,0,(F47/H47)*100),0)</f>
        <v>100</v>
      </c>
      <c r="L47" s="155"/>
      <c r="M47" s="193">
        <f t="shared" si="22"/>
        <v>30300</v>
      </c>
      <c r="N47" s="436"/>
      <c r="O47" s="436" t="str">
        <f t="shared" si="23"/>
        <v>Misc Intangible Plant</v>
      </c>
      <c r="P47" s="155"/>
      <c r="Q47" s="321">
        <f t="shared" ref="Q47:Q59" si="26">+F47</f>
        <v>815325.0699999989</v>
      </c>
      <c r="R47" s="449"/>
      <c r="S47" s="448"/>
      <c r="T47" s="155"/>
      <c r="U47" s="186">
        <f t="shared" si="17"/>
        <v>815325.0699999989</v>
      </c>
      <c r="V47" s="30"/>
      <c r="W47" s="10"/>
    </row>
    <row r="48" spans="1:23" x14ac:dyDescent="0.2">
      <c r="A48" s="193">
        <v>30301</v>
      </c>
      <c r="B48" s="169"/>
      <c r="C48" s="436" t="s">
        <v>92</v>
      </c>
      <c r="D48" s="423"/>
      <c r="E48" s="321">
        <f>'Rate Computation'!$D$16</f>
        <v>124829688.78999999</v>
      </c>
      <c r="F48" s="182">
        <f>+'Reserve Allocation'!N15</f>
        <v>37523500.841743499</v>
      </c>
      <c r="G48" s="444">
        <f t="shared" si="18"/>
        <v>30.06</v>
      </c>
      <c r="H48" s="182">
        <f>'Theoretical Reserve'!H29</f>
        <v>37163156.813666657</v>
      </c>
      <c r="I48" s="444">
        <f t="shared" si="24"/>
        <v>29.77</v>
      </c>
      <c r="J48" s="319">
        <f t="shared" si="20"/>
        <v>360344.02807684243</v>
      </c>
      <c r="K48" s="447">
        <f t="shared" si="25"/>
        <v>101</v>
      </c>
      <c r="L48" s="155"/>
      <c r="M48" s="193">
        <f t="shared" si="22"/>
        <v>30301</v>
      </c>
      <c r="N48" s="436"/>
      <c r="O48" s="436" t="str">
        <f t="shared" si="23"/>
        <v>Custom Intangible Plant</v>
      </c>
      <c r="P48" s="155"/>
      <c r="Q48" s="321">
        <f t="shared" si="26"/>
        <v>37523500.841743499</v>
      </c>
      <c r="R48" s="449"/>
      <c r="S48" s="448"/>
      <c r="T48" s="155"/>
      <c r="U48" s="186">
        <f t="shared" si="17"/>
        <v>37523500.841743499</v>
      </c>
      <c r="V48" s="30"/>
      <c r="W48" s="10"/>
    </row>
    <row r="49" spans="1:23" x14ac:dyDescent="0.2">
      <c r="A49" s="193">
        <v>39000</v>
      </c>
      <c r="B49" s="169"/>
      <c r="C49" s="436" t="s">
        <v>93</v>
      </c>
      <c r="D49" s="423"/>
      <c r="E49" s="186">
        <f>+'Rate Computation'!D46</f>
        <v>663068.9</v>
      </c>
      <c r="F49" s="186">
        <f>+'Reserve Allocation'!N45</f>
        <v>45567.602230799923</v>
      </c>
      <c r="G49" s="444">
        <f t="shared" si="18"/>
        <v>6.87</v>
      </c>
      <c r="H49" s="182">
        <f>'Theoretical Reserve'!H767</f>
        <v>56332.524374953209</v>
      </c>
      <c r="I49" s="444">
        <f t="shared" si="24"/>
        <v>8.5</v>
      </c>
      <c r="J49" s="319">
        <f t="shared" si="20"/>
        <v>-10764.922144153286</v>
      </c>
      <c r="K49" s="447">
        <f t="shared" si="25"/>
        <v>81</v>
      </c>
      <c r="L49" s="155"/>
      <c r="M49" s="193">
        <f t="shared" si="22"/>
        <v>39000</v>
      </c>
      <c r="N49" s="436"/>
      <c r="O49" s="436" t="str">
        <f t="shared" si="23"/>
        <v>Structures &amp; Improvements</v>
      </c>
      <c r="P49" s="155"/>
      <c r="Q49" s="321">
        <f t="shared" si="26"/>
        <v>45567.602230799923</v>
      </c>
      <c r="R49" s="449"/>
      <c r="S49" s="448"/>
      <c r="T49" s="155"/>
      <c r="U49" s="186">
        <f t="shared" si="17"/>
        <v>45567.602230799923</v>
      </c>
      <c r="V49" s="30"/>
      <c r="W49" s="10"/>
    </row>
    <row r="50" spans="1:23" x14ac:dyDescent="0.2">
      <c r="A50" s="193">
        <v>39100</v>
      </c>
      <c r="B50" s="169"/>
      <c r="C50" s="436" t="s">
        <v>107</v>
      </c>
      <c r="D50" s="423"/>
      <c r="E50" s="186">
        <f>+'Rate Computation'!D47</f>
        <v>2192449.73</v>
      </c>
      <c r="F50" s="186">
        <f>+'Reserve Allocation'!N46</f>
        <v>1250876.8360366272</v>
      </c>
      <c r="G50" s="444">
        <f t="shared" si="18"/>
        <v>57.05</v>
      </c>
      <c r="H50" s="182">
        <f>'Theoretical Reserve'!H785</f>
        <v>1196618.1883333335</v>
      </c>
      <c r="I50" s="444">
        <f t="shared" si="24"/>
        <v>54.58</v>
      </c>
      <c r="J50" s="319">
        <f t="shared" si="20"/>
        <v>54258.647703293711</v>
      </c>
      <c r="K50" s="447">
        <f t="shared" si="25"/>
        <v>105</v>
      </c>
      <c r="L50" s="155"/>
      <c r="M50" s="193">
        <f t="shared" si="22"/>
        <v>39100</v>
      </c>
      <c r="N50" s="436"/>
      <c r="O50" s="436" t="str">
        <f t="shared" si="23"/>
        <v>Office Furniture</v>
      </c>
      <c r="P50" s="155"/>
      <c r="Q50" s="321">
        <f t="shared" si="26"/>
        <v>1250876.8360366272</v>
      </c>
      <c r="R50" s="449"/>
      <c r="S50" s="448"/>
      <c r="T50" s="155"/>
      <c r="U50" s="186">
        <f t="shared" si="17"/>
        <v>1250876.8360366272</v>
      </c>
      <c r="V50" s="30"/>
      <c r="W50" s="10"/>
    </row>
    <row r="51" spans="1:23" x14ac:dyDescent="0.2">
      <c r="A51" s="193">
        <v>39101</v>
      </c>
      <c r="B51" s="169"/>
      <c r="C51" s="436" t="s">
        <v>108</v>
      </c>
      <c r="D51" s="423"/>
      <c r="E51" s="186">
        <f>+'Rate Computation'!D48</f>
        <v>6423957.1449999902</v>
      </c>
      <c r="F51" s="186">
        <f>+'Reserve Allocation'!N47</f>
        <v>3887200.5361898364</v>
      </c>
      <c r="G51" s="444">
        <f t="shared" si="18"/>
        <v>60.51</v>
      </c>
      <c r="H51" s="182">
        <f>'Theoretical Reserve'!H799</f>
        <v>2954096.7411101125</v>
      </c>
      <c r="I51" s="444">
        <f t="shared" si="24"/>
        <v>45.99</v>
      </c>
      <c r="J51" s="319">
        <f t="shared" si="20"/>
        <v>933103.79507972393</v>
      </c>
      <c r="K51" s="447">
        <f t="shared" si="25"/>
        <v>132</v>
      </c>
      <c r="L51" s="155"/>
      <c r="M51" s="193">
        <f t="shared" si="22"/>
        <v>39101</v>
      </c>
      <c r="N51" s="436"/>
      <c r="O51" s="436" t="str">
        <f t="shared" si="23"/>
        <v>Computer Equipment</v>
      </c>
      <c r="P51" s="155"/>
      <c r="Q51" s="321">
        <f t="shared" si="26"/>
        <v>3887200.5361898364</v>
      </c>
      <c r="R51" s="449"/>
      <c r="S51" s="448"/>
      <c r="T51" s="155"/>
      <c r="U51" s="186">
        <f t="shared" si="17"/>
        <v>3887200.5361898364</v>
      </c>
      <c r="V51" s="30"/>
      <c r="W51" s="10"/>
    </row>
    <row r="52" spans="1:23" x14ac:dyDescent="0.2">
      <c r="A52" s="193">
        <v>39102</v>
      </c>
      <c r="B52" s="169"/>
      <c r="C52" s="436" t="s">
        <v>109</v>
      </c>
      <c r="D52" s="423"/>
      <c r="E52" s="186">
        <f>+'Rate Computation'!D49</f>
        <v>1529673.7899999998</v>
      </c>
      <c r="F52" s="186">
        <f>+'Reserve Allocation'!N48</f>
        <v>1057059.5213299992</v>
      </c>
      <c r="G52" s="444">
        <f t="shared" si="18"/>
        <v>69.099999999999994</v>
      </c>
      <c r="H52" s="182">
        <f>'Theoretical Reserve'!H819</f>
        <v>1017935.451</v>
      </c>
      <c r="I52" s="444">
        <f t="shared" si="24"/>
        <v>66.55</v>
      </c>
      <c r="J52" s="319">
        <f t="shared" si="20"/>
        <v>39124.070329999202</v>
      </c>
      <c r="K52" s="447">
        <f t="shared" si="25"/>
        <v>104</v>
      </c>
      <c r="L52" s="155"/>
      <c r="M52" s="193">
        <f t="shared" si="22"/>
        <v>39102</v>
      </c>
      <c r="N52" s="436"/>
      <c r="O52" s="436" t="str">
        <f t="shared" si="23"/>
        <v>Office Equipment</v>
      </c>
      <c r="P52" s="155"/>
      <c r="Q52" s="321">
        <f t="shared" si="26"/>
        <v>1057059.5213299992</v>
      </c>
      <c r="R52" s="449"/>
      <c r="S52" s="448"/>
      <c r="T52" s="155"/>
      <c r="U52" s="186">
        <f t="shared" si="17"/>
        <v>1057059.5213299992</v>
      </c>
      <c r="V52" s="30"/>
      <c r="W52" s="10"/>
    </row>
    <row r="53" spans="1:23" x14ac:dyDescent="0.2">
      <c r="A53" s="193">
        <v>39300</v>
      </c>
      <c r="B53" s="169"/>
      <c r="C53" s="436" t="s">
        <v>114</v>
      </c>
      <c r="D53" s="423"/>
      <c r="E53" s="186">
        <v>1283.3900000000001</v>
      </c>
      <c r="F53" s="186">
        <f>+'Reserve Allocation'!N53</f>
        <v>647.04815000006727</v>
      </c>
      <c r="G53" s="444">
        <f t="shared" si="18"/>
        <v>50.42</v>
      </c>
      <c r="H53" s="182">
        <f>'Theoretical Reserve'!H922</f>
        <v>668.43229166666663</v>
      </c>
      <c r="I53" s="444">
        <f t="shared" si="24"/>
        <v>52.08</v>
      </c>
      <c r="J53" s="319">
        <f t="shared" si="20"/>
        <v>-21.384141666599362</v>
      </c>
      <c r="K53" s="447">
        <f t="shared" si="25"/>
        <v>97</v>
      </c>
      <c r="L53" s="155"/>
      <c r="M53" s="193">
        <f t="shared" si="22"/>
        <v>39300</v>
      </c>
      <c r="N53" s="436"/>
      <c r="O53" s="436" t="str">
        <f t="shared" si="23"/>
        <v>Stores Equipment</v>
      </c>
      <c r="P53" s="155"/>
      <c r="Q53" s="321">
        <f t="shared" si="26"/>
        <v>647.04815000006727</v>
      </c>
      <c r="R53" s="449"/>
      <c r="S53" s="448"/>
      <c r="T53" s="155"/>
      <c r="U53" s="186">
        <f t="shared" si="17"/>
        <v>647.04815000006727</v>
      </c>
      <c r="V53" s="30"/>
      <c r="W53" s="10"/>
    </row>
    <row r="54" spans="1:23" x14ac:dyDescent="0.2">
      <c r="A54" s="193">
        <v>39400</v>
      </c>
      <c r="B54" s="169"/>
      <c r="C54" s="436" t="s">
        <v>115</v>
      </c>
      <c r="D54" s="423"/>
      <c r="E54" s="186">
        <f>+'Rate Computation'!D55</f>
        <v>9345098.3999999985</v>
      </c>
      <c r="F54" s="186">
        <f>+'Reserve Allocation'!N54</f>
        <v>4783405.2230809862</v>
      </c>
      <c r="G54" s="444">
        <f t="shared" si="18"/>
        <v>51.19</v>
      </c>
      <c r="H54" s="182">
        <f>'Theoretical Reserve'!H944</f>
        <v>4162505.1461111121</v>
      </c>
      <c r="I54" s="444">
        <f t="shared" si="24"/>
        <v>44.54</v>
      </c>
      <c r="J54" s="319">
        <f t="shared" si="20"/>
        <v>620900.07696987409</v>
      </c>
      <c r="K54" s="447">
        <f t="shared" si="25"/>
        <v>115</v>
      </c>
      <c r="L54" s="155"/>
      <c r="M54" s="193">
        <f t="shared" si="22"/>
        <v>39400</v>
      </c>
      <c r="N54" s="436"/>
      <c r="O54" s="436" t="str">
        <f t="shared" si="23"/>
        <v>Tools, Shop &amp; Garage Equip</v>
      </c>
      <c r="P54" s="155"/>
      <c r="Q54" s="321">
        <f t="shared" si="26"/>
        <v>4783405.2230809862</v>
      </c>
      <c r="R54" s="449"/>
      <c r="S54" s="448"/>
      <c r="T54" s="155"/>
      <c r="U54" s="186">
        <f t="shared" si="17"/>
        <v>4783405.2230809862</v>
      </c>
      <c r="V54" s="30"/>
      <c r="W54" s="10"/>
    </row>
    <row r="55" spans="1:23" x14ac:dyDescent="0.2">
      <c r="A55" s="193">
        <v>39401</v>
      </c>
      <c r="B55" s="169"/>
      <c r="C55" s="436" t="s">
        <v>679</v>
      </c>
      <c r="D55" s="423"/>
      <c r="E55" s="186">
        <f>+'Rate Computation'!D56</f>
        <v>3241792.7899999996</v>
      </c>
      <c r="F55" s="186">
        <f>+'Reserve Allocation'!N55</f>
        <v>958073.39337000111</v>
      </c>
      <c r="G55" s="444">
        <f t="shared" si="18"/>
        <v>29.55</v>
      </c>
      <c r="H55" s="182">
        <f>'Theoretical Reserve'!H953</f>
        <v>982914.31574999948</v>
      </c>
      <c r="I55" s="444">
        <f t="shared" si="24"/>
        <v>30.32</v>
      </c>
      <c r="J55" s="319">
        <f t="shared" si="20"/>
        <v>-24840.922379998374</v>
      </c>
      <c r="K55" s="447">
        <f t="shared" si="25"/>
        <v>97</v>
      </c>
      <c r="L55" s="155"/>
      <c r="M55" s="193">
        <f t="shared" si="22"/>
        <v>39401</v>
      </c>
      <c r="N55" s="436"/>
      <c r="O55" s="436" t="str">
        <f t="shared" si="23"/>
        <v>CNC Station Equipment</v>
      </c>
      <c r="P55" s="155"/>
      <c r="Q55" s="321">
        <f t="shared" si="26"/>
        <v>958073.39337000111</v>
      </c>
      <c r="R55" s="449"/>
      <c r="S55" s="448"/>
      <c r="T55" s="155"/>
      <c r="U55" s="186">
        <f t="shared" si="17"/>
        <v>958073.39337000111</v>
      </c>
      <c r="V55" s="30"/>
      <c r="W55" s="10"/>
    </row>
    <row r="56" spans="1:23" x14ac:dyDescent="0.2">
      <c r="A56" s="193">
        <v>39500</v>
      </c>
      <c r="B56" s="169"/>
      <c r="C56" s="436" t="s">
        <v>29</v>
      </c>
      <c r="D56" s="423"/>
      <c r="E56" s="186">
        <v>0</v>
      </c>
      <c r="F56" s="182">
        <v>0</v>
      </c>
      <c r="G56" s="444">
        <f t="shared" si="18"/>
        <v>0</v>
      </c>
      <c r="H56" s="182">
        <v>0</v>
      </c>
      <c r="I56" s="444">
        <f t="shared" si="24"/>
        <v>0</v>
      </c>
      <c r="J56" s="319">
        <f t="shared" si="20"/>
        <v>0</v>
      </c>
      <c r="K56" s="447">
        <f t="shared" si="25"/>
        <v>0</v>
      </c>
      <c r="L56" s="155"/>
      <c r="M56" s="193">
        <f t="shared" si="22"/>
        <v>39500</v>
      </c>
      <c r="N56" s="436"/>
      <c r="O56" s="436" t="str">
        <f t="shared" si="23"/>
        <v>Laboratory Equipment</v>
      </c>
      <c r="P56" s="155"/>
      <c r="Q56" s="321">
        <f t="shared" si="26"/>
        <v>0</v>
      </c>
      <c r="R56" s="449"/>
      <c r="S56" s="448"/>
      <c r="T56" s="155"/>
      <c r="U56" s="186">
        <f t="shared" si="17"/>
        <v>0</v>
      </c>
      <c r="V56" s="30"/>
      <c r="W56" s="10"/>
    </row>
    <row r="57" spans="1:23" x14ac:dyDescent="0.2">
      <c r="A57" s="193">
        <v>39600</v>
      </c>
      <c r="B57" s="169"/>
      <c r="C57" s="436" t="s">
        <v>30</v>
      </c>
      <c r="D57" s="423"/>
      <c r="E57" s="186">
        <f>+'Rate Computation'!D57</f>
        <v>4522728.60539502</v>
      </c>
      <c r="F57" s="182">
        <f>'Reserve Allocation'!N56</f>
        <v>2148335.1997778886</v>
      </c>
      <c r="G57" s="444">
        <f t="shared" si="18"/>
        <v>47.5</v>
      </c>
      <c r="H57" s="182">
        <f>'Theoretical Reserve'!H987</f>
        <v>1469239.0107407374</v>
      </c>
      <c r="I57" s="444">
        <f t="shared" si="24"/>
        <v>32.49</v>
      </c>
      <c r="J57" s="319">
        <f t="shared" si="20"/>
        <v>679096.18903715117</v>
      </c>
      <c r="K57" s="447">
        <f t="shared" si="25"/>
        <v>146</v>
      </c>
      <c r="L57" s="155"/>
      <c r="M57" s="193">
        <f t="shared" si="22"/>
        <v>39600</v>
      </c>
      <c r="N57" s="436"/>
      <c r="O57" s="436" t="str">
        <f t="shared" si="23"/>
        <v>Power Operated Equipment</v>
      </c>
      <c r="P57" s="155"/>
      <c r="Q57" s="321">
        <f t="shared" si="26"/>
        <v>2148335.1997778886</v>
      </c>
      <c r="R57" s="449"/>
      <c r="S57" s="448"/>
      <c r="T57" s="155"/>
      <c r="U57" s="186">
        <f t="shared" si="17"/>
        <v>2148335.1997778886</v>
      </c>
      <c r="V57" s="30"/>
      <c r="W57" s="10"/>
    </row>
    <row r="58" spans="1:23" x14ac:dyDescent="0.2">
      <c r="A58" s="193">
        <v>39700</v>
      </c>
      <c r="B58" s="169"/>
      <c r="C58" s="436" t="s">
        <v>32</v>
      </c>
      <c r="D58" s="423"/>
      <c r="E58" s="186">
        <f>+'Rate Computation'!D58</f>
        <v>3026304.3707999997</v>
      </c>
      <c r="F58" s="182">
        <f>'Reserve Allocation'!N57</f>
        <v>3012751.6863328698</v>
      </c>
      <c r="G58" s="444">
        <f t="shared" si="18"/>
        <v>99.55</v>
      </c>
      <c r="H58" s="182">
        <f>'Theoretical Reserve'!H1000</f>
        <v>2637260.2415692308</v>
      </c>
      <c r="I58" s="444">
        <f t="shared" si="24"/>
        <v>87.14</v>
      </c>
      <c r="J58" s="319">
        <f t="shared" si="20"/>
        <v>375491.44476363901</v>
      </c>
      <c r="K58" s="447">
        <f t="shared" si="25"/>
        <v>114</v>
      </c>
      <c r="L58" s="155"/>
      <c r="M58" s="193">
        <f t="shared" si="22"/>
        <v>39700</v>
      </c>
      <c r="N58" s="436"/>
      <c r="O58" s="436" t="str">
        <f t="shared" si="23"/>
        <v>Communication Equipment</v>
      </c>
      <c r="P58" s="155"/>
      <c r="Q58" s="321">
        <f t="shared" si="26"/>
        <v>3012751.6863328698</v>
      </c>
      <c r="R58" s="449"/>
      <c r="S58" s="448"/>
      <c r="T58" s="155"/>
      <c r="U58" s="186">
        <f t="shared" si="17"/>
        <v>3012751.6863328698</v>
      </c>
      <c r="V58" s="30"/>
      <c r="W58" s="10"/>
    </row>
    <row r="59" spans="1:23" x14ac:dyDescent="0.2">
      <c r="A59" s="193">
        <v>39800</v>
      </c>
      <c r="B59" s="169"/>
      <c r="C59" s="436" t="s">
        <v>33</v>
      </c>
      <c r="D59" s="423"/>
      <c r="E59" s="186">
        <f>+'Rate Computation'!D59</f>
        <v>923442.00410236092</v>
      </c>
      <c r="F59" s="182">
        <f>'Reserve Allocation'!N58</f>
        <v>236137.54089293242</v>
      </c>
      <c r="G59" s="444">
        <f t="shared" si="18"/>
        <v>25.57</v>
      </c>
      <c r="H59" s="182">
        <f>'Theoretical Reserve'!H1018</f>
        <v>161215.01680767705</v>
      </c>
      <c r="I59" s="444">
        <f t="shared" si="24"/>
        <v>17.46</v>
      </c>
      <c r="J59" s="319">
        <f t="shared" si="20"/>
        <v>74922.524085255369</v>
      </c>
      <c r="K59" s="447">
        <f t="shared" si="25"/>
        <v>146</v>
      </c>
      <c r="L59" s="155"/>
      <c r="M59" s="193">
        <f t="shared" si="22"/>
        <v>39800</v>
      </c>
      <c r="N59" s="436"/>
      <c r="O59" s="436" t="str">
        <f t="shared" si="23"/>
        <v>Miscellaneous Equipment</v>
      </c>
      <c r="P59" s="155"/>
      <c r="Q59" s="321">
        <f t="shared" si="26"/>
        <v>236137.54089293242</v>
      </c>
      <c r="R59" s="449"/>
      <c r="S59" s="448"/>
      <c r="T59" s="155"/>
      <c r="U59" s="186">
        <f t="shared" si="17"/>
        <v>236137.54089293242</v>
      </c>
      <c r="V59" s="30"/>
      <c r="W59" s="10"/>
    </row>
    <row r="60" spans="1:23" ht="13.5" thickBot="1" x14ac:dyDescent="0.25">
      <c r="A60" s="191"/>
      <c r="B60" s="188"/>
      <c r="C60" s="450"/>
      <c r="D60" s="155"/>
      <c r="E60" s="459"/>
      <c r="F60" s="189"/>
      <c r="G60" s="452"/>
      <c r="H60" s="451"/>
      <c r="I60" s="452"/>
      <c r="J60" s="453"/>
      <c r="K60" s="454"/>
      <c r="L60" s="155"/>
      <c r="M60" s="187"/>
      <c r="N60" s="450"/>
      <c r="O60" s="450"/>
      <c r="P60" s="155"/>
      <c r="Q60" s="451"/>
      <c r="R60" s="450"/>
      <c r="S60" s="460"/>
      <c r="T60" s="450"/>
      <c r="U60" s="451"/>
      <c r="V60" s="30"/>
    </row>
    <row r="61" spans="1:23" ht="22.15" customHeight="1" thickTop="1" thickBot="1" x14ac:dyDescent="0.25">
      <c r="A61" s="191"/>
      <c r="B61" s="188"/>
      <c r="C61" s="456" t="s">
        <v>60</v>
      </c>
      <c r="D61" s="155"/>
      <c r="E61" s="195">
        <f>SUM(E36:E59)</f>
        <v>206278369.22650445</v>
      </c>
      <c r="F61" s="195">
        <f>SUM(F36:F59)</f>
        <v>75904814.707514524</v>
      </c>
      <c r="G61" s="434"/>
      <c r="H61" s="195">
        <f>SUM(H36:H60)</f>
        <v>69298770.702409044</v>
      </c>
      <c r="I61" s="434"/>
      <c r="J61" s="195">
        <f>SUM(J36:J60)</f>
        <v>6606044.005105474</v>
      </c>
      <c r="K61" s="461">
        <f>ROUND(IF(H61=0,0,(F61/H61)*100),0)</f>
        <v>110</v>
      </c>
      <c r="L61" s="155"/>
      <c r="M61" s="187"/>
      <c r="N61" s="450"/>
      <c r="O61" s="456" t="s">
        <v>60</v>
      </c>
      <c r="P61" s="155"/>
      <c r="Q61" s="195">
        <f>SUM(Q36:Q59)</f>
        <v>75904814.707514524</v>
      </c>
      <c r="R61" s="450"/>
      <c r="S61" s="195">
        <f>SUM(S36:S60)</f>
        <v>0</v>
      </c>
      <c r="T61" s="450"/>
      <c r="U61" s="195">
        <f>SUM(U36:U59)</f>
        <v>75904814.707514524</v>
      </c>
      <c r="V61" s="30"/>
    </row>
    <row r="62" spans="1:23" ht="13.5" thickTop="1" x14ac:dyDescent="0.2">
      <c r="A62" s="154"/>
      <c r="B62" s="154"/>
      <c r="C62" s="462"/>
      <c r="D62" s="155"/>
      <c r="E62" s="319"/>
      <c r="F62" s="319"/>
      <c r="G62" s="155"/>
      <c r="H62" s="319"/>
      <c r="I62" s="155"/>
      <c r="J62" s="319"/>
      <c r="K62" s="463"/>
      <c r="L62" s="155"/>
      <c r="M62" s="155"/>
      <c r="N62" s="155"/>
      <c r="O62" s="462"/>
      <c r="P62" s="155"/>
      <c r="Q62" s="319"/>
      <c r="R62" s="155"/>
      <c r="S62" s="445"/>
      <c r="T62" s="155"/>
      <c r="U62" s="319"/>
      <c r="V62" s="30"/>
    </row>
    <row r="63" spans="1:23" s="143" customFormat="1" x14ac:dyDescent="0.2">
      <c r="A63" s="154">
        <f>'Rate Computation'!A66</f>
        <v>33600</v>
      </c>
      <c r="B63" s="154">
        <f>'Rate Computation'!B66</f>
        <v>0</v>
      </c>
      <c r="C63" s="462" t="str">
        <f>Parameter!B55</f>
        <v>RNG Plant</v>
      </c>
      <c r="D63" s="12"/>
      <c r="E63" s="437">
        <f>+'Theoretical Reserve'!D1026</f>
        <v>16109646.340000002</v>
      </c>
      <c r="F63" s="319">
        <f>+'Reserve Allocation'!N65</f>
        <v>1079308.7666374999</v>
      </c>
      <c r="G63" s="444">
        <f t="shared" ref="G63:G65" si="27">ROUND(IF($E63=0,0,(F63/$E63)*100),2)</f>
        <v>6.7</v>
      </c>
      <c r="H63" s="319">
        <f>+'Theoretical Reserve'!H1026</f>
        <v>761626.78512392368</v>
      </c>
      <c r="I63" s="444">
        <f t="shared" ref="I63:I65" si="28">ROUND(IF($E63=0,0,(H63/E63)*100),2)</f>
        <v>4.7300000000000004</v>
      </c>
      <c r="J63" s="319">
        <f t="shared" ref="J63:J65" si="29">F63-H63</f>
        <v>317681.98151357623</v>
      </c>
      <c r="K63" s="447">
        <f t="shared" ref="K63:K65" si="30">ROUND(IF(E63=0,0,(F63/H63)*100),0)</f>
        <v>142</v>
      </c>
      <c r="L63" s="155"/>
      <c r="M63" s="155">
        <f t="shared" ref="M63:M65" si="31">A63</f>
        <v>33600</v>
      </c>
      <c r="N63" s="314" t="s">
        <v>1230</v>
      </c>
      <c r="O63" s="462" t="str">
        <f t="shared" ref="O63:O65" si="32">C63</f>
        <v>RNG Plant</v>
      </c>
      <c r="P63" s="155"/>
      <c r="Q63" s="319">
        <f t="shared" ref="Q63:Q65" si="33">F63</f>
        <v>1079308.7666374999</v>
      </c>
      <c r="R63" s="155"/>
      <c r="S63" s="445"/>
      <c r="T63" s="155"/>
      <c r="U63" s="186">
        <f t="shared" ref="U63:U65" si="34">+Q63+S63</f>
        <v>1079308.7666374999</v>
      </c>
      <c r="V63" s="30"/>
    </row>
    <row r="64" spans="1:23" s="143" customFormat="1" x14ac:dyDescent="0.2">
      <c r="A64" s="154">
        <v>33601</v>
      </c>
      <c r="B64" s="154"/>
      <c r="C64" s="462" t="s">
        <v>1362</v>
      </c>
      <c r="D64" s="12"/>
      <c r="E64" s="437">
        <f>+'Theoretical Reserve'!D1037</f>
        <v>35668591.620000005</v>
      </c>
      <c r="F64" s="319">
        <f>+'Reserve Allocation'!N66</f>
        <v>4351568.1776400004</v>
      </c>
      <c r="G64" s="444">
        <f t="shared" si="27"/>
        <v>12.2</v>
      </c>
      <c r="H64" s="319">
        <f>+'Theoretical Reserve'!H1037</f>
        <v>3566859.1619999995</v>
      </c>
      <c r="I64" s="444">
        <f t="shared" si="28"/>
        <v>10</v>
      </c>
      <c r="J64" s="319">
        <f t="shared" si="29"/>
        <v>784709.01564000081</v>
      </c>
      <c r="K64" s="447">
        <f t="shared" si="30"/>
        <v>122</v>
      </c>
      <c r="L64" s="155"/>
      <c r="M64" s="155">
        <f t="shared" si="31"/>
        <v>33601</v>
      </c>
      <c r="N64" s="314"/>
      <c r="O64" s="462" t="str">
        <f t="shared" si="32"/>
        <v>RNG Plant Leased- 15 Years</v>
      </c>
      <c r="P64" s="155"/>
      <c r="Q64" s="319">
        <f t="shared" si="33"/>
        <v>4351568.1776400004</v>
      </c>
      <c r="R64" s="155"/>
      <c r="S64" s="445"/>
      <c r="T64" s="155"/>
      <c r="U64" s="186">
        <f t="shared" si="34"/>
        <v>4351568.1776400004</v>
      </c>
      <c r="V64" s="30"/>
    </row>
    <row r="65" spans="1:22" s="143" customFormat="1" x14ac:dyDescent="0.2">
      <c r="A65" s="154">
        <f>'Rate Computation'!A68</f>
        <v>36400</v>
      </c>
      <c r="B65" s="154" t="e">
        <f>'Rate Computation'!#REF!</f>
        <v>#REF!</v>
      </c>
      <c r="C65" s="462" t="str">
        <f>Parameter!B57</f>
        <v>LNG Plant</v>
      </c>
      <c r="D65" s="12"/>
      <c r="E65" s="437">
        <f>+'Theoretical Reserve'!D1030</f>
        <v>1503355.97</v>
      </c>
      <c r="F65" s="319">
        <f>+'Reserve Allocation'!N67</f>
        <v>79584.682884999987</v>
      </c>
      <c r="G65" s="444">
        <f t="shared" si="27"/>
        <v>5.29</v>
      </c>
      <c r="H65" s="319">
        <f>+'Theoretical Reserve'!H1030</f>
        <v>70509.870227827516</v>
      </c>
      <c r="I65" s="444">
        <f t="shared" si="28"/>
        <v>4.6900000000000004</v>
      </c>
      <c r="J65" s="319">
        <f t="shared" si="29"/>
        <v>9074.8126571724715</v>
      </c>
      <c r="K65" s="447">
        <f t="shared" si="30"/>
        <v>113</v>
      </c>
      <c r="L65" s="155"/>
      <c r="M65" s="155">
        <f t="shared" si="31"/>
        <v>36400</v>
      </c>
      <c r="N65" s="314"/>
      <c r="O65" s="462" t="str">
        <f t="shared" si="32"/>
        <v>LNG Plant</v>
      </c>
      <c r="P65" s="155" t="s">
        <v>1230</v>
      </c>
      <c r="Q65" s="319">
        <f t="shared" si="33"/>
        <v>79584.682884999987</v>
      </c>
      <c r="R65" s="155"/>
      <c r="S65" s="445"/>
      <c r="T65" s="155"/>
      <c r="U65" s="186">
        <f t="shared" si="34"/>
        <v>79584.682884999987</v>
      </c>
      <c r="V65" s="30"/>
    </row>
    <row r="66" spans="1:22" s="143" customFormat="1" x14ac:dyDescent="0.2">
      <c r="A66" s="154"/>
      <c r="B66" s="154"/>
      <c r="C66" s="462"/>
      <c r="D66" s="155"/>
      <c r="E66" s="319"/>
      <c r="F66" s="319"/>
      <c r="G66" s="155"/>
      <c r="H66" s="319"/>
      <c r="I66" s="155"/>
      <c r="J66" s="319"/>
      <c r="K66" s="463"/>
      <c r="L66" s="155"/>
      <c r="M66" s="155"/>
      <c r="N66" s="155"/>
      <c r="O66" s="462"/>
      <c r="P66" s="155"/>
      <c r="Q66" s="319"/>
      <c r="R66" s="155"/>
      <c r="S66" s="445"/>
      <c r="T66" s="155"/>
      <c r="U66" s="319"/>
      <c r="V66" s="30"/>
    </row>
    <row r="67" spans="1:22" s="143" customFormat="1" x14ac:dyDescent="0.2">
      <c r="A67" s="154"/>
      <c r="B67" s="154"/>
      <c r="C67" s="462"/>
      <c r="D67" s="155"/>
      <c r="E67" s="319"/>
      <c r="F67" s="319"/>
      <c r="G67" s="155"/>
      <c r="H67" s="319"/>
      <c r="I67" s="155"/>
      <c r="J67" s="319"/>
      <c r="K67" s="463"/>
      <c r="L67" s="155"/>
      <c r="M67" s="155"/>
      <c r="N67" s="155"/>
      <c r="O67" s="462"/>
      <c r="P67" s="155"/>
      <c r="Q67" s="319"/>
      <c r="R67" s="155"/>
      <c r="S67" s="445"/>
      <c r="T67" s="155"/>
      <c r="U67" s="319"/>
      <c r="V67" s="30"/>
    </row>
    <row r="68" spans="1:22" ht="13.5" thickBot="1" x14ac:dyDescent="0.25">
      <c r="A68" s="196"/>
      <c r="B68" s="197"/>
      <c r="C68" s="464"/>
      <c r="D68" s="155"/>
      <c r="E68" s="465"/>
      <c r="F68" s="465"/>
      <c r="G68" s="466"/>
      <c r="H68" s="465"/>
      <c r="I68" s="466"/>
      <c r="J68" s="465"/>
      <c r="K68" s="467"/>
      <c r="L68" s="155"/>
      <c r="M68" s="468"/>
      <c r="N68" s="466"/>
      <c r="O68" s="464"/>
      <c r="P68" s="155"/>
      <c r="Q68" s="465"/>
      <c r="R68" s="466"/>
      <c r="S68" s="469"/>
      <c r="T68" s="466"/>
      <c r="U68" s="465"/>
      <c r="V68" s="30"/>
    </row>
    <row r="69" spans="1:22" ht="22.15" customHeight="1" thickBot="1" x14ac:dyDescent="0.25">
      <c r="A69" s="199"/>
      <c r="B69" s="200"/>
      <c r="C69" s="470" t="s">
        <v>697</v>
      </c>
      <c r="D69" s="155"/>
      <c r="E69" s="471">
        <f>E61+E33+E63+E65+E64</f>
        <v>3444110476.632206</v>
      </c>
      <c r="F69" s="471">
        <f>F61+F33+F63+F65+F64</f>
        <v>913898364.76582873</v>
      </c>
      <c r="G69" s="472"/>
      <c r="H69" s="471">
        <f>H61+H33+H63+H65+H64</f>
        <v>794264167.17546523</v>
      </c>
      <c r="I69" s="472"/>
      <c r="J69" s="471">
        <f>J61+J33+J63+J65+J64</f>
        <v>119634197.59036358</v>
      </c>
      <c r="K69" s="471">
        <f>K61+K33+K63+K65+K64</f>
        <v>603</v>
      </c>
      <c r="L69" s="155"/>
      <c r="M69" s="473"/>
      <c r="N69" s="474"/>
      <c r="O69" s="470" t="s">
        <v>697</v>
      </c>
      <c r="P69" s="155"/>
      <c r="Q69" s="471">
        <f t="shared" ref="Q69:U69" si="35">Q61+Q33+Q63+Q65+Q64</f>
        <v>913898364.76582873</v>
      </c>
      <c r="R69" s="471">
        <f t="shared" si="35"/>
        <v>0</v>
      </c>
      <c r="S69" s="471">
        <f t="shared" si="35"/>
        <v>0</v>
      </c>
      <c r="T69" s="471">
        <f t="shared" si="35"/>
        <v>0</v>
      </c>
      <c r="U69" s="471">
        <f t="shared" si="35"/>
        <v>913898364.76582873</v>
      </c>
      <c r="V69" s="30"/>
    </row>
    <row r="70" spans="1:22" x14ac:dyDescent="0.2">
      <c r="A70" s="30"/>
      <c r="B70" s="30"/>
      <c r="V70" s="30"/>
    </row>
    <row r="71" spans="1:22" x14ac:dyDescent="0.2">
      <c r="C71" s="476" t="s">
        <v>67</v>
      </c>
      <c r="E71" s="477">
        <v>3467239074.6882105</v>
      </c>
      <c r="F71" s="478">
        <f>'Reserve Allocation'!$N$79</f>
        <v>918866293.14582872</v>
      </c>
      <c r="H71" s="479"/>
      <c r="J71" s="479"/>
      <c r="O71" s="476" t="s">
        <v>67</v>
      </c>
      <c r="Q71" s="478">
        <f>'Reserve Allocation'!$N$79</f>
        <v>918866293.14582872</v>
      </c>
      <c r="S71" s="477">
        <v>0</v>
      </c>
      <c r="U71" s="478">
        <f>'Reserve Allocation'!$N$79</f>
        <v>918866293.14582872</v>
      </c>
    </row>
    <row r="72" spans="1:22" x14ac:dyDescent="0.2">
      <c r="C72" s="476" t="s">
        <v>680</v>
      </c>
      <c r="E72" s="477">
        <v>-16157149.27</v>
      </c>
      <c r="F72" s="480">
        <f>--60224.6000000004</f>
        <v>60224.600000000399</v>
      </c>
      <c r="O72" s="476" t="s">
        <v>680</v>
      </c>
      <c r="Q72" s="480">
        <f>--60224.6000000004</f>
        <v>60224.600000000399</v>
      </c>
      <c r="S72" s="477">
        <v>0</v>
      </c>
      <c r="U72" s="480">
        <f>Q72+S72</f>
        <v>60224.600000000399</v>
      </c>
    </row>
    <row r="73" spans="1:22" s="143" customFormat="1" x14ac:dyDescent="0.2">
      <c r="C73" s="105" t="s">
        <v>1352</v>
      </c>
      <c r="D73" s="12"/>
      <c r="E73" s="477">
        <v>-5031897.24</v>
      </c>
      <c r="F73" s="480">
        <v>-5028152.9800000098</v>
      </c>
      <c r="G73" s="12"/>
      <c r="H73" s="12"/>
      <c r="I73" s="12"/>
      <c r="J73" s="12"/>
      <c r="K73" s="12"/>
      <c r="L73" s="12"/>
      <c r="M73" s="12"/>
      <c r="N73" s="12"/>
      <c r="O73" s="476"/>
      <c r="P73" s="12"/>
      <c r="Q73" s="480">
        <v>-5028152.9800000098</v>
      </c>
      <c r="R73" s="12"/>
      <c r="S73" s="477"/>
      <c r="T73" s="12"/>
      <c r="U73" s="480">
        <f>Q73+S73</f>
        <v>-5028152.9800000098</v>
      </c>
    </row>
    <row r="74" spans="1:22" s="143" customFormat="1" x14ac:dyDescent="0.2">
      <c r="C74" s="105" t="s">
        <v>1353</v>
      </c>
      <c r="D74" s="12"/>
      <c r="E74" s="477">
        <v>-1939551.55</v>
      </c>
      <c r="F74" s="480"/>
      <c r="G74" s="12"/>
      <c r="H74" s="12"/>
      <c r="I74" s="12"/>
      <c r="J74" s="12"/>
      <c r="K74" s="12"/>
      <c r="L74" s="12"/>
      <c r="M74" s="12"/>
      <c r="N74" s="12"/>
      <c r="O74" s="105" t="s">
        <v>1232</v>
      </c>
      <c r="P74" s="12"/>
      <c r="Q74" s="480"/>
      <c r="R74" s="480">
        <v>-20039</v>
      </c>
      <c r="S74" s="477"/>
      <c r="T74" s="12"/>
      <c r="U74" s="480">
        <f>+Q74</f>
        <v>0</v>
      </c>
    </row>
    <row r="75" spans="1:22" x14ac:dyDescent="0.2">
      <c r="C75" s="481" t="s">
        <v>654</v>
      </c>
      <c r="E75" s="477">
        <v>0</v>
      </c>
      <c r="F75" s="480">
        <f>U75</f>
        <v>0</v>
      </c>
      <c r="O75" s="481" t="s">
        <v>654</v>
      </c>
      <c r="Q75" s="480">
        <f>AF75</f>
        <v>0</v>
      </c>
      <c r="S75" s="477">
        <v>0</v>
      </c>
      <c r="U75" s="480">
        <f>Q75+S75</f>
        <v>0</v>
      </c>
    </row>
    <row r="76" spans="1:22" ht="13.5" thickBot="1" x14ac:dyDescent="0.25">
      <c r="C76" s="476" t="s">
        <v>73</v>
      </c>
      <c r="E76" s="482">
        <f>SUM(E71:E75)</f>
        <v>3444110476.6282105</v>
      </c>
      <c r="F76" s="482">
        <f>SUM(F71:F75)</f>
        <v>913898364.76582873</v>
      </c>
      <c r="O76" s="476" t="s">
        <v>73</v>
      </c>
      <c r="Q76" s="482">
        <f>SUM(Q71:Q75)</f>
        <v>913898364.76582873</v>
      </c>
      <c r="S76" s="482">
        <f>SUM(S71:S75)</f>
        <v>0</v>
      </c>
      <c r="U76" s="482">
        <f>SUM(U71:U75)</f>
        <v>913898364.76582873</v>
      </c>
    </row>
    <row r="77" spans="1:22" ht="13.5" thickTop="1" x14ac:dyDescent="0.2">
      <c r="C77" s="476" t="s">
        <v>68</v>
      </c>
      <c r="E77" s="475">
        <f>E69-E76</f>
        <v>3.9954185485839844E-3</v>
      </c>
      <c r="F77" s="475">
        <f>F69-F76</f>
        <v>0</v>
      </c>
      <c r="O77" s="476" t="s">
        <v>68</v>
      </c>
      <c r="Q77" s="475">
        <f>Q69-Q76</f>
        <v>0</v>
      </c>
      <c r="R77" s="475"/>
      <c r="S77" s="475">
        <f>S69-S76</f>
        <v>0</v>
      </c>
      <c r="U77" s="475">
        <f>U69-U76</f>
        <v>0</v>
      </c>
    </row>
    <row r="78" spans="1:22" s="143" customFormat="1" x14ac:dyDescent="0.2">
      <c r="C78" s="476"/>
      <c r="D78" s="12"/>
      <c r="E78" s="475"/>
      <c r="F78" s="475"/>
      <c r="G78" s="12"/>
      <c r="H78" s="12"/>
      <c r="I78" s="12"/>
      <c r="J78" s="12"/>
      <c r="K78" s="12"/>
      <c r="L78" s="12"/>
      <c r="M78" s="12"/>
      <c r="N78" s="12"/>
      <c r="O78" s="476"/>
      <c r="P78" s="12"/>
      <c r="Q78" s="475"/>
      <c r="R78" s="475"/>
      <c r="S78" s="475"/>
      <c r="T78" s="12"/>
      <c r="U78" s="475"/>
    </row>
    <row r="80" spans="1:22" x14ac:dyDescent="0.2">
      <c r="Q80" s="483"/>
      <c r="U80" s="483"/>
    </row>
    <row r="81" spans="17:21" x14ac:dyDescent="0.2">
      <c r="Q81" s="483"/>
      <c r="U81" s="483"/>
    </row>
    <row r="82" spans="17:21" x14ac:dyDescent="0.2">
      <c r="Q82" s="483"/>
      <c r="U82" s="483"/>
    </row>
  </sheetData>
  <phoneticPr fontId="0" type="noConversion"/>
  <conditionalFormatting sqref="J71">
    <cfRule type="cellIs" dxfId="1" priority="1" operator="notEqual">
      <formula>B71</formula>
    </cfRule>
  </conditionalFormatting>
  <conditionalFormatting sqref="H71">
    <cfRule type="cellIs" dxfId="0" priority="15" operator="notEqual">
      <formula>XEF71</formula>
    </cfRule>
  </conditionalFormatting>
  <printOptions horizontalCentered="1"/>
  <pageMargins left="0.5" right="0.5" top="0.5" bottom="0.5" header="0" footer="0"/>
  <pageSetup scale="88" fitToHeight="2" orientation="landscape" blackAndWhite="1" r:id="rId1"/>
  <headerFooter alignWithMargins="0"/>
  <rowBreaks count="2" manualBreakCount="2">
    <brk id="34" min="12" max="20" man="1"/>
    <brk id="34" max="10" man="1"/>
  </rowBreaks>
  <customProperties>
    <customPr name="EpmWorksheetKeyString_GU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B6D17-7A9C-4968-B73D-9012C00E6F09}">
  <dimension ref="A1:Q382"/>
  <sheetViews>
    <sheetView topLeftCell="A58" workbookViewId="0">
      <selection activeCell="N81" sqref="N81"/>
    </sheetView>
  </sheetViews>
  <sheetFormatPr defaultRowHeight="12.75" x14ac:dyDescent="0.2"/>
  <cols>
    <col min="1" max="1" width="21.5703125" customWidth="1"/>
    <col min="6" max="6" width="33.140625" customWidth="1"/>
    <col min="8" max="8" width="27.140625" style="332" customWidth="1"/>
    <col min="9" max="9" width="9.140625" style="323"/>
    <col min="10" max="10" width="29" style="323" customWidth="1"/>
    <col min="11" max="11" width="11.28515625" bestFit="1" customWidth="1"/>
    <col min="12" max="12" width="20.42578125" customWidth="1"/>
    <col min="14" max="14" width="19.85546875" customWidth="1"/>
    <col min="17" max="17" width="9.140625" style="12"/>
  </cols>
  <sheetData>
    <row r="1" spans="1:14" x14ac:dyDescent="0.2">
      <c r="A1" t="str">
        <f>'Rate Computation'!A2</f>
        <v>Peoples Gas</v>
      </c>
    </row>
    <row r="3" spans="1:14" x14ac:dyDescent="0.2">
      <c r="A3" t="str">
        <f>'Rate Computation'!A4</f>
        <v>Computation of Proposed Depreciation Amortization Rates</v>
      </c>
    </row>
    <row r="4" spans="1:14" x14ac:dyDescent="0.2">
      <c r="A4" t="str">
        <f>'Rate Computation'!A5</f>
        <v>Using Average Life Group Depreciation</v>
      </c>
    </row>
    <row r="5" spans="1:14" x14ac:dyDescent="0.2">
      <c r="A5" t="str">
        <f>'Rate Computation'!A6</f>
        <v>As of December 31, 2024</v>
      </c>
    </row>
    <row r="11" spans="1:14" x14ac:dyDescent="0.2">
      <c r="F11" s="310" t="s">
        <v>1293</v>
      </c>
      <c r="G11" s="370"/>
      <c r="H11" s="375" t="s">
        <v>1177</v>
      </c>
      <c r="I11" s="376"/>
      <c r="J11" s="377" t="s">
        <v>1240</v>
      </c>
      <c r="K11" s="370"/>
      <c r="L11" s="310" t="s">
        <v>1350</v>
      </c>
      <c r="M11" s="370"/>
      <c r="N11" s="310" t="s">
        <v>1351</v>
      </c>
    </row>
    <row r="13" spans="1:14" x14ac:dyDescent="0.2">
      <c r="A13" t="str">
        <f>'Rate Computation'!A14</f>
        <v>Intangible Plant</v>
      </c>
      <c r="F13" s="323"/>
    </row>
    <row r="14" spans="1:14" x14ac:dyDescent="0.2">
      <c r="A14">
        <f>'Rate Computation'!A15</f>
        <v>30300</v>
      </c>
      <c r="B14">
        <f>'Rate Computation'!B15</f>
        <v>30300</v>
      </c>
      <c r="C14" t="str">
        <f>'Rate Computation'!C15</f>
        <v>Misc Intangible Plant</v>
      </c>
      <c r="F14" s="323">
        <v>815325.0699999989</v>
      </c>
      <c r="H14" s="332">
        <f>'Theoretical Reserve'!H5</f>
        <v>815325.07000000007</v>
      </c>
      <c r="J14" s="323">
        <f>+H14-F14</f>
        <v>1.1641532182693481E-9</v>
      </c>
      <c r="N14" s="4">
        <f>+F14</f>
        <v>815325.0699999989</v>
      </c>
    </row>
    <row r="15" spans="1:14" x14ac:dyDescent="0.2">
      <c r="A15">
        <f>'Rate Computation'!A16</f>
        <v>30301</v>
      </c>
      <c r="B15">
        <f>'Rate Computation'!B16</f>
        <v>30301</v>
      </c>
      <c r="C15" t="str">
        <f>'Rate Computation'!C16</f>
        <v>Custom Intangible Plant</v>
      </c>
      <c r="F15" s="323">
        <v>37523500.841743499</v>
      </c>
      <c r="H15" s="332">
        <f>'Theoretical Reserve'!H29</f>
        <v>37163156.813666657</v>
      </c>
      <c r="J15" s="323">
        <f>+H15-F15</f>
        <v>-360344.02807684243</v>
      </c>
      <c r="N15" s="4">
        <f>+F15</f>
        <v>37523500.841743499</v>
      </c>
    </row>
    <row r="16" spans="1:14" x14ac:dyDescent="0.2">
      <c r="F16" s="323">
        <f>SUM(F14:F15)</f>
        <v>38338825.911743499</v>
      </c>
      <c r="H16" s="323">
        <f>SUM(H14:H15)</f>
        <v>37978481.883666657</v>
      </c>
      <c r="N16" s="323">
        <f>SUM(N14:N15)</f>
        <v>38338825.911743499</v>
      </c>
    </row>
    <row r="17" spans="1:14" x14ac:dyDescent="0.2">
      <c r="F17" s="323"/>
    </row>
    <row r="18" spans="1:14" x14ac:dyDescent="0.2">
      <c r="F18" s="323"/>
    </row>
    <row r="19" spans="1:14" x14ac:dyDescent="0.2">
      <c r="A19" t="str">
        <f>'Rate Computation'!A20</f>
        <v>Distribution</v>
      </c>
      <c r="B19" t="str">
        <f>'Rate Computation'!B20</f>
        <v>Distibution</v>
      </c>
      <c r="F19" s="323"/>
    </row>
    <row r="20" spans="1:14" x14ac:dyDescent="0.2">
      <c r="A20">
        <f>'Rate Computation'!A21</f>
        <v>37402</v>
      </c>
      <c r="B20">
        <f>'Rate Computation'!B21</f>
        <v>37402</v>
      </c>
      <c r="C20" t="str">
        <f>'Rate Computation'!C21</f>
        <v>Land Rights</v>
      </c>
      <c r="F20" s="323">
        <v>1150124.6291599963</v>
      </c>
      <c r="H20" s="332">
        <f>'Theoretical Reserve'!H67</f>
        <v>1089359.1105333332</v>
      </c>
      <c r="J20" s="323">
        <f t="shared" ref="J20:J34" si="0">+H20-F20</f>
        <v>-60765.518626663135</v>
      </c>
      <c r="L20" s="4">
        <f>-34000000*J20/J$35</f>
        <v>-14158.953748223623</v>
      </c>
      <c r="N20" s="4">
        <f>+F20+L20</f>
        <v>1135965.6754117727</v>
      </c>
    </row>
    <row r="21" spans="1:14" x14ac:dyDescent="0.2">
      <c r="A21">
        <f>'Rate Computation'!A22</f>
        <v>37500</v>
      </c>
      <c r="B21">
        <f>'Rate Computation'!B22</f>
        <v>37500</v>
      </c>
      <c r="C21" t="str">
        <f>'Rate Computation'!C22</f>
        <v>Structures &amp; Improvements</v>
      </c>
      <c r="F21" s="323">
        <v>8837508.5730655696</v>
      </c>
      <c r="H21" s="332">
        <f>'Theoretical Reserve'!H117</f>
        <v>6646684.4072978618</v>
      </c>
      <c r="J21" s="323">
        <f t="shared" si="0"/>
        <v>-2190824.1657677079</v>
      </c>
      <c r="L21" s="4">
        <f t="shared" ref="L21:L34" si="1">-34000000*J21/J$35</f>
        <v>-510483.22691323981</v>
      </c>
      <c r="N21" s="4">
        <f t="shared" ref="N21:N34" si="2">+F21+L21</f>
        <v>8327025.3461523298</v>
      </c>
    </row>
    <row r="22" spans="1:14" x14ac:dyDescent="0.2">
      <c r="A22">
        <f>'Rate Computation'!A23</f>
        <v>37600</v>
      </c>
      <c r="B22">
        <f>'Rate Computation'!B23</f>
        <v>37600</v>
      </c>
      <c r="C22" t="str">
        <f>'Rate Computation'!C23</f>
        <v>Mains Steel</v>
      </c>
      <c r="F22" s="323">
        <v>221233588.2661801</v>
      </c>
      <c r="H22" s="332">
        <f>'Theoretical Reserve'!H189</f>
        <v>213455382.31925929</v>
      </c>
      <c r="J22" s="323">
        <f t="shared" si="0"/>
        <v>-7778205.9469208121</v>
      </c>
      <c r="L22" s="4">
        <f t="shared" si="1"/>
        <v>-1812397.2400078475</v>
      </c>
      <c r="N22" s="4">
        <f t="shared" si="2"/>
        <v>219421191.02617225</v>
      </c>
    </row>
    <row r="23" spans="1:14" x14ac:dyDescent="0.2">
      <c r="A23">
        <f>'Rate Computation'!A24</f>
        <v>37602</v>
      </c>
      <c r="B23">
        <f>'Rate Computation'!B24</f>
        <v>37602</v>
      </c>
      <c r="C23" t="str">
        <f>'Rate Computation'!C24</f>
        <v>Mains Plastic</v>
      </c>
      <c r="F23" s="323">
        <v>213121528.94005474</v>
      </c>
      <c r="H23" s="332">
        <f>'Theoretical Reserve'!H227</f>
        <v>154020496.13400501</v>
      </c>
      <c r="J23" s="323">
        <f t="shared" si="0"/>
        <v>-59101032.806049734</v>
      </c>
      <c r="L23" s="4">
        <f t="shared" si="1"/>
        <v>-13771112.448070576</v>
      </c>
      <c r="N23" s="4">
        <f t="shared" si="2"/>
        <v>199350416.49198416</v>
      </c>
    </row>
    <row r="24" spans="1:14" x14ac:dyDescent="0.2">
      <c r="A24">
        <f>'Rate Computation'!A25</f>
        <v>37700</v>
      </c>
      <c r="B24">
        <f>'Rate Computation'!B25</f>
        <v>37700</v>
      </c>
      <c r="C24" t="str">
        <f>'Rate Computation'!C25</f>
        <v>Compressor Equipment</v>
      </c>
      <c r="F24" s="323">
        <v>1921393.2040000004</v>
      </c>
      <c r="H24" s="332">
        <f>'Theoretical Reserve'!H231</f>
        <v>1712927.2714726988</v>
      </c>
      <c r="J24" s="323">
        <f t="shared" si="0"/>
        <v>-208465.9325273016</v>
      </c>
      <c r="L24" s="4">
        <f t="shared" si="1"/>
        <v>-48574.579192996789</v>
      </c>
      <c r="N24" s="4">
        <f t="shared" si="2"/>
        <v>1872818.6248070037</v>
      </c>
    </row>
    <row r="25" spans="1:14" x14ac:dyDescent="0.2">
      <c r="A25">
        <f>'Rate Computation'!A26</f>
        <v>37800</v>
      </c>
      <c r="B25">
        <f>'Rate Computation'!B26</f>
        <v>37800</v>
      </c>
      <c r="C25" t="str">
        <f>'Rate Computation'!C26</f>
        <v>Meas &amp; Reg Station Eqp Gen</v>
      </c>
      <c r="F25" s="323">
        <v>6423569.0301257977</v>
      </c>
      <c r="H25" s="332">
        <f>'Theoretical Reserve'!H290</f>
        <v>6284422.7513010539</v>
      </c>
      <c r="J25" s="323">
        <f t="shared" si="0"/>
        <v>-139146.27882474381</v>
      </c>
      <c r="L25" s="4">
        <f t="shared" si="1"/>
        <v>-32422.429210576873</v>
      </c>
      <c r="N25" s="4">
        <f t="shared" si="2"/>
        <v>6391146.6009152206</v>
      </c>
    </row>
    <row r="26" spans="1:14" x14ac:dyDescent="0.2">
      <c r="A26">
        <f>'Rate Computation'!A27</f>
        <v>37900</v>
      </c>
      <c r="B26">
        <f>'Rate Computation'!B27</f>
        <v>37900</v>
      </c>
      <c r="C26" t="str">
        <f>'Rate Computation'!C27</f>
        <v>Meas &amp; Reg Station Eqp City</v>
      </c>
      <c r="F26" s="323">
        <v>21610279.458510127</v>
      </c>
      <c r="H26" s="332">
        <f>'Theoretical Reserve'!H323</f>
        <v>17264597.749771152</v>
      </c>
      <c r="J26" s="323">
        <f t="shared" si="0"/>
        <v>-4345681.7087389752</v>
      </c>
      <c r="L26" s="4">
        <f t="shared" si="1"/>
        <v>-1012585.8827367572</v>
      </c>
      <c r="N26" s="4">
        <f t="shared" si="2"/>
        <v>20597693.57577337</v>
      </c>
    </row>
    <row r="27" spans="1:14" x14ac:dyDescent="0.2">
      <c r="A27">
        <f>'Rate Computation'!A28</f>
        <v>38000</v>
      </c>
      <c r="B27">
        <f>'Rate Computation'!B28</f>
        <v>38000</v>
      </c>
      <c r="C27" t="str">
        <f>'Rate Computation'!C28</f>
        <v>Services Steel</v>
      </c>
      <c r="F27" s="323">
        <v>45369271.820070066</v>
      </c>
      <c r="H27" s="332">
        <f>'Theoretical Reserve'!H416</f>
        <v>39910593.943207212</v>
      </c>
      <c r="J27" s="323">
        <f t="shared" si="0"/>
        <v>-5458677.8768628538</v>
      </c>
      <c r="L27" s="4">
        <f t="shared" si="1"/>
        <v>-1271924.7581808537</v>
      </c>
      <c r="N27" s="4">
        <f t="shared" si="2"/>
        <v>44097347.061889209</v>
      </c>
    </row>
    <row r="28" spans="1:14" x14ac:dyDescent="0.2">
      <c r="A28">
        <f>'Rate Computation'!A29</f>
        <v>38002</v>
      </c>
      <c r="B28">
        <f>'Rate Computation'!B29</f>
        <v>38002</v>
      </c>
      <c r="C28" t="str">
        <f>'Rate Computation'!C29</f>
        <v>Services Plastic</v>
      </c>
      <c r="F28" s="323">
        <v>221130215.59483576</v>
      </c>
      <c r="H28" s="332">
        <f>'Theoretical Reserve'!H475</f>
        <v>185714204.14471656</v>
      </c>
      <c r="J28" s="323">
        <f t="shared" si="0"/>
        <v>-35416011.450119197</v>
      </c>
      <c r="L28" s="4">
        <f t="shared" si="1"/>
        <v>-8252273.3188483724</v>
      </c>
      <c r="N28" s="4">
        <f t="shared" si="2"/>
        <v>212877942.27598739</v>
      </c>
    </row>
    <row r="29" spans="1:14" x14ac:dyDescent="0.2">
      <c r="A29">
        <f>'Rate Computation'!A30</f>
        <v>38100</v>
      </c>
      <c r="B29">
        <f>'Rate Computation'!B30</f>
        <v>38100</v>
      </c>
      <c r="C29" t="str">
        <f>'Rate Computation'!C30</f>
        <v>Meters</v>
      </c>
      <c r="F29" s="323">
        <v>45724877.058113605</v>
      </c>
      <c r="H29" s="332">
        <f>'Theoretical Reserve'!H501</f>
        <v>40793282.630863972</v>
      </c>
      <c r="J29" s="323">
        <f t="shared" si="0"/>
        <v>-4931594.4272496328</v>
      </c>
      <c r="L29" s="4">
        <f t="shared" si="1"/>
        <v>-1149109.2148728252</v>
      </c>
      <c r="N29" s="4">
        <f t="shared" si="2"/>
        <v>44575767.843240783</v>
      </c>
    </row>
    <row r="30" spans="1:14" x14ac:dyDescent="0.2">
      <c r="A30">
        <f>'Rate Computation'!A31</f>
        <v>38200</v>
      </c>
      <c r="B30">
        <f>'Rate Computation'!B31</f>
        <v>38200</v>
      </c>
      <c r="C30" t="str">
        <f>'Rate Computation'!C31</f>
        <v>Meter Installations</v>
      </c>
      <c r="F30" s="323">
        <v>39220335.020286247</v>
      </c>
      <c r="H30" s="332">
        <f>'Theoretical Reserve'!H546</f>
        <v>26090765.795172412</v>
      </c>
      <c r="J30" s="323">
        <f t="shared" si="0"/>
        <v>-13129569.225113835</v>
      </c>
      <c r="L30" s="4">
        <f t="shared" si="1"/>
        <v>-3059316.6584266769</v>
      </c>
      <c r="N30" s="4">
        <f t="shared" si="2"/>
        <v>36161018.361859567</v>
      </c>
    </row>
    <row r="31" spans="1:14" x14ac:dyDescent="0.2">
      <c r="A31">
        <f>'Rate Computation'!A32</f>
        <v>38300</v>
      </c>
      <c r="B31">
        <f>'Rate Computation'!B32</f>
        <v>38300</v>
      </c>
      <c r="C31" t="str">
        <f>'Rate Computation'!C32</f>
        <v>House Regulators</v>
      </c>
      <c r="F31" s="323">
        <v>9735218.8371897917</v>
      </c>
      <c r="H31" s="332">
        <f>'Theoretical Reserve'!H599</f>
        <v>7147798.035088392</v>
      </c>
      <c r="J31" s="323">
        <f t="shared" si="0"/>
        <v>-2587420.8021013997</v>
      </c>
      <c r="L31" s="4">
        <f t="shared" si="1"/>
        <v>-602894.08026331465</v>
      </c>
      <c r="N31" s="4">
        <f t="shared" si="2"/>
        <v>9132324.756926477</v>
      </c>
    </row>
    <row r="32" spans="1:14" x14ac:dyDescent="0.2">
      <c r="A32">
        <f>'Rate Computation'!A33</f>
        <v>38400</v>
      </c>
      <c r="B32">
        <f>'Rate Computation'!B33</f>
        <v>38400</v>
      </c>
      <c r="C32" t="str">
        <f>'Rate Computation'!C33</f>
        <v>House Regulator Installs</v>
      </c>
      <c r="F32" s="323">
        <v>17117052.271989994</v>
      </c>
      <c r="H32" s="332">
        <f>'Theoretical Reserve'!H667</f>
        <v>10539845.870312724</v>
      </c>
      <c r="J32" s="323">
        <f t="shared" si="0"/>
        <v>-6577206.4016772695</v>
      </c>
      <c r="L32" s="4">
        <f t="shared" si="1"/>
        <v>-1532552.726259562</v>
      </c>
      <c r="N32" s="4">
        <f t="shared" si="2"/>
        <v>15584499.545730432</v>
      </c>
    </row>
    <row r="33" spans="1:14" x14ac:dyDescent="0.2">
      <c r="A33">
        <f>'Rate Computation'!A34</f>
        <v>38500</v>
      </c>
      <c r="B33">
        <f>'Rate Computation'!B34</f>
        <v>38500</v>
      </c>
      <c r="C33" t="str">
        <f>'Rate Computation'!C34</f>
        <v>Meas &amp; Reg Station Eqp Ind</v>
      </c>
      <c r="F33" s="323">
        <v>7665448.2188000074</v>
      </c>
      <c r="H33" s="332">
        <f>'Theoretical Reserve'!H715</f>
        <v>6042387.4269409757</v>
      </c>
      <c r="J33" s="323">
        <f t="shared" si="0"/>
        <v>-1623060.7918590317</v>
      </c>
      <c r="L33" s="4">
        <f t="shared" si="1"/>
        <v>-378188.86766488547</v>
      </c>
      <c r="N33" s="4">
        <f t="shared" si="2"/>
        <v>7287259.3511351217</v>
      </c>
    </row>
    <row r="34" spans="1:14" x14ac:dyDescent="0.2">
      <c r="A34">
        <f>'Rate Computation'!A35</f>
        <v>38700</v>
      </c>
      <c r="B34">
        <f>'Rate Computation'!B35</f>
        <v>38700</v>
      </c>
      <c r="C34" t="str">
        <f>'Rate Computation'!C35</f>
        <v>Other Equipment</v>
      </c>
      <c r="F34" s="323">
        <v>6222677.5087700002</v>
      </c>
      <c r="H34" s="332">
        <f>'Theoretical Reserve'!H759</f>
        <v>3853653.0657618181</v>
      </c>
      <c r="J34" s="323">
        <f t="shared" si="0"/>
        <v>-2369024.4430081821</v>
      </c>
      <c r="L34" s="4">
        <f t="shared" si="1"/>
        <v>-552005.61560328526</v>
      </c>
      <c r="N34" s="4">
        <f t="shared" si="2"/>
        <v>5670671.8931667153</v>
      </c>
    </row>
    <row r="35" spans="1:14" x14ac:dyDescent="0.2">
      <c r="C35" t="str">
        <f>'Rate Computation'!C36</f>
        <v>Subtotal Distribution</v>
      </c>
      <c r="F35" s="371">
        <f>SUM(F20:F34)</f>
        <v>866483088.43115163</v>
      </c>
      <c r="G35" s="316"/>
      <c r="H35" s="373">
        <f>SUM(H20:H34)</f>
        <v>720566400.6557045</v>
      </c>
      <c r="I35" s="371"/>
      <c r="J35" s="371">
        <f>SUM(J20:J34)</f>
        <v>-145916687.77544737</v>
      </c>
      <c r="K35" s="316"/>
      <c r="L35" s="371">
        <f>SUM(L20:L34)</f>
        <v>-33999999.999999993</v>
      </c>
      <c r="M35" s="316"/>
      <c r="N35" s="371">
        <f>SUM(N20:N34)</f>
        <v>832483088.43115175</v>
      </c>
    </row>
    <row r="36" spans="1:14" x14ac:dyDescent="0.2">
      <c r="F36" s="323"/>
    </row>
    <row r="37" spans="1:14" x14ac:dyDescent="0.2">
      <c r="F37" s="323"/>
    </row>
    <row r="38" spans="1:14" x14ac:dyDescent="0.2">
      <c r="F38" s="323"/>
    </row>
    <row r="39" spans="1:14" x14ac:dyDescent="0.2">
      <c r="F39" s="323"/>
    </row>
    <row r="40" spans="1:14" x14ac:dyDescent="0.2">
      <c r="F40" s="323"/>
    </row>
    <row r="41" spans="1:14" x14ac:dyDescent="0.2">
      <c r="F41" s="323"/>
    </row>
    <row r="42" spans="1:14" x14ac:dyDescent="0.2">
      <c r="F42" s="323"/>
    </row>
    <row r="43" spans="1:14" x14ac:dyDescent="0.2">
      <c r="F43" s="323"/>
    </row>
    <row r="44" spans="1:14" x14ac:dyDescent="0.2">
      <c r="A44" t="str">
        <f>'Rate Computation'!A45</f>
        <v>General</v>
      </c>
      <c r="B44" t="str">
        <f>'Rate Computation'!B45</f>
        <v>General Plant</v>
      </c>
      <c r="F44" s="323"/>
    </row>
    <row r="45" spans="1:14" x14ac:dyDescent="0.2">
      <c r="A45">
        <f>'Rate Computation'!A46</f>
        <v>39000</v>
      </c>
      <c r="B45">
        <f>'Rate Computation'!B46</f>
        <v>39000</v>
      </c>
      <c r="C45" t="str">
        <f>'Rate Computation'!C46</f>
        <v>Structures &amp; Improvements</v>
      </c>
      <c r="F45" s="323">
        <v>45567.602230799923</v>
      </c>
      <c r="H45" s="332">
        <f>'Theoretical Reserve'!H767</f>
        <v>56332.524374953209</v>
      </c>
      <c r="J45" s="323">
        <f t="shared" ref="J45:J58" si="3">+H45-F45</f>
        <v>10764.922144153286</v>
      </c>
      <c r="N45" s="4">
        <f t="shared" ref="N45:N58" si="4">+F45+L45</f>
        <v>45567.602230799923</v>
      </c>
    </row>
    <row r="46" spans="1:14" x14ac:dyDescent="0.2">
      <c r="A46">
        <f>'Rate Computation'!A47</f>
        <v>39100</v>
      </c>
      <c r="B46">
        <f>'Rate Computation'!B47</f>
        <v>39100</v>
      </c>
      <c r="C46" t="str">
        <f>'Rate Computation'!C47</f>
        <v>Office Furniture</v>
      </c>
      <c r="F46" s="323">
        <v>1250876.8360366272</v>
      </c>
      <c r="H46" s="332">
        <f>'Theoretical Reserve'!H785</f>
        <v>1196618.1883333335</v>
      </c>
      <c r="J46" s="323">
        <f t="shared" si="3"/>
        <v>-54258.647703293711</v>
      </c>
      <c r="N46" s="4">
        <f t="shared" si="4"/>
        <v>1250876.8360366272</v>
      </c>
    </row>
    <row r="47" spans="1:14" x14ac:dyDescent="0.2">
      <c r="A47">
        <f>'Rate Computation'!A48</f>
        <v>39101</v>
      </c>
      <c r="B47">
        <f>'Rate Computation'!B48</f>
        <v>39101</v>
      </c>
      <c r="C47" t="str">
        <f>'Rate Computation'!C48</f>
        <v>Computer Equipment</v>
      </c>
      <c r="F47" s="323">
        <v>3887200.5361898364</v>
      </c>
      <c r="H47" s="332">
        <f>'Theoretical Reserve'!H799</f>
        <v>2954096.7411101125</v>
      </c>
      <c r="J47" s="323">
        <f t="shared" si="3"/>
        <v>-933103.79507972393</v>
      </c>
      <c r="N47" s="4">
        <f t="shared" si="4"/>
        <v>3887200.5361898364</v>
      </c>
    </row>
    <row r="48" spans="1:14" x14ac:dyDescent="0.2">
      <c r="A48">
        <f>'Rate Computation'!A49</f>
        <v>39102</v>
      </c>
      <c r="B48">
        <f>'Rate Computation'!B49</f>
        <v>39102</v>
      </c>
      <c r="C48" t="str">
        <f>'Rate Computation'!C49</f>
        <v>Office Equipment</v>
      </c>
      <c r="F48" s="323">
        <v>1057059.5213299992</v>
      </c>
      <c r="H48" s="332">
        <f>'Theoretical Reserve'!H819</f>
        <v>1017935.451</v>
      </c>
      <c r="J48" s="323">
        <f t="shared" si="3"/>
        <v>-39124.070329999202</v>
      </c>
      <c r="N48" s="4">
        <f t="shared" si="4"/>
        <v>1057059.5213299992</v>
      </c>
    </row>
    <row r="49" spans="1:15" x14ac:dyDescent="0.2">
      <c r="A49">
        <f>'Rate Computation'!A50</f>
        <v>39201</v>
      </c>
      <c r="B49">
        <f>'Rate Computation'!B50</f>
        <v>39201</v>
      </c>
      <c r="C49" t="str">
        <f>'Rate Computation'!C50</f>
        <v>Vehicles up to 1/2 Tons</v>
      </c>
      <c r="F49" s="323">
        <v>8222729.2678835941</v>
      </c>
      <c r="H49" s="332">
        <f>'Theoretical Reserve'!H843</f>
        <v>6878410.7265629126</v>
      </c>
      <c r="J49" s="323">
        <f t="shared" si="3"/>
        <v>-1344318.5413206816</v>
      </c>
      <c r="N49" s="4">
        <f t="shared" si="4"/>
        <v>8222729.2678835941</v>
      </c>
    </row>
    <row r="50" spans="1:15" x14ac:dyDescent="0.2">
      <c r="A50">
        <f>'Rate Computation'!A51</f>
        <v>39202</v>
      </c>
      <c r="B50">
        <f>'Rate Computation'!B51</f>
        <v>39202</v>
      </c>
      <c r="C50" t="str">
        <f>'Rate Computation'!C51</f>
        <v>Vehicles from 1/2 - 1 Tons</v>
      </c>
      <c r="F50" s="323">
        <v>9635071.750319995</v>
      </c>
      <c r="H50" s="332">
        <f>'Theoretical Reserve'!H863</f>
        <v>8087562.2320070891</v>
      </c>
      <c r="J50" s="323">
        <f t="shared" si="3"/>
        <v>-1547509.5183129059</v>
      </c>
      <c r="N50" s="4">
        <f t="shared" si="4"/>
        <v>9635071.750319995</v>
      </c>
    </row>
    <row r="51" spans="1:15" x14ac:dyDescent="0.2">
      <c r="A51">
        <f>'Rate Computation'!A52</f>
        <v>39204</v>
      </c>
      <c r="B51">
        <f>'Rate Computation'!B52</f>
        <v>39204</v>
      </c>
      <c r="C51" t="str">
        <f>'Rate Computation'!C52</f>
        <v>Trailers &amp; Other</v>
      </c>
      <c r="F51" s="323">
        <v>932593.93949549214</v>
      </c>
      <c r="H51" s="332">
        <f>'Theoretical Reserve'!H904</f>
        <v>605226.20688912738</v>
      </c>
      <c r="J51" s="323">
        <f t="shared" si="3"/>
        <v>-327367.73260636476</v>
      </c>
      <c r="N51" s="4">
        <f t="shared" si="4"/>
        <v>932593.93949549214</v>
      </c>
    </row>
    <row r="52" spans="1:15" x14ac:dyDescent="0.2">
      <c r="A52">
        <f>'Rate Computation'!A53</f>
        <v>39205</v>
      </c>
      <c r="B52">
        <f>'Rate Computation'!B53</f>
        <v>39205</v>
      </c>
      <c r="C52" t="str">
        <f>'Rate Computation'!C53</f>
        <v>Vehicles over 1 Ton</v>
      </c>
      <c r="F52" s="323">
        <v>1395539.2506799987</v>
      </c>
      <c r="H52" s="332">
        <f>'Theoretical Reserve'!H920</f>
        <v>1110304.5851944366</v>
      </c>
      <c r="J52" s="323">
        <f t="shared" si="3"/>
        <v>-285234.66548556206</v>
      </c>
      <c r="N52" s="4">
        <f t="shared" si="4"/>
        <v>1395539.2506799987</v>
      </c>
    </row>
    <row r="53" spans="1:15" x14ac:dyDescent="0.2">
      <c r="A53">
        <f>'Rate Computation'!A54</f>
        <v>39300</v>
      </c>
      <c r="B53">
        <f>'Rate Computation'!B54</f>
        <v>39300</v>
      </c>
      <c r="C53" t="str">
        <f>'Rate Computation'!C54</f>
        <v>Stores Equipment</v>
      </c>
      <c r="F53" s="323">
        <v>647.04815000006727</v>
      </c>
      <c r="H53" s="332">
        <f>'Theoretical Reserve'!H922</f>
        <v>668.43229166666663</v>
      </c>
      <c r="J53" s="323">
        <f t="shared" si="3"/>
        <v>21.384141666599362</v>
      </c>
      <c r="N53" s="4">
        <f t="shared" si="4"/>
        <v>647.04815000006727</v>
      </c>
    </row>
    <row r="54" spans="1:15" x14ac:dyDescent="0.2">
      <c r="A54">
        <f>'Rate Computation'!A55</f>
        <v>39400</v>
      </c>
      <c r="B54">
        <f>'Rate Computation'!B55</f>
        <v>39400</v>
      </c>
      <c r="C54" t="str">
        <f>'Rate Computation'!C55</f>
        <v>Tools, Shop &amp; Garage Equip</v>
      </c>
      <c r="F54" s="323">
        <v>4783405.2230809862</v>
      </c>
      <c r="H54" s="332">
        <f>'Theoretical Reserve'!H944</f>
        <v>4162505.1461111121</v>
      </c>
      <c r="J54" s="323">
        <f t="shared" si="3"/>
        <v>-620900.07696987409</v>
      </c>
      <c r="N54" s="4">
        <f t="shared" si="4"/>
        <v>4783405.2230809862</v>
      </c>
    </row>
    <row r="55" spans="1:15" x14ac:dyDescent="0.2">
      <c r="A55">
        <f>'Rate Computation'!A56</f>
        <v>39401</v>
      </c>
      <c r="B55">
        <f>'Rate Computation'!B56</f>
        <v>39401</v>
      </c>
      <c r="C55" t="str">
        <f>'Rate Computation'!C56</f>
        <v>CNC Station Equipment</v>
      </c>
      <c r="F55" s="323">
        <v>958073.39337000111</v>
      </c>
      <c r="H55" s="332">
        <f>'Theoretical Reserve'!H953</f>
        <v>982914.31574999948</v>
      </c>
      <c r="J55" s="323">
        <f t="shared" si="3"/>
        <v>24840.922379998374</v>
      </c>
      <c r="K55" s="143"/>
      <c r="N55" s="4">
        <f t="shared" si="4"/>
        <v>958073.39337000111</v>
      </c>
    </row>
    <row r="56" spans="1:15" x14ac:dyDescent="0.2">
      <c r="A56">
        <f>'Rate Computation'!A57</f>
        <v>39600</v>
      </c>
      <c r="B56">
        <f>'Rate Computation'!B57</f>
        <v>39600</v>
      </c>
      <c r="C56" t="str">
        <f>'Rate Computation'!C57</f>
        <v>Power Operated Equipment</v>
      </c>
      <c r="F56" s="323">
        <v>2148335.1997778886</v>
      </c>
      <c r="H56" s="332">
        <f>'Theoretical Reserve'!H987</f>
        <v>1469239.0107407374</v>
      </c>
      <c r="J56" s="323">
        <f t="shared" si="3"/>
        <v>-679096.18903715117</v>
      </c>
      <c r="N56" s="4">
        <f t="shared" si="4"/>
        <v>2148335.1997778886</v>
      </c>
    </row>
    <row r="57" spans="1:15" x14ac:dyDescent="0.2">
      <c r="A57">
        <f>'Rate Computation'!A58</f>
        <v>39700</v>
      </c>
      <c r="B57">
        <f>'Rate Computation'!B58</f>
        <v>39700</v>
      </c>
      <c r="C57" t="str">
        <f>'Rate Computation'!C58</f>
        <v>Communication Equipment</v>
      </c>
      <c r="F57" s="323">
        <v>3012751.6863328698</v>
      </c>
      <c r="H57" s="332">
        <f>'Theoretical Reserve'!H1000</f>
        <v>2637260.2415692308</v>
      </c>
      <c r="J57" s="323">
        <f t="shared" si="3"/>
        <v>-375491.44476363901</v>
      </c>
      <c r="N57" s="4">
        <f t="shared" si="4"/>
        <v>3012751.6863328698</v>
      </c>
    </row>
    <row r="58" spans="1:15" x14ac:dyDescent="0.2">
      <c r="A58">
        <f>'Rate Computation'!A59</f>
        <v>39800</v>
      </c>
      <c r="B58">
        <f>'Rate Computation'!B59</f>
        <v>39800</v>
      </c>
      <c r="C58" t="str">
        <f>'Rate Computation'!C59</f>
        <v>Miscellaneous Equipment</v>
      </c>
      <c r="F58" s="323">
        <v>236137.54089293242</v>
      </c>
      <c r="H58" s="332">
        <f>'Theoretical Reserve'!H1018</f>
        <v>161215.01680767705</v>
      </c>
      <c r="J58" s="323">
        <f t="shared" si="3"/>
        <v>-74922.524085255369</v>
      </c>
      <c r="N58" s="4">
        <f t="shared" si="4"/>
        <v>236137.54089293242</v>
      </c>
    </row>
    <row r="59" spans="1:15" x14ac:dyDescent="0.2">
      <c r="A59">
        <f>'Rate Computation'!A60</f>
        <v>0</v>
      </c>
      <c r="B59" t="str">
        <f>'Rate Computation'!B60</f>
        <v xml:space="preserve"> </v>
      </c>
      <c r="C59" t="str">
        <f>'Rate Computation'!C60</f>
        <v>Subtotal General</v>
      </c>
      <c r="F59" s="371">
        <f>SUM(F45:F58)</f>
        <v>37565988.795771018</v>
      </c>
      <c r="G59" s="316"/>
      <c r="H59" s="373">
        <f>SUM(H45:H58)</f>
        <v>31320288.818742387</v>
      </c>
      <c r="I59" s="371"/>
      <c r="J59" s="371">
        <f t="shared" ref="J59:O59" si="5">SUM(J45:J58)</f>
        <v>-6245699.9770286316</v>
      </c>
      <c r="K59" s="371">
        <f t="shared" si="5"/>
        <v>0</v>
      </c>
      <c r="L59" s="371">
        <f t="shared" si="5"/>
        <v>0</v>
      </c>
      <c r="M59" s="371">
        <f t="shared" si="5"/>
        <v>0</v>
      </c>
      <c r="N59" s="371">
        <f t="shared" si="5"/>
        <v>37565988.795771018</v>
      </c>
      <c r="O59" s="323">
        <f t="shared" si="5"/>
        <v>0</v>
      </c>
    </row>
    <row r="60" spans="1:15" x14ac:dyDescent="0.2">
      <c r="F60" s="323"/>
    </row>
    <row r="61" spans="1:15" x14ac:dyDescent="0.2">
      <c r="F61" s="323">
        <f>SUM(F44)</f>
        <v>0</v>
      </c>
    </row>
    <row r="62" spans="1:15" x14ac:dyDescent="0.2">
      <c r="F62" s="323"/>
    </row>
    <row r="63" spans="1:15" x14ac:dyDescent="0.2">
      <c r="F63" s="323"/>
    </row>
    <row r="64" spans="1:15" x14ac:dyDescent="0.2">
      <c r="F64" s="323"/>
    </row>
    <row r="65" spans="1:14" x14ac:dyDescent="0.2">
      <c r="A65">
        <f>'Rate Computation'!A66</f>
        <v>33600</v>
      </c>
      <c r="C65" t="str">
        <f>'Rate Computation'!C66</f>
        <v>Renewable Natural Gas (RNG)</v>
      </c>
      <c r="F65" s="323">
        <v>1079308.7666374999</v>
      </c>
      <c r="H65" s="332">
        <f>'Theoretical Reserve'!H1026</f>
        <v>761626.78512392368</v>
      </c>
      <c r="J65" s="323">
        <f t="shared" ref="J65:J67" si="6">+H65-F65</f>
        <v>-317681.98151357623</v>
      </c>
      <c r="N65" s="4">
        <f t="shared" ref="N65:N67" si="7">+F65+L65</f>
        <v>1079308.7666374999</v>
      </c>
    </row>
    <row r="66" spans="1:14" x14ac:dyDescent="0.2">
      <c r="A66">
        <v>33601</v>
      </c>
      <c r="C66" t="s">
        <v>1362</v>
      </c>
      <c r="F66" s="323">
        <v>4351568.1776400004</v>
      </c>
      <c r="H66" s="332">
        <f>'Theoretical Reserve'!H1037</f>
        <v>3566859.1619999995</v>
      </c>
      <c r="J66" s="323">
        <f t="shared" si="6"/>
        <v>-784709.01564000081</v>
      </c>
      <c r="N66" s="4">
        <f t="shared" si="7"/>
        <v>4351568.1776400004</v>
      </c>
    </row>
    <row r="67" spans="1:14" x14ac:dyDescent="0.2">
      <c r="A67">
        <f>'Rate Computation'!A68</f>
        <v>36400</v>
      </c>
      <c r="C67" t="str">
        <f>'Rate Computation'!C68</f>
        <v>Liquified Natural Gas (LNG)</v>
      </c>
      <c r="F67" s="323">
        <v>79584.682884999987</v>
      </c>
      <c r="H67" s="332">
        <f>'Theoretical Reserve'!H1030</f>
        <v>70509.870227827516</v>
      </c>
      <c r="J67" s="323">
        <f t="shared" si="6"/>
        <v>-9074.8126571724715</v>
      </c>
      <c r="N67" s="4">
        <f t="shared" si="7"/>
        <v>79584.682884999987</v>
      </c>
    </row>
    <row r="68" spans="1:14" x14ac:dyDescent="0.2">
      <c r="C68" s="89" t="s">
        <v>128</v>
      </c>
      <c r="F68" s="323">
        <f>SUM(F65:F67)</f>
        <v>5510461.6271625003</v>
      </c>
      <c r="H68" s="332">
        <f t="shared" ref="H68:N68" si="8">SUM(H65:H67)</f>
        <v>4398995.817351751</v>
      </c>
      <c r="I68" s="323">
        <f t="shared" si="8"/>
        <v>0</v>
      </c>
      <c r="J68" s="323">
        <f t="shared" si="8"/>
        <v>-1111465.8098107495</v>
      </c>
      <c r="K68" s="323">
        <f t="shared" si="8"/>
        <v>0</v>
      </c>
      <c r="L68" s="323">
        <f t="shared" si="8"/>
        <v>0</v>
      </c>
      <c r="M68" s="323">
        <f t="shared" si="8"/>
        <v>0</v>
      </c>
      <c r="N68" s="323">
        <f t="shared" si="8"/>
        <v>5510461.6271625003</v>
      </c>
    </row>
    <row r="69" spans="1:14" x14ac:dyDescent="0.2">
      <c r="F69" s="323"/>
    </row>
    <row r="70" spans="1:14" x14ac:dyDescent="0.2">
      <c r="C70" t="str">
        <f>'Rate Computation'!C71</f>
        <v>Total Depreciable Plant</v>
      </c>
      <c r="F70" s="323">
        <f>+F68+F59+F35+F16</f>
        <v>947898364.76582873</v>
      </c>
      <c r="H70" s="332">
        <f t="shared" ref="H70:M70" si="9">+H68+H59+H35+H16</f>
        <v>794264167.17546523</v>
      </c>
      <c r="I70" s="323">
        <f t="shared" si="9"/>
        <v>0</v>
      </c>
      <c r="J70" s="323">
        <f t="shared" si="9"/>
        <v>-153273853.56228673</v>
      </c>
      <c r="K70" s="323">
        <f t="shared" si="9"/>
        <v>0</v>
      </c>
      <c r="L70" s="323">
        <f t="shared" si="9"/>
        <v>-33999999.999999993</v>
      </c>
      <c r="M70" s="323">
        <f t="shared" si="9"/>
        <v>0</v>
      </c>
      <c r="N70" s="323">
        <f>+N68+N59+N35+N16</f>
        <v>913898364.76582873</v>
      </c>
    </row>
    <row r="71" spans="1:14" x14ac:dyDescent="0.2">
      <c r="F71" s="323"/>
    </row>
    <row r="72" spans="1:14" x14ac:dyDescent="0.2">
      <c r="F72" s="323"/>
    </row>
    <row r="73" spans="1:14" x14ac:dyDescent="0.2">
      <c r="F73" s="323"/>
    </row>
    <row r="74" spans="1:14" x14ac:dyDescent="0.2">
      <c r="A74">
        <f>'Rate Computation'!A75</f>
        <v>30100</v>
      </c>
      <c r="C74" t="str">
        <f>'Rate Computation'!C75</f>
        <v>Organization</v>
      </c>
      <c r="F74" s="323"/>
      <c r="N74" s="323">
        <f>'Rate Computation'!M75</f>
        <v>0</v>
      </c>
    </row>
    <row r="75" spans="1:14" x14ac:dyDescent="0.2">
      <c r="A75">
        <f>'Rate Computation'!A76</f>
        <v>37400</v>
      </c>
      <c r="C75" t="str">
        <f>'Rate Computation'!C76</f>
        <v>Land Distribution</v>
      </c>
      <c r="F75" s="323">
        <v>-60224.600000000413</v>
      </c>
      <c r="N75" s="4">
        <f t="shared" ref="N75:N81" si="10">+F75</f>
        <v>-60224.600000000413</v>
      </c>
    </row>
    <row r="76" spans="1:14" x14ac:dyDescent="0.2">
      <c r="A76">
        <f>'Rate Computation'!A77</f>
        <v>11501</v>
      </c>
      <c r="C76" t="str">
        <f>'Rate Computation'!C77</f>
        <v>PGS Acq Adj</v>
      </c>
      <c r="F76" s="323">
        <v>5028152.9800000144</v>
      </c>
      <c r="N76" s="4">
        <f t="shared" si="10"/>
        <v>5028152.9800000144</v>
      </c>
    </row>
    <row r="77" spans="1:14" x14ac:dyDescent="0.2">
      <c r="A77">
        <f>'Rate Computation'!A78</f>
        <v>10500</v>
      </c>
      <c r="C77" t="str">
        <f>'Rate Computation'!C78</f>
        <v>Futre Use</v>
      </c>
      <c r="F77" s="323">
        <f>'Rate Computation'!E78</f>
        <v>0</v>
      </c>
      <c r="N77" s="4">
        <f t="shared" si="10"/>
        <v>0</v>
      </c>
    </row>
    <row r="78" spans="1:14" x14ac:dyDescent="0.2">
      <c r="F78" s="323"/>
      <c r="N78" s="4">
        <f t="shared" si="10"/>
        <v>0</v>
      </c>
    </row>
    <row r="79" spans="1:14" ht="13.5" thickBot="1" x14ac:dyDescent="0.25">
      <c r="C79" t="str">
        <f>'Rate Computation'!C81</f>
        <v>Total PGS</v>
      </c>
      <c r="F79" s="372">
        <f>SUM(F70:F78)</f>
        <v>952866293.14582872</v>
      </c>
      <c r="G79" s="312"/>
      <c r="H79" s="374"/>
      <c r="I79" s="372"/>
      <c r="J79" s="372"/>
      <c r="K79" s="312"/>
      <c r="L79" s="312"/>
      <c r="M79" s="312"/>
      <c r="N79" s="372">
        <f>SUM(N70:N78)</f>
        <v>918866293.14582872</v>
      </c>
    </row>
    <row r="80" spans="1:14" ht="13.5" thickTop="1" x14ac:dyDescent="0.2">
      <c r="F80" s="323">
        <v>952866293.14582837</v>
      </c>
      <c r="N80" s="4">
        <f>+F80+L70</f>
        <v>918866293.14582837</v>
      </c>
    </row>
    <row r="81" spans="6:14" x14ac:dyDescent="0.2">
      <c r="F81" s="323">
        <f>+F79-F80</f>
        <v>0</v>
      </c>
      <c r="N81" s="4">
        <f t="shared" si="10"/>
        <v>0</v>
      </c>
    </row>
    <row r="82" spans="6:14" x14ac:dyDescent="0.2">
      <c r="F82" s="323"/>
      <c r="N82" s="4"/>
    </row>
    <row r="83" spans="6:14" x14ac:dyDescent="0.2">
      <c r="F83" s="323"/>
      <c r="N83" s="4"/>
    </row>
    <row r="84" spans="6:14" x14ac:dyDescent="0.2">
      <c r="F84" s="323"/>
      <c r="N84" s="4"/>
    </row>
    <row r="85" spans="6:14" x14ac:dyDescent="0.2">
      <c r="F85" s="323"/>
    </row>
    <row r="86" spans="6:14" x14ac:dyDescent="0.2">
      <c r="F86" s="323"/>
    </row>
    <row r="87" spans="6:14" x14ac:dyDescent="0.2">
      <c r="F87" s="323"/>
    </row>
    <row r="88" spans="6:14" x14ac:dyDescent="0.2">
      <c r="F88" s="323"/>
    </row>
    <row r="89" spans="6:14" x14ac:dyDescent="0.2">
      <c r="F89" s="323"/>
    </row>
    <row r="382" spans="11:11" x14ac:dyDescent="0.2">
      <c r="K382" s="4"/>
    </row>
  </sheetData>
  <sortState xmlns:xlrd2="http://schemas.microsoft.com/office/spreadsheetml/2017/richdata2" ref="J14:R1044">
    <sortCondition ref="K14:K104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3A057-BD03-4D8B-B8C6-A5B2CE4BA60F}">
  <dimension ref="A1:F1008"/>
  <sheetViews>
    <sheetView workbookViewId="0">
      <selection activeCell="D793" sqref="D793"/>
    </sheetView>
  </sheetViews>
  <sheetFormatPr defaultRowHeight="12.75" outlineLevelRow="2" x14ac:dyDescent="0.2"/>
  <cols>
    <col min="4" max="4" width="16.5703125" style="323" bestFit="1" customWidth="1"/>
    <col min="5" max="5" width="17.7109375" style="323" bestFit="1" customWidth="1"/>
    <col min="6" max="6" width="9.28515625" style="323" bestFit="1" customWidth="1"/>
  </cols>
  <sheetData>
    <row r="1" spans="1:6" x14ac:dyDescent="0.2">
      <c r="A1" t="s">
        <v>1175</v>
      </c>
      <c r="B1" t="s">
        <v>1170</v>
      </c>
      <c r="C1" t="s">
        <v>1171</v>
      </c>
      <c r="D1" s="323" t="s">
        <v>1172</v>
      </c>
      <c r="E1" s="324" t="s">
        <v>1355</v>
      </c>
      <c r="F1" s="324" t="s">
        <v>1356</v>
      </c>
    </row>
    <row r="2" spans="1:6" hidden="1" outlineLevel="2" x14ac:dyDescent="0.2">
      <c r="A2">
        <v>30300</v>
      </c>
      <c r="B2">
        <v>1993</v>
      </c>
      <c r="C2" s="89">
        <f t="shared" ref="C2:C4" si="0">2024.5-B2</f>
        <v>31.5</v>
      </c>
      <c r="D2" s="323">
        <v>280914.31</v>
      </c>
      <c r="E2" s="323">
        <f>+C2*D2</f>
        <v>8848800.7650000006</v>
      </c>
    </row>
    <row r="3" spans="1:6" hidden="1" outlineLevel="2" x14ac:dyDescent="0.2">
      <c r="A3">
        <v>30300</v>
      </c>
      <c r="B3">
        <v>1995</v>
      </c>
      <c r="C3" s="89">
        <f t="shared" si="0"/>
        <v>29.5</v>
      </c>
      <c r="D3" s="323">
        <v>246442.67</v>
      </c>
      <c r="E3" s="323">
        <f>+C3*D3</f>
        <v>7270058.7650000006</v>
      </c>
    </row>
    <row r="4" spans="1:6" hidden="1" outlineLevel="2" x14ac:dyDescent="0.2">
      <c r="A4">
        <v>30300</v>
      </c>
      <c r="B4">
        <v>1997</v>
      </c>
      <c r="C4" s="89">
        <f t="shared" si="0"/>
        <v>27.5</v>
      </c>
      <c r="D4" s="323">
        <v>287968.09000000003</v>
      </c>
      <c r="E4" s="323">
        <f>+C4*D4</f>
        <v>7919122.4750000006</v>
      </c>
    </row>
    <row r="5" spans="1:6" s="143" customFormat="1" outlineLevel="1" collapsed="1" x14ac:dyDescent="0.2">
      <c r="A5" s="20" t="s">
        <v>1178</v>
      </c>
      <c r="C5" s="89" t="s">
        <v>1230</v>
      </c>
      <c r="D5" s="323">
        <f>SUBTOTAL(9,D2:D4)</f>
        <v>815325.07000000007</v>
      </c>
      <c r="E5" s="323">
        <f>SUBTOTAL(9,E2:E4)</f>
        <v>24037982.005000003</v>
      </c>
      <c r="F5" s="323">
        <f>+E5/D5</f>
        <v>29.482697011880184</v>
      </c>
    </row>
    <row r="6" spans="1:6" hidden="1" outlineLevel="2" x14ac:dyDescent="0.2">
      <c r="A6">
        <v>30301</v>
      </c>
      <c r="B6">
        <v>2024</v>
      </c>
      <c r="C6" s="89">
        <f>2024.5-B6</f>
        <v>0.5</v>
      </c>
      <c r="D6" s="323">
        <v>14303044.800000003</v>
      </c>
      <c r="E6" s="323">
        <f t="shared" ref="E6:E28" si="1">+C6*D6</f>
        <v>7151522.4000000013</v>
      </c>
    </row>
    <row r="7" spans="1:6" hidden="1" outlineLevel="2" x14ac:dyDescent="0.2">
      <c r="A7">
        <v>30301</v>
      </c>
      <c r="B7">
        <v>2023</v>
      </c>
      <c r="C7" s="89">
        <f t="shared" ref="C7:C70" si="2">2024.5-B7</f>
        <v>1.5</v>
      </c>
      <c r="D7" s="323">
        <v>48825616.25999999</v>
      </c>
      <c r="E7" s="323">
        <f t="shared" si="1"/>
        <v>73238424.389999986</v>
      </c>
    </row>
    <row r="8" spans="1:6" hidden="1" outlineLevel="2" x14ac:dyDescent="0.2">
      <c r="A8">
        <v>30301</v>
      </c>
      <c r="B8">
        <v>2022</v>
      </c>
      <c r="C8" s="89">
        <f t="shared" si="2"/>
        <v>2.5</v>
      </c>
      <c r="D8" s="323">
        <v>6856246.5999999996</v>
      </c>
      <c r="E8" s="323">
        <f t="shared" si="1"/>
        <v>17140616.5</v>
      </c>
    </row>
    <row r="9" spans="1:6" hidden="1" outlineLevel="2" x14ac:dyDescent="0.2">
      <c r="A9">
        <v>30301</v>
      </c>
      <c r="B9">
        <v>2021</v>
      </c>
      <c r="C9" s="89">
        <f t="shared" si="2"/>
        <v>3.5</v>
      </c>
      <c r="D9" s="323">
        <v>6333965.1600000001</v>
      </c>
      <c r="E9" s="323">
        <f t="shared" si="1"/>
        <v>22168878.060000002</v>
      </c>
    </row>
    <row r="10" spans="1:6" hidden="1" outlineLevel="2" x14ac:dyDescent="0.2">
      <c r="A10">
        <v>30301</v>
      </c>
      <c r="B10">
        <v>2020</v>
      </c>
      <c r="C10" s="89">
        <f t="shared" si="2"/>
        <v>4.5</v>
      </c>
      <c r="D10" s="323">
        <v>16288279.029999999</v>
      </c>
      <c r="E10" s="323">
        <f t="shared" si="1"/>
        <v>73297255.63499999</v>
      </c>
    </row>
    <row r="11" spans="1:6" hidden="1" outlineLevel="2" x14ac:dyDescent="0.2">
      <c r="A11">
        <v>30301</v>
      </c>
      <c r="B11">
        <v>2019</v>
      </c>
      <c r="C11" s="89">
        <f t="shared" si="2"/>
        <v>5.5</v>
      </c>
      <c r="D11" s="323">
        <v>2714500.0300000003</v>
      </c>
      <c r="E11" s="323">
        <f t="shared" si="1"/>
        <v>14929750.165000001</v>
      </c>
    </row>
    <row r="12" spans="1:6" hidden="1" outlineLevel="2" x14ac:dyDescent="0.2">
      <c r="A12">
        <v>30301</v>
      </c>
      <c r="B12">
        <v>2018</v>
      </c>
      <c r="C12" s="89">
        <f t="shared" si="2"/>
        <v>6.5</v>
      </c>
      <c r="D12" s="323">
        <v>2495160.7200000002</v>
      </c>
      <c r="E12" s="323">
        <f t="shared" si="1"/>
        <v>16218544.680000002</v>
      </c>
    </row>
    <row r="13" spans="1:6" hidden="1" outlineLevel="2" x14ac:dyDescent="0.2">
      <c r="A13">
        <v>30301</v>
      </c>
      <c r="B13">
        <v>2017</v>
      </c>
      <c r="C13" s="89">
        <f t="shared" si="2"/>
        <v>7.5</v>
      </c>
      <c r="D13" s="323">
        <v>404501.34</v>
      </c>
      <c r="E13" s="323">
        <f t="shared" si="1"/>
        <v>3033760.0500000003</v>
      </c>
    </row>
    <row r="14" spans="1:6" hidden="1" outlineLevel="2" x14ac:dyDescent="0.2">
      <c r="A14">
        <v>30301</v>
      </c>
      <c r="B14">
        <v>2016</v>
      </c>
      <c r="C14" s="89">
        <f t="shared" si="2"/>
        <v>8.5</v>
      </c>
      <c r="D14" s="323">
        <v>1962769.57</v>
      </c>
      <c r="E14" s="323">
        <f t="shared" si="1"/>
        <v>16683541.345000001</v>
      </c>
    </row>
    <row r="15" spans="1:6" hidden="1" outlineLevel="2" x14ac:dyDescent="0.2">
      <c r="A15">
        <v>30301</v>
      </c>
      <c r="B15">
        <v>2015</v>
      </c>
      <c r="C15" s="89">
        <f t="shared" si="2"/>
        <v>9.5</v>
      </c>
      <c r="D15" s="323">
        <v>4290931.54</v>
      </c>
      <c r="E15" s="323">
        <f t="shared" si="1"/>
        <v>40763849.630000003</v>
      </c>
    </row>
    <row r="16" spans="1:6" hidden="1" outlineLevel="2" x14ac:dyDescent="0.2">
      <c r="A16">
        <v>30301</v>
      </c>
      <c r="B16">
        <v>2014</v>
      </c>
      <c r="C16" s="89">
        <f t="shared" si="2"/>
        <v>10.5</v>
      </c>
      <c r="D16" s="323">
        <v>1362236.8900000001</v>
      </c>
      <c r="E16" s="323">
        <f t="shared" si="1"/>
        <v>14303487.345000001</v>
      </c>
    </row>
    <row r="17" spans="1:6" hidden="1" outlineLevel="2" x14ac:dyDescent="0.2">
      <c r="A17">
        <v>30301</v>
      </c>
      <c r="B17">
        <v>2013</v>
      </c>
      <c r="C17" s="89">
        <f t="shared" si="2"/>
        <v>11.5</v>
      </c>
      <c r="D17" s="323">
        <v>720847.71000000008</v>
      </c>
      <c r="E17" s="323">
        <f t="shared" si="1"/>
        <v>8289748.665000001</v>
      </c>
    </row>
    <row r="18" spans="1:6" hidden="1" outlineLevel="2" x14ac:dyDescent="0.2">
      <c r="A18">
        <v>30301</v>
      </c>
      <c r="B18">
        <v>2012</v>
      </c>
      <c r="C18" s="89">
        <f t="shared" si="2"/>
        <v>12.5</v>
      </c>
      <c r="D18" s="323">
        <v>7542446.6799999997</v>
      </c>
      <c r="E18" s="323">
        <f t="shared" si="1"/>
        <v>94280583.5</v>
      </c>
    </row>
    <row r="19" spans="1:6" hidden="1" outlineLevel="2" x14ac:dyDescent="0.2">
      <c r="A19">
        <v>30301</v>
      </c>
      <c r="B19">
        <v>2011</v>
      </c>
      <c r="C19" s="89">
        <f t="shared" si="2"/>
        <v>13.5</v>
      </c>
      <c r="D19" s="323">
        <v>2758629.14</v>
      </c>
      <c r="E19" s="323">
        <f t="shared" si="1"/>
        <v>37241493.390000001</v>
      </c>
    </row>
    <row r="20" spans="1:6" hidden="1" outlineLevel="2" x14ac:dyDescent="0.2">
      <c r="A20">
        <v>30301</v>
      </c>
      <c r="B20">
        <v>2010</v>
      </c>
      <c r="C20" s="89">
        <f t="shared" si="2"/>
        <v>14.5</v>
      </c>
      <c r="D20" s="323">
        <v>1703606.7000000002</v>
      </c>
      <c r="E20" s="323">
        <f t="shared" si="1"/>
        <v>24702297.150000002</v>
      </c>
    </row>
    <row r="21" spans="1:6" hidden="1" outlineLevel="2" x14ac:dyDescent="0.2">
      <c r="A21">
        <v>30301</v>
      </c>
      <c r="B21">
        <v>2009</v>
      </c>
      <c r="C21" s="89">
        <f t="shared" si="2"/>
        <v>15.5</v>
      </c>
      <c r="D21" s="323">
        <v>3203016.29</v>
      </c>
      <c r="E21" s="323">
        <f t="shared" si="1"/>
        <v>49646752.494999997</v>
      </c>
    </row>
    <row r="22" spans="1:6" hidden="1" outlineLevel="2" x14ac:dyDescent="0.2">
      <c r="A22">
        <v>30301</v>
      </c>
      <c r="B22">
        <v>2007</v>
      </c>
      <c r="C22" s="89">
        <f t="shared" si="2"/>
        <v>17.5</v>
      </c>
      <c r="D22" s="323">
        <v>122538.29000000001</v>
      </c>
      <c r="E22" s="323">
        <f t="shared" si="1"/>
        <v>2144420.0750000002</v>
      </c>
    </row>
    <row r="23" spans="1:6" hidden="1" outlineLevel="2" x14ac:dyDescent="0.2">
      <c r="A23">
        <v>30301</v>
      </c>
      <c r="B23">
        <v>2006</v>
      </c>
      <c r="C23" s="89">
        <f t="shared" si="2"/>
        <v>18.5</v>
      </c>
      <c r="D23" s="323">
        <v>371049.12</v>
      </c>
      <c r="E23" s="323">
        <f t="shared" si="1"/>
        <v>6864408.7199999997</v>
      </c>
    </row>
    <row r="24" spans="1:6" hidden="1" outlineLevel="2" x14ac:dyDescent="0.2">
      <c r="A24">
        <v>30301</v>
      </c>
      <c r="B24">
        <v>2005</v>
      </c>
      <c r="C24" s="89">
        <f t="shared" si="2"/>
        <v>19.5</v>
      </c>
      <c r="D24" s="323">
        <v>173913.05</v>
      </c>
      <c r="E24" s="323">
        <f t="shared" si="1"/>
        <v>3391304.4749999996</v>
      </c>
    </row>
    <row r="25" spans="1:6" hidden="1" outlineLevel="2" x14ac:dyDescent="0.2">
      <c r="A25">
        <v>30301</v>
      </c>
      <c r="B25">
        <v>2004</v>
      </c>
      <c r="C25" s="89">
        <f t="shared" si="2"/>
        <v>20.5</v>
      </c>
      <c r="D25" s="323">
        <v>130041.41</v>
      </c>
      <c r="E25" s="323">
        <f t="shared" si="1"/>
        <v>2665848.9050000003</v>
      </c>
    </row>
    <row r="26" spans="1:6" hidden="1" outlineLevel="2" x14ac:dyDescent="0.2">
      <c r="A26">
        <v>30301</v>
      </c>
      <c r="B26">
        <v>2003</v>
      </c>
      <c r="C26" s="89">
        <f t="shared" si="2"/>
        <v>21.5</v>
      </c>
      <c r="D26" s="323">
        <v>29233.07</v>
      </c>
      <c r="E26" s="323">
        <f t="shared" si="1"/>
        <v>628511.005</v>
      </c>
    </row>
    <row r="27" spans="1:6" hidden="1" outlineLevel="2" x14ac:dyDescent="0.2">
      <c r="A27">
        <v>30301</v>
      </c>
      <c r="B27">
        <v>2002</v>
      </c>
      <c r="C27" s="89">
        <f t="shared" si="2"/>
        <v>22.5</v>
      </c>
      <c r="D27" s="323">
        <v>1434764.12</v>
      </c>
      <c r="E27" s="323">
        <f t="shared" si="1"/>
        <v>32282192.700000003</v>
      </c>
    </row>
    <row r="28" spans="1:6" hidden="1" outlineLevel="2" x14ac:dyDescent="0.2">
      <c r="A28">
        <v>30301</v>
      </c>
      <c r="B28">
        <v>2001</v>
      </c>
      <c r="C28" s="89">
        <f t="shared" si="2"/>
        <v>23.5</v>
      </c>
      <c r="D28" s="323">
        <v>802351.27</v>
      </c>
      <c r="E28" s="323">
        <f t="shared" si="1"/>
        <v>18855254.844999999</v>
      </c>
    </row>
    <row r="29" spans="1:6" s="143" customFormat="1" outlineLevel="1" collapsed="1" x14ac:dyDescent="0.2">
      <c r="A29" s="20" t="s">
        <v>1179</v>
      </c>
      <c r="C29" s="89" t="s">
        <v>1230</v>
      </c>
      <c r="D29" s="323">
        <f>SUBTOTAL(9,D6:D28)</f>
        <v>124829688.78999999</v>
      </c>
      <c r="E29" s="323">
        <f>SUBTOTAL(9,E6:E28)</f>
        <v>579922446.12500012</v>
      </c>
      <c r="F29" s="323">
        <f>+E29/D29</f>
        <v>4.6457092999775007</v>
      </c>
    </row>
    <row r="30" spans="1:6" hidden="1" outlineLevel="2" x14ac:dyDescent="0.2">
      <c r="A30">
        <v>33600</v>
      </c>
      <c r="B30">
        <v>2024</v>
      </c>
      <c r="C30" s="89">
        <f t="shared" si="2"/>
        <v>0.5</v>
      </c>
      <c r="D30" s="323">
        <v>0</v>
      </c>
      <c r="E30" s="323">
        <f>+C30*D30</f>
        <v>0</v>
      </c>
    </row>
    <row r="31" spans="1:6" hidden="1" outlineLevel="2" x14ac:dyDescent="0.2">
      <c r="A31">
        <v>33600</v>
      </c>
      <c r="B31">
        <v>2023</v>
      </c>
      <c r="C31" s="89">
        <f t="shared" si="2"/>
        <v>1.5</v>
      </c>
      <c r="D31" s="323">
        <v>16109646.340000002</v>
      </c>
      <c r="E31" s="323">
        <f>+C31*D31</f>
        <v>24164469.510000002</v>
      </c>
    </row>
    <row r="32" spans="1:6" hidden="1" outlineLevel="2" x14ac:dyDescent="0.2">
      <c r="A32">
        <v>33600</v>
      </c>
      <c r="B32">
        <v>2022</v>
      </c>
      <c r="C32" s="89">
        <f t="shared" si="2"/>
        <v>2.5</v>
      </c>
      <c r="D32" s="323">
        <v>0</v>
      </c>
      <c r="E32" s="323">
        <f>+C32*D32</f>
        <v>0</v>
      </c>
    </row>
    <row r="33" spans="1:6" s="143" customFormat="1" outlineLevel="1" collapsed="1" x14ac:dyDescent="0.2">
      <c r="A33" s="20" t="s">
        <v>1265</v>
      </c>
      <c r="C33" s="89" t="s">
        <v>1230</v>
      </c>
      <c r="D33" s="323">
        <f>SUBTOTAL(9,D30:D32)</f>
        <v>16109646.340000002</v>
      </c>
      <c r="E33" s="323">
        <f>SUBTOTAL(9,E30:E32)</f>
        <v>24164469.510000002</v>
      </c>
      <c r="F33" s="323">
        <f>+E33/D33</f>
        <v>1.5</v>
      </c>
    </row>
    <row r="34" spans="1:6" hidden="1" outlineLevel="2" x14ac:dyDescent="0.2">
      <c r="A34">
        <v>33601</v>
      </c>
      <c r="B34">
        <v>2024</v>
      </c>
      <c r="C34" s="89">
        <f t="shared" si="2"/>
        <v>0.5</v>
      </c>
      <c r="D34" s="323">
        <v>0</v>
      </c>
      <c r="E34" s="323">
        <f>+C34*D34</f>
        <v>0</v>
      </c>
    </row>
    <row r="35" spans="1:6" hidden="1" outlineLevel="2" x14ac:dyDescent="0.2">
      <c r="A35">
        <v>33601</v>
      </c>
      <c r="B35">
        <v>2023</v>
      </c>
      <c r="C35" s="89">
        <f t="shared" si="2"/>
        <v>1.5</v>
      </c>
      <c r="D35" s="323">
        <v>35668591.620000005</v>
      </c>
      <c r="E35" s="323">
        <f>+C35*D35</f>
        <v>53502887.430000007</v>
      </c>
    </row>
    <row r="36" spans="1:6" s="143" customFormat="1" outlineLevel="1" collapsed="1" x14ac:dyDescent="0.2">
      <c r="A36" s="20" t="s">
        <v>1348</v>
      </c>
      <c r="C36" s="89" t="s">
        <v>1230</v>
      </c>
      <c r="D36" s="323">
        <f>SUBTOTAL(9,D34:D35)</f>
        <v>35668591.620000005</v>
      </c>
      <c r="E36" s="323">
        <f>SUBTOTAL(9,E34:E35)</f>
        <v>53502887.430000007</v>
      </c>
      <c r="F36" s="323">
        <f>+E36/D36</f>
        <v>1.5</v>
      </c>
    </row>
    <row r="37" spans="1:6" hidden="1" outlineLevel="2" x14ac:dyDescent="0.2">
      <c r="A37">
        <v>36400</v>
      </c>
      <c r="B37">
        <v>2024</v>
      </c>
      <c r="C37" s="89">
        <f t="shared" si="2"/>
        <v>0.5</v>
      </c>
      <c r="D37" s="323">
        <v>17975.919999999925</v>
      </c>
      <c r="E37" s="323">
        <f>+C37*D37</f>
        <v>8987.9599999999627</v>
      </c>
    </row>
    <row r="38" spans="1:6" hidden="1" outlineLevel="2" x14ac:dyDescent="0.2">
      <c r="A38">
        <v>36400</v>
      </c>
      <c r="B38">
        <v>2023</v>
      </c>
      <c r="C38" s="89">
        <f t="shared" si="2"/>
        <v>1.5</v>
      </c>
      <c r="D38" s="323">
        <v>1485380.05</v>
      </c>
      <c r="E38" s="323">
        <f>+C38*D38</f>
        <v>2228070.0750000002</v>
      </c>
    </row>
    <row r="39" spans="1:6" hidden="1" outlineLevel="2" x14ac:dyDescent="0.2">
      <c r="A39">
        <v>36400</v>
      </c>
      <c r="B39">
        <v>2022</v>
      </c>
      <c r="C39" s="89">
        <f t="shared" si="2"/>
        <v>2.5</v>
      </c>
      <c r="D39" s="323">
        <v>0</v>
      </c>
      <c r="E39" s="323">
        <f>+C39*D39</f>
        <v>0</v>
      </c>
    </row>
    <row r="40" spans="1:6" s="143" customFormat="1" outlineLevel="1" collapsed="1" x14ac:dyDescent="0.2">
      <c r="A40" s="20" t="s">
        <v>1349</v>
      </c>
      <c r="C40" s="89" t="s">
        <v>1230</v>
      </c>
      <c r="D40" s="323">
        <f>SUBTOTAL(9,D37:D39)</f>
        <v>1503355.97</v>
      </c>
      <c r="E40" s="323">
        <f>SUBTOTAL(9,E37:E39)</f>
        <v>2237058.0350000001</v>
      </c>
      <c r="F40" s="323">
        <f>+E40/D40</f>
        <v>1.4880428053244104</v>
      </c>
    </row>
    <row r="41" spans="1:6" hidden="1" outlineLevel="2" x14ac:dyDescent="0.2">
      <c r="A41">
        <v>37402</v>
      </c>
      <c r="B41">
        <v>2018</v>
      </c>
      <c r="C41" s="89">
        <f t="shared" si="2"/>
        <v>6.5</v>
      </c>
      <c r="D41" s="323">
        <v>60540.78</v>
      </c>
      <c r="E41" s="323">
        <f t="shared" ref="E41:E77" si="3">+C41*D41</f>
        <v>393515.07</v>
      </c>
    </row>
    <row r="42" spans="1:6" hidden="1" outlineLevel="2" x14ac:dyDescent="0.2">
      <c r="A42">
        <v>37402</v>
      </c>
      <c r="B42">
        <v>2017</v>
      </c>
      <c r="C42" s="89">
        <f t="shared" si="2"/>
        <v>7.5</v>
      </c>
      <c r="D42" s="323">
        <v>311775.23</v>
      </c>
      <c r="E42" s="323">
        <f t="shared" si="3"/>
        <v>2338314.2249999996</v>
      </c>
    </row>
    <row r="43" spans="1:6" hidden="1" outlineLevel="2" x14ac:dyDescent="0.2">
      <c r="A43">
        <v>37402</v>
      </c>
      <c r="B43">
        <v>2016</v>
      </c>
      <c r="C43" s="89">
        <f t="shared" si="2"/>
        <v>8.5</v>
      </c>
      <c r="D43" s="323">
        <v>1072853.7</v>
      </c>
      <c r="E43" s="323">
        <f t="shared" si="3"/>
        <v>9119256.4499999993</v>
      </c>
    </row>
    <row r="44" spans="1:6" hidden="1" outlineLevel="2" x14ac:dyDescent="0.2">
      <c r="A44">
        <v>37402</v>
      </c>
      <c r="B44">
        <v>2015</v>
      </c>
      <c r="C44" s="89">
        <f t="shared" si="2"/>
        <v>9.5</v>
      </c>
      <c r="D44" s="323">
        <v>895642.5</v>
      </c>
      <c r="E44" s="323">
        <f t="shared" si="3"/>
        <v>8508603.75</v>
      </c>
    </row>
    <row r="45" spans="1:6" hidden="1" outlineLevel="2" x14ac:dyDescent="0.2">
      <c r="A45">
        <v>37402</v>
      </c>
      <c r="B45">
        <v>2014</v>
      </c>
      <c r="C45" s="89">
        <f t="shared" si="2"/>
        <v>10.5</v>
      </c>
      <c r="D45" s="323">
        <v>267914.88</v>
      </c>
      <c r="E45" s="323">
        <f t="shared" si="3"/>
        <v>2813106.24</v>
      </c>
    </row>
    <row r="46" spans="1:6" hidden="1" outlineLevel="2" x14ac:dyDescent="0.2">
      <c r="A46">
        <v>37402</v>
      </c>
      <c r="B46">
        <v>2013</v>
      </c>
      <c r="C46" s="89">
        <f t="shared" si="2"/>
        <v>11.5</v>
      </c>
      <c r="D46" s="323">
        <v>30114.25</v>
      </c>
      <c r="E46" s="323">
        <f t="shared" si="3"/>
        <v>346313.875</v>
      </c>
    </row>
    <row r="47" spans="1:6" hidden="1" outlineLevel="2" x14ac:dyDescent="0.2">
      <c r="A47">
        <v>37402</v>
      </c>
      <c r="B47">
        <v>2012</v>
      </c>
      <c r="C47" s="89">
        <f t="shared" si="2"/>
        <v>12.5</v>
      </c>
      <c r="D47" s="323">
        <v>70879.62</v>
      </c>
      <c r="E47" s="323">
        <f t="shared" si="3"/>
        <v>885995.25</v>
      </c>
    </row>
    <row r="48" spans="1:6" hidden="1" outlineLevel="2" x14ac:dyDescent="0.2">
      <c r="A48">
        <v>37402</v>
      </c>
      <c r="B48">
        <v>2010</v>
      </c>
      <c r="C48" s="89">
        <f t="shared" si="2"/>
        <v>14.5</v>
      </c>
      <c r="D48" s="323">
        <v>67325.5</v>
      </c>
      <c r="E48" s="323">
        <f t="shared" si="3"/>
        <v>976219.75</v>
      </c>
    </row>
    <row r="49" spans="1:5" hidden="1" outlineLevel="2" x14ac:dyDescent="0.2">
      <c r="A49">
        <v>37402</v>
      </c>
      <c r="B49">
        <v>2009</v>
      </c>
      <c r="C49" s="89">
        <f t="shared" si="2"/>
        <v>15.5</v>
      </c>
      <c r="D49" s="323">
        <v>121055.42</v>
      </c>
      <c r="E49" s="323">
        <f t="shared" si="3"/>
        <v>1876359.01</v>
      </c>
    </row>
    <row r="50" spans="1:5" hidden="1" outlineLevel="2" x14ac:dyDescent="0.2">
      <c r="A50">
        <v>37402</v>
      </c>
      <c r="B50">
        <v>2008</v>
      </c>
      <c r="C50" s="89">
        <f t="shared" si="2"/>
        <v>16.5</v>
      </c>
      <c r="D50" s="323">
        <v>54867.33</v>
      </c>
      <c r="E50" s="323">
        <f t="shared" si="3"/>
        <v>905310.94500000007</v>
      </c>
    </row>
    <row r="51" spans="1:5" hidden="1" outlineLevel="2" x14ac:dyDescent="0.2">
      <c r="A51">
        <v>37402</v>
      </c>
      <c r="B51">
        <v>2006</v>
      </c>
      <c r="C51" s="89">
        <f t="shared" si="2"/>
        <v>18.5</v>
      </c>
      <c r="D51" s="323">
        <v>12725.4</v>
      </c>
      <c r="E51" s="323">
        <f t="shared" si="3"/>
        <v>235419.9</v>
      </c>
    </row>
    <row r="52" spans="1:5" hidden="1" outlineLevel="2" x14ac:dyDescent="0.2">
      <c r="A52">
        <v>37402</v>
      </c>
      <c r="B52">
        <v>2005</v>
      </c>
      <c r="C52" s="89">
        <f t="shared" si="2"/>
        <v>19.5</v>
      </c>
      <c r="D52" s="323">
        <v>46539.37</v>
      </c>
      <c r="E52" s="323">
        <f t="shared" si="3"/>
        <v>907517.71500000008</v>
      </c>
    </row>
    <row r="53" spans="1:5" hidden="1" outlineLevel="2" x14ac:dyDescent="0.2">
      <c r="A53">
        <v>37402</v>
      </c>
      <c r="B53">
        <v>2004</v>
      </c>
      <c r="C53" s="89">
        <f t="shared" si="2"/>
        <v>20.5</v>
      </c>
      <c r="D53" s="323">
        <v>109828.54</v>
      </c>
      <c r="E53" s="323">
        <f t="shared" si="3"/>
        <v>2251485.0699999998</v>
      </c>
    </row>
    <row r="54" spans="1:5" hidden="1" outlineLevel="2" x14ac:dyDescent="0.2">
      <c r="A54">
        <v>37402</v>
      </c>
      <c r="B54">
        <v>2002</v>
      </c>
      <c r="C54" s="89">
        <f t="shared" si="2"/>
        <v>22.5</v>
      </c>
      <c r="D54" s="323">
        <v>62802.66</v>
      </c>
      <c r="E54" s="323">
        <f t="shared" si="3"/>
        <v>1413059.85</v>
      </c>
    </row>
    <row r="55" spans="1:5" hidden="1" outlineLevel="2" x14ac:dyDescent="0.2">
      <c r="A55">
        <v>37402</v>
      </c>
      <c r="B55">
        <v>2000</v>
      </c>
      <c r="C55" s="89">
        <f t="shared" si="2"/>
        <v>24.5</v>
      </c>
      <c r="D55" s="323">
        <v>16248.02</v>
      </c>
      <c r="E55" s="323">
        <f t="shared" si="3"/>
        <v>398076.49</v>
      </c>
    </row>
    <row r="56" spans="1:5" hidden="1" outlineLevel="2" x14ac:dyDescent="0.2">
      <c r="A56">
        <v>37402</v>
      </c>
      <c r="B56">
        <v>1999</v>
      </c>
      <c r="C56" s="89">
        <f t="shared" si="2"/>
        <v>25.5</v>
      </c>
      <c r="D56" s="323">
        <v>122559.84</v>
      </c>
      <c r="E56" s="323">
        <f t="shared" si="3"/>
        <v>3125275.92</v>
      </c>
    </row>
    <row r="57" spans="1:5" hidden="1" outlineLevel="2" x14ac:dyDescent="0.2">
      <c r="A57">
        <v>37402</v>
      </c>
      <c r="B57">
        <v>1996</v>
      </c>
      <c r="C57" s="89">
        <f t="shared" si="2"/>
        <v>28.5</v>
      </c>
      <c r="D57" s="323">
        <v>227583.17</v>
      </c>
      <c r="E57" s="323">
        <f t="shared" si="3"/>
        <v>6486120.3450000007</v>
      </c>
    </row>
    <row r="58" spans="1:5" hidden="1" outlineLevel="2" x14ac:dyDescent="0.2">
      <c r="A58">
        <v>37402</v>
      </c>
      <c r="B58">
        <v>1994</v>
      </c>
      <c r="C58" s="89">
        <f t="shared" si="2"/>
        <v>30.5</v>
      </c>
      <c r="D58" s="323">
        <v>6611.77</v>
      </c>
      <c r="E58" s="323">
        <f t="shared" si="3"/>
        <v>201658.98500000002</v>
      </c>
    </row>
    <row r="59" spans="1:5" hidden="1" outlineLevel="2" x14ac:dyDescent="0.2">
      <c r="A59">
        <v>37402</v>
      </c>
      <c r="B59">
        <v>1993</v>
      </c>
      <c r="C59" s="89">
        <f t="shared" si="2"/>
        <v>31.5</v>
      </c>
      <c r="D59" s="323">
        <v>12037.5</v>
      </c>
      <c r="E59" s="323">
        <f t="shared" si="3"/>
        <v>379181.25</v>
      </c>
    </row>
    <row r="60" spans="1:5" hidden="1" outlineLevel="2" x14ac:dyDescent="0.2">
      <c r="A60">
        <v>37402</v>
      </c>
      <c r="B60">
        <v>1991</v>
      </c>
      <c r="C60" s="89">
        <f t="shared" si="2"/>
        <v>33.5</v>
      </c>
      <c r="D60" s="323">
        <v>12084.68</v>
      </c>
      <c r="E60" s="323">
        <f t="shared" si="3"/>
        <v>404836.78</v>
      </c>
    </row>
    <row r="61" spans="1:5" hidden="1" outlineLevel="2" x14ac:dyDescent="0.2">
      <c r="A61">
        <v>37402</v>
      </c>
      <c r="B61">
        <v>1981</v>
      </c>
      <c r="C61" s="89">
        <f t="shared" si="2"/>
        <v>43.5</v>
      </c>
      <c r="D61" s="323">
        <v>54.26</v>
      </c>
      <c r="E61" s="323">
        <f t="shared" si="3"/>
        <v>2360.31</v>
      </c>
    </row>
    <row r="62" spans="1:5" hidden="1" outlineLevel="2" x14ac:dyDescent="0.2">
      <c r="A62">
        <v>37402</v>
      </c>
      <c r="B62">
        <v>1975</v>
      </c>
      <c r="C62" s="89">
        <f t="shared" si="2"/>
        <v>49.5</v>
      </c>
      <c r="D62" s="323">
        <v>10955.04</v>
      </c>
      <c r="E62" s="323">
        <f t="shared" si="3"/>
        <v>542274.4800000001</v>
      </c>
    </row>
    <row r="63" spans="1:5" hidden="1" outlineLevel="2" x14ac:dyDescent="0.2">
      <c r="A63">
        <v>37402</v>
      </c>
      <c r="B63">
        <v>1974</v>
      </c>
      <c r="C63" s="89">
        <f t="shared" si="2"/>
        <v>50.5</v>
      </c>
      <c r="D63" s="323">
        <v>14682.24</v>
      </c>
      <c r="E63" s="323">
        <f t="shared" si="3"/>
        <v>741453.12</v>
      </c>
    </row>
    <row r="64" spans="1:5" hidden="1" outlineLevel="2" x14ac:dyDescent="0.2">
      <c r="A64">
        <v>37402</v>
      </c>
      <c r="B64">
        <v>1973</v>
      </c>
      <c r="C64" s="89">
        <f t="shared" si="2"/>
        <v>51.5</v>
      </c>
      <c r="D64" s="323">
        <v>15101.53</v>
      </c>
      <c r="E64" s="323">
        <f t="shared" si="3"/>
        <v>777728.79500000004</v>
      </c>
    </row>
    <row r="65" spans="1:6" hidden="1" outlineLevel="2" x14ac:dyDescent="0.2">
      <c r="A65">
        <v>37402</v>
      </c>
      <c r="B65">
        <v>1972</v>
      </c>
      <c r="C65" s="89">
        <f t="shared" si="2"/>
        <v>52.5</v>
      </c>
      <c r="D65" s="323">
        <v>124757.77</v>
      </c>
      <c r="E65" s="323">
        <f t="shared" si="3"/>
        <v>6549782.9249999998</v>
      </c>
    </row>
    <row r="66" spans="1:6" hidden="1" outlineLevel="2" x14ac:dyDescent="0.2">
      <c r="A66">
        <v>37402</v>
      </c>
      <c r="B66">
        <v>1971</v>
      </c>
      <c r="C66" s="89">
        <f t="shared" si="2"/>
        <v>53.5</v>
      </c>
      <c r="D66" s="323">
        <v>98904.72</v>
      </c>
      <c r="E66" s="323">
        <f t="shared" si="3"/>
        <v>5291402.5200000005</v>
      </c>
    </row>
    <row r="67" spans="1:6" hidden="1" outlineLevel="2" x14ac:dyDescent="0.2">
      <c r="A67">
        <v>37402</v>
      </c>
      <c r="B67">
        <v>1970</v>
      </c>
      <c r="C67" s="89">
        <f t="shared" si="2"/>
        <v>54.5</v>
      </c>
      <c r="D67" s="323">
        <v>116665.02</v>
      </c>
      <c r="E67" s="323">
        <f t="shared" si="3"/>
        <v>6358243.5899999999</v>
      </c>
    </row>
    <row r="68" spans="1:6" hidden="1" outlineLevel="2" x14ac:dyDescent="0.2">
      <c r="A68">
        <v>37402</v>
      </c>
      <c r="B68">
        <v>1969</v>
      </c>
      <c r="C68" s="89">
        <f t="shared" si="2"/>
        <v>55.5</v>
      </c>
      <c r="D68" s="323">
        <v>127678.07</v>
      </c>
      <c r="E68" s="323">
        <f t="shared" si="3"/>
        <v>7086132.8850000007</v>
      </c>
    </row>
    <row r="69" spans="1:6" hidden="1" outlineLevel="2" x14ac:dyDescent="0.2">
      <c r="A69">
        <v>37402</v>
      </c>
      <c r="B69">
        <v>1968</v>
      </c>
      <c r="C69" s="89">
        <f t="shared" si="2"/>
        <v>56.5</v>
      </c>
      <c r="D69" s="323">
        <v>76841.25</v>
      </c>
      <c r="E69" s="323">
        <f t="shared" si="3"/>
        <v>4341530.625</v>
      </c>
    </row>
    <row r="70" spans="1:6" hidden="1" outlineLevel="2" x14ac:dyDescent="0.2">
      <c r="A70">
        <v>37402</v>
      </c>
      <c r="B70">
        <v>1967</v>
      </c>
      <c r="C70" s="89">
        <f t="shared" si="2"/>
        <v>57.5</v>
      </c>
      <c r="D70" s="323">
        <v>27128.87</v>
      </c>
      <c r="E70" s="323">
        <f t="shared" si="3"/>
        <v>1559910.0249999999</v>
      </c>
    </row>
    <row r="71" spans="1:6" hidden="1" outlineLevel="2" x14ac:dyDescent="0.2">
      <c r="A71">
        <v>37402</v>
      </c>
      <c r="B71">
        <v>1966</v>
      </c>
      <c r="C71" s="89">
        <f t="shared" ref="C71:C134" si="4">2024.5-B71</f>
        <v>58.5</v>
      </c>
      <c r="D71" s="323">
        <v>10891.57</v>
      </c>
      <c r="E71" s="323">
        <f t="shared" si="3"/>
        <v>637156.84499999997</v>
      </c>
    </row>
    <row r="72" spans="1:6" hidden="1" outlineLevel="2" x14ac:dyDescent="0.2">
      <c r="A72">
        <v>37402</v>
      </c>
      <c r="B72">
        <v>1965</v>
      </c>
      <c r="C72" s="89">
        <f t="shared" si="4"/>
        <v>59.5</v>
      </c>
      <c r="D72" s="323">
        <v>35291.61</v>
      </c>
      <c r="E72" s="323">
        <f t="shared" si="3"/>
        <v>2099850.7949999999</v>
      </c>
    </row>
    <row r="73" spans="1:6" hidden="1" outlineLevel="2" x14ac:dyDescent="0.2">
      <c r="A73">
        <v>37402</v>
      </c>
      <c r="B73">
        <v>1964</v>
      </c>
      <c r="C73" s="89">
        <f t="shared" si="4"/>
        <v>60.5</v>
      </c>
      <c r="D73" s="323">
        <v>8772.19</v>
      </c>
      <c r="E73" s="323">
        <f t="shared" si="3"/>
        <v>530717.495</v>
      </c>
    </row>
    <row r="74" spans="1:6" hidden="1" outlineLevel="2" x14ac:dyDescent="0.2">
      <c r="A74">
        <v>37402</v>
      </c>
      <c r="B74">
        <v>1963</v>
      </c>
      <c r="C74" s="89">
        <f t="shared" si="4"/>
        <v>61.5</v>
      </c>
      <c r="D74" s="323">
        <v>8082.6</v>
      </c>
      <c r="E74" s="323">
        <f t="shared" si="3"/>
        <v>497079.9</v>
      </c>
    </row>
    <row r="75" spans="1:6" hidden="1" outlineLevel="2" x14ac:dyDescent="0.2">
      <c r="A75">
        <v>37402</v>
      </c>
      <c r="B75">
        <v>1962</v>
      </c>
      <c r="C75" s="89">
        <f t="shared" si="4"/>
        <v>62.5</v>
      </c>
      <c r="D75" s="323">
        <v>1233.71</v>
      </c>
      <c r="E75" s="323">
        <f t="shared" si="3"/>
        <v>77106.875</v>
      </c>
    </row>
    <row r="76" spans="1:6" hidden="1" outlineLevel="2" x14ac:dyDescent="0.2">
      <c r="A76">
        <v>37402</v>
      </c>
      <c r="B76">
        <v>1960</v>
      </c>
      <c r="C76" s="89">
        <f t="shared" si="4"/>
        <v>64.5</v>
      </c>
      <c r="D76" s="323">
        <v>1079.04</v>
      </c>
      <c r="E76" s="323">
        <f t="shared" si="3"/>
        <v>69598.080000000002</v>
      </c>
    </row>
    <row r="77" spans="1:6" hidden="1" outlineLevel="2" x14ac:dyDescent="0.2">
      <c r="A77">
        <v>37402</v>
      </c>
      <c r="B77">
        <v>1959</v>
      </c>
      <c r="C77" s="89">
        <f t="shared" si="4"/>
        <v>65.5</v>
      </c>
      <c r="D77" s="323">
        <v>8763.01</v>
      </c>
      <c r="E77" s="323">
        <f t="shared" si="3"/>
        <v>573977.15500000003</v>
      </c>
    </row>
    <row r="78" spans="1:6" s="143" customFormat="1" outlineLevel="1" collapsed="1" x14ac:dyDescent="0.2">
      <c r="A78" s="20" t="s">
        <v>1180</v>
      </c>
      <c r="C78" s="89" t="s">
        <v>1230</v>
      </c>
      <c r="D78" s="323">
        <f>SUBTOTAL(9,D41:D77)</f>
        <v>4268872.66</v>
      </c>
      <c r="E78" s="323">
        <f>SUBTOTAL(9,E41:E77)</f>
        <v>81701933.290000021</v>
      </c>
      <c r="F78" s="323">
        <f>+E78/D78</f>
        <v>19.1389951861436</v>
      </c>
    </row>
    <row r="79" spans="1:6" hidden="1" outlineLevel="2" x14ac:dyDescent="0.2">
      <c r="A79">
        <v>37500</v>
      </c>
      <c r="B79">
        <v>2024</v>
      </c>
      <c r="C79" s="89">
        <f t="shared" si="4"/>
        <v>0.5</v>
      </c>
      <c r="D79" s="323">
        <v>12123219</v>
      </c>
      <c r="E79" s="323">
        <f t="shared" ref="E79:E110" si="5">+C79*D79</f>
        <v>6061609.5</v>
      </c>
    </row>
    <row r="80" spans="1:6" hidden="1" outlineLevel="2" x14ac:dyDescent="0.2">
      <c r="A80">
        <v>37500</v>
      </c>
      <c r="B80">
        <v>2023</v>
      </c>
      <c r="C80" s="89">
        <f t="shared" si="4"/>
        <v>1.5</v>
      </c>
      <c r="D80" s="323">
        <v>5278050.9899999993</v>
      </c>
      <c r="E80" s="323">
        <f t="shared" si="5"/>
        <v>7917076.4849999994</v>
      </c>
    </row>
    <row r="81" spans="1:5" hidden="1" outlineLevel="2" x14ac:dyDescent="0.2">
      <c r="A81">
        <v>37500</v>
      </c>
      <c r="B81">
        <v>2022</v>
      </c>
      <c r="C81" s="89">
        <f t="shared" si="4"/>
        <v>2.5</v>
      </c>
      <c r="D81" s="323">
        <v>706644.96000000008</v>
      </c>
      <c r="E81" s="323">
        <f t="shared" si="5"/>
        <v>1766612.4000000001</v>
      </c>
    </row>
    <row r="82" spans="1:5" hidden="1" outlineLevel="2" x14ac:dyDescent="0.2">
      <c r="A82">
        <v>37500</v>
      </c>
      <c r="B82">
        <v>2021</v>
      </c>
      <c r="C82" s="89">
        <f t="shared" si="4"/>
        <v>3.5</v>
      </c>
      <c r="D82" s="323">
        <v>275473.39</v>
      </c>
      <c r="E82" s="323">
        <f t="shared" si="5"/>
        <v>964156.86499999999</v>
      </c>
    </row>
    <row r="83" spans="1:5" hidden="1" outlineLevel="2" x14ac:dyDescent="0.2">
      <c r="A83">
        <v>37500</v>
      </c>
      <c r="B83">
        <v>2020</v>
      </c>
      <c r="C83" s="89">
        <f t="shared" si="4"/>
        <v>4.5</v>
      </c>
      <c r="D83" s="323">
        <v>317815.46999999997</v>
      </c>
      <c r="E83" s="323">
        <f t="shared" si="5"/>
        <v>1430169.6149999998</v>
      </c>
    </row>
    <row r="84" spans="1:5" hidden="1" outlineLevel="2" x14ac:dyDescent="0.2">
      <c r="A84">
        <v>37500</v>
      </c>
      <c r="B84">
        <v>2019</v>
      </c>
      <c r="C84" s="89">
        <f t="shared" si="4"/>
        <v>5.5</v>
      </c>
      <c r="D84" s="323">
        <v>1536081.73</v>
      </c>
      <c r="E84" s="323">
        <f t="shared" si="5"/>
        <v>8448449.5150000006</v>
      </c>
    </row>
    <row r="85" spans="1:5" hidden="1" outlineLevel="2" x14ac:dyDescent="0.2">
      <c r="A85">
        <v>37500</v>
      </c>
      <c r="B85">
        <v>2018</v>
      </c>
      <c r="C85" s="89">
        <f t="shared" si="4"/>
        <v>6.5</v>
      </c>
      <c r="D85" s="323">
        <v>488977.42</v>
      </c>
      <c r="E85" s="323">
        <f t="shared" si="5"/>
        <v>3178353.23</v>
      </c>
    </row>
    <row r="86" spans="1:5" hidden="1" outlineLevel="2" x14ac:dyDescent="0.2">
      <c r="A86">
        <v>37500</v>
      </c>
      <c r="B86">
        <v>2017</v>
      </c>
      <c r="C86" s="89">
        <f t="shared" si="4"/>
        <v>7.5</v>
      </c>
      <c r="D86" s="323">
        <v>980589.42</v>
      </c>
      <c r="E86" s="323">
        <f t="shared" si="5"/>
        <v>7354420.6500000004</v>
      </c>
    </row>
    <row r="87" spans="1:5" hidden="1" outlineLevel="2" x14ac:dyDescent="0.2">
      <c r="A87">
        <v>37500</v>
      </c>
      <c r="B87">
        <v>2016</v>
      </c>
      <c r="C87" s="89">
        <f t="shared" si="4"/>
        <v>8.5</v>
      </c>
      <c r="D87" s="323">
        <v>6223006.5800000001</v>
      </c>
      <c r="E87" s="323">
        <f t="shared" si="5"/>
        <v>52895555.93</v>
      </c>
    </row>
    <row r="88" spans="1:5" hidden="1" outlineLevel="2" x14ac:dyDescent="0.2">
      <c r="A88">
        <v>37500</v>
      </c>
      <c r="B88">
        <v>2015</v>
      </c>
      <c r="C88" s="89">
        <f t="shared" si="4"/>
        <v>9.5</v>
      </c>
      <c r="D88" s="323">
        <v>415971.22</v>
      </c>
      <c r="E88" s="323">
        <f t="shared" si="5"/>
        <v>3951726.59</v>
      </c>
    </row>
    <row r="89" spans="1:5" hidden="1" outlineLevel="2" x14ac:dyDescent="0.2">
      <c r="A89">
        <v>37500</v>
      </c>
      <c r="B89">
        <v>2014</v>
      </c>
      <c r="C89" s="89">
        <f t="shared" si="4"/>
        <v>10.5</v>
      </c>
      <c r="D89" s="323">
        <v>100117.9</v>
      </c>
      <c r="E89" s="323">
        <f t="shared" si="5"/>
        <v>1051237.95</v>
      </c>
    </row>
    <row r="90" spans="1:5" hidden="1" outlineLevel="2" x14ac:dyDescent="0.2">
      <c r="A90">
        <v>37500</v>
      </c>
      <c r="B90">
        <v>2013</v>
      </c>
      <c r="C90" s="89">
        <f t="shared" si="4"/>
        <v>11.5</v>
      </c>
      <c r="D90" s="323">
        <v>27683.14</v>
      </c>
      <c r="E90" s="323">
        <f t="shared" si="5"/>
        <v>318356.11</v>
      </c>
    </row>
    <row r="91" spans="1:5" hidden="1" outlineLevel="2" x14ac:dyDescent="0.2">
      <c r="A91">
        <v>37500</v>
      </c>
      <c r="B91">
        <v>2012</v>
      </c>
      <c r="C91" s="89">
        <f t="shared" si="4"/>
        <v>12.5</v>
      </c>
      <c r="D91" s="323">
        <v>130812.33</v>
      </c>
      <c r="E91" s="323">
        <f t="shared" si="5"/>
        <v>1635154.125</v>
      </c>
    </row>
    <row r="92" spans="1:5" hidden="1" outlineLevel="2" x14ac:dyDescent="0.2">
      <c r="A92">
        <v>37500</v>
      </c>
      <c r="B92">
        <v>2011</v>
      </c>
      <c r="C92" s="89">
        <f t="shared" si="4"/>
        <v>13.5</v>
      </c>
      <c r="D92" s="323">
        <v>197577.82</v>
      </c>
      <c r="E92" s="323">
        <f t="shared" si="5"/>
        <v>2667300.5700000003</v>
      </c>
    </row>
    <row r="93" spans="1:5" hidden="1" outlineLevel="2" x14ac:dyDescent="0.2">
      <c r="A93">
        <v>37500</v>
      </c>
      <c r="B93">
        <v>2010</v>
      </c>
      <c r="C93" s="89">
        <f t="shared" si="4"/>
        <v>14.5</v>
      </c>
      <c r="D93" s="323">
        <v>964875.45</v>
      </c>
      <c r="E93" s="323">
        <f t="shared" si="5"/>
        <v>13990694.024999999</v>
      </c>
    </row>
    <row r="94" spans="1:5" hidden="1" outlineLevel="2" x14ac:dyDescent="0.2">
      <c r="A94">
        <v>37500</v>
      </c>
      <c r="B94">
        <v>2009</v>
      </c>
      <c r="C94" s="89">
        <f t="shared" si="4"/>
        <v>15.5</v>
      </c>
      <c r="D94" s="323">
        <v>397892.62</v>
      </c>
      <c r="E94" s="323">
        <f t="shared" si="5"/>
        <v>6167335.6100000003</v>
      </c>
    </row>
    <row r="95" spans="1:5" hidden="1" outlineLevel="2" x14ac:dyDescent="0.2">
      <c r="A95">
        <v>37500</v>
      </c>
      <c r="B95">
        <v>2008</v>
      </c>
      <c r="C95" s="89">
        <f t="shared" si="4"/>
        <v>16.5</v>
      </c>
      <c r="D95" s="323">
        <v>260913.77</v>
      </c>
      <c r="E95" s="323">
        <f t="shared" si="5"/>
        <v>4305077.2050000001</v>
      </c>
    </row>
    <row r="96" spans="1:5" hidden="1" outlineLevel="2" x14ac:dyDescent="0.2">
      <c r="A96">
        <v>37500</v>
      </c>
      <c r="B96">
        <v>2007</v>
      </c>
      <c r="C96" s="89">
        <f t="shared" si="4"/>
        <v>17.5</v>
      </c>
      <c r="D96" s="323">
        <v>1060829.8999999999</v>
      </c>
      <c r="E96" s="323">
        <f t="shared" si="5"/>
        <v>18564523.25</v>
      </c>
    </row>
    <row r="97" spans="1:5" hidden="1" outlineLevel="2" x14ac:dyDescent="0.2">
      <c r="A97">
        <v>37500</v>
      </c>
      <c r="B97">
        <v>2006</v>
      </c>
      <c r="C97" s="89">
        <f t="shared" si="4"/>
        <v>18.5</v>
      </c>
      <c r="D97" s="323">
        <v>1110118.6499999999</v>
      </c>
      <c r="E97" s="323">
        <f t="shared" si="5"/>
        <v>20537195.024999999</v>
      </c>
    </row>
    <row r="98" spans="1:5" hidden="1" outlineLevel="2" x14ac:dyDescent="0.2">
      <c r="A98">
        <v>37500</v>
      </c>
      <c r="B98">
        <v>2005</v>
      </c>
      <c r="C98" s="89">
        <f t="shared" si="4"/>
        <v>19.5</v>
      </c>
      <c r="D98" s="323">
        <v>113895.84</v>
      </c>
      <c r="E98" s="323">
        <f t="shared" si="5"/>
        <v>2220968.88</v>
      </c>
    </row>
    <row r="99" spans="1:5" hidden="1" outlineLevel="2" x14ac:dyDescent="0.2">
      <c r="A99">
        <v>37500</v>
      </c>
      <c r="B99">
        <v>2004</v>
      </c>
      <c r="C99" s="89">
        <f t="shared" si="4"/>
        <v>20.5</v>
      </c>
      <c r="D99" s="323">
        <v>87478.33</v>
      </c>
      <c r="E99" s="323">
        <f t="shared" si="5"/>
        <v>1793305.7650000001</v>
      </c>
    </row>
    <row r="100" spans="1:5" hidden="1" outlineLevel="2" x14ac:dyDescent="0.2">
      <c r="A100">
        <v>37500</v>
      </c>
      <c r="B100">
        <v>2003</v>
      </c>
      <c r="C100" s="89">
        <f t="shared" si="4"/>
        <v>21.5</v>
      </c>
      <c r="D100" s="323">
        <v>1299753.9099999999</v>
      </c>
      <c r="E100" s="323">
        <f t="shared" si="5"/>
        <v>27944709.064999998</v>
      </c>
    </row>
    <row r="101" spans="1:5" hidden="1" outlineLevel="2" x14ac:dyDescent="0.2">
      <c r="A101">
        <v>37500</v>
      </c>
      <c r="B101">
        <v>2002</v>
      </c>
      <c r="C101" s="89">
        <f t="shared" si="4"/>
        <v>22.5</v>
      </c>
      <c r="D101" s="323">
        <v>1449154.67</v>
      </c>
      <c r="E101" s="323">
        <f t="shared" si="5"/>
        <v>32605980.074999999</v>
      </c>
    </row>
    <row r="102" spans="1:5" hidden="1" outlineLevel="2" x14ac:dyDescent="0.2">
      <c r="A102">
        <v>37500</v>
      </c>
      <c r="B102">
        <v>2001</v>
      </c>
      <c r="C102" s="89">
        <f t="shared" si="4"/>
        <v>23.5</v>
      </c>
      <c r="D102" s="323">
        <v>2041211.79</v>
      </c>
      <c r="E102" s="323">
        <f t="shared" si="5"/>
        <v>47968477.064999998</v>
      </c>
    </row>
    <row r="103" spans="1:5" hidden="1" outlineLevel="2" x14ac:dyDescent="0.2">
      <c r="A103">
        <v>37500</v>
      </c>
      <c r="B103">
        <v>2000</v>
      </c>
      <c r="C103" s="89">
        <f t="shared" si="4"/>
        <v>24.5</v>
      </c>
      <c r="D103" s="323">
        <v>451653.38</v>
      </c>
      <c r="E103" s="323">
        <f t="shared" si="5"/>
        <v>11065507.810000001</v>
      </c>
    </row>
    <row r="104" spans="1:5" hidden="1" outlineLevel="2" x14ac:dyDescent="0.2">
      <c r="A104">
        <v>37500</v>
      </c>
      <c r="B104">
        <v>1999</v>
      </c>
      <c r="C104" s="89">
        <f t="shared" si="4"/>
        <v>25.5</v>
      </c>
      <c r="D104" s="323">
        <v>385489.97</v>
      </c>
      <c r="E104" s="323">
        <f t="shared" si="5"/>
        <v>9829994.2349999994</v>
      </c>
    </row>
    <row r="105" spans="1:5" hidden="1" outlineLevel="2" x14ac:dyDescent="0.2">
      <c r="A105">
        <v>37500</v>
      </c>
      <c r="B105">
        <v>1998</v>
      </c>
      <c r="C105" s="89">
        <f t="shared" si="4"/>
        <v>26.5</v>
      </c>
      <c r="D105" s="323">
        <v>50657.11</v>
      </c>
      <c r="E105" s="323">
        <f t="shared" si="5"/>
        <v>1342413.415</v>
      </c>
    </row>
    <row r="106" spans="1:5" hidden="1" outlineLevel="2" x14ac:dyDescent="0.2">
      <c r="A106">
        <v>37500</v>
      </c>
      <c r="B106">
        <v>1997</v>
      </c>
      <c r="C106" s="89">
        <f t="shared" si="4"/>
        <v>27.5</v>
      </c>
      <c r="D106" s="323">
        <v>195678.27</v>
      </c>
      <c r="E106" s="323">
        <f t="shared" si="5"/>
        <v>5381152.4249999998</v>
      </c>
    </row>
    <row r="107" spans="1:5" hidden="1" outlineLevel="2" x14ac:dyDescent="0.2">
      <c r="A107">
        <v>37500</v>
      </c>
      <c r="B107">
        <v>1996</v>
      </c>
      <c r="C107" s="89">
        <f t="shared" si="4"/>
        <v>28.5</v>
      </c>
      <c r="D107" s="323">
        <v>124991.81</v>
      </c>
      <c r="E107" s="323">
        <f t="shared" si="5"/>
        <v>3562266.585</v>
      </c>
    </row>
    <row r="108" spans="1:5" hidden="1" outlineLevel="2" x14ac:dyDescent="0.2">
      <c r="A108">
        <v>37500</v>
      </c>
      <c r="B108">
        <v>1995</v>
      </c>
      <c r="C108" s="89">
        <f t="shared" si="4"/>
        <v>29.5</v>
      </c>
      <c r="D108" s="323">
        <v>198793.97</v>
      </c>
      <c r="E108" s="323">
        <f t="shared" si="5"/>
        <v>5864422.1150000002</v>
      </c>
    </row>
    <row r="109" spans="1:5" hidden="1" outlineLevel="2" x14ac:dyDescent="0.2">
      <c r="A109">
        <v>37500</v>
      </c>
      <c r="B109">
        <v>1994</v>
      </c>
      <c r="C109" s="89">
        <f t="shared" si="4"/>
        <v>30.5</v>
      </c>
      <c r="D109" s="323">
        <v>522640.75</v>
      </c>
      <c r="E109" s="323">
        <f t="shared" si="5"/>
        <v>15940542.875</v>
      </c>
    </row>
    <row r="110" spans="1:5" hidden="1" outlineLevel="2" x14ac:dyDescent="0.2">
      <c r="A110">
        <v>37500</v>
      </c>
      <c r="B110">
        <v>1993</v>
      </c>
      <c r="C110" s="89">
        <f t="shared" si="4"/>
        <v>31.5</v>
      </c>
      <c r="D110" s="323">
        <v>579915.72</v>
      </c>
      <c r="E110" s="323">
        <f t="shared" si="5"/>
        <v>18267345.18</v>
      </c>
    </row>
    <row r="111" spans="1:5" hidden="1" outlineLevel="2" x14ac:dyDescent="0.2">
      <c r="A111">
        <v>37500</v>
      </c>
      <c r="B111">
        <v>1992</v>
      </c>
      <c r="C111" s="89">
        <f t="shared" si="4"/>
        <v>32.5</v>
      </c>
      <c r="D111" s="323">
        <v>74776.08</v>
      </c>
      <c r="E111" s="323">
        <f t="shared" ref="E111:E127" si="6">+C111*D111</f>
        <v>2430222.6</v>
      </c>
    </row>
    <row r="112" spans="1:5" hidden="1" outlineLevel="2" x14ac:dyDescent="0.2">
      <c r="A112">
        <v>37500</v>
      </c>
      <c r="B112">
        <v>1991</v>
      </c>
      <c r="C112" s="89">
        <f t="shared" si="4"/>
        <v>33.5</v>
      </c>
      <c r="D112" s="323">
        <v>34420.61</v>
      </c>
      <c r="E112" s="323">
        <f t="shared" si="6"/>
        <v>1153090.4350000001</v>
      </c>
    </row>
    <row r="113" spans="1:6" hidden="1" outlineLevel="2" x14ac:dyDescent="0.2">
      <c r="A113">
        <v>37500</v>
      </c>
      <c r="B113">
        <v>1990</v>
      </c>
      <c r="C113" s="89">
        <f t="shared" si="4"/>
        <v>34.5</v>
      </c>
      <c r="D113" s="323">
        <v>261229.83</v>
      </c>
      <c r="E113" s="323">
        <f t="shared" si="6"/>
        <v>9012429.1349999998</v>
      </c>
    </row>
    <row r="114" spans="1:6" hidden="1" outlineLevel="2" x14ac:dyDescent="0.2">
      <c r="A114">
        <v>37500</v>
      </c>
      <c r="B114">
        <v>1989</v>
      </c>
      <c r="C114" s="89">
        <f t="shared" si="4"/>
        <v>35.5</v>
      </c>
      <c r="D114" s="323">
        <v>10310.76</v>
      </c>
      <c r="E114" s="323">
        <f t="shared" si="6"/>
        <v>366031.98</v>
      </c>
    </row>
    <row r="115" spans="1:6" hidden="1" outlineLevel="2" x14ac:dyDescent="0.2">
      <c r="A115">
        <v>37500</v>
      </c>
      <c r="B115">
        <v>1988</v>
      </c>
      <c r="C115" s="89">
        <f t="shared" si="4"/>
        <v>36.5</v>
      </c>
      <c r="D115" s="323">
        <v>44231.55</v>
      </c>
      <c r="E115" s="323">
        <f t="shared" si="6"/>
        <v>1614451.5750000002</v>
      </c>
    </row>
    <row r="116" spans="1:6" hidden="1" outlineLevel="2" x14ac:dyDescent="0.2">
      <c r="A116">
        <v>37500</v>
      </c>
      <c r="B116">
        <v>1987</v>
      </c>
      <c r="C116" s="89">
        <f t="shared" si="4"/>
        <v>37.5</v>
      </c>
      <c r="D116" s="323">
        <v>60992.18</v>
      </c>
      <c r="E116" s="323">
        <f t="shared" si="6"/>
        <v>2287206.75</v>
      </c>
    </row>
    <row r="117" spans="1:6" hidden="1" outlineLevel="2" x14ac:dyDescent="0.2">
      <c r="A117">
        <v>37500</v>
      </c>
      <c r="B117">
        <v>1986</v>
      </c>
      <c r="C117" s="89">
        <f t="shared" si="4"/>
        <v>38.5</v>
      </c>
      <c r="D117" s="323">
        <v>1956113.22</v>
      </c>
      <c r="E117" s="323">
        <f t="shared" si="6"/>
        <v>75310358.969999999</v>
      </c>
    </row>
    <row r="118" spans="1:6" hidden="1" outlineLevel="2" x14ac:dyDescent="0.2">
      <c r="A118">
        <v>37500</v>
      </c>
      <c r="B118">
        <v>1985</v>
      </c>
      <c r="C118" s="89">
        <f t="shared" si="4"/>
        <v>39.5</v>
      </c>
      <c r="E118" s="323">
        <f t="shared" si="6"/>
        <v>0</v>
      </c>
    </row>
    <row r="119" spans="1:6" hidden="1" outlineLevel="2" x14ac:dyDescent="0.2">
      <c r="A119">
        <v>37500</v>
      </c>
      <c r="B119">
        <v>1984</v>
      </c>
      <c r="C119" s="89">
        <f t="shared" si="4"/>
        <v>40.5</v>
      </c>
      <c r="E119" s="323">
        <f t="shared" si="6"/>
        <v>0</v>
      </c>
    </row>
    <row r="120" spans="1:6" hidden="1" outlineLevel="2" x14ac:dyDescent="0.2">
      <c r="A120">
        <v>37500</v>
      </c>
      <c r="B120">
        <v>1983</v>
      </c>
      <c r="C120" s="89">
        <f t="shared" si="4"/>
        <v>41.5</v>
      </c>
      <c r="E120" s="323">
        <f t="shared" si="6"/>
        <v>0</v>
      </c>
    </row>
    <row r="121" spans="1:6" hidden="1" outlineLevel="2" x14ac:dyDescent="0.2">
      <c r="A121">
        <v>37500</v>
      </c>
      <c r="B121">
        <v>1982</v>
      </c>
      <c r="C121" s="89">
        <f t="shared" si="4"/>
        <v>42.5</v>
      </c>
      <c r="E121" s="323">
        <f t="shared" si="6"/>
        <v>0</v>
      </c>
    </row>
    <row r="122" spans="1:6" hidden="1" outlineLevel="2" x14ac:dyDescent="0.2">
      <c r="A122">
        <v>37500</v>
      </c>
      <c r="B122">
        <v>1981</v>
      </c>
      <c r="C122" s="89">
        <f t="shared" si="4"/>
        <v>43.5</v>
      </c>
      <c r="E122" s="323">
        <f t="shared" si="6"/>
        <v>0</v>
      </c>
    </row>
    <row r="123" spans="1:6" hidden="1" outlineLevel="2" x14ac:dyDescent="0.2">
      <c r="A123">
        <v>37500</v>
      </c>
      <c r="B123">
        <v>1980</v>
      </c>
      <c r="C123" s="89">
        <f t="shared" si="4"/>
        <v>44.5</v>
      </c>
      <c r="E123" s="323">
        <f t="shared" si="6"/>
        <v>0</v>
      </c>
    </row>
    <row r="124" spans="1:6" hidden="1" outlineLevel="2" x14ac:dyDescent="0.2">
      <c r="A124">
        <v>37500</v>
      </c>
      <c r="B124">
        <v>1978</v>
      </c>
      <c r="C124" s="89">
        <f t="shared" si="4"/>
        <v>46.5</v>
      </c>
      <c r="E124" s="323">
        <f t="shared" si="6"/>
        <v>0</v>
      </c>
    </row>
    <row r="125" spans="1:6" hidden="1" outlineLevel="2" x14ac:dyDescent="0.2">
      <c r="A125">
        <v>37500</v>
      </c>
      <c r="B125">
        <v>1976</v>
      </c>
      <c r="C125" s="89">
        <f t="shared" si="4"/>
        <v>48.5</v>
      </c>
      <c r="E125" s="323">
        <f t="shared" si="6"/>
        <v>0</v>
      </c>
    </row>
    <row r="126" spans="1:6" hidden="1" outlineLevel="2" x14ac:dyDescent="0.2">
      <c r="A126">
        <v>37500</v>
      </c>
      <c r="B126">
        <v>1975</v>
      </c>
      <c r="C126" s="89">
        <f t="shared" si="4"/>
        <v>49.5</v>
      </c>
      <c r="E126" s="323">
        <f t="shared" si="6"/>
        <v>0</v>
      </c>
    </row>
    <row r="127" spans="1:6" hidden="1" outlineLevel="2" x14ac:dyDescent="0.2">
      <c r="A127">
        <v>37500</v>
      </c>
      <c r="B127">
        <v>1974</v>
      </c>
      <c r="C127" s="89">
        <f t="shared" si="4"/>
        <v>50.5</v>
      </c>
      <c r="E127" s="323">
        <f t="shared" si="6"/>
        <v>0</v>
      </c>
    </row>
    <row r="128" spans="1:6" s="143" customFormat="1" outlineLevel="1" collapsed="1" x14ac:dyDescent="0.2">
      <c r="A128" s="20" t="s">
        <v>1181</v>
      </c>
      <c r="C128" s="89" t="s">
        <v>1230</v>
      </c>
      <c r="D128" s="323">
        <f>SUBTOTAL(9,D79:D127)</f>
        <v>42540041.509999983</v>
      </c>
      <c r="E128" s="323">
        <f>SUBTOTAL(9,E79:E127)</f>
        <v>439165881.58500004</v>
      </c>
      <c r="F128" s="323">
        <f>+E128/D128</f>
        <v>10.323588459164158</v>
      </c>
    </row>
    <row r="129" spans="1:5" hidden="1" outlineLevel="2" x14ac:dyDescent="0.2">
      <c r="A129">
        <v>37600</v>
      </c>
      <c r="B129">
        <v>2024</v>
      </c>
      <c r="C129" s="89">
        <f t="shared" si="4"/>
        <v>0.5</v>
      </c>
      <c r="D129" s="323">
        <v>14028807.663222639</v>
      </c>
      <c r="E129" s="323">
        <f t="shared" ref="E129:E160" si="7">+C129*D129</f>
        <v>7014403.8316113194</v>
      </c>
    </row>
    <row r="130" spans="1:5" hidden="1" outlineLevel="2" x14ac:dyDescent="0.2">
      <c r="A130">
        <v>37600</v>
      </c>
      <c r="B130">
        <v>2023</v>
      </c>
      <c r="C130" s="89">
        <f t="shared" si="4"/>
        <v>1.5</v>
      </c>
      <c r="D130" s="323">
        <v>91298946.495545566</v>
      </c>
      <c r="E130" s="323">
        <f t="shared" si="7"/>
        <v>136948419.74331835</v>
      </c>
    </row>
    <row r="131" spans="1:5" hidden="1" outlineLevel="2" x14ac:dyDescent="0.2">
      <c r="A131">
        <v>37600</v>
      </c>
      <c r="B131">
        <v>2022</v>
      </c>
      <c r="C131" s="89">
        <f t="shared" si="4"/>
        <v>2.5</v>
      </c>
      <c r="D131" s="323">
        <v>59588526.220000006</v>
      </c>
      <c r="E131" s="323">
        <f t="shared" si="7"/>
        <v>148971315.55000001</v>
      </c>
    </row>
    <row r="132" spans="1:5" hidden="1" outlineLevel="2" x14ac:dyDescent="0.2">
      <c r="A132">
        <v>37600</v>
      </c>
      <c r="B132">
        <v>2021</v>
      </c>
      <c r="C132" s="89">
        <f t="shared" si="4"/>
        <v>3.5</v>
      </c>
      <c r="D132" s="323">
        <v>106265901.86</v>
      </c>
      <c r="E132" s="323">
        <f t="shared" si="7"/>
        <v>371930656.50999999</v>
      </c>
    </row>
    <row r="133" spans="1:5" hidden="1" outlineLevel="2" x14ac:dyDescent="0.2">
      <c r="A133">
        <v>37600</v>
      </c>
      <c r="B133">
        <v>2020</v>
      </c>
      <c r="C133" s="89">
        <f t="shared" si="4"/>
        <v>4.5</v>
      </c>
      <c r="D133" s="323">
        <v>84148547.469999999</v>
      </c>
      <c r="E133" s="323">
        <f t="shared" si="7"/>
        <v>378668463.61500001</v>
      </c>
    </row>
    <row r="134" spans="1:5" hidden="1" outlineLevel="2" x14ac:dyDescent="0.2">
      <c r="A134">
        <v>37600</v>
      </c>
      <c r="B134">
        <v>2019</v>
      </c>
      <c r="C134" s="89">
        <f t="shared" si="4"/>
        <v>5.5</v>
      </c>
      <c r="D134" s="323">
        <v>29404985.100000001</v>
      </c>
      <c r="E134" s="323">
        <f t="shared" si="7"/>
        <v>161727418.05000001</v>
      </c>
    </row>
    <row r="135" spans="1:5" hidden="1" outlineLevel="2" x14ac:dyDescent="0.2">
      <c r="A135">
        <v>37600</v>
      </c>
      <c r="B135">
        <v>2018</v>
      </c>
      <c r="C135" s="89">
        <f t="shared" ref="C135:C198" si="8">2024.5-B135</f>
        <v>6.5</v>
      </c>
      <c r="D135" s="323">
        <v>24548208.259999998</v>
      </c>
      <c r="E135" s="323">
        <f t="shared" si="7"/>
        <v>159563353.69</v>
      </c>
    </row>
    <row r="136" spans="1:5" hidden="1" outlineLevel="2" x14ac:dyDescent="0.2">
      <c r="A136">
        <v>37600</v>
      </c>
      <c r="B136">
        <v>2017</v>
      </c>
      <c r="C136" s="89">
        <f t="shared" si="8"/>
        <v>7.5</v>
      </c>
      <c r="D136" s="323">
        <v>25014029.719999999</v>
      </c>
      <c r="E136" s="323">
        <f t="shared" si="7"/>
        <v>187605222.89999998</v>
      </c>
    </row>
    <row r="137" spans="1:5" hidden="1" outlineLevel="2" x14ac:dyDescent="0.2">
      <c r="A137">
        <v>37600</v>
      </c>
      <c r="B137">
        <v>2016</v>
      </c>
      <c r="C137" s="89">
        <f t="shared" si="8"/>
        <v>8.5</v>
      </c>
      <c r="D137" s="323">
        <v>29365010.199999999</v>
      </c>
      <c r="E137" s="323">
        <f t="shared" si="7"/>
        <v>249602586.69999999</v>
      </c>
    </row>
    <row r="138" spans="1:5" hidden="1" outlineLevel="2" x14ac:dyDescent="0.2">
      <c r="A138">
        <v>37600</v>
      </c>
      <c r="B138">
        <v>2015</v>
      </c>
      <c r="C138" s="89">
        <f t="shared" si="8"/>
        <v>9.5</v>
      </c>
      <c r="D138" s="323">
        <v>8681159</v>
      </c>
      <c r="E138" s="323">
        <f t="shared" si="7"/>
        <v>82471010.5</v>
      </c>
    </row>
    <row r="139" spans="1:5" hidden="1" outlineLevel="2" x14ac:dyDescent="0.2">
      <c r="A139">
        <v>37600</v>
      </c>
      <c r="B139">
        <v>2014</v>
      </c>
      <c r="C139" s="89">
        <f t="shared" si="8"/>
        <v>10.5</v>
      </c>
      <c r="D139" s="323">
        <v>16693976.66</v>
      </c>
      <c r="E139" s="323">
        <f t="shared" si="7"/>
        <v>175286754.93000001</v>
      </c>
    </row>
    <row r="140" spans="1:5" hidden="1" outlineLevel="2" x14ac:dyDescent="0.2">
      <c r="A140">
        <v>37600</v>
      </c>
      <c r="B140">
        <v>2013</v>
      </c>
      <c r="C140" s="89">
        <f t="shared" si="8"/>
        <v>11.5</v>
      </c>
      <c r="D140" s="323">
        <v>36108503.880000003</v>
      </c>
      <c r="E140" s="323">
        <f t="shared" si="7"/>
        <v>415247794.62</v>
      </c>
    </row>
    <row r="141" spans="1:5" hidden="1" outlineLevel="2" x14ac:dyDescent="0.2">
      <c r="A141">
        <v>37600</v>
      </c>
      <c r="B141">
        <v>2012</v>
      </c>
      <c r="C141" s="89">
        <f t="shared" si="8"/>
        <v>12.5</v>
      </c>
      <c r="D141" s="323">
        <v>14835653.58</v>
      </c>
      <c r="E141" s="323">
        <f t="shared" si="7"/>
        <v>185445669.75</v>
      </c>
    </row>
    <row r="142" spans="1:5" hidden="1" outlineLevel="2" x14ac:dyDescent="0.2">
      <c r="A142">
        <v>37600</v>
      </c>
      <c r="B142">
        <v>2011</v>
      </c>
      <c r="C142" s="89">
        <f t="shared" si="8"/>
        <v>13.5</v>
      </c>
      <c r="D142" s="323">
        <v>12473481.299999999</v>
      </c>
      <c r="E142" s="323">
        <f t="shared" si="7"/>
        <v>168391997.54999998</v>
      </c>
    </row>
    <row r="143" spans="1:5" hidden="1" outlineLevel="2" x14ac:dyDescent="0.2">
      <c r="A143">
        <v>37600</v>
      </c>
      <c r="B143">
        <v>2010</v>
      </c>
      <c r="C143" s="89">
        <f t="shared" si="8"/>
        <v>14.5</v>
      </c>
      <c r="D143" s="323">
        <v>27833077.359999999</v>
      </c>
      <c r="E143" s="323">
        <f t="shared" si="7"/>
        <v>403579621.71999997</v>
      </c>
    </row>
    <row r="144" spans="1:5" hidden="1" outlineLevel="2" x14ac:dyDescent="0.2">
      <c r="A144">
        <v>37600</v>
      </c>
      <c r="B144">
        <v>2009</v>
      </c>
      <c r="C144" s="89">
        <f t="shared" si="8"/>
        <v>15.5</v>
      </c>
      <c r="D144" s="323">
        <v>26291133.809999999</v>
      </c>
      <c r="E144" s="323">
        <f t="shared" si="7"/>
        <v>407512574.05500001</v>
      </c>
    </row>
    <row r="145" spans="1:5" hidden="1" outlineLevel="2" x14ac:dyDescent="0.2">
      <c r="A145">
        <v>37600</v>
      </c>
      <c r="B145">
        <v>2008</v>
      </c>
      <c r="C145" s="89">
        <f t="shared" si="8"/>
        <v>16.5</v>
      </c>
      <c r="D145" s="323">
        <v>5045352.28</v>
      </c>
      <c r="E145" s="323">
        <f t="shared" si="7"/>
        <v>83248312.620000005</v>
      </c>
    </row>
    <row r="146" spans="1:5" hidden="1" outlineLevel="2" x14ac:dyDescent="0.2">
      <c r="A146">
        <v>37600</v>
      </c>
      <c r="B146">
        <v>2007</v>
      </c>
      <c r="C146" s="89">
        <f t="shared" si="8"/>
        <v>17.5</v>
      </c>
      <c r="D146" s="323">
        <v>4182324.87</v>
      </c>
      <c r="E146" s="323">
        <f t="shared" si="7"/>
        <v>73190685.225000009</v>
      </c>
    </row>
    <row r="147" spans="1:5" hidden="1" outlineLevel="2" x14ac:dyDescent="0.2">
      <c r="A147">
        <v>37600</v>
      </c>
      <c r="B147">
        <v>2006</v>
      </c>
      <c r="C147" s="89">
        <f t="shared" si="8"/>
        <v>18.5</v>
      </c>
      <c r="D147" s="323">
        <v>5975408.9100000001</v>
      </c>
      <c r="E147" s="323">
        <f t="shared" si="7"/>
        <v>110545064.83500001</v>
      </c>
    </row>
    <row r="148" spans="1:5" hidden="1" outlineLevel="2" x14ac:dyDescent="0.2">
      <c r="A148">
        <v>37600</v>
      </c>
      <c r="B148">
        <v>2005</v>
      </c>
      <c r="C148" s="89">
        <f t="shared" si="8"/>
        <v>19.5</v>
      </c>
      <c r="D148" s="323">
        <v>3502683.06</v>
      </c>
      <c r="E148" s="323">
        <f t="shared" si="7"/>
        <v>68302319.670000002</v>
      </c>
    </row>
    <row r="149" spans="1:5" hidden="1" outlineLevel="2" x14ac:dyDescent="0.2">
      <c r="A149">
        <v>37600</v>
      </c>
      <c r="B149">
        <v>2004</v>
      </c>
      <c r="C149" s="89">
        <f t="shared" si="8"/>
        <v>20.5</v>
      </c>
      <c r="D149" s="323">
        <v>3582034.99</v>
      </c>
      <c r="E149" s="323">
        <f t="shared" si="7"/>
        <v>73431717.295000002</v>
      </c>
    </row>
    <row r="150" spans="1:5" hidden="1" outlineLevel="2" x14ac:dyDescent="0.2">
      <c r="A150">
        <v>37600</v>
      </c>
      <c r="B150">
        <v>2003</v>
      </c>
      <c r="C150" s="89">
        <f t="shared" si="8"/>
        <v>21.5</v>
      </c>
      <c r="D150" s="323">
        <v>6676236.9100000001</v>
      </c>
      <c r="E150" s="323">
        <f t="shared" si="7"/>
        <v>143539093.565</v>
      </c>
    </row>
    <row r="151" spans="1:5" hidden="1" outlineLevel="2" x14ac:dyDescent="0.2">
      <c r="A151">
        <v>37600</v>
      </c>
      <c r="B151">
        <v>2002</v>
      </c>
      <c r="C151" s="89">
        <f t="shared" si="8"/>
        <v>22.5</v>
      </c>
      <c r="D151" s="323">
        <v>7192891.7000000002</v>
      </c>
      <c r="E151" s="323">
        <f t="shared" si="7"/>
        <v>161840063.25</v>
      </c>
    </row>
    <row r="152" spans="1:5" hidden="1" outlineLevel="2" x14ac:dyDescent="0.2">
      <c r="A152">
        <v>37600</v>
      </c>
      <c r="B152">
        <v>2001</v>
      </c>
      <c r="C152" s="89">
        <f t="shared" si="8"/>
        <v>23.5</v>
      </c>
      <c r="D152" s="323">
        <v>18221210.970000003</v>
      </c>
      <c r="E152" s="323">
        <f t="shared" si="7"/>
        <v>428198457.79500008</v>
      </c>
    </row>
    <row r="153" spans="1:5" hidden="1" outlineLevel="2" x14ac:dyDescent="0.2">
      <c r="A153">
        <v>37600</v>
      </c>
      <c r="B153">
        <v>2000</v>
      </c>
      <c r="C153" s="89">
        <f t="shared" si="8"/>
        <v>24.5</v>
      </c>
      <c r="D153" s="323">
        <v>17050968.490000002</v>
      </c>
      <c r="E153" s="323">
        <f t="shared" si="7"/>
        <v>417748728.00500005</v>
      </c>
    </row>
    <row r="154" spans="1:5" hidden="1" outlineLevel="2" x14ac:dyDescent="0.2">
      <c r="A154">
        <v>37600</v>
      </c>
      <c r="B154">
        <v>1999</v>
      </c>
      <c r="C154" s="89">
        <f t="shared" si="8"/>
        <v>25.5</v>
      </c>
      <c r="D154" s="323">
        <v>28143824.899999999</v>
      </c>
      <c r="E154" s="323">
        <f t="shared" si="7"/>
        <v>717667534.94999993</v>
      </c>
    </row>
    <row r="155" spans="1:5" hidden="1" outlineLevel="2" x14ac:dyDescent="0.2">
      <c r="A155">
        <v>37600</v>
      </c>
      <c r="B155">
        <v>1998</v>
      </c>
      <c r="C155" s="89">
        <f t="shared" si="8"/>
        <v>26.5</v>
      </c>
      <c r="D155" s="323">
        <v>12946362.83</v>
      </c>
      <c r="E155" s="323">
        <f t="shared" si="7"/>
        <v>343078614.995</v>
      </c>
    </row>
    <row r="156" spans="1:5" hidden="1" outlineLevel="2" x14ac:dyDescent="0.2">
      <c r="A156">
        <v>37600</v>
      </c>
      <c r="B156">
        <v>1997</v>
      </c>
      <c r="C156" s="89">
        <f t="shared" si="8"/>
        <v>27.5</v>
      </c>
      <c r="D156" s="323">
        <v>5123444.37</v>
      </c>
      <c r="E156" s="323">
        <f t="shared" si="7"/>
        <v>140894720.17500001</v>
      </c>
    </row>
    <row r="157" spans="1:5" hidden="1" outlineLevel="2" x14ac:dyDescent="0.2">
      <c r="A157">
        <v>37600</v>
      </c>
      <c r="B157">
        <v>1996</v>
      </c>
      <c r="C157" s="89">
        <f t="shared" si="8"/>
        <v>28.5</v>
      </c>
      <c r="D157" s="323">
        <v>3389592.79</v>
      </c>
      <c r="E157" s="323">
        <f t="shared" si="7"/>
        <v>96603394.515000001</v>
      </c>
    </row>
    <row r="158" spans="1:5" hidden="1" outlineLevel="2" x14ac:dyDescent="0.2">
      <c r="A158">
        <v>37600</v>
      </c>
      <c r="B158">
        <v>1995</v>
      </c>
      <c r="C158" s="89">
        <f t="shared" si="8"/>
        <v>29.5</v>
      </c>
      <c r="D158" s="323">
        <v>7665962.3800000008</v>
      </c>
      <c r="E158" s="323">
        <f t="shared" si="7"/>
        <v>226145890.21000004</v>
      </c>
    </row>
    <row r="159" spans="1:5" hidden="1" outlineLevel="2" x14ac:dyDescent="0.2">
      <c r="A159">
        <v>37600</v>
      </c>
      <c r="B159">
        <v>1994</v>
      </c>
      <c r="C159" s="89">
        <f t="shared" si="8"/>
        <v>30.5</v>
      </c>
      <c r="D159" s="323">
        <v>3643372.72</v>
      </c>
      <c r="E159" s="323">
        <f t="shared" si="7"/>
        <v>111122867.96000001</v>
      </c>
    </row>
    <row r="160" spans="1:5" hidden="1" outlineLevel="2" x14ac:dyDescent="0.2">
      <c r="A160">
        <v>37600</v>
      </c>
      <c r="B160">
        <v>1993</v>
      </c>
      <c r="C160" s="89">
        <f t="shared" si="8"/>
        <v>31.5</v>
      </c>
      <c r="D160" s="323">
        <v>3468298.0599999996</v>
      </c>
      <c r="E160" s="323">
        <f t="shared" si="7"/>
        <v>109251388.88999999</v>
      </c>
    </row>
    <row r="161" spans="1:5" hidden="1" outlineLevel="2" x14ac:dyDescent="0.2">
      <c r="A161">
        <v>37600</v>
      </c>
      <c r="B161">
        <v>1992</v>
      </c>
      <c r="C161" s="89">
        <f t="shared" si="8"/>
        <v>32.5</v>
      </c>
      <c r="D161" s="323">
        <v>3164410.09</v>
      </c>
      <c r="E161" s="323">
        <f t="shared" ref="E161:E192" si="9">+C161*D161</f>
        <v>102843327.925</v>
      </c>
    </row>
    <row r="162" spans="1:5" hidden="1" outlineLevel="2" x14ac:dyDescent="0.2">
      <c r="A162">
        <v>37600</v>
      </c>
      <c r="B162">
        <v>1991</v>
      </c>
      <c r="C162" s="89">
        <f t="shared" si="8"/>
        <v>33.5</v>
      </c>
      <c r="D162" s="323">
        <v>13714329.25</v>
      </c>
      <c r="E162" s="323">
        <f t="shared" si="9"/>
        <v>459430029.875</v>
      </c>
    </row>
    <row r="163" spans="1:5" hidden="1" outlineLevel="2" x14ac:dyDescent="0.2">
      <c r="A163">
        <v>37600</v>
      </c>
      <c r="B163">
        <v>1990</v>
      </c>
      <c r="C163" s="89">
        <f t="shared" si="8"/>
        <v>34.5</v>
      </c>
      <c r="D163" s="323">
        <v>3606303.17</v>
      </c>
      <c r="E163" s="323">
        <f t="shared" si="9"/>
        <v>124417459.36499999</v>
      </c>
    </row>
    <row r="164" spans="1:5" hidden="1" outlineLevel="2" x14ac:dyDescent="0.2">
      <c r="A164">
        <v>37600</v>
      </c>
      <c r="B164">
        <v>1989</v>
      </c>
      <c r="C164" s="89">
        <f t="shared" si="8"/>
        <v>35.5</v>
      </c>
      <c r="D164" s="323">
        <v>3272556.61</v>
      </c>
      <c r="E164" s="323">
        <f t="shared" si="9"/>
        <v>116175759.655</v>
      </c>
    </row>
    <row r="165" spans="1:5" hidden="1" outlineLevel="2" x14ac:dyDescent="0.2">
      <c r="A165">
        <v>37600</v>
      </c>
      <c r="B165">
        <v>1988</v>
      </c>
      <c r="C165" s="89">
        <f t="shared" si="8"/>
        <v>36.5</v>
      </c>
      <c r="D165" s="323">
        <v>5462988.1200000001</v>
      </c>
      <c r="E165" s="323">
        <f t="shared" si="9"/>
        <v>199399066.38</v>
      </c>
    </row>
    <row r="166" spans="1:5" hidden="1" outlineLevel="2" x14ac:dyDescent="0.2">
      <c r="A166">
        <v>37600</v>
      </c>
      <c r="B166">
        <v>1987</v>
      </c>
      <c r="C166" s="89">
        <f t="shared" si="8"/>
        <v>37.5</v>
      </c>
      <c r="D166" s="323">
        <v>2781812.57</v>
      </c>
      <c r="E166" s="323">
        <f t="shared" si="9"/>
        <v>104317971.375</v>
      </c>
    </row>
    <row r="167" spans="1:5" hidden="1" outlineLevel="2" x14ac:dyDescent="0.2">
      <c r="A167">
        <v>37600</v>
      </c>
      <c r="B167">
        <v>1986</v>
      </c>
      <c r="C167" s="89">
        <f t="shared" si="8"/>
        <v>38.5</v>
      </c>
      <c r="D167" s="323">
        <v>7785582.6199999992</v>
      </c>
      <c r="E167" s="323">
        <f t="shared" si="9"/>
        <v>299744930.86999995</v>
      </c>
    </row>
    <row r="168" spans="1:5" hidden="1" outlineLevel="2" x14ac:dyDescent="0.2">
      <c r="A168">
        <v>37600</v>
      </c>
      <c r="B168">
        <v>1985</v>
      </c>
      <c r="C168" s="89">
        <f t="shared" si="8"/>
        <v>39.5</v>
      </c>
      <c r="D168" s="323">
        <v>2225592.44</v>
      </c>
      <c r="E168" s="323">
        <f t="shared" si="9"/>
        <v>87910901.379999995</v>
      </c>
    </row>
    <row r="169" spans="1:5" hidden="1" outlineLevel="2" x14ac:dyDescent="0.2">
      <c r="A169">
        <v>37600</v>
      </c>
      <c r="B169">
        <v>1984</v>
      </c>
      <c r="C169" s="89">
        <f t="shared" si="8"/>
        <v>40.5</v>
      </c>
      <c r="D169" s="323">
        <v>2912319.08</v>
      </c>
      <c r="E169" s="323">
        <f t="shared" si="9"/>
        <v>117948922.74000001</v>
      </c>
    </row>
    <row r="170" spans="1:5" hidden="1" outlineLevel="2" x14ac:dyDescent="0.2">
      <c r="A170">
        <v>37600</v>
      </c>
      <c r="B170">
        <v>1983</v>
      </c>
      <c r="C170" s="89">
        <f t="shared" si="8"/>
        <v>41.5</v>
      </c>
      <c r="D170" s="323">
        <v>2577191.7599999998</v>
      </c>
      <c r="E170" s="323">
        <f t="shared" si="9"/>
        <v>106953458.03999999</v>
      </c>
    </row>
    <row r="171" spans="1:5" hidden="1" outlineLevel="2" x14ac:dyDescent="0.2">
      <c r="A171">
        <v>37600</v>
      </c>
      <c r="B171">
        <v>1982</v>
      </c>
      <c r="C171" s="89">
        <f t="shared" si="8"/>
        <v>42.5</v>
      </c>
      <c r="D171" s="323">
        <v>2316681.3899999997</v>
      </c>
      <c r="E171" s="323">
        <f t="shared" si="9"/>
        <v>98458959.074999988</v>
      </c>
    </row>
    <row r="172" spans="1:5" hidden="1" outlineLevel="2" x14ac:dyDescent="0.2">
      <c r="A172">
        <v>37600</v>
      </c>
      <c r="B172">
        <v>1981</v>
      </c>
      <c r="C172" s="89">
        <f t="shared" si="8"/>
        <v>43.5</v>
      </c>
      <c r="D172" s="323">
        <v>4298462.59</v>
      </c>
      <c r="E172" s="323">
        <f t="shared" si="9"/>
        <v>186983122.66499999</v>
      </c>
    </row>
    <row r="173" spans="1:5" hidden="1" outlineLevel="2" x14ac:dyDescent="0.2">
      <c r="A173">
        <v>37600</v>
      </c>
      <c r="B173">
        <v>1980</v>
      </c>
      <c r="C173" s="89">
        <f t="shared" si="8"/>
        <v>44.5</v>
      </c>
      <c r="D173" s="323">
        <v>2603156.4299999997</v>
      </c>
      <c r="E173" s="323">
        <f t="shared" si="9"/>
        <v>115840461.13499999</v>
      </c>
    </row>
    <row r="174" spans="1:5" hidden="1" outlineLevel="2" x14ac:dyDescent="0.2">
      <c r="A174">
        <v>37600</v>
      </c>
      <c r="B174">
        <v>1979</v>
      </c>
      <c r="C174" s="89">
        <f t="shared" si="8"/>
        <v>45.5</v>
      </c>
      <c r="D174" s="323">
        <v>3198732.2199999997</v>
      </c>
      <c r="E174" s="323">
        <f t="shared" si="9"/>
        <v>145542316.00999999</v>
      </c>
    </row>
    <row r="175" spans="1:5" hidden="1" outlineLevel="2" x14ac:dyDescent="0.2">
      <c r="A175">
        <v>37600</v>
      </c>
      <c r="B175">
        <v>1978</v>
      </c>
      <c r="C175" s="89">
        <f t="shared" si="8"/>
        <v>46.5</v>
      </c>
      <c r="D175" s="323">
        <v>3089228.06</v>
      </c>
      <c r="E175" s="323">
        <f t="shared" si="9"/>
        <v>143649104.78999999</v>
      </c>
    </row>
    <row r="176" spans="1:5" hidden="1" outlineLevel="2" x14ac:dyDescent="0.2">
      <c r="A176">
        <v>37600</v>
      </c>
      <c r="B176">
        <v>1977</v>
      </c>
      <c r="C176" s="89">
        <f t="shared" si="8"/>
        <v>47.5</v>
      </c>
      <c r="D176" s="323">
        <v>1523530.5199999998</v>
      </c>
      <c r="E176" s="323">
        <f t="shared" si="9"/>
        <v>72367699.699999988</v>
      </c>
    </row>
    <row r="177" spans="1:5" hidden="1" outlineLevel="2" x14ac:dyDescent="0.2">
      <c r="A177">
        <v>37600</v>
      </c>
      <c r="B177">
        <v>1976</v>
      </c>
      <c r="C177" s="89">
        <f t="shared" si="8"/>
        <v>48.5</v>
      </c>
      <c r="D177" s="323">
        <v>1782562.2</v>
      </c>
      <c r="E177" s="323">
        <f t="shared" si="9"/>
        <v>86454266.700000003</v>
      </c>
    </row>
    <row r="178" spans="1:5" hidden="1" outlineLevel="2" x14ac:dyDescent="0.2">
      <c r="A178">
        <v>37600</v>
      </c>
      <c r="B178">
        <v>1975</v>
      </c>
      <c r="C178" s="89">
        <f t="shared" si="8"/>
        <v>49.5</v>
      </c>
      <c r="D178" s="323">
        <v>2327388</v>
      </c>
      <c r="E178" s="323">
        <f t="shared" si="9"/>
        <v>115205706</v>
      </c>
    </row>
    <row r="179" spans="1:5" hidden="1" outlineLevel="2" x14ac:dyDescent="0.2">
      <c r="A179">
        <v>37600</v>
      </c>
      <c r="B179">
        <v>1974</v>
      </c>
      <c r="C179" s="89">
        <f t="shared" si="8"/>
        <v>50.5</v>
      </c>
      <c r="D179" s="323">
        <v>3379567.11</v>
      </c>
      <c r="E179" s="323">
        <f t="shared" si="9"/>
        <v>170668139.05500001</v>
      </c>
    </row>
    <row r="180" spans="1:5" hidden="1" outlineLevel="2" x14ac:dyDescent="0.2">
      <c r="A180">
        <v>37600</v>
      </c>
      <c r="B180">
        <v>1973</v>
      </c>
      <c r="C180" s="89">
        <f t="shared" si="8"/>
        <v>51.5</v>
      </c>
      <c r="D180" s="323">
        <v>2967031.95</v>
      </c>
      <c r="E180" s="323">
        <f t="shared" si="9"/>
        <v>152802145.42500001</v>
      </c>
    </row>
    <row r="181" spans="1:5" hidden="1" outlineLevel="2" x14ac:dyDescent="0.2">
      <c r="A181">
        <v>37600</v>
      </c>
      <c r="B181">
        <v>1972</v>
      </c>
      <c r="C181" s="89">
        <f t="shared" si="8"/>
        <v>52.5</v>
      </c>
      <c r="D181" s="323">
        <v>1826425.8399999999</v>
      </c>
      <c r="E181" s="323">
        <f t="shared" si="9"/>
        <v>95887356.599999994</v>
      </c>
    </row>
    <row r="182" spans="1:5" hidden="1" outlineLevel="2" x14ac:dyDescent="0.2">
      <c r="A182">
        <v>37600</v>
      </c>
      <c r="B182">
        <v>1971</v>
      </c>
      <c r="C182" s="89">
        <f t="shared" si="8"/>
        <v>53.5</v>
      </c>
      <c r="D182" s="323">
        <v>1731354.86</v>
      </c>
      <c r="E182" s="323">
        <f t="shared" si="9"/>
        <v>92627485.010000005</v>
      </c>
    </row>
    <row r="183" spans="1:5" hidden="1" outlineLevel="2" x14ac:dyDescent="0.2">
      <c r="A183">
        <v>37600</v>
      </c>
      <c r="B183">
        <v>1970</v>
      </c>
      <c r="C183" s="89">
        <f t="shared" si="8"/>
        <v>54.5</v>
      </c>
      <c r="D183" s="323">
        <v>2280716.86</v>
      </c>
      <c r="E183" s="323">
        <f t="shared" si="9"/>
        <v>124299068.86999999</v>
      </c>
    </row>
    <row r="184" spans="1:5" hidden="1" outlineLevel="2" x14ac:dyDescent="0.2">
      <c r="A184">
        <v>37600</v>
      </c>
      <c r="B184">
        <v>1969</v>
      </c>
      <c r="C184" s="89">
        <f t="shared" si="8"/>
        <v>55.5</v>
      </c>
      <c r="D184" s="323">
        <v>1680713.46</v>
      </c>
      <c r="E184" s="323">
        <f t="shared" si="9"/>
        <v>93279597.030000001</v>
      </c>
    </row>
    <row r="185" spans="1:5" hidden="1" outlineLevel="2" x14ac:dyDescent="0.2">
      <c r="A185">
        <v>37600</v>
      </c>
      <c r="B185">
        <v>1968</v>
      </c>
      <c r="C185" s="89">
        <f t="shared" si="8"/>
        <v>56.5</v>
      </c>
      <c r="D185" s="323">
        <v>2399997</v>
      </c>
      <c r="E185" s="323">
        <f t="shared" si="9"/>
        <v>135599830.5</v>
      </c>
    </row>
    <row r="186" spans="1:5" hidden="1" outlineLevel="2" x14ac:dyDescent="0.2">
      <c r="A186">
        <v>37600</v>
      </c>
      <c r="B186">
        <v>1967</v>
      </c>
      <c r="C186" s="89">
        <f t="shared" si="8"/>
        <v>57.5</v>
      </c>
      <c r="D186" s="323">
        <v>1654475.77</v>
      </c>
      <c r="E186" s="323">
        <f t="shared" si="9"/>
        <v>95132356.775000006</v>
      </c>
    </row>
    <row r="187" spans="1:5" hidden="1" outlineLevel="2" x14ac:dyDescent="0.2">
      <c r="A187">
        <v>37600</v>
      </c>
      <c r="B187">
        <v>1966</v>
      </c>
      <c r="C187" s="89">
        <f t="shared" si="8"/>
        <v>58.5</v>
      </c>
      <c r="D187" s="323">
        <v>864612.42</v>
      </c>
      <c r="E187" s="323">
        <f t="shared" si="9"/>
        <v>50579826.57</v>
      </c>
    </row>
    <row r="188" spans="1:5" hidden="1" outlineLevel="2" x14ac:dyDescent="0.2">
      <c r="A188">
        <v>37600</v>
      </c>
      <c r="B188">
        <v>1965</v>
      </c>
      <c r="C188" s="89">
        <f t="shared" si="8"/>
        <v>59.5</v>
      </c>
      <c r="D188" s="323">
        <v>1031992.36</v>
      </c>
      <c r="E188" s="323">
        <f t="shared" si="9"/>
        <v>61403545.420000002</v>
      </c>
    </row>
    <row r="189" spans="1:5" hidden="1" outlineLevel="2" x14ac:dyDescent="0.2">
      <c r="A189">
        <v>37600</v>
      </c>
      <c r="B189">
        <v>1964</v>
      </c>
      <c r="C189" s="89">
        <f t="shared" si="8"/>
        <v>60.5</v>
      </c>
      <c r="D189" s="323">
        <v>900359.68000000005</v>
      </c>
      <c r="E189" s="323">
        <f t="shared" si="9"/>
        <v>54471760.640000001</v>
      </c>
    </row>
    <row r="190" spans="1:5" hidden="1" outlineLevel="2" x14ac:dyDescent="0.2">
      <c r="A190">
        <v>37600</v>
      </c>
      <c r="B190">
        <v>1963</v>
      </c>
      <c r="C190" s="89">
        <f t="shared" si="8"/>
        <v>61.5</v>
      </c>
      <c r="D190" s="323">
        <v>688981.37</v>
      </c>
      <c r="E190" s="323">
        <f t="shared" si="9"/>
        <v>42372354.255000003</v>
      </c>
    </row>
    <row r="191" spans="1:5" hidden="1" outlineLevel="2" x14ac:dyDescent="0.2">
      <c r="A191">
        <v>37600</v>
      </c>
      <c r="B191">
        <v>1962</v>
      </c>
      <c r="C191" s="89">
        <f t="shared" si="8"/>
        <v>62.5</v>
      </c>
      <c r="D191" s="323">
        <v>586111.81999999995</v>
      </c>
      <c r="E191" s="323">
        <f t="shared" si="9"/>
        <v>36631988.75</v>
      </c>
    </row>
    <row r="192" spans="1:5" hidden="1" outlineLevel="2" x14ac:dyDescent="0.2">
      <c r="A192">
        <v>37600</v>
      </c>
      <c r="B192">
        <v>1961</v>
      </c>
      <c r="C192" s="89">
        <f t="shared" si="8"/>
        <v>63.5</v>
      </c>
      <c r="D192" s="323">
        <v>488769.68</v>
      </c>
      <c r="E192" s="323">
        <f t="shared" si="9"/>
        <v>31036874.68</v>
      </c>
    </row>
    <row r="193" spans="1:6" hidden="1" outlineLevel="2" x14ac:dyDescent="0.2">
      <c r="A193">
        <v>37600</v>
      </c>
      <c r="B193">
        <v>1960</v>
      </c>
      <c r="C193" s="89">
        <f t="shared" si="8"/>
        <v>64.5</v>
      </c>
      <c r="D193" s="323">
        <v>2271714.2000000002</v>
      </c>
      <c r="E193" s="323">
        <f t="shared" ref="E193:E199" si="10">+C193*D193</f>
        <v>146525565.90000001</v>
      </c>
    </row>
    <row r="194" spans="1:6" hidden="1" outlineLevel="2" x14ac:dyDescent="0.2">
      <c r="A194">
        <v>37600</v>
      </c>
      <c r="B194">
        <v>1959</v>
      </c>
      <c r="C194" s="89">
        <f t="shared" si="8"/>
        <v>65.5</v>
      </c>
      <c r="D194" s="323">
        <v>1864660.07</v>
      </c>
      <c r="E194" s="323">
        <f t="shared" si="10"/>
        <v>122135234.58500001</v>
      </c>
    </row>
    <row r="195" spans="1:6" hidden="1" outlineLevel="2" x14ac:dyDescent="0.2">
      <c r="A195">
        <v>37600</v>
      </c>
      <c r="B195">
        <v>1958</v>
      </c>
      <c r="C195" s="89">
        <f t="shared" si="8"/>
        <v>66.5</v>
      </c>
      <c r="D195" s="323">
        <v>1637628.63</v>
      </c>
      <c r="E195" s="323">
        <f t="shared" si="10"/>
        <v>108902303.895</v>
      </c>
    </row>
    <row r="196" spans="1:6" hidden="1" outlineLevel="2" x14ac:dyDescent="0.2">
      <c r="A196">
        <v>37600</v>
      </c>
      <c r="B196">
        <v>1957</v>
      </c>
      <c r="C196" s="89">
        <f t="shared" si="8"/>
        <v>67.5</v>
      </c>
      <c r="D196" s="323">
        <v>136975.84999999995</v>
      </c>
      <c r="E196" s="323">
        <f t="shared" si="10"/>
        <v>9245869.8749999963</v>
      </c>
    </row>
    <row r="197" spans="1:6" hidden="1" outlineLevel="2" x14ac:dyDescent="0.2">
      <c r="A197">
        <v>37600</v>
      </c>
      <c r="B197">
        <v>1956</v>
      </c>
      <c r="C197" s="89">
        <f t="shared" si="8"/>
        <v>68.5</v>
      </c>
      <c r="E197" s="323">
        <f t="shared" si="10"/>
        <v>0</v>
      </c>
    </row>
    <row r="198" spans="1:6" hidden="1" outlineLevel="2" x14ac:dyDescent="0.2">
      <c r="A198">
        <v>37600</v>
      </c>
      <c r="B198">
        <v>1955</v>
      </c>
      <c r="C198" s="89">
        <f t="shared" si="8"/>
        <v>69.5</v>
      </c>
      <c r="E198" s="323">
        <f t="shared" si="10"/>
        <v>0</v>
      </c>
    </row>
    <row r="199" spans="1:6" hidden="1" outlineLevel="2" x14ac:dyDescent="0.2">
      <c r="A199">
        <v>37600</v>
      </c>
      <c r="B199">
        <v>1954</v>
      </c>
      <c r="C199" s="89">
        <f t="shared" ref="C199:C262" si="11">2024.5-B199</f>
        <v>70.5</v>
      </c>
      <c r="E199" s="323">
        <f t="shared" si="10"/>
        <v>0</v>
      </c>
    </row>
    <row r="200" spans="1:6" s="143" customFormat="1" outlineLevel="1" collapsed="1" x14ac:dyDescent="0.2">
      <c r="A200" s="20" t="s">
        <v>1182</v>
      </c>
      <c r="C200" s="89"/>
      <c r="D200" s="323">
        <f>SUBTOTAL(9,D129:D199)</f>
        <v>839424834.85876846</v>
      </c>
      <c r="E200" s="323">
        <f>SUBTOTAL(9,E129:E199)</f>
        <v>11252020885.184935</v>
      </c>
      <c r="F200" s="323">
        <f>+E200/D200</f>
        <v>13.404441253013516</v>
      </c>
    </row>
    <row r="201" spans="1:6" hidden="1" outlineLevel="2" x14ac:dyDescent="0.2">
      <c r="A201">
        <v>37602</v>
      </c>
      <c r="B201">
        <v>2024</v>
      </c>
      <c r="C201" s="89">
        <f t="shared" si="11"/>
        <v>0.5</v>
      </c>
      <c r="D201" s="323">
        <v>124233377.74835862</v>
      </c>
      <c r="E201" s="323">
        <f t="shared" ref="E201:E237" si="12">+C201*D201</f>
        <v>62116688.874179311</v>
      </c>
    </row>
    <row r="202" spans="1:6" hidden="1" outlineLevel="2" x14ac:dyDescent="0.2">
      <c r="A202">
        <v>37602</v>
      </c>
      <c r="B202">
        <v>2023</v>
      </c>
      <c r="C202" s="89">
        <f t="shared" si="11"/>
        <v>1.5</v>
      </c>
      <c r="D202" s="323">
        <v>227207007.88544795</v>
      </c>
      <c r="E202" s="323">
        <f t="shared" si="12"/>
        <v>340810511.82817191</v>
      </c>
    </row>
    <row r="203" spans="1:6" hidden="1" outlineLevel="2" x14ac:dyDescent="0.2">
      <c r="A203">
        <v>37602</v>
      </c>
      <c r="B203">
        <v>2022</v>
      </c>
      <c r="C203" s="89">
        <f t="shared" si="11"/>
        <v>2.5</v>
      </c>
      <c r="D203" s="323">
        <v>38039872.809999995</v>
      </c>
      <c r="E203" s="323">
        <f t="shared" si="12"/>
        <v>95099682.024999991</v>
      </c>
    </row>
    <row r="204" spans="1:6" hidden="1" outlineLevel="2" x14ac:dyDescent="0.2">
      <c r="A204">
        <v>37602</v>
      </c>
      <c r="B204">
        <v>2021</v>
      </c>
      <c r="C204" s="89">
        <f t="shared" si="11"/>
        <v>3.5</v>
      </c>
      <c r="D204" s="323">
        <v>31267391.68</v>
      </c>
      <c r="E204" s="323">
        <f t="shared" si="12"/>
        <v>109435870.88</v>
      </c>
    </row>
    <row r="205" spans="1:6" hidden="1" outlineLevel="2" x14ac:dyDescent="0.2">
      <c r="A205">
        <v>37602</v>
      </c>
      <c r="B205">
        <v>2020</v>
      </c>
      <c r="C205" s="89">
        <f t="shared" si="11"/>
        <v>4.5</v>
      </c>
      <c r="D205" s="323">
        <v>78977475.469999999</v>
      </c>
      <c r="E205" s="323">
        <f t="shared" si="12"/>
        <v>355398639.61500001</v>
      </c>
    </row>
    <row r="206" spans="1:6" hidden="1" outlineLevel="2" x14ac:dyDescent="0.2">
      <c r="A206">
        <v>37602</v>
      </c>
      <c r="B206">
        <v>2019</v>
      </c>
      <c r="C206" s="89">
        <f t="shared" si="11"/>
        <v>5.5</v>
      </c>
      <c r="D206" s="323">
        <v>53082641</v>
      </c>
      <c r="E206" s="323">
        <f t="shared" si="12"/>
        <v>291954525.5</v>
      </c>
    </row>
    <row r="207" spans="1:6" hidden="1" outlineLevel="2" x14ac:dyDescent="0.2">
      <c r="A207">
        <v>37602</v>
      </c>
      <c r="B207">
        <v>2018</v>
      </c>
      <c r="C207" s="89">
        <f t="shared" si="11"/>
        <v>6.5</v>
      </c>
      <c r="D207" s="323">
        <v>73780577.069999993</v>
      </c>
      <c r="E207" s="323">
        <f t="shared" si="12"/>
        <v>479573750.95499992</v>
      </c>
    </row>
    <row r="208" spans="1:6" hidden="1" outlineLevel="2" x14ac:dyDescent="0.2">
      <c r="A208">
        <v>37602</v>
      </c>
      <c r="B208">
        <v>2017</v>
      </c>
      <c r="C208" s="89">
        <f t="shared" si="11"/>
        <v>7.5</v>
      </c>
      <c r="D208" s="323">
        <v>45276685.229999997</v>
      </c>
      <c r="E208" s="323">
        <f t="shared" si="12"/>
        <v>339575139.22499996</v>
      </c>
    </row>
    <row r="209" spans="1:5" hidden="1" outlineLevel="2" x14ac:dyDescent="0.2">
      <c r="A209">
        <v>37602</v>
      </c>
      <c r="B209">
        <v>2016</v>
      </c>
      <c r="C209" s="89">
        <f t="shared" si="11"/>
        <v>8.5</v>
      </c>
      <c r="D209" s="323">
        <v>38451693.170000002</v>
      </c>
      <c r="E209" s="323">
        <f t="shared" si="12"/>
        <v>326839391.94499999</v>
      </c>
    </row>
    <row r="210" spans="1:5" hidden="1" outlineLevel="2" x14ac:dyDescent="0.2">
      <c r="A210">
        <v>37602</v>
      </c>
      <c r="B210">
        <v>2015</v>
      </c>
      <c r="C210" s="89">
        <f t="shared" si="11"/>
        <v>9.5</v>
      </c>
      <c r="D210" s="323">
        <v>31357194.48</v>
      </c>
      <c r="E210" s="323">
        <f t="shared" si="12"/>
        <v>297893347.56</v>
      </c>
    </row>
    <row r="211" spans="1:5" hidden="1" outlineLevel="2" x14ac:dyDescent="0.2">
      <c r="A211">
        <v>37602</v>
      </c>
      <c r="B211">
        <v>2014</v>
      </c>
      <c r="C211" s="89">
        <f t="shared" si="11"/>
        <v>10.5</v>
      </c>
      <c r="D211" s="323">
        <v>28285033.16</v>
      </c>
      <c r="E211" s="323">
        <f t="shared" si="12"/>
        <v>296992848.18000001</v>
      </c>
    </row>
    <row r="212" spans="1:5" hidden="1" outlineLevel="2" x14ac:dyDescent="0.2">
      <c r="A212">
        <v>37602</v>
      </c>
      <c r="B212">
        <v>2013</v>
      </c>
      <c r="C212" s="89">
        <f t="shared" si="11"/>
        <v>11.5</v>
      </c>
      <c r="D212" s="323">
        <v>26258034.18</v>
      </c>
      <c r="E212" s="323">
        <f t="shared" si="12"/>
        <v>301967393.06999999</v>
      </c>
    </row>
    <row r="213" spans="1:5" hidden="1" outlineLevel="2" x14ac:dyDescent="0.2">
      <c r="A213">
        <v>37602</v>
      </c>
      <c r="B213">
        <v>2012</v>
      </c>
      <c r="C213" s="89">
        <f t="shared" si="11"/>
        <v>12.5</v>
      </c>
      <c r="D213" s="323">
        <v>14871441.939999999</v>
      </c>
      <c r="E213" s="323">
        <f t="shared" si="12"/>
        <v>185893024.25</v>
      </c>
    </row>
    <row r="214" spans="1:5" hidden="1" outlineLevel="2" x14ac:dyDescent="0.2">
      <c r="A214">
        <v>37602</v>
      </c>
      <c r="B214">
        <v>2011</v>
      </c>
      <c r="C214" s="89">
        <f t="shared" si="11"/>
        <v>13.5</v>
      </c>
      <c r="D214" s="323">
        <v>24071220.66</v>
      </c>
      <c r="E214" s="323">
        <f t="shared" si="12"/>
        <v>324961478.91000003</v>
      </c>
    </row>
    <row r="215" spans="1:5" hidden="1" outlineLevel="2" x14ac:dyDescent="0.2">
      <c r="A215">
        <v>37602</v>
      </c>
      <c r="B215">
        <v>2010</v>
      </c>
      <c r="C215" s="89">
        <f t="shared" si="11"/>
        <v>14.5</v>
      </c>
      <c r="D215" s="323">
        <v>26634303.5</v>
      </c>
      <c r="E215" s="323">
        <f t="shared" si="12"/>
        <v>386197400.75</v>
      </c>
    </row>
    <row r="216" spans="1:5" hidden="1" outlineLevel="2" x14ac:dyDescent="0.2">
      <c r="A216">
        <v>37602</v>
      </c>
      <c r="B216">
        <v>2009</v>
      </c>
      <c r="C216" s="89">
        <f t="shared" si="11"/>
        <v>15.5</v>
      </c>
      <c r="D216" s="323">
        <v>18994275.919999998</v>
      </c>
      <c r="E216" s="323">
        <f t="shared" si="12"/>
        <v>294411276.75999999</v>
      </c>
    </row>
    <row r="217" spans="1:5" hidden="1" outlineLevel="2" x14ac:dyDescent="0.2">
      <c r="A217">
        <v>37602</v>
      </c>
      <c r="B217">
        <v>2008</v>
      </c>
      <c r="C217" s="89">
        <f t="shared" si="11"/>
        <v>16.5</v>
      </c>
      <c r="D217" s="323">
        <v>7944717.0899999999</v>
      </c>
      <c r="E217" s="323">
        <f t="shared" si="12"/>
        <v>131087831.985</v>
      </c>
    </row>
    <row r="218" spans="1:5" hidden="1" outlineLevel="2" x14ac:dyDescent="0.2">
      <c r="A218">
        <v>37602</v>
      </c>
      <c r="B218">
        <v>2007</v>
      </c>
      <c r="C218" s="89">
        <f t="shared" si="11"/>
        <v>17.5</v>
      </c>
      <c r="D218" s="323">
        <v>6910147.3399999999</v>
      </c>
      <c r="E218" s="323">
        <f t="shared" si="12"/>
        <v>120927578.45</v>
      </c>
    </row>
    <row r="219" spans="1:5" hidden="1" outlineLevel="2" x14ac:dyDescent="0.2">
      <c r="A219">
        <v>37602</v>
      </c>
      <c r="B219">
        <v>2006</v>
      </c>
      <c r="C219" s="89">
        <f t="shared" si="11"/>
        <v>18.5</v>
      </c>
      <c r="D219" s="323">
        <v>5378166.4400000004</v>
      </c>
      <c r="E219" s="323">
        <f t="shared" si="12"/>
        <v>99496079.140000001</v>
      </c>
    </row>
    <row r="220" spans="1:5" hidden="1" outlineLevel="2" x14ac:dyDescent="0.2">
      <c r="A220">
        <v>37602</v>
      </c>
      <c r="B220">
        <v>2005</v>
      </c>
      <c r="C220" s="89">
        <f t="shared" si="11"/>
        <v>19.5</v>
      </c>
      <c r="D220" s="323">
        <v>6249606.4399999995</v>
      </c>
      <c r="E220" s="323">
        <f t="shared" si="12"/>
        <v>121867325.57999998</v>
      </c>
    </row>
    <row r="221" spans="1:5" hidden="1" outlineLevel="2" x14ac:dyDescent="0.2">
      <c r="A221">
        <v>37602</v>
      </c>
      <c r="B221">
        <v>2004</v>
      </c>
      <c r="C221" s="89">
        <f t="shared" si="11"/>
        <v>20.5</v>
      </c>
      <c r="D221" s="323">
        <v>8146684.54</v>
      </c>
      <c r="E221" s="323">
        <f t="shared" si="12"/>
        <v>167007033.06999999</v>
      </c>
    </row>
    <row r="222" spans="1:5" hidden="1" outlineLevel="2" x14ac:dyDescent="0.2">
      <c r="A222">
        <v>37602</v>
      </c>
      <c r="B222">
        <v>2003</v>
      </c>
      <c r="C222" s="89">
        <f t="shared" si="11"/>
        <v>21.5</v>
      </c>
      <c r="D222" s="323">
        <v>8943896.3300000001</v>
      </c>
      <c r="E222" s="323">
        <f t="shared" si="12"/>
        <v>192293771.095</v>
      </c>
    </row>
    <row r="223" spans="1:5" hidden="1" outlineLevel="2" x14ac:dyDescent="0.2">
      <c r="A223">
        <v>37602</v>
      </c>
      <c r="B223">
        <v>2002</v>
      </c>
      <c r="C223" s="89">
        <f t="shared" si="11"/>
        <v>22.5</v>
      </c>
      <c r="D223" s="323">
        <v>11905807.550000001</v>
      </c>
      <c r="E223" s="323">
        <f t="shared" si="12"/>
        <v>267880669.87500003</v>
      </c>
    </row>
    <row r="224" spans="1:5" hidden="1" outlineLevel="2" x14ac:dyDescent="0.2">
      <c r="A224">
        <v>37602</v>
      </c>
      <c r="B224">
        <v>2001</v>
      </c>
      <c r="C224" s="89">
        <f t="shared" si="11"/>
        <v>23.5</v>
      </c>
      <c r="D224" s="323">
        <v>21121786.010000002</v>
      </c>
      <c r="E224" s="323">
        <f t="shared" si="12"/>
        <v>496361971.23500001</v>
      </c>
    </row>
    <row r="225" spans="1:6" hidden="1" outlineLevel="2" x14ac:dyDescent="0.2">
      <c r="A225">
        <v>37602</v>
      </c>
      <c r="B225">
        <v>2000</v>
      </c>
      <c r="C225" s="89">
        <f t="shared" si="11"/>
        <v>24.5</v>
      </c>
      <c r="D225" s="323">
        <v>27576457.640000001</v>
      </c>
      <c r="E225" s="323">
        <f t="shared" si="12"/>
        <v>675623212.18000007</v>
      </c>
    </row>
    <row r="226" spans="1:6" hidden="1" outlineLevel="2" x14ac:dyDescent="0.2">
      <c r="A226">
        <v>37602</v>
      </c>
      <c r="B226">
        <v>1999</v>
      </c>
      <c r="C226" s="89">
        <f t="shared" si="11"/>
        <v>25.5</v>
      </c>
      <c r="D226" s="323">
        <v>19584429.75</v>
      </c>
      <c r="E226" s="323">
        <f t="shared" si="12"/>
        <v>499402958.625</v>
      </c>
    </row>
    <row r="227" spans="1:6" hidden="1" outlineLevel="2" x14ac:dyDescent="0.2">
      <c r="A227">
        <v>37602</v>
      </c>
      <c r="B227">
        <v>1998</v>
      </c>
      <c r="C227" s="89">
        <f t="shared" si="11"/>
        <v>26.5</v>
      </c>
      <c r="D227" s="323">
        <v>14972124.219999999</v>
      </c>
      <c r="E227" s="323">
        <f t="shared" si="12"/>
        <v>396761291.82999998</v>
      </c>
    </row>
    <row r="228" spans="1:6" hidden="1" outlineLevel="2" x14ac:dyDescent="0.2">
      <c r="A228">
        <v>37602</v>
      </c>
      <c r="B228">
        <v>1997</v>
      </c>
      <c r="C228" s="89">
        <f t="shared" si="11"/>
        <v>27.5</v>
      </c>
      <c r="D228" s="323">
        <v>8036782.1699999999</v>
      </c>
      <c r="E228" s="323">
        <f t="shared" si="12"/>
        <v>221011509.67500001</v>
      </c>
    </row>
    <row r="229" spans="1:6" hidden="1" outlineLevel="2" x14ac:dyDescent="0.2">
      <c r="A229">
        <v>37602</v>
      </c>
      <c r="B229">
        <v>1996</v>
      </c>
      <c r="C229" s="89">
        <f t="shared" si="11"/>
        <v>28.5</v>
      </c>
      <c r="D229" s="323">
        <v>5350740.22</v>
      </c>
      <c r="E229" s="323">
        <f t="shared" si="12"/>
        <v>152496096.26999998</v>
      </c>
    </row>
    <row r="230" spans="1:6" hidden="1" outlineLevel="2" x14ac:dyDescent="0.2">
      <c r="A230">
        <v>37602</v>
      </c>
      <c r="B230">
        <v>1995</v>
      </c>
      <c r="C230" s="89">
        <f t="shared" si="11"/>
        <v>29.5</v>
      </c>
      <c r="D230" s="323">
        <v>7486976.8199999994</v>
      </c>
      <c r="E230" s="323">
        <f t="shared" si="12"/>
        <v>220865816.18999997</v>
      </c>
    </row>
    <row r="231" spans="1:6" hidden="1" outlineLevel="2" x14ac:dyDescent="0.2">
      <c r="A231">
        <v>37602</v>
      </c>
      <c r="B231">
        <v>1994</v>
      </c>
      <c r="C231" s="89">
        <f t="shared" si="11"/>
        <v>30.5</v>
      </c>
      <c r="D231" s="323">
        <v>6542540.9100000001</v>
      </c>
      <c r="E231" s="323">
        <f t="shared" si="12"/>
        <v>199547497.755</v>
      </c>
    </row>
    <row r="232" spans="1:6" hidden="1" outlineLevel="2" x14ac:dyDescent="0.2">
      <c r="A232">
        <v>37602</v>
      </c>
      <c r="B232">
        <v>1993</v>
      </c>
      <c r="C232" s="89">
        <f t="shared" si="11"/>
        <v>31.5</v>
      </c>
      <c r="D232" s="323">
        <v>6142817.8100000005</v>
      </c>
      <c r="E232" s="323">
        <f t="shared" si="12"/>
        <v>193498761.01500002</v>
      </c>
    </row>
    <row r="233" spans="1:6" hidden="1" outlineLevel="2" x14ac:dyDescent="0.2">
      <c r="A233">
        <v>37602</v>
      </c>
      <c r="B233">
        <v>1992</v>
      </c>
      <c r="C233" s="89">
        <f t="shared" si="11"/>
        <v>32.5</v>
      </c>
      <c r="D233" s="323">
        <v>3329178.01</v>
      </c>
      <c r="E233" s="323">
        <f t="shared" si="12"/>
        <v>108198285.32499999</v>
      </c>
    </row>
    <row r="234" spans="1:6" hidden="1" outlineLevel="2" x14ac:dyDescent="0.2">
      <c r="A234">
        <v>37602</v>
      </c>
      <c r="B234">
        <v>1991</v>
      </c>
      <c r="C234" s="89">
        <f t="shared" si="11"/>
        <v>33.5</v>
      </c>
      <c r="D234" s="323">
        <v>3499272.57</v>
      </c>
      <c r="E234" s="323">
        <f t="shared" si="12"/>
        <v>117225631.095</v>
      </c>
    </row>
    <row r="235" spans="1:6" hidden="1" outlineLevel="2" x14ac:dyDescent="0.2">
      <c r="A235">
        <v>37602</v>
      </c>
      <c r="B235">
        <v>1990</v>
      </c>
      <c r="C235" s="89">
        <f t="shared" si="11"/>
        <v>34.5</v>
      </c>
      <c r="D235" s="323">
        <v>7581835.6200000001</v>
      </c>
      <c r="E235" s="323">
        <f t="shared" si="12"/>
        <v>261573328.89000002</v>
      </c>
    </row>
    <row r="236" spans="1:6" hidden="1" outlineLevel="2" x14ac:dyDescent="0.2">
      <c r="A236">
        <v>37602</v>
      </c>
      <c r="B236">
        <v>1989</v>
      </c>
      <c r="C236" s="89">
        <f t="shared" si="11"/>
        <v>35.5</v>
      </c>
      <c r="D236" s="323">
        <v>4475620.1800000006</v>
      </c>
      <c r="E236" s="323">
        <f t="shared" si="12"/>
        <v>158884516.39000002</v>
      </c>
    </row>
    <row r="237" spans="1:6" hidden="1" outlineLevel="2" x14ac:dyDescent="0.2">
      <c r="A237">
        <v>37602</v>
      </c>
      <c r="B237">
        <v>1988</v>
      </c>
      <c r="C237" s="89">
        <f t="shared" si="11"/>
        <v>36.5</v>
      </c>
      <c r="D237" s="323">
        <v>4353452.4799999995</v>
      </c>
      <c r="E237" s="323">
        <f t="shared" si="12"/>
        <v>158901015.51999998</v>
      </c>
    </row>
    <row r="238" spans="1:6" s="143" customFormat="1" outlineLevel="1" collapsed="1" x14ac:dyDescent="0.2">
      <c r="A238" s="20" t="s">
        <v>1183</v>
      </c>
      <c r="C238" s="89"/>
      <c r="D238" s="323">
        <f>SUBTOTAL(9,D201:D237)</f>
        <v>1076321266.0438066</v>
      </c>
      <c r="E238" s="323">
        <f>SUBTOTAL(9,E201:E237)</f>
        <v>9450033151.5173492</v>
      </c>
      <c r="F238" s="323">
        <f>+E238/D238</f>
        <v>8.779937226598225</v>
      </c>
    </row>
    <row r="239" spans="1:6" hidden="1" outlineLevel="2" x14ac:dyDescent="0.2">
      <c r="A239">
        <v>37700</v>
      </c>
      <c r="B239">
        <v>2022</v>
      </c>
      <c r="C239" s="89">
        <f t="shared" si="11"/>
        <v>2.5</v>
      </c>
      <c r="D239" s="323">
        <v>95350.330000000016</v>
      </c>
      <c r="E239" s="323">
        <f>+C239*D239</f>
        <v>238375.82500000004</v>
      </c>
    </row>
    <row r="240" spans="1:6" hidden="1" outlineLevel="2" x14ac:dyDescent="0.2">
      <c r="A240">
        <v>37700</v>
      </c>
      <c r="B240">
        <v>2021</v>
      </c>
      <c r="C240" s="89">
        <f t="shared" si="11"/>
        <v>3.5</v>
      </c>
      <c r="D240" s="323">
        <v>19091947.57</v>
      </c>
      <c r="E240" s="323">
        <f>+C240*D240</f>
        <v>66821816.495000005</v>
      </c>
    </row>
    <row r="241" spans="1:6" s="143" customFormat="1" outlineLevel="1" collapsed="1" x14ac:dyDescent="0.2">
      <c r="A241" s="20" t="s">
        <v>1252</v>
      </c>
      <c r="C241" s="89"/>
      <c r="D241" s="323">
        <f>SUBTOTAL(9,D239:D240)</f>
        <v>19187297.899999999</v>
      </c>
      <c r="E241" s="323">
        <f>SUBTOTAL(9,E239:E240)</f>
        <v>67060192.320000008</v>
      </c>
      <c r="F241" s="323">
        <f>+E241/D241</f>
        <v>3.4950305493510898</v>
      </c>
    </row>
    <row r="242" spans="1:6" hidden="1" outlineLevel="2" x14ac:dyDescent="0.2">
      <c r="A242">
        <v>37800</v>
      </c>
      <c r="B242">
        <v>2024</v>
      </c>
      <c r="C242" s="89">
        <f t="shared" si="11"/>
        <v>0.5</v>
      </c>
      <c r="D242" s="323">
        <v>736667</v>
      </c>
      <c r="E242" s="323">
        <f t="shared" ref="E242:E273" si="13">+C242*D242</f>
        <v>368333.5</v>
      </c>
    </row>
    <row r="243" spans="1:6" hidden="1" outlineLevel="2" x14ac:dyDescent="0.2">
      <c r="A243">
        <v>37800</v>
      </c>
      <c r="B243">
        <v>2023</v>
      </c>
      <c r="C243" s="89">
        <f t="shared" si="11"/>
        <v>1.5</v>
      </c>
      <c r="D243" s="323">
        <v>21743.29</v>
      </c>
      <c r="E243" s="323">
        <f t="shared" si="13"/>
        <v>32614.935000000001</v>
      </c>
    </row>
    <row r="244" spans="1:6" hidden="1" outlineLevel="2" x14ac:dyDescent="0.2">
      <c r="A244">
        <v>37800</v>
      </c>
      <c r="B244">
        <v>2022</v>
      </c>
      <c r="C244" s="89">
        <f t="shared" si="11"/>
        <v>2.5</v>
      </c>
      <c r="D244" s="323">
        <v>934794.95000000007</v>
      </c>
      <c r="E244" s="323">
        <f t="shared" si="13"/>
        <v>2336987.375</v>
      </c>
    </row>
    <row r="245" spans="1:6" hidden="1" outlineLevel="2" x14ac:dyDescent="0.2">
      <c r="A245">
        <v>37800</v>
      </c>
      <c r="B245">
        <v>2021</v>
      </c>
      <c r="C245" s="89">
        <f t="shared" si="11"/>
        <v>3.5</v>
      </c>
      <c r="D245" s="323">
        <v>732413.23</v>
      </c>
      <c r="E245" s="323">
        <f t="shared" si="13"/>
        <v>2563446.3049999997</v>
      </c>
    </row>
    <row r="246" spans="1:6" hidden="1" outlineLevel="2" x14ac:dyDescent="0.2">
      <c r="A246">
        <v>37800</v>
      </c>
      <c r="B246">
        <v>2020</v>
      </c>
      <c r="C246" s="89">
        <f t="shared" si="11"/>
        <v>4.5</v>
      </c>
      <c r="D246" s="323">
        <v>2207938.5499999998</v>
      </c>
      <c r="E246" s="323">
        <f t="shared" si="13"/>
        <v>9935723.4749999996</v>
      </c>
    </row>
    <row r="247" spans="1:6" hidden="1" outlineLevel="2" x14ac:dyDescent="0.2">
      <c r="A247">
        <v>37800</v>
      </c>
      <c r="B247">
        <v>2019</v>
      </c>
      <c r="C247" s="89">
        <f t="shared" si="11"/>
        <v>5.5</v>
      </c>
      <c r="D247" s="323">
        <v>1486548.8599999999</v>
      </c>
      <c r="E247" s="323">
        <f t="shared" si="13"/>
        <v>8176018.7299999995</v>
      </c>
    </row>
    <row r="248" spans="1:6" hidden="1" outlineLevel="2" x14ac:dyDescent="0.2">
      <c r="A248">
        <v>37800</v>
      </c>
      <c r="B248">
        <v>2018</v>
      </c>
      <c r="C248" s="89">
        <f t="shared" si="11"/>
        <v>6.5</v>
      </c>
      <c r="D248" s="323">
        <v>1427896.11</v>
      </c>
      <c r="E248" s="323">
        <f t="shared" si="13"/>
        <v>9281324.7149999999</v>
      </c>
    </row>
    <row r="249" spans="1:6" hidden="1" outlineLevel="2" x14ac:dyDescent="0.2">
      <c r="A249">
        <v>37800</v>
      </c>
      <c r="B249">
        <v>2017</v>
      </c>
      <c r="C249" s="89">
        <f t="shared" si="11"/>
        <v>7.5</v>
      </c>
      <c r="D249" s="323">
        <v>1222336.23</v>
      </c>
      <c r="E249" s="323">
        <f t="shared" si="13"/>
        <v>9167521.7249999996</v>
      </c>
    </row>
    <row r="250" spans="1:6" hidden="1" outlineLevel="2" x14ac:dyDescent="0.2">
      <c r="A250">
        <v>37800</v>
      </c>
      <c r="B250">
        <v>2016</v>
      </c>
      <c r="C250" s="89">
        <f t="shared" si="11"/>
        <v>8.5</v>
      </c>
      <c r="D250" s="323">
        <v>1293894.3700000001</v>
      </c>
      <c r="E250" s="323">
        <f t="shared" si="13"/>
        <v>10998102.145000001</v>
      </c>
    </row>
    <row r="251" spans="1:6" hidden="1" outlineLevel="2" x14ac:dyDescent="0.2">
      <c r="A251">
        <v>37800</v>
      </c>
      <c r="B251">
        <v>2015</v>
      </c>
      <c r="C251" s="89">
        <f t="shared" si="11"/>
        <v>9.5</v>
      </c>
      <c r="D251" s="323">
        <v>1366134</v>
      </c>
      <c r="E251" s="323">
        <f t="shared" si="13"/>
        <v>12978273</v>
      </c>
    </row>
    <row r="252" spans="1:6" hidden="1" outlineLevel="2" x14ac:dyDescent="0.2">
      <c r="A252">
        <v>37800</v>
      </c>
      <c r="B252">
        <v>2014</v>
      </c>
      <c r="C252" s="89">
        <f t="shared" si="11"/>
        <v>10.5</v>
      </c>
      <c r="D252" s="323">
        <v>1387932.14</v>
      </c>
      <c r="E252" s="323">
        <f t="shared" si="13"/>
        <v>14573287.469999999</v>
      </c>
    </row>
    <row r="253" spans="1:6" hidden="1" outlineLevel="2" x14ac:dyDescent="0.2">
      <c r="A253">
        <v>37800</v>
      </c>
      <c r="B253">
        <v>2013</v>
      </c>
      <c r="C253" s="89">
        <f t="shared" si="11"/>
        <v>11.5</v>
      </c>
      <c r="D253" s="323">
        <v>1294693.44</v>
      </c>
      <c r="E253" s="323">
        <f t="shared" si="13"/>
        <v>14888974.559999999</v>
      </c>
    </row>
    <row r="254" spans="1:6" hidden="1" outlineLevel="2" x14ac:dyDescent="0.2">
      <c r="A254">
        <v>37800</v>
      </c>
      <c r="B254">
        <v>2012</v>
      </c>
      <c r="C254" s="89">
        <f t="shared" si="11"/>
        <v>12.5</v>
      </c>
      <c r="D254" s="323">
        <v>2369059.25</v>
      </c>
      <c r="E254" s="323">
        <f t="shared" si="13"/>
        <v>29613240.625</v>
      </c>
    </row>
    <row r="255" spans="1:6" hidden="1" outlineLevel="2" x14ac:dyDescent="0.2">
      <c r="A255">
        <v>37800</v>
      </c>
      <c r="B255">
        <v>2011</v>
      </c>
      <c r="C255" s="89">
        <f t="shared" si="11"/>
        <v>13.5</v>
      </c>
      <c r="D255" s="323">
        <v>666370.71</v>
      </c>
      <c r="E255" s="323">
        <f t="shared" si="13"/>
        <v>8996004.584999999</v>
      </c>
    </row>
    <row r="256" spans="1:6" hidden="1" outlineLevel="2" x14ac:dyDescent="0.2">
      <c r="A256">
        <v>37800</v>
      </c>
      <c r="B256">
        <v>2010</v>
      </c>
      <c r="C256" s="89">
        <f t="shared" si="11"/>
        <v>14.5</v>
      </c>
      <c r="D256" s="323">
        <v>321507.76</v>
      </c>
      <c r="E256" s="323">
        <f t="shared" si="13"/>
        <v>4661862.5200000005</v>
      </c>
    </row>
    <row r="257" spans="1:5" hidden="1" outlineLevel="2" x14ac:dyDescent="0.2">
      <c r="A257">
        <v>37800</v>
      </c>
      <c r="B257">
        <v>2009</v>
      </c>
      <c r="C257" s="89">
        <f t="shared" si="11"/>
        <v>15.5</v>
      </c>
      <c r="D257" s="323">
        <v>517632.34</v>
      </c>
      <c r="E257" s="323">
        <f t="shared" si="13"/>
        <v>8023301.2700000005</v>
      </c>
    </row>
    <row r="258" spans="1:5" hidden="1" outlineLevel="2" x14ac:dyDescent="0.2">
      <c r="A258">
        <v>37800</v>
      </c>
      <c r="B258">
        <v>2008</v>
      </c>
      <c r="C258" s="89">
        <f t="shared" si="11"/>
        <v>16.5</v>
      </c>
      <c r="D258" s="323">
        <v>142509.41</v>
      </c>
      <c r="E258" s="323">
        <f t="shared" si="13"/>
        <v>2351405.2650000001</v>
      </c>
    </row>
    <row r="259" spans="1:5" hidden="1" outlineLevel="2" x14ac:dyDescent="0.2">
      <c r="A259">
        <v>37800</v>
      </c>
      <c r="B259">
        <v>2007</v>
      </c>
      <c r="C259" s="89">
        <f t="shared" si="11"/>
        <v>17.5</v>
      </c>
      <c r="D259" s="323">
        <v>366208.4</v>
      </c>
      <c r="E259" s="323">
        <f t="shared" si="13"/>
        <v>6408647</v>
      </c>
    </row>
    <row r="260" spans="1:5" hidden="1" outlineLevel="2" x14ac:dyDescent="0.2">
      <c r="A260">
        <v>37800</v>
      </c>
      <c r="B260">
        <v>2006</v>
      </c>
      <c r="C260" s="89">
        <f t="shared" si="11"/>
        <v>18.5</v>
      </c>
      <c r="D260" s="323">
        <v>121820.04</v>
      </c>
      <c r="E260" s="323">
        <f t="shared" si="13"/>
        <v>2253670.7399999998</v>
      </c>
    </row>
    <row r="261" spans="1:5" hidden="1" outlineLevel="2" x14ac:dyDescent="0.2">
      <c r="A261">
        <v>37800</v>
      </c>
      <c r="B261">
        <v>2005</v>
      </c>
      <c r="C261" s="89">
        <f t="shared" si="11"/>
        <v>19.5</v>
      </c>
      <c r="D261" s="323">
        <v>217180.49</v>
      </c>
      <c r="E261" s="323">
        <f t="shared" si="13"/>
        <v>4235019.5549999997</v>
      </c>
    </row>
    <row r="262" spans="1:5" hidden="1" outlineLevel="2" x14ac:dyDescent="0.2">
      <c r="A262">
        <v>37800</v>
      </c>
      <c r="B262">
        <v>2004</v>
      </c>
      <c r="C262" s="89">
        <f t="shared" si="11"/>
        <v>20.5</v>
      </c>
      <c r="D262" s="323">
        <v>129549.57</v>
      </c>
      <c r="E262" s="323">
        <f t="shared" si="13"/>
        <v>2655766.1850000001</v>
      </c>
    </row>
    <row r="263" spans="1:5" hidden="1" outlineLevel="2" x14ac:dyDescent="0.2">
      <c r="A263">
        <v>37800</v>
      </c>
      <c r="B263">
        <v>2003</v>
      </c>
      <c r="C263" s="89">
        <f t="shared" ref="C263:C326" si="14">2024.5-B263</f>
        <v>21.5</v>
      </c>
      <c r="D263" s="323">
        <v>352362.68999999994</v>
      </c>
      <c r="E263" s="323">
        <f t="shared" si="13"/>
        <v>7575797.834999999</v>
      </c>
    </row>
    <row r="264" spans="1:5" hidden="1" outlineLevel="2" x14ac:dyDescent="0.2">
      <c r="A264">
        <v>37800</v>
      </c>
      <c r="B264">
        <v>2002</v>
      </c>
      <c r="C264" s="89">
        <f t="shared" si="14"/>
        <v>22.5</v>
      </c>
      <c r="D264" s="323">
        <v>344875.97</v>
      </c>
      <c r="E264" s="323">
        <f t="shared" si="13"/>
        <v>7759709.3249999993</v>
      </c>
    </row>
    <row r="265" spans="1:5" hidden="1" outlineLevel="2" x14ac:dyDescent="0.2">
      <c r="A265">
        <v>37800</v>
      </c>
      <c r="B265">
        <v>2001</v>
      </c>
      <c r="C265" s="89">
        <f t="shared" si="14"/>
        <v>23.5</v>
      </c>
      <c r="D265" s="323">
        <v>774670.69</v>
      </c>
      <c r="E265" s="323">
        <f t="shared" si="13"/>
        <v>18204761.215</v>
      </c>
    </row>
    <row r="266" spans="1:5" hidden="1" outlineLevel="2" x14ac:dyDescent="0.2">
      <c r="A266">
        <v>37800</v>
      </c>
      <c r="B266">
        <v>2000</v>
      </c>
      <c r="C266" s="89">
        <f t="shared" si="14"/>
        <v>24.5</v>
      </c>
      <c r="D266" s="323">
        <v>164900.43</v>
      </c>
      <c r="E266" s="323">
        <f t="shared" si="13"/>
        <v>4040060.5349999997</v>
      </c>
    </row>
    <row r="267" spans="1:5" hidden="1" outlineLevel="2" x14ac:dyDescent="0.2">
      <c r="A267">
        <v>37800</v>
      </c>
      <c r="B267">
        <v>1999</v>
      </c>
      <c r="C267" s="89">
        <f t="shared" si="14"/>
        <v>25.5</v>
      </c>
      <c r="D267" s="323">
        <v>487152.63</v>
      </c>
      <c r="E267" s="323">
        <f t="shared" si="13"/>
        <v>12422392.064999999</v>
      </c>
    </row>
    <row r="268" spans="1:5" hidden="1" outlineLevel="2" x14ac:dyDescent="0.2">
      <c r="A268">
        <v>37800</v>
      </c>
      <c r="B268">
        <v>1998</v>
      </c>
      <c r="C268" s="89">
        <f t="shared" si="14"/>
        <v>26.5</v>
      </c>
      <c r="D268" s="323">
        <v>254246.31</v>
      </c>
      <c r="E268" s="323">
        <f t="shared" si="13"/>
        <v>6737527.2149999999</v>
      </c>
    </row>
    <row r="269" spans="1:5" hidden="1" outlineLevel="2" x14ac:dyDescent="0.2">
      <c r="A269">
        <v>37800</v>
      </c>
      <c r="B269">
        <v>1997</v>
      </c>
      <c r="C269" s="89">
        <f t="shared" si="14"/>
        <v>27.5</v>
      </c>
      <c r="D269" s="323">
        <v>98561.99</v>
      </c>
      <c r="E269" s="323">
        <f t="shared" si="13"/>
        <v>2710454.7250000001</v>
      </c>
    </row>
    <row r="270" spans="1:5" hidden="1" outlineLevel="2" x14ac:dyDescent="0.2">
      <c r="A270">
        <v>37800</v>
      </c>
      <c r="B270">
        <v>1996</v>
      </c>
      <c r="C270" s="89">
        <f t="shared" si="14"/>
        <v>28.5</v>
      </c>
      <c r="D270" s="323">
        <v>102023.78</v>
      </c>
      <c r="E270" s="323">
        <f t="shared" si="13"/>
        <v>2907677.73</v>
      </c>
    </row>
    <row r="271" spans="1:5" hidden="1" outlineLevel="2" x14ac:dyDescent="0.2">
      <c r="A271">
        <v>37800</v>
      </c>
      <c r="B271">
        <v>1995</v>
      </c>
      <c r="C271" s="89">
        <f t="shared" si="14"/>
        <v>29.5</v>
      </c>
      <c r="D271" s="323">
        <v>123989.87</v>
      </c>
      <c r="E271" s="323">
        <f t="shared" si="13"/>
        <v>3657701.165</v>
      </c>
    </row>
    <row r="272" spans="1:5" hidden="1" outlineLevel="2" x14ac:dyDescent="0.2">
      <c r="A272">
        <v>37800</v>
      </c>
      <c r="B272">
        <v>1994</v>
      </c>
      <c r="C272" s="89">
        <f t="shared" si="14"/>
        <v>30.5</v>
      </c>
      <c r="D272" s="323">
        <v>178216.59</v>
      </c>
      <c r="E272" s="323">
        <f t="shared" si="13"/>
        <v>5435605.9950000001</v>
      </c>
    </row>
    <row r="273" spans="1:5" hidden="1" outlineLevel="2" x14ac:dyDescent="0.2">
      <c r="A273">
        <v>37800</v>
      </c>
      <c r="B273">
        <v>1993</v>
      </c>
      <c r="C273" s="89">
        <f t="shared" si="14"/>
        <v>31.5</v>
      </c>
      <c r="D273" s="323">
        <v>152375.45000000001</v>
      </c>
      <c r="E273" s="323">
        <f t="shared" si="13"/>
        <v>4799826.6750000007</v>
      </c>
    </row>
    <row r="274" spans="1:5" hidden="1" outlineLevel="2" x14ac:dyDescent="0.2">
      <c r="A274">
        <v>37800</v>
      </c>
      <c r="B274">
        <v>1992</v>
      </c>
      <c r="C274" s="89">
        <f t="shared" si="14"/>
        <v>32.5</v>
      </c>
      <c r="D274" s="323">
        <v>78841.099999999991</v>
      </c>
      <c r="E274" s="323">
        <f t="shared" ref="E274:E298" si="15">+C274*D274</f>
        <v>2562335.7499999995</v>
      </c>
    </row>
    <row r="275" spans="1:5" hidden="1" outlineLevel="2" x14ac:dyDescent="0.2">
      <c r="A275">
        <v>37800</v>
      </c>
      <c r="B275">
        <v>1991</v>
      </c>
      <c r="C275" s="89">
        <f t="shared" si="14"/>
        <v>33.5</v>
      </c>
      <c r="D275" s="323">
        <v>65295.08</v>
      </c>
      <c r="E275" s="323">
        <f t="shared" si="15"/>
        <v>2187385.1800000002</v>
      </c>
    </row>
    <row r="276" spans="1:5" hidden="1" outlineLevel="2" x14ac:dyDescent="0.2">
      <c r="A276">
        <v>37800</v>
      </c>
      <c r="B276">
        <v>1990</v>
      </c>
      <c r="C276" s="89">
        <f t="shared" si="14"/>
        <v>34.5</v>
      </c>
      <c r="D276" s="323">
        <v>88392.95</v>
      </c>
      <c r="E276" s="323">
        <f t="shared" si="15"/>
        <v>3049556.7749999999</v>
      </c>
    </row>
    <row r="277" spans="1:5" hidden="1" outlineLevel="2" x14ac:dyDescent="0.2">
      <c r="A277">
        <v>37800</v>
      </c>
      <c r="B277">
        <v>1989</v>
      </c>
      <c r="C277" s="89">
        <f t="shared" si="14"/>
        <v>35.5</v>
      </c>
      <c r="D277" s="323">
        <v>60319.96</v>
      </c>
      <c r="E277" s="323">
        <f t="shared" si="15"/>
        <v>2141358.58</v>
      </c>
    </row>
    <row r="278" spans="1:5" hidden="1" outlineLevel="2" x14ac:dyDescent="0.2">
      <c r="A278">
        <v>37800</v>
      </c>
      <c r="B278">
        <v>1988</v>
      </c>
      <c r="C278" s="89">
        <f t="shared" si="14"/>
        <v>36.5</v>
      </c>
      <c r="D278" s="323">
        <v>23149.66</v>
      </c>
      <c r="E278" s="323">
        <f t="shared" si="15"/>
        <v>844962.59</v>
      </c>
    </row>
    <row r="279" spans="1:5" hidden="1" outlineLevel="2" x14ac:dyDescent="0.2">
      <c r="A279">
        <v>37800</v>
      </c>
      <c r="B279">
        <v>1987</v>
      </c>
      <c r="C279" s="89">
        <f t="shared" si="14"/>
        <v>37.5</v>
      </c>
      <c r="D279" s="323">
        <v>80532.61</v>
      </c>
      <c r="E279" s="323">
        <f t="shared" si="15"/>
        <v>3019972.875</v>
      </c>
    </row>
    <row r="280" spans="1:5" hidden="1" outlineLevel="2" x14ac:dyDescent="0.2">
      <c r="A280">
        <v>37800</v>
      </c>
      <c r="B280">
        <v>1986</v>
      </c>
      <c r="C280" s="89">
        <f t="shared" si="14"/>
        <v>38.5</v>
      </c>
      <c r="D280" s="323">
        <v>63250.7</v>
      </c>
      <c r="E280" s="323">
        <f t="shared" si="15"/>
        <v>2435151.9499999997</v>
      </c>
    </row>
    <row r="281" spans="1:5" hidden="1" outlineLevel="2" x14ac:dyDescent="0.2">
      <c r="A281">
        <v>37800</v>
      </c>
      <c r="B281">
        <v>1985</v>
      </c>
      <c r="C281" s="89">
        <f t="shared" si="14"/>
        <v>39.5</v>
      </c>
      <c r="D281" s="323">
        <v>28594.6</v>
      </c>
      <c r="E281" s="323">
        <f t="shared" si="15"/>
        <v>1129486.7</v>
      </c>
    </row>
    <row r="282" spans="1:5" hidden="1" outlineLevel="2" x14ac:dyDescent="0.2">
      <c r="A282">
        <v>37800</v>
      </c>
      <c r="B282">
        <v>1984</v>
      </c>
      <c r="C282" s="89">
        <f t="shared" si="14"/>
        <v>40.5</v>
      </c>
      <c r="D282" s="323">
        <v>113815.57</v>
      </c>
      <c r="E282" s="323">
        <f t="shared" si="15"/>
        <v>4609530.585</v>
      </c>
    </row>
    <row r="283" spans="1:5" hidden="1" outlineLevel="2" x14ac:dyDescent="0.2">
      <c r="A283">
        <v>37800</v>
      </c>
      <c r="B283">
        <v>1983</v>
      </c>
      <c r="C283" s="89">
        <f t="shared" si="14"/>
        <v>41.5</v>
      </c>
      <c r="D283" s="323">
        <v>11984</v>
      </c>
      <c r="E283" s="323">
        <f t="shared" si="15"/>
        <v>497336</v>
      </c>
    </row>
    <row r="284" spans="1:5" hidden="1" outlineLevel="2" x14ac:dyDescent="0.2">
      <c r="A284">
        <v>37800</v>
      </c>
      <c r="B284">
        <v>1982</v>
      </c>
      <c r="C284" s="89">
        <f t="shared" si="14"/>
        <v>42.5</v>
      </c>
      <c r="D284" s="323">
        <v>18096.580000000002</v>
      </c>
      <c r="E284" s="323">
        <f t="shared" si="15"/>
        <v>769104.65</v>
      </c>
    </row>
    <row r="285" spans="1:5" hidden="1" outlineLevel="2" x14ac:dyDescent="0.2">
      <c r="A285">
        <v>37800</v>
      </c>
      <c r="B285">
        <v>1981</v>
      </c>
      <c r="C285" s="89">
        <f t="shared" si="14"/>
        <v>43.5</v>
      </c>
      <c r="D285" s="323">
        <v>30905.24</v>
      </c>
      <c r="E285" s="323">
        <f t="shared" si="15"/>
        <v>1344377.9400000002</v>
      </c>
    </row>
    <row r="286" spans="1:5" hidden="1" outlineLevel="2" x14ac:dyDescent="0.2">
      <c r="A286">
        <v>37800</v>
      </c>
      <c r="B286">
        <v>1980</v>
      </c>
      <c r="C286" s="89">
        <f t="shared" si="14"/>
        <v>44.5</v>
      </c>
      <c r="D286" s="323">
        <v>24918.38</v>
      </c>
      <c r="E286" s="323">
        <f t="shared" si="15"/>
        <v>1108867.9100000001</v>
      </c>
    </row>
    <row r="287" spans="1:5" hidden="1" outlineLevel="2" x14ac:dyDescent="0.2">
      <c r="A287">
        <v>37800</v>
      </c>
      <c r="B287">
        <v>1979</v>
      </c>
      <c r="C287" s="89">
        <f t="shared" si="14"/>
        <v>45.5</v>
      </c>
      <c r="D287" s="323">
        <v>26955.360000000001</v>
      </c>
      <c r="E287" s="323">
        <f t="shared" si="15"/>
        <v>1226468.8800000001</v>
      </c>
    </row>
    <row r="288" spans="1:5" hidden="1" outlineLevel="2" x14ac:dyDescent="0.2">
      <c r="A288">
        <v>37800</v>
      </c>
      <c r="B288">
        <v>1978</v>
      </c>
      <c r="C288" s="89">
        <f t="shared" si="14"/>
        <v>46.5</v>
      </c>
      <c r="D288" s="323">
        <v>725.61</v>
      </c>
      <c r="E288" s="323">
        <f t="shared" si="15"/>
        <v>33740.864999999998</v>
      </c>
    </row>
    <row r="289" spans="1:6" hidden="1" outlineLevel="2" x14ac:dyDescent="0.2">
      <c r="A289">
        <v>37800</v>
      </c>
      <c r="B289">
        <v>1977</v>
      </c>
      <c r="C289" s="89">
        <f t="shared" si="14"/>
        <v>47.5</v>
      </c>
      <c r="D289" s="323">
        <v>21624.560000000001</v>
      </c>
      <c r="E289" s="323">
        <f t="shared" si="15"/>
        <v>1027166.6000000001</v>
      </c>
    </row>
    <row r="290" spans="1:6" hidden="1" outlineLevel="2" x14ac:dyDescent="0.2">
      <c r="A290">
        <v>37800</v>
      </c>
      <c r="B290">
        <v>1976</v>
      </c>
      <c r="C290" s="89">
        <f t="shared" si="14"/>
        <v>48.5</v>
      </c>
      <c r="D290" s="323">
        <v>34048.379999999997</v>
      </c>
      <c r="E290" s="323">
        <f t="shared" si="15"/>
        <v>1651346.43</v>
      </c>
    </row>
    <row r="291" spans="1:6" hidden="1" outlineLevel="2" x14ac:dyDescent="0.2">
      <c r="A291">
        <v>37800</v>
      </c>
      <c r="B291">
        <v>1975</v>
      </c>
      <c r="C291" s="89">
        <f t="shared" si="14"/>
        <v>49.5</v>
      </c>
      <c r="D291" s="323">
        <v>13009.55</v>
      </c>
      <c r="E291" s="323">
        <f t="shared" si="15"/>
        <v>643972.72499999998</v>
      </c>
    </row>
    <row r="292" spans="1:6" hidden="1" outlineLevel="2" x14ac:dyDescent="0.2">
      <c r="A292">
        <v>37800</v>
      </c>
      <c r="B292">
        <v>1974</v>
      </c>
      <c r="C292" s="89">
        <f t="shared" si="14"/>
        <v>50.5</v>
      </c>
      <c r="D292" s="323">
        <v>12521.18</v>
      </c>
      <c r="E292" s="323">
        <f t="shared" si="15"/>
        <v>632319.59</v>
      </c>
    </row>
    <row r="293" spans="1:6" hidden="1" outlineLevel="2" x14ac:dyDescent="0.2">
      <c r="A293">
        <v>37800</v>
      </c>
      <c r="B293">
        <v>1973</v>
      </c>
      <c r="C293" s="89">
        <f t="shared" si="14"/>
        <v>51.5</v>
      </c>
      <c r="D293" s="323">
        <v>11865.37</v>
      </c>
      <c r="E293" s="323">
        <f t="shared" si="15"/>
        <v>611066.55500000005</v>
      </c>
    </row>
    <row r="294" spans="1:6" hidden="1" outlineLevel="2" x14ac:dyDescent="0.2">
      <c r="A294">
        <v>37800</v>
      </c>
      <c r="B294">
        <v>1972</v>
      </c>
      <c r="C294" s="89">
        <f t="shared" si="14"/>
        <v>52.5</v>
      </c>
      <c r="D294" s="323">
        <v>4904.6400000000003</v>
      </c>
      <c r="E294" s="323">
        <f t="shared" si="15"/>
        <v>257493.6</v>
      </c>
    </row>
    <row r="295" spans="1:6" hidden="1" outlineLevel="2" x14ac:dyDescent="0.2">
      <c r="A295">
        <v>37800</v>
      </c>
      <c r="B295">
        <v>1971</v>
      </c>
      <c r="C295" s="89">
        <f t="shared" si="14"/>
        <v>53.5</v>
      </c>
      <c r="D295" s="323">
        <v>4116.25</v>
      </c>
      <c r="E295" s="323">
        <f t="shared" si="15"/>
        <v>220219.375</v>
      </c>
    </row>
    <row r="296" spans="1:6" hidden="1" outlineLevel="2" x14ac:dyDescent="0.2">
      <c r="A296">
        <v>37800</v>
      </c>
      <c r="B296">
        <v>1970</v>
      </c>
      <c r="C296" s="89">
        <f t="shared" si="14"/>
        <v>54.5</v>
      </c>
      <c r="D296" s="323">
        <v>2281.9299999999998</v>
      </c>
      <c r="E296" s="323">
        <f t="shared" si="15"/>
        <v>124365.185</v>
      </c>
    </row>
    <row r="297" spans="1:6" hidden="1" outlineLevel="2" x14ac:dyDescent="0.2">
      <c r="A297">
        <v>37800</v>
      </c>
      <c r="B297">
        <v>1969</v>
      </c>
      <c r="C297" s="89">
        <f t="shared" si="14"/>
        <v>55.5</v>
      </c>
      <c r="D297" s="323">
        <v>10152.27</v>
      </c>
      <c r="E297" s="323">
        <f t="shared" si="15"/>
        <v>563450.98499999999</v>
      </c>
    </row>
    <row r="298" spans="1:6" hidden="1" outlineLevel="2" x14ac:dyDescent="0.2">
      <c r="A298">
        <v>37800</v>
      </c>
      <c r="B298">
        <v>1968</v>
      </c>
      <c r="C298" s="89">
        <f t="shared" si="14"/>
        <v>56.5</v>
      </c>
      <c r="D298" s="323">
        <v>282.08000000000175</v>
      </c>
      <c r="E298" s="323">
        <f t="shared" si="15"/>
        <v>15937.520000000099</v>
      </c>
    </row>
    <row r="299" spans="1:6" s="143" customFormat="1" outlineLevel="1" collapsed="1" x14ac:dyDescent="0.2">
      <c r="A299" s="20" t="s">
        <v>1184</v>
      </c>
      <c r="C299" s="89"/>
      <c r="D299" s="323">
        <f>SUBTOTAL(9,D242:D298)</f>
        <v>22828790.149999987</v>
      </c>
      <c r="E299" s="323">
        <f>SUBTOTAL(9,E242:E298)</f>
        <v>273458015.95500004</v>
      </c>
      <c r="F299" s="323">
        <f>+E299/D299</f>
        <v>11.978646882213344</v>
      </c>
    </row>
    <row r="300" spans="1:6" hidden="1" outlineLevel="2" x14ac:dyDescent="0.2">
      <c r="A300">
        <v>37900</v>
      </c>
      <c r="B300">
        <v>2024</v>
      </c>
      <c r="C300" s="89">
        <f t="shared" si="14"/>
        <v>0.5</v>
      </c>
      <c r="D300" s="323">
        <v>7298344</v>
      </c>
      <c r="E300" s="323">
        <f t="shared" ref="E300:E331" si="16">+C300*D300</f>
        <v>3649172</v>
      </c>
    </row>
    <row r="301" spans="1:6" hidden="1" outlineLevel="2" x14ac:dyDescent="0.2">
      <c r="A301">
        <v>37900</v>
      </c>
      <c r="B301">
        <v>2023</v>
      </c>
      <c r="C301" s="89">
        <f t="shared" si="14"/>
        <v>1.5</v>
      </c>
      <c r="D301" s="323">
        <v>21433447.27</v>
      </c>
      <c r="E301" s="323">
        <f t="shared" si="16"/>
        <v>32150170.905000001</v>
      </c>
    </row>
    <row r="302" spans="1:6" hidden="1" outlineLevel="2" x14ac:dyDescent="0.2">
      <c r="A302">
        <v>37900</v>
      </c>
      <c r="B302">
        <v>2022</v>
      </c>
      <c r="C302" s="89">
        <f t="shared" si="14"/>
        <v>2.5</v>
      </c>
      <c r="D302" s="323">
        <v>11129230.190000001</v>
      </c>
      <c r="E302" s="323">
        <f t="shared" si="16"/>
        <v>27823075.475000001</v>
      </c>
    </row>
    <row r="303" spans="1:6" hidden="1" outlineLevel="2" x14ac:dyDescent="0.2">
      <c r="A303">
        <v>37900</v>
      </c>
      <c r="B303">
        <v>2021</v>
      </c>
      <c r="C303" s="89">
        <f t="shared" si="14"/>
        <v>3.5</v>
      </c>
      <c r="D303" s="323">
        <v>13736237.609999999</v>
      </c>
      <c r="E303" s="323">
        <f t="shared" si="16"/>
        <v>48076831.634999998</v>
      </c>
    </row>
    <row r="304" spans="1:6" hidden="1" outlineLevel="2" x14ac:dyDescent="0.2">
      <c r="A304">
        <v>37900</v>
      </c>
      <c r="B304">
        <v>2020</v>
      </c>
      <c r="C304" s="89">
        <f t="shared" si="14"/>
        <v>4.5</v>
      </c>
      <c r="D304" s="323">
        <v>6487290.2800000003</v>
      </c>
      <c r="E304" s="323">
        <f t="shared" si="16"/>
        <v>29192806.260000002</v>
      </c>
    </row>
    <row r="305" spans="1:5" hidden="1" outlineLevel="2" x14ac:dyDescent="0.2">
      <c r="A305">
        <v>37900</v>
      </c>
      <c r="B305">
        <v>2019</v>
      </c>
      <c r="C305" s="89">
        <f t="shared" si="14"/>
        <v>5.5</v>
      </c>
      <c r="D305" s="323">
        <v>5731102.7400000002</v>
      </c>
      <c r="E305" s="323">
        <f t="shared" si="16"/>
        <v>31521065.07</v>
      </c>
    </row>
    <row r="306" spans="1:5" hidden="1" outlineLevel="2" x14ac:dyDescent="0.2">
      <c r="A306">
        <v>37900</v>
      </c>
      <c r="B306">
        <v>2018</v>
      </c>
      <c r="C306" s="89">
        <f t="shared" si="14"/>
        <v>6.5</v>
      </c>
      <c r="D306" s="323">
        <v>8329388.4100000001</v>
      </c>
      <c r="E306" s="323">
        <f t="shared" si="16"/>
        <v>54141024.664999999</v>
      </c>
    </row>
    <row r="307" spans="1:5" hidden="1" outlineLevel="2" x14ac:dyDescent="0.2">
      <c r="A307">
        <v>37900</v>
      </c>
      <c r="B307">
        <v>2017</v>
      </c>
      <c r="C307" s="89">
        <f t="shared" si="14"/>
        <v>7.5</v>
      </c>
      <c r="D307" s="323">
        <v>9905033.8800000008</v>
      </c>
      <c r="E307" s="323">
        <f t="shared" si="16"/>
        <v>74287754.100000009</v>
      </c>
    </row>
    <row r="308" spans="1:5" hidden="1" outlineLevel="2" x14ac:dyDescent="0.2">
      <c r="A308">
        <v>37900</v>
      </c>
      <c r="B308">
        <v>2016</v>
      </c>
      <c r="C308" s="89">
        <f t="shared" si="14"/>
        <v>8.5</v>
      </c>
      <c r="D308" s="323">
        <v>6217087.71</v>
      </c>
      <c r="E308" s="323">
        <f t="shared" si="16"/>
        <v>52845245.534999996</v>
      </c>
    </row>
    <row r="309" spans="1:5" hidden="1" outlineLevel="2" x14ac:dyDescent="0.2">
      <c r="A309">
        <v>37900</v>
      </c>
      <c r="B309">
        <v>2015</v>
      </c>
      <c r="C309" s="89">
        <f t="shared" si="14"/>
        <v>9.5</v>
      </c>
      <c r="D309" s="323">
        <v>1279711.0900000001</v>
      </c>
      <c r="E309" s="323">
        <f t="shared" si="16"/>
        <v>12157255.355</v>
      </c>
    </row>
    <row r="310" spans="1:5" hidden="1" outlineLevel="2" x14ac:dyDescent="0.2">
      <c r="A310">
        <v>37900</v>
      </c>
      <c r="B310">
        <v>2014</v>
      </c>
      <c r="C310" s="89">
        <f t="shared" si="14"/>
        <v>10.5</v>
      </c>
      <c r="D310" s="323">
        <v>921727.06</v>
      </c>
      <c r="E310" s="323">
        <f t="shared" si="16"/>
        <v>9678134.1300000008</v>
      </c>
    </row>
    <row r="311" spans="1:5" hidden="1" outlineLevel="2" x14ac:dyDescent="0.2">
      <c r="A311">
        <v>37900</v>
      </c>
      <c r="B311">
        <v>2013</v>
      </c>
      <c r="C311" s="89">
        <f t="shared" si="14"/>
        <v>11.5</v>
      </c>
      <c r="D311" s="323">
        <v>6437673.3499999996</v>
      </c>
      <c r="E311" s="323">
        <f t="shared" si="16"/>
        <v>74033243.524999991</v>
      </c>
    </row>
    <row r="312" spans="1:5" hidden="1" outlineLevel="2" x14ac:dyDescent="0.2">
      <c r="A312">
        <v>37900</v>
      </c>
      <c r="B312">
        <v>2012</v>
      </c>
      <c r="C312" s="89">
        <f t="shared" si="14"/>
        <v>12.5</v>
      </c>
      <c r="D312" s="323">
        <v>5305481.2699999996</v>
      </c>
      <c r="E312" s="323">
        <f t="shared" si="16"/>
        <v>66318515.874999993</v>
      </c>
    </row>
    <row r="313" spans="1:5" hidden="1" outlineLevel="2" x14ac:dyDescent="0.2">
      <c r="A313">
        <v>37900</v>
      </c>
      <c r="B313">
        <v>2011</v>
      </c>
      <c r="C313" s="89">
        <f t="shared" si="14"/>
        <v>13.5</v>
      </c>
      <c r="D313" s="323">
        <v>1757563.31</v>
      </c>
      <c r="E313" s="323">
        <f t="shared" si="16"/>
        <v>23727104.685000002</v>
      </c>
    </row>
    <row r="314" spans="1:5" hidden="1" outlineLevel="2" x14ac:dyDescent="0.2">
      <c r="A314">
        <v>37900</v>
      </c>
      <c r="B314">
        <v>2010</v>
      </c>
      <c r="C314" s="89">
        <f t="shared" si="14"/>
        <v>14.5</v>
      </c>
      <c r="D314" s="323">
        <v>1680854.49</v>
      </c>
      <c r="E314" s="323">
        <f t="shared" si="16"/>
        <v>24372390.105</v>
      </c>
    </row>
    <row r="315" spans="1:5" hidden="1" outlineLevel="2" x14ac:dyDescent="0.2">
      <c r="A315">
        <v>37900</v>
      </c>
      <c r="B315">
        <v>2009</v>
      </c>
      <c r="C315" s="89">
        <f t="shared" si="14"/>
        <v>15.5</v>
      </c>
      <c r="D315" s="323">
        <v>5389411.5599999996</v>
      </c>
      <c r="E315" s="323">
        <f t="shared" si="16"/>
        <v>83535879.179999992</v>
      </c>
    </row>
    <row r="316" spans="1:5" hidden="1" outlineLevel="2" x14ac:dyDescent="0.2">
      <c r="A316">
        <v>37900</v>
      </c>
      <c r="B316">
        <v>2008</v>
      </c>
      <c r="C316" s="89">
        <f t="shared" si="14"/>
        <v>16.5</v>
      </c>
      <c r="D316" s="323">
        <v>2190610.46</v>
      </c>
      <c r="E316" s="323">
        <f t="shared" si="16"/>
        <v>36145072.589999996</v>
      </c>
    </row>
    <row r="317" spans="1:5" hidden="1" outlineLevel="2" x14ac:dyDescent="0.2">
      <c r="A317">
        <v>37900</v>
      </c>
      <c r="B317">
        <v>2007</v>
      </c>
      <c r="C317" s="89">
        <f t="shared" si="14"/>
        <v>17.5</v>
      </c>
      <c r="D317" s="323">
        <v>1433160</v>
      </c>
      <c r="E317" s="323">
        <f t="shared" si="16"/>
        <v>25080300</v>
      </c>
    </row>
    <row r="318" spans="1:5" hidden="1" outlineLevel="2" x14ac:dyDescent="0.2">
      <c r="A318">
        <v>37900</v>
      </c>
      <c r="B318">
        <v>2006</v>
      </c>
      <c r="C318" s="89">
        <f t="shared" si="14"/>
        <v>18.5</v>
      </c>
      <c r="D318" s="323">
        <v>170020.62</v>
      </c>
      <c r="E318" s="323">
        <f t="shared" si="16"/>
        <v>3145381.4699999997</v>
      </c>
    </row>
    <row r="319" spans="1:5" hidden="1" outlineLevel="2" x14ac:dyDescent="0.2">
      <c r="A319">
        <v>37900</v>
      </c>
      <c r="B319">
        <v>2005</v>
      </c>
      <c r="C319" s="89">
        <f t="shared" si="14"/>
        <v>19.5</v>
      </c>
      <c r="D319" s="323">
        <v>573393.94999999995</v>
      </c>
      <c r="E319" s="323">
        <f t="shared" si="16"/>
        <v>11181182.024999999</v>
      </c>
    </row>
    <row r="320" spans="1:5" hidden="1" outlineLevel="2" x14ac:dyDescent="0.2">
      <c r="A320">
        <v>37900</v>
      </c>
      <c r="B320">
        <v>2004</v>
      </c>
      <c r="C320" s="89">
        <f t="shared" si="14"/>
        <v>20.5</v>
      </c>
      <c r="D320" s="323">
        <v>851804.9</v>
      </c>
      <c r="E320" s="323">
        <f t="shared" si="16"/>
        <v>17462000.449999999</v>
      </c>
    </row>
    <row r="321" spans="1:6" hidden="1" outlineLevel="2" x14ac:dyDescent="0.2">
      <c r="A321">
        <v>37900</v>
      </c>
      <c r="B321">
        <v>2003</v>
      </c>
      <c r="C321" s="89">
        <f t="shared" si="14"/>
        <v>21.5</v>
      </c>
      <c r="D321" s="323">
        <v>782606.35</v>
      </c>
      <c r="E321" s="323">
        <f t="shared" si="16"/>
        <v>16826036.524999999</v>
      </c>
    </row>
    <row r="322" spans="1:6" hidden="1" outlineLevel="2" x14ac:dyDescent="0.2">
      <c r="A322">
        <v>37900</v>
      </c>
      <c r="B322">
        <v>2002</v>
      </c>
      <c r="C322" s="89">
        <f t="shared" si="14"/>
        <v>22.5</v>
      </c>
      <c r="D322" s="323">
        <v>71617.72</v>
      </c>
      <c r="E322" s="323">
        <f t="shared" si="16"/>
        <v>1611398.7</v>
      </c>
    </row>
    <row r="323" spans="1:6" hidden="1" outlineLevel="2" x14ac:dyDescent="0.2">
      <c r="A323">
        <v>37900</v>
      </c>
      <c r="B323">
        <v>2001</v>
      </c>
      <c r="C323" s="89">
        <f t="shared" si="14"/>
        <v>23.5</v>
      </c>
      <c r="D323" s="323">
        <v>721310.69</v>
      </c>
      <c r="E323" s="323">
        <f t="shared" si="16"/>
        <v>16950801.215</v>
      </c>
    </row>
    <row r="324" spans="1:6" hidden="1" outlineLevel="2" x14ac:dyDescent="0.2">
      <c r="A324">
        <v>37900</v>
      </c>
      <c r="B324">
        <v>2000</v>
      </c>
      <c r="C324" s="89">
        <f t="shared" si="14"/>
        <v>24.5</v>
      </c>
      <c r="D324" s="323">
        <v>578125.42000000004</v>
      </c>
      <c r="E324" s="323">
        <f t="shared" si="16"/>
        <v>14164072.790000001</v>
      </c>
    </row>
    <row r="325" spans="1:6" hidden="1" outlineLevel="2" x14ac:dyDescent="0.2">
      <c r="A325">
        <v>37900</v>
      </c>
      <c r="B325">
        <v>1999</v>
      </c>
      <c r="C325" s="89">
        <f t="shared" si="14"/>
        <v>25.5</v>
      </c>
      <c r="D325" s="323">
        <v>438437.77</v>
      </c>
      <c r="E325" s="323">
        <f t="shared" si="16"/>
        <v>11180163.135</v>
      </c>
    </row>
    <row r="326" spans="1:6" hidden="1" outlineLevel="2" x14ac:dyDescent="0.2">
      <c r="A326">
        <v>37900</v>
      </c>
      <c r="B326">
        <v>1998</v>
      </c>
      <c r="C326" s="89">
        <f t="shared" si="14"/>
        <v>26.5</v>
      </c>
      <c r="D326" s="323">
        <v>66630.460000000006</v>
      </c>
      <c r="E326" s="323">
        <f t="shared" si="16"/>
        <v>1765707.1900000002</v>
      </c>
    </row>
    <row r="327" spans="1:6" hidden="1" outlineLevel="2" x14ac:dyDescent="0.2">
      <c r="A327">
        <v>37900</v>
      </c>
      <c r="B327">
        <v>1997</v>
      </c>
      <c r="C327" s="89">
        <f t="shared" ref="C327:C390" si="17">2024.5-B327</f>
        <v>27.5</v>
      </c>
      <c r="D327" s="323">
        <v>850589.27</v>
      </c>
      <c r="E327" s="323">
        <f t="shared" si="16"/>
        <v>23391204.925000001</v>
      </c>
    </row>
    <row r="328" spans="1:6" hidden="1" outlineLevel="2" x14ac:dyDescent="0.2">
      <c r="A328">
        <v>37900</v>
      </c>
      <c r="B328">
        <v>1996</v>
      </c>
      <c r="C328" s="89">
        <f t="shared" si="17"/>
        <v>28.5</v>
      </c>
      <c r="D328" s="323">
        <v>20975.940000000002</v>
      </c>
      <c r="E328" s="323">
        <f t="shared" si="16"/>
        <v>597814.29</v>
      </c>
    </row>
    <row r="329" spans="1:6" hidden="1" outlineLevel="2" x14ac:dyDescent="0.2">
      <c r="A329">
        <v>37900</v>
      </c>
      <c r="B329">
        <v>1995</v>
      </c>
      <c r="C329" s="89">
        <f t="shared" si="17"/>
        <v>29.5</v>
      </c>
      <c r="D329" s="323">
        <v>33548.79</v>
      </c>
      <c r="E329" s="323">
        <f t="shared" si="16"/>
        <v>989689.30500000005</v>
      </c>
    </row>
    <row r="330" spans="1:6" hidden="1" outlineLevel="2" x14ac:dyDescent="0.2">
      <c r="A330">
        <v>37900</v>
      </c>
      <c r="B330">
        <v>1994</v>
      </c>
      <c r="C330" s="89">
        <f t="shared" si="17"/>
        <v>30.5</v>
      </c>
      <c r="D330" s="323">
        <v>184226.43</v>
      </c>
      <c r="E330" s="323">
        <f t="shared" si="16"/>
        <v>5618906.1150000002</v>
      </c>
    </row>
    <row r="331" spans="1:6" hidden="1" outlineLevel="2" x14ac:dyDescent="0.2">
      <c r="A331">
        <v>37900</v>
      </c>
      <c r="B331">
        <v>1993</v>
      </c>
      <c r="C331" s="89">
        <f t="shared" si="17"/>
        <v>31.5</v>
      </c>
      <c r="D331" s="323">
        <v>730150.27</v>
      </c>
      <c r="E331" s="323">
        <f t="shared" si="16"/>
        <v>22999733.504999999</v>
      </c>
    </row>
    <row r="332" spans="1:6" s="143" customFormat="1" outlineLevel="1" collapsed="1" x14ac:dyDescent="0.2">
      <c r="A332" s="20" t="s">
        <v>1185</v>
      </c>
      <c r="C332" s="89" t="s">
        <v>1230</v>
      </c>
      <c r="D332" s="323">
        <f>SUBTOTAL(9,D300:D331)</f>
        <v>122736793.25999998</v>
      </c>
      <c r="E332" s="323">
        <f>SUBTOTAL(9,E300:E331)</f>
        <v>856619132.7299999</v>
      </c>
      <c r="F332" s="323">
        <f>+E332/D332</f>
        <v>6.9793181814305454</v>
      </c>
    </row>
    <row r="333" spans="1:6" hidden="1" outlineLevel="2" x14ac:dyDescent="0.2">
      <c r="A333">
        <v>38000</v>
      </c>
      <c r="B333">
        <v>2022</v>
      </c>
      <c r="C333" s="89">
        <f t="shared" si="17"/>
        <v>2.5</v>
      </c>
      <c r="D333" s="323">
        <v>5277037.9600000009</v>
      </c>
      <c r="E333" s="323">
        <f t="shared" ref="E333:E364" si="18">+C333*D333</f>
        <v>13192594.900000002</v>
      </c>
    </row>
    <row r="334" spans="1:6" hidden="1" outlineLevel="2" x14ac:dyDescent="0.2">
      <c r="A334">
        <v>38000</v>
      </c>
      <c r="B334">
        <v>2021</v>
      </c>
      <c r="C334" s="89">
        <f t="shared" si="17"/>
        <v>3.5</v>
      </c>
      <c r="D334" s="323">
        <v>3452917.57</v>
      </c>
      <c r="E334" s="323">
        <f t="shared" si="18"/>
        <v>12085211.494999999</v>
      </c>
    </row>
    <row r="335" spans="1:6" hidden="1" outlineLevel="2" x14ac:dyDescent="0.2">
      <c r="A335">
        <v>38000</v>
      </c>
      <c r="B335">
        <v>2020</v>
      </c>
      <c r="C335" s="89">
        <f t="shared" si="17"/>
        <v>4.5</v>
      </c>
      <c r="D335" s="323">
        <v>4322446.4000000004</v>
      </c>
      <c r="E335" s="323">
        <f t="shared" si="18"/>
        <v>19451008.800000001</v>
      </c>
    </row>
    <row r="336" spans="1:6" hidden="1" outlineLevel="2" x14ac:dyDescent="0.2">
      <c r="A336">
        <v>38000</v>
      </c>
      <c r="B336">
        <v>2019</v>
      </c>
      <c r="C336" s="89">
        <f t="shared" si="17"/>
        <v>5.5</v>
      </c>
      <c r="D336" s="323">
        <v>3084133.29</v>
      </c>
      <c r="E336" s="323">
        <f t="shared" si="18"/>
        <v>16962733.094999999</v>
      </c>
    </row>
    <row r="337" spans="1:5" hidden="1" outlineLevel="2" x14ac:dyDescent="0.2">
      <c r="A337">
        <v>38000</v>
      </c>
      <c r="B337">
        <v>2018</v>
      </c>
      <c r="C337" s="89">
        <f t="shared" si="17"/>
        <v>6.5</v>
      </c>
      <c r="D337" s="323">
        <v>2092595.06</v>
      </c>
      <c r="E337" s="323">
        <f t="shared" si="18"/>
        <v>13601867.890000001</v>
      </c>
    </row>
    <row r="338" spans="1:5" hidden="1" outlineLevel="2" x14ac:dyDescent="0.2">
      <c r="A338">
        <v>38000</v>
      </c>
      <c r="B338">
        <v>2017</v>
      </c>
      <c r="C338" s="89">
        <f t="shared" si="17"/>
        <v>7.5</v>
      </c>
      <c r="D338" s="323">
        <v>2566769.58</v>
      </c>
      <c r="E338" s="323">
        <f t="shared" si="18"/>
        <v>19250771.850000001</v>
      </c>
    </row>
    <row r="339" spans="1:5" hidden="1" outlineLevel="2" x14ac:dyDescent="0.2">
      <c r="A339">
        <v>38000</v>
      </c>
      <c r="B339">
        <v>2016</v>
      </c>
      <c r="C339" s="89">
        <f t="shared" si="17"/>
        <v>8.5</v>
      </c>
      <c r="D339" s="323">
        <v>2914108.93</v>
      </c>
      <c r="E339" s="323">
        <f t="shared" si="18"/>
        <v>24769925.905000001</v>
      </c>
    </row>
    <row r="340" spans="1:5" hidden="1" outlineLevel="2" x14ac:dyDescent="0.2">
      <c r="A340">
        <v>38000</v>
      </c>
      <c r="B340">
        <v>2015</v>
      </c>
      <c r="C340" s="89">
        <f t="shared" si="17"/>
        <v>9.5</v>
      </c>
      <c r="D340" s="323">
        <v>1643450</v>
      </c>
      <c r="E340" s="323">
        <f t="shared" si="18"/>
        <v>15612775</v>
      </c>
    </row>
    <row r="341" spans="1:5" hidden="1" outlineLevel="2" x14ac:dyDescent="0.2">
      <c r="A341">
        <v>38000</v>
      </c>
      <c r="B341">
        <v>2014</v>
      </c>
      <c r="C341" s="89">
        <f t="shared" si="17"/>
        <v>10.5</v>
      </c>
      <c r="D341" s="323">
        <v>1827716.68</v>
      </c>
      <c r="E341" s="323">
        <f t="shared" si="18"/>
        <v>19191025.140000001</v>
      </c>
    </row>
    <row r="342" spans="1:5" hidden="1" outlineLevel="2" x14ac:dyDescent="0.2">
      <c r="A342">
        <v>38000</v>
      </c>
      <c r="B342">
        <v>2013</v>
      </c>
      <c r="C342" s="89">
        <f t="shared" si="17"/>
        <v>11.5</v>
      </c>
      <c r="D342" s="323">
        <v>2136022.7599999998</v>
      </c>
      <c r="E342" s="323">
        <f t="shared" si="18"/>
        <v>24564261.739999998</v>
      </c>
    </row>
    <row r="343" spans="1:5" hidden="1" outlineLevel="2" x14ac:dyDescent="0.2">
      <c r="A343">
        <v>38000</v>
      </c>
      <c r="B343">
        <v>2012</v>
      </c>
      <c r="C343" s="89">
        <f t="shared" si="17"/>
        <v>12.5</v>
      </c>
      <c r="D343" s="323">
        <v>1424623.53</v>
      </c>
      <c r="E343" s="323">
        <f t="shared" si="18"/>
        <v>17807794.125</v>
      </c>
    </row>
    <row r="344" spans="1:5" hidden="1" outlineLevel="2" x14ac:dyDescent="0.2">
      <c r="A344">
        <v>38000</v>
      </c>
      <c r="B344">
        <v>2011</v>
      </c>
      <c r="C344" s="89">
        <f t="shared" si="17"/>
        <v>13.5</v>
      </c>
      <c r="D344" s="323">
        <v>816752.87</v>
      </c>
      <c r="E344" s="323">
        <f t="shared" si="18"/>
        <v>11026163.744999999</v>
      </c>
    </row>
    <row r="345" spans="1:5" hidden="1" outlineLevel="2" x14ac:dyDescent="0.2">
      <c r="A345">
        <v>38000</v>
      </c>
      <c r="B345">
        <v>2010</v>
      </c>
      <c r="C345" s="89">
        <f t="shared" si="17"/>
        <v>14.5</v>
      </c>
      <c r="D345" s="323">
        <v>873693.91</v>
      </c>
      <c r="E345" s="323">
        <f t="shared" si="18"/>
        <v>12668561.695</v>
      </c>
    </row>
    <row r="346" spans="1:5" hidden="1" outlineLevel="2" x14ac:dyDescent="0.2">
      <c r="A346">
        <v>38000</v>
      </c>
      <c r="B346">
        <v>2009</v>
      </c>
      <c r="C346" s="89">
        <f t="shared" si="17"/>
        <v>15.5</v>
      </c>
      <c r="D346" s="323">
        <v>884794.49</v>
      </c>
      <c r="E346" s="323">
        <f t="shared" si="18"/>
        <v>13714314.595000001</v>
      </c>
    </row>
    <row r="347" spans="1:5" hidden="1" outlineLevel="2" x14ac:dyDescent="0.2">
      <c r="A347">
        <v>38000</v>
      </c>
      <c r="B347">
        <v>2008</v>
      </c>
      <c r="C347" s="89">
        <f t="shared" si="17"/>
        <v>16.5</v>
      </c>
      <c r="D347" s="323">
        <v>1100388.3</v>
      </c>
      <c r="E347" s="323">
        <f t="shared" si="18"/>
        <v>18156406.949999999</v>
      </c>
    </row>
    <row r="348" spans="1:5" hidden="1" outlineLevel="2" x14ac:dyDescent="0.2">
      <c r="A348">
        <v>38000</v>
      </c>
      <c r="B348">
        <v>2007</v>
      </c>
      <c r="C348" s="89">
        <f t="shared" si="17"/>
        <v>17.5</v>
      </c>
      <c r="D348" s="323">
        <v>1142254.01</v>
      </c>
      <c r="E348" s="323">
        <f t="shared" si="18"/>
        <v>19989445.175000001</v>
      </c>
    </row>
    <row r="349" spans="1:5" hidden="1" outlineLevel="2" x14ac:dyDescent="0.2">
      <c r="A349">
        <v>38000</v>
      </c>
      <c r="B349">
        <v>2006</v>
      </c>
      <c r="C349" s="89">
        <f t="shared" si="17"/>
        <v>18.5</v>
      </c>
      <c r="D349" s="323">
        <v>745953.09</v>
      </c>
      <c r="E349" s="323">
        <f t="shared" si="18"/>
        <v>13800132.164999999</v>
      </c>
    </row>
    <row r="350" spans="1:5" hidden="1" outlineLevel="2" x14ac:dyDescent="0.2">
      <c r="A350">
        <v>38000</v>
      </c>
      <c r="B350">
        <v>2005</v>
      </c>
      <c r="C350" s="89">
        <f t="shared" si="17"/>
        <v>19.5</v>
      </c>
      <c r="D350" s="323">
        <v>712481.44</v>
      </c>
      <c r="E350" s="323">
        <f t="shared" si="18"/>
        <v>13893388.079999998</v>
      </c>
    </row>
    <row r="351" spans="1:5" hidden="1" outlineLevel="2" x14ac:dyDescent="0.2">
      <c r="A351">
        <v>38000</v>
      </c>
      <c r="B351">
        <v>2004</v>
      </c>
      <c r="C351" s="89">
        <f t="shared" si="17"/>
        <v>20.5</v>
      </c>
      <c r="D351" s="323">
        <v>626229.59</v>
      </c>
      <c r="E351" s="323">
        <f t="shared" si="18"/>
        <v>12837706.594999999</v>
      </c>
    </row>
    <row r="352" spans="1:5" hidden="1" outlineLevel="2" x14ac:dyDescent="0.2">
      <c r="A352">
        <v>38000</v>
      </c>
      <c r="B352">
        <v>2003</v>
      </c>
      <c r="C352" s="89">
        <f t="shared" si="17"/>
        <v>21.5</v>
      </c>
      <c r="D352" s="323">
        <v>744756.26</v>
      </c>
      <c r="E352" s="323">
        <f t="shared" si="18"/>
        <v>16012259.59</v>
      </c>
    </row>
    <row r="353" spans="1:5" hidden="1" outlineLevel="2" x14ac:dyDescent="0.2">
      <c r="A353">
        <v>38000</v>
      </c>
      <c r="B353">
        <v>2002</v>
      </c>
      <c r="C353" s="89">
        <f t="shared" si="17"/>
        <v>22.5</v>
      </c>
      <c r="D353" s="323">
        <v>1232262.96</v>
      </c>
      <c r="E353" s="323">
        <f t="shared" si="18"/>
        <v>27725916.599999998</v>
      </c>
    </row>
    <row r="354" spans="1:5" hidden="1" outlineLevel="2" x14ac:dyDescent="0.2">
      <c r="A354">
        <v>38000</v>
      </c>
      <c r="B354">
        <v>2001</v>
      </c>
      <c r="C354" s="89">
        <f t="shared" si="17"/>
        <v>23.5</v>
      </c>
      <c r="D354" s="323">
        <v>43906.43</v>
      </c>
      <c r="E354" s="323">
        <f t="shared" si="18"/>
        <v>1031801.105</v>
      </c>
    </row>
    <row r="355" spans="1:5" hidden="1" outlineLevel="2" x14ac:dyDescent="0.2">
      <c r="A355">
        <v>38000</v>
      </c>
      <c r="B355">
        <v>2000</v>
      </c>
      <c r="C355" s="89">
        <f t="shared" si="17"/>
        <v>24.5</v>
      </c>
      <c r="D355" s="323">
        <v>2148333.7599999998</v>
      </c>
      <c r="E355" s="323">
        <f t="shared" si="18"/>
        <v>52634177.119999997</v>
      </c>
    </row>
    <row r="356" spans="1:5" hidden="1" outlineLevel="2" x14ac:dyDescent="0.2">
      <c r="A356">
        <v>38000</v>
      </c>
      <c r="B356">
        <v>1999</v>
      </c>
      <c r="C356" s="89">
        <f t="shared" si="17"/>
        <v>25.5</v>
      </c>
      <c r="D356" s="323">
        <v>1130735.1000000001</v>
      </c>
      <c r="E356" s="323">
        <f t="shared" si="18"/>
        <v>28833745.050000001</v>
      </c>
    </row>
    <row r="357" spans="1:5" hidden="1" outlineLevel="2" x14ac:dyDescent="0.2">
      <c r="A357">
        <v>38000</v>
      </c>
      <c r="B357">
        <v>1998</v>
      </c>
      <c r="C357" s="89">
        <f t="shared" si="17"/>
        <v>26.5</v>
      </c>
      <c r="D357" s="323">
        <v>1140921.68</v>
      </c>
      <c r="E357" s="323">
        <f t="shared" si="18"/>
        <v>30234424.52</v>
      </c>
    </row>
    <row r="358" spans="1:5" hidden="1" outlineLevel="2" x14ac:dyDescent="0.2">
      <c r="A358">
        <v>38000</v>
      </c>
      <c r="B358">
        <v>1997</v>
      </c>
      <c r="C358" s="89">
        <f t="shared" si="17"/>
        <v>27.5</v>
      </c>
      <c r="D358" s="323">
        <v>922458.66</v>
      </c>
      <c r="E358" s="323">
        <f t="shared" si="18"/>
        <v>25367613.150000002</v>
      </c>
    </row>
    <row r="359" spans="1:5" hidden="1" outlineLevel="2" x14ac:dyDescent="0.2">
      <c r="A359">
        <v>38000</v>
      </c>
      <c r="B359">
        <v>1996</v>
      </c>
      <c r="C359" s="89">
        <f t="shared" si="17"/>
        <v>28.5</v>
      </c>
      <c r="D359" s="323">
        <v>556872.81000000006</v>
      </c>
      <c r="E359" s="323">
        <f t="shared" si="18"/>
        <v>15870875.085000001</v>
      </c>
    </row>
    <row r="360" spans="1:5" hidden="1" outlineLevel="2" x14ac:dyDescent="0.2">
      <c r="A360">
        <v>38000</v>
      </c>
      <c r="B360">
        <v>1995</v>
      </c>
      <c r="C360" s="89">
        <f t="shared" si="17"/>
        <v>29.5</v>
      </c>
      <c r="D360" s="323">
        <v>601123.07999999996</v>
      </c>
      <c r="E360" s="323">
        <f t="shared" si="18"/>
        <v>17733130.859999999</v>
      </c>
    </row>
    <row r="361" spans="1:5" hidden="1" outlineLevel="2" x14ac:dyDescent="0.2">
      <c r="A361">
        <v>38000</v>
      </c>
      <c r="B361">
        <v>1994</v>
      </c>
      <c r="C361" s="89">
        <f t="shared" si="17"/>
        <v>30.5</v>
      </c>
      <c r="D361" s="323">
        <v>946759.92</v>
      </c>
      <c r="E361" s="323">
        <f t="shared" si="18"/>
        <v>28876177.560000002</v>
      </c>
    </row>
    <row r="362" spans="1:5" hidden="1" outlineLevel="2" x14ac:dyDescent="0.2">
      <c r="A362">
        <v>38000</v>
      </c>
      <c r="B362">
        <v>1993</v>
      </c>
      <c r="C362" s="89">
        <f t="shared" si="17"/>
        <v>31.5</v>
      </c>
      <c r="D362" s="323">
        <v>870876.44</v>
      </c>
      <c r="E362" s="323">
        <f t="shared" si="18"/>
        <v>27432607.859999999</v>
      </c>
    </row>
    <row r="363" spans="1:5" hidden="1" outlineLevel="2" x14ac:dyDescent="0.2">
      <c r="A363">
        <v>38000</v>
      </c>
      <c r="B363">
        <v>1992</v>
      </c>
      <c r="C363" s="89">
        <f t="shared" si="17"/>
        <v>32.5</v>
      </c>
      <c r="D363" s="323">
        <v>960446.61</v>
      </c>
      <c r="E363" s="323">
        <f t="shared" si="18"/>
        <v>31214514.824999999</v>
      </c>
    </row>
    <row r="364" spans="1:5" hidden="1" outlineLevel="2" x14ac:dyDescent="0.2">
      <c r="A364">
        <v>38000</v>
      </c>
      <c r="B364">
        <v>1991</v>
      </c>
      <c r="C364" s="89">
        <f t="shared" si="17"/>
        <v>33.5</v>
      </c>
      <c r="D364" s="323">
        <v>1137030.3600000001</v>
      </c>
      <c r="E364" s="323">
        <f t="shared" si="18"/>
        <v>38090517.060000002</v>
      </c>
    </row>
    <row r="365" spans="1:5" hidden="1" outlineLevel="2" x14ac:dyDescent="0.2">
      <c r="A365">
        <v>38000</v>
      </c>
      <c r="B365">
        <v>1990</v>
      </c>
      <c r="C365" s="89">
        <f t="shared" si="17"/>
        <v>34.5</v>
      </c>
      <c r="D365" s="323">
        <v>842641.67</v>
      </c>
      <c r="E365" s="323">
        <f t="shared" ref="E365:E396" si="19">+C365*D365</f>
        <v>29071137.615000002</v>
      </c>
    </row>
    <row r="366" spans="1:5" hidden="1" outlineLevel="2" x14ac:dyDescent="0.2">
      <c r="A366">
        <v>38000</v>
      </c>
      <c r="B366">
        <v>1989</v>
      </c>
      <c r="C366" s="89">
        <f t="shared" si="17"/>
        <v>35.5</v>
      </c>
      <c r="D366" s="323">
        <v>762659.44</v>
      </c>
      <c r="E366" s="323">
        <f t="shared" si="19"/>
        <v>27074410.119999997</v>
      </c>
    </row>
    <row r="367" spans="1:5" hidden="1" outlineLevel="2" x14ac:dyDescent="0.2">
      <c r="A367">
        <v>38000</v>
      </c>
      <c r="B367">
        <v>1988</v>
      </c>
      <c r="C367" s="89">
        <f t="shared" si="17"/>
        <v>36.5</v>
      </c>
      <c r="D367" s="323">
        <v>692496.56</v>
      </c>
      <c r="E367" s="323">
        <f t="shared" si="19"/>
        <v>25276124.440000001</v>
      </c>
    </row>
    <row r="368" spans="1:5" hidden="1" outlineLevel="2" x14ac:dyDescent="0.2">
      <c r="A368">
        <v>38000</v>
      </c>
      <c r="B368">
        <v>1987</v>
      </c>
      <c r="C368" s="89">
        <f t="shared" si="17"/>
        <v>37.5</v>
      </c>
      <c r="D368" s="323">
        <v>592113.65</v>
      </c>
      <c r="E368" s="323">
        <f t="shared" si="19"/>
        <v>22204261.875</v>
      </c>
    </row>
    <row r="369" spans="1:5" hidden="1" outlineLevel="2" x14ac:dyDescent="0.2">
      <c r="A369">
        <v>38000</v>
      </c>
      <c r="B369">
        <v>1986</v>
      </c>
      <c r="C369" s="89">
        <f t="shared" si="17"/>
        <v>38.5</v>
      </c>
      <c r="D369" s="323">
        <v>517340.04</v>
      </c>
      <c r="E369" s="323">
        <f t="shared" si="19"/>
        <v>19917591.539999999</v>
      </c>
    </row>
    <row r="370" spans="1:5" hidden="1" outlineLevel="2" x14ac:dyDescent="0.2">
      <c r="A370">
        <v>38000</v>
      </c>
      <c r="B370">
        <v>1985</v>
      </c>
      <c r="C370" s="89">
        <f t="shared" si="17"/>
        <v>39.5</v>
      </c>
      <c r="D370" s="323">
        <v>674867.18</v>
      </c>
      <c r="E370" s="323">
        <f t="shared" si="19"/>
        <v>26657253.610000003</v>
      </c>
    </row>
    <row r="371" spans="1:5" hidden="1" outlineLevel="2" x14ac:dyDescent="0.2">
      <c r="A371">
        <v>38000</v>
      </c>
      <c r="B371">
        <v>1984</v>
      </c>
      <c r="C371" s="89">
        <f t="shared" si="17"/>
        <v>40.5</v>
      </c>
      <c r="D371" s="323">
        <v>466380.12</v>
      </c>
      <c r="E371" s="323">
        <f t="shared" si="19"/>
        <v>18888394.859999999</v>
      </c>
    </row>
    <row r="372" spans="1:5" hidden="1" outlineLevel="2" x14ac:dyDescent="0.2">
      <c r="A372">
        <v>38000</v>
      </c>
      <c r="B372">
        <v>1983</v>
      </c>
      <c r="C372" s="89">
        <f t="shared" si="17"/>
        <v>41.5</v>
      </c>
      <c r="D372" s="323">
        <v>422534.67</v>
      </c>
      <c r="E372" s="323">
        <f t="shared" si="19"/>
        <v>17535188.805</v>
      </c>
    </row>
    <row r="373" spans="1:5" hidden="1" outlineLevel="2" x14ac:dyDescent="0.2">
      <c r="A373">
        <v>38000</v>
      </c>
      <c r="B373">
        <v>1982</v>
      </c>
      <c r="C373" s="89">
        <f t="shared" si="17"/>
        <v>42.5</v>
      </c>
      <c r="D373" s="323">
        <v>470461.4</v>
      </c>
      <c r="E373" s="323">
        <f t="shared" si="19"/>
        <v>19994609.5</v>
      </c>
    </row>
    <row r="374" spans="1:5" hidden="1" outlineLevel="2" x14ac:dyDescent="0.2">
      <c r="A374">
        <v>38000</v>
      </c>
      <c r="B374">
        <v>1981</v>
      </c>
      <c r="C374" s="89">
        <f t="shared" si="17"/>
        <v>43.5</v>
      </c>
      <c r="D374" s="323">
        <v>555812.49</v>
      </c>
      <c r="E374" s="323">
        <f t="shared" si="19"/>
        <v>24177843.315000001</v>
      </c>
    </row>
    <row r="375" spans="1:5" hidden="1" outlineLevel="2" x14ac:dyDescent="0.2">
      <c r="A375">
        <v>38000</v>
      </c>
      <c r="B375">
        <v>1980</v>
      </c>
      <c r="C375" s="89">
        <f t="shared" si="17"/>
        <v>44.5</v>
      </c>
      <c r="D375" s="323">
        <v>255934.82</v>
      </c>
      <c r="E375" s="323">
        <f t="shared" si="19"/>
        <v>11389099.49</v>
      </c>
    </row>
    <row r="376" spans="1:5" hidden="1" outlineLevel="2" x14ac:dyDescent="0.2">
      <c r="A376">
        <v>38000</v>
      </c>
      <c r="B376">
        <v>1979</v>
      </c>
      <c r="C376" s="89">
        <f t="shared" si="17"/>
        <v>45.5</v>
      </c>
      <c r="D376" s="323">
        <v>633218.64</v>
      </c>
      <c r="E376" s="323">
        <f t="shared" si="19"/>
        <v>28811448.120000001</v>
      </c>
    </row>
    <row r="377" spans="1:5" hidden="1" outlineLevel="2" x14ac:dyDescent="0.2">
      <c r="A377">
        <v>38000</v>
      </c>
      <c r="B377">
        <v>1978</v>
      </c>
      <c r="C377" s="89">
        <f t="shared" si="17"/>
        <v>46.5</v>
      </c>
      <c r="D377" s="323">
        <v>715074.81</v>
      </c>
      <c r="E377" s="323">
        <f t="shared" si="19"/>
        <v>33250978.665000003</v>
      </c>
    </row>
    <row r="378" spans="1:5" hidden="1" outlineLevel="2" x14ac:dyDescent="0.2">
      <c r="A378">
        <v>38000</v>
      </c>
      <c r="B378">
        <v>1977</v>
      </c>
      <c r="C378" s="89">
        <f t="shared" si="17"/>
        <v>47.5</v>
      </c>
      <c r="D378" s="323">
        <v>377370.85</v>
      </c>
      <c r="E378" s="323">
        <f t="shared" si="19"/>
        <v>17925115.375</v>
      </c>
    </row>
    <row r="379" spans="1:5" hidden="1" outlineLevel="2" x14ac:dyDescent="0.2">
      <c r="A379">
        <v>38000</v>
      </c>
      <c r="B379">
        <v>1976</v>
      </c>
      <c r="C379" s="89">
        <f t="shared" si="17"/>
        <v>48.5</v>
      </c>
      <c r="D379" s="323">
        <v>448302.96</v>
      </c>
      <c r="E379" s="323">
        <f t="shared" si="19"/>
        <v>21742693.560000002</v>
      </c>
    </row>
    <row r="380" spans="1:5" hidden="1" outlineLevel="2" x14ac:dyDescent="0.2">
      <c r="A380">
        <v>38000</v>
      </c>
      <c r="B380">
        <v>1975</v>
      </c>
      <c r="C380" s="89">
        <f t="shared" si="17"/>
        <v>49.5</v>
      </c>
      <c r="D380" s="323">
        <v>650802.5</v>
      </c>
      <c r="E380" s="323">
        <f t="shared" si="19"/>
        <v>32214723.75</v>
      </c>
    </row>
    <row r="381" spans="1:5" hidden="1" outlineLevel="2" x14ac:dyDescent="0.2">
      <c r="A381">
        <v>38000</v>
      </c>
      <c r="B381">
        <v>1974</v>
      </c>
      <c r="C381" s="89">
        <f t="shared" si="17"/>
        <v>50.5</v>
      </c>
      <c r="D381" s="323">
        <v>1002722.32</v>
      </c>
      <c r="E381" s="323">
        <f t="shared" si="19"/>
        <v>50637477.159999996</v>
      </c>
    </row>
    <row r="382" spans="1:5" hidden="1" outlineLevel="2" x14ac:dyDescent="0.2">
      <c r="A382">
        <v>38000</v>
      </c>
      <c r="B382">
        <v>1973</v>
      </c>
      <c r="C382" s="89">
        <f t="shared" si="17"/>
        <v>51.5</v>
      </c>
      <c r="D382" s="323">
        <v>1103856.42</v>
      </c>
      <c r="E382" s="323">
        <f t="shared" si="19"/>
        <v>56848605.629999995</v>
      </c>
    </row>
    <row r="383" spans="1:5" hidden="1" outlineLevel="2" x14ac:dyDescent="0.2">
      <c r="A383">
        <v>38000</v>
      </c>
      <c r="B383">
        <v>1972</v>
      </c>
      <c r="C383" s="89">
        <f t="shared" si="17"/>
        <v>52.5</v>
      </c>
      <c r="D383" s="323">
        <v>718089.58</v>
      </c>
      <c r="E383" s="323">
        <f t="shared" si="19"/>
        <v>37699702.949999996</v>
      </c>
    </row>
    <row r="384" spans="1:5" hidden="1" outlineLevel="2" x14ac:dyDescent="0.2">
      <c r="A384">
        <v>38000</v>
      </c>
      <c r="B384">
        <v>1971</v>
      </c>
      <c r="C384" s="89">
        <f t="shared" si="17"/>
        <v>53.5</v>
      </c>
      <c r="D384" s="323">
        <v>568804.89</v>
      </c>
      <c r="E384" s="323">
        <f t="shared" si="19"/>
        <v>30431061.615000002</v>
      </c>
    </row>
    <row r="385" spans="1:5" hidden="1" outlineLevel="2" x14ac:dyDescent="0.2">
      <c r="A385">
        <v>38000</v>
      </c>
      <c r="B385">
        <v>1970</v>
      </c>
      <c r="C385" s="89">
        <f t="shared" si="17"/>
        <v>54.5</v>
      </c>
      <c r="D385" s="323">
        <v>358544.46</v>
      </c>
      <c r="E385" s="323">
        <f t="shared" si="19"/>
        <v>19540673.07</v>
      </c>
    </row>
    <row r="386" spans="1:5" hidden="1" outlineLevel="2" x14ac:dyDescent="0.2">
      <c r="A386">
        <v>38000</v>
      </c>
      <c r="B386">
        <v>1969</v>
      </c>
      <c r="C386" s="89">
        <f t="shared" si="17"/>
        <v>55.5</v>
      </c>
      <c r="D386" s="323">
        <v>473081.02</v>
      </c>
      <c r="E386" s="323">
        <f t="shared" si="19"/>
        <v>26255996.609999999</v>
      </c>
    </row>
    <row r="387" spans="1:5" hidden="1" outlineLevel="2" x14ac:dyDescent="0.2">
      <c r="A387">
        <v>38000</v>
      </c>
      <c r="B387">
        <v>1968</v>
      </c>
      <c r="C387" s="89">
        <f t="shared" si="17"/>
        <v>56.5</v>
      </c>
      <c r="D387" s="323">
        <v>454367.57</v>
      </c>
      <c r="E387" s="323">
        <f t="shared" si="19"/>
        <v>25671767.705000002</v>
      </c>
    </row>
    <row r="388" spans="1:5" hidden="1" outlineLevel="2" x14ac:dyDescent="0.2">
      <c r="A388">
        <v>38000</v>
      </c>
      <c r="B388">
        <v>1967</v>
      </c>
      <c r="C388" s="89">
        <f t="shared" si="17"/>
        <v>57.5</v>
      </c>
      <c r="D388" s="323">
        <v>625501.99</v>
      </c>
      <c r="E388" s="323">
        <f t="shared" si="19"/>
        <v>35966364.424999997</v>
      </c>
    </row>
    <row r="389" spans="1:5" hidden="1" outlineLevel="2" x14ac:dyDescent="0.2">
      <c r="A389">
        <v>38000</v>
      </c>
      <c r="B389">
        <v>1966</v>
      </c>
      <c r="C389" s="89">
        <f t="shared" si="17"/>
        <v>58.5</v>
      </c>
      <c r="D389" s="323">
        <v>585399.56999999995</v>
      </c>
      <c r="E389" s="323">
        <f t="shared" si="19"/>
        <v>34245874.844999999</v>
      </c>
    </row>
    <row r="390" spans="1:5" hidden="1" outlineLevel="2" x14ac:dyDescent="0.2">
      <c r="A390">
        <v>38000</v>
      </c>
      <c r="B390">
        <v>1965</v>
      </c>
      <c r="C390" s="89">
        <f t="shared" si="17"/>
        <v>59.5</v>
      </c>
      <c r="D390" s="323">
        <v>213189.43000000002</v>
      </c>
      <c r="E390" s="323">
        <f t="shared" si="19"/>
        <v>12684771.085000001</v>
      </c>
    </row>
    <row r="391" spans="1:5" hidden="1" outlineLevel="2" x14ac:dyDescent="0.2">
      <c r="A391">
        <v>38000</v>
      </c>
      <c r="B391">
        <v>1964</v>
      </c>
      <c r="C391" s="89">
        <f t="shared" ref="C391:C454" si="20">2024.5-B391</f>
        <v>60.5</v>
      </c>
      <c r="D391" s="323">
        <v>251214.54</v>
      </c>
      <c r="E391" s="323">
        <f t="shared" si="19"/>
        <v>15198479.67</v>
      </c>
    </row>
    <row r="392" spans="1:5" hidden="1" outlineLevel="2" x14ac:dyDescent="0.2">
      <c r="A392">
        <v>38000</v>
      </c>
      <c r="B392">
        <v>1963</v>
      </c>
      <c r="C392" s="89">
        <f t="shared" si="20"/>
        <v>61.5</v>
      </c>
      <c r="D392" s="323">
        <v>181908.15</v>
      </c>
      <c r="E392" s="323">
        <f t="shared" si="19"/>
        <v>11187351.225</v>
      </c>
    </row>
    <row r="393" spans="1:5" hidden="1" outlineLevel="2" x14ac:dyDescent="0.2">
      <c r="A393">
        <v>38000</v>
      </c>
      <c r="B393">
        <v>1962</v>
      </c>
      <c r="C393" s="89">
        <f t="shared" si="20"/>
        <v>62.5</v>
      </c>
      <c r="D393" s="323">
        <v>173420.77</v>
      </c>
      <c r="E393" s="323">
        <f t="shared" si="19"/>
        <v>10838798.125</v>
      </c>
    </row>
    <row r="394" spans="1:5" hidden="1" outlineLevel="2" x14ac:dyDescent="0.2">
      <c r="A394">
        <v>38000</v>
      </c>
      <c r="B394">
        <v>1961</v>
      </c>
      <c r="C394" s="89">
        <f t="shared" si="20"/>
        <v>63.5</v>
      </c>
      <c r="D394" s="323">
        <v>169007.38</v>
      </c>
      <c r="E394" s="323">
        <f t="shared" si="19"/>
        <v>10731968.630000001</v>
      </c>
    </row>
    <row r="395" spans="1:5" hidden="1" outlineLevel="2" x14ac:dyDescent="0.2">
      <c r="A395">
        <v>38000</v>
      </c>
      <c r="B395">
        <v>1960</v>
      </c>
      <c r="C395" s="89">
        <f t="shared" si="20"/>
        <v>64.5</v>
      </c>
      <c r="D395" s="323">
        <v>420949.1</v>
      </c>
      <c r="E395" s="323">
        <f t="shared" si="19"/>
        <v>27151216.949999999</v>
      </c>
    </row>
    <row r="396" spans="1:5" hidden="1" outlineLevel="2" x14ac:dyDescent="0.2">
      <c r="A396">
        <v>38000</v>
      </c>
      <c r="B396">
        <v>1959</v>
      </c>
      <c r="C396" s="89">
        <f t="shared" si="20"/>
        <v>65.5</v>
      </c>
      <c r="D396" s="323">
        <v>1055736.48</v>
      </c>
      <c r="E396" s="323">
        <f t="shared" si="19"/>
        <v>69150739.439999998</v>
      </c>
    </row>
    <row r="397" spans="1:5" hidden="1" outlineLevel="2" x14ac:dyDescent="0.2">
      <c r="A397">
        <v>38000</v>
      </c>
      <c r="B397">
        <v>1958</v>
      </c>
      <c r="C397" s="89">
        <f t="shared" si="20"/>
        <v>66.5</v>
      </c>
      <c r="D397" s="323">
        <v>197644.32</v>
      </c>
      <c r="E397" s="323">
        <f t="shared" ref="E397:E424" si="21">+C397*D397</f>
        <v>13143347.280000001</v>
      </c>
    </row>
    <row r="398" spans="1:5" hidden="1" outlineLevel="2" x14ac:dyDescent="0.2">
      <c r="A398">
        <v>38000</v>
      </c>
      <c r="B398">
        <v>1957</v>
      </c>
      <c r="C398" s="89">
        <f t="shared" si="20"/>
        <v>67.5</v>
      </c>
      <c r="D398" s="323">
        <v>102028.47</v>
      </c>
      <c r="E398" s="323">
        <f t="shared" si="21"/>
        <v>6886921.7249999996</v>
      </c>
    </row>
    <row r="399" spans="1:5" hidden="1" outlineLevel="2" x14ac:dyDescent="0.2">
      <c r="A399">
        <v>38000</v>
      </c>
      <c r="B399">
        <v>1956</v>
      </c>
      <c r="C399" s="89">
        <f t="shared" si="20"/>
        <v>68.5</v>
      </c>
      <c r="D399" s="323">
        <v>65169.81</v>
      </c>
      <c r="E399" s="323">
        <f t="shared" si="21"/>
        <v>4464131.9849999994</v>
      </c>
    </row>
    <row r="400" spans="1:5" hidden="1" outlineLevel="2" x14ac:dyDescent="0.2">
      <c r="A400">
        <v>38000</v>
      </c>
      <c r="B400">
        <v>1955</v>
      </c>
      <c r="C400" s="89">
        <f t="shared" si="20"/>
        <v>69.5</v>
      </c>
      <c r="D400" s="323">
        <v>18368.149999999998</v>
      </c>
      <c r="E400" s="323">
        <f t="shared" si="21"/>
        <v>1276586.4249999998</v>
      </c>
    </row>
    <row r="401" spans="1:5" hidden="1" outlineLevel="2" x14ac:dyDescent="0.2">
      <c r="A401">
        <v>38000</v>
      </c>
      <c r="B401">
        <v>1954</v>
      </c>
      <c r="C401" s="89">
        <f t="shared" si="20"/>
        <v>70.5</v>
      </c>
      <c r="D401" s="323">
        <v>18214.09</v>
      </c>
      <c r="E401" s="323">
        <f t="shared" si="21"/>
        <v>1284093.345</v>
      </c>
    </row>
    <row r="402" spans="1:5" hidden="1" outlineLevel="2" x14ac:dyDescent="0.2">
      <c r="A402">
        <v>38000</v>
      </c>
      <c r="B402">
        <v>1953</v>
      </c>
      <c r="C402" s="89">
        <f t="shared" si="20"/>
        <v>71.5</v>
      </c>
      <c r="D402" s="323">
        <v>7647.47</v>
      </c>
      <c r="E402" s="323">
        <f t="shared" si="21"/>
        <v>546794.10499999998</v>
      </c>
    </row>
    <row r="403" spans="1:5" hidden="1" outlineLevel="2" x14ac:dyDescent="0.2">
      <c r="A403">
        <v>38000</v>
      </c>
      <c r="B403">
        <v>1952</v>
      </c>
      <c r="C403" s="89">
        <f t="shared" si="20"/>
        <v>72.5</v>
      </c>
      <c r="D403" s="323">
        <v>17254.91</v>
      </c>
      <c r="E403" s="323">
        <f t="shared" si="21"/>
        <v>1250980.9750000001</v>
      </c>
    </row>
    <row r="404" spans="1:5" hidden="1" outlineLevel="2" x14ac:dyDescent="0.2">
      <c r="A404">
        <v>38000</v>
      </c>
      <c r="B404">
        <v>1951</v>
      </c>
      <c r="C404" s="89">
        <f t="shared" si="20"/>
        <v>73.5</v>
      </c>
      <c r="D404" s="323">
        <v>8833.85</v>
      </c>
      <c r="E404" s="323">
        <f t="shared" si="21"/>
        <v>649287.97499999998</v>
      </c>
    </row>
    <row r="405" spans="1:5" hidden="1" outlineLevel="2" x14ac:dyDescent="0.2">
      <c r="A405">
        <v>38000</v>
      </c>
      <c r="B405">
        <v>1950</v>
      </c>
      <c r="C405" s="89">
        <f t="shared" si="20"/>
        <v>74.5</v>
      </c>
      <c r="D405" s="323">
        <v>11168.13</v>
      </c>
      <c r="E405" s="323">
        <f t="shared" si="21"/>
        <v>832025.68499999994</v>
      </c>
    </row>
    <row r="406" spans="1:5" hidden="1" outlineLevel="2" x14ac:dyDescent="0.2">
      <c r="A406">
        <v>38000</v>
      </c>
      <c r="B406">
        <v>1949</v>
      </c>
      <c r="C406" s="89">
        <f t="shared" si="20"/>
        <v>75.5</v>
      </c>
      <c r="D406" s="323">
        <v>16287.73</v>
      </c>
      <c r="E406" s="323">
        <f t="shared" si="21"/>
        <v>1229723.615</v>
      </c>
    </row>
    <row r="407" spans="1:5" hidden="1" outlineLevel="2" x14ac:dyDescent="0.2">
      <c r="A407">
        <v>38000</v>
      </c>
      <c r="B407">
        <v>1948</v>
      </c>
      <c r="C407" s="89">
        <f t="shared" si="20"/>
        <v>76.5</v>
      </c>
      <c r="D407" s="323">
        <v>40407.839999999997</v>
      </c>
      <c r="E407" s="323">
        <f t="shared" si="21"/>
        <v>3091199.76</v>
      </c>
    </row>
    <row r="408" spans="1:5" hidden="1" outlineLevel="2" x14ac:dyDescent="0.2">
      <c r="A408">
        <v>38000</v>
      </c>
      <c r="B408">
        <v>1947</v>
      </c>
      <c r="C408" s="89">
        <f t="shared" si="20"/>
        <v>77.5</v>
      </c>
      <c r="D408" s="323">
        <v>4023.91</v>
      </c>
      <c r="E408" s="323">
        <f t="shared" si="21"/>
        <v>311853.02499999997</v>
      </c>
    </row>
    <row r="409" spans="1:5" hidden="1" outlineLevel="2" x14ac:dyDescent="0.2">
      <c r="A409">
        <v>38000</v>
      </c>
      <c r="B409">
        <v>1946</v>
      </c>
      <c r="C409" s="89">
        <f t="shared" si="20"/>
        <v>78.5</v>
      </c>
      <c r="D409" s="323">
        <v>17282.78</v>
      </c>
      <c r="E409" s="323">
        <f t="shared" si="21"/>
        <v>1356698.23</v>
      </c>
    </row>
    <row r="410" spans="1:5" hidden="1" outlineLevel="2" x14ac:dyDescent="0.2">
      <c r="A410">
        <v>38000</v>
      </c>
      <c r="B410">
        <v>1945</v>
      </c>
      <c r="C410" s="89">
        <f t="shared" si="20"/>
        <v>79.5</v>
      </c>
      <c r="D410" s="323">
        <v>127.48</v>
      </c>
      <c r="E410" s="323">
        <f t="shared" si="21"/>
        <v>10134.66</v>
      </c>
    </row>
    <row r="411" spans="1:5" hidden="1" outlineLevel="2" x14ac:dyDescent="0.2">
      <c r="A411">
        <v>38000</v>
      </c>
      <c r="B411">
        <v>1944</v>
      </c>
      <c r="C411" s="89">
        <f t="shared" si="20"/>
        <v>80.5</v>
      </c>
      <c r="D411" s="323">
        <v>5546.35</v>
      </c>
      <c r="E411" s="323">
        <f t="shared" si="21"/>
        <v>446481.17500000005</v>
      </c>
    </row>
    <row r="412" spans="1:5" hidden="1" outlineLevel="2" x14ac:dyDescent="0.2">
      <c r="A412">
        <v>38000</v>
      </c>
      <c r="B412">
        <v>1943</v>
      </c>
      <c r="C412" s="89">
        <f t="shared" si="20"/>
        <v>81.5</v>
      </c>
      <c r="D412" s="323">
        <v>17809.830000000002</v>
      </c>
      <c r="E412" s="323">
        <f t="shared" si="21"/>
        <v>1451501.1450000003</v>
      </c>
    </row>
    <row r="413" spans="1:5" hidden="1" outlineLevel="2" x14ac:dyDescent="0.2">
      <c r="A413">
        <v>38000</v>
      </c>
      <c r="B413">
        <v>1942</v>
      </c>
      <c r="C413" s="89">
        <f t="shared" si="20"/>
        <v>82.5</v>
      </c>
      <c r="D413" s="323">
        <v>8296.66</v>
      </c>
      <c r="E413" s="323">
        <f t="shared" si="21"/>
        <v>684474.45</v>
      </c>
    </row>
    <row r="414" spans="1:5" hidden="1" outlineLevel="2" x14ac:dyDescent="0.2">
      <c r="A414">
        <v>38000</v>
      </c>
      <c r="B414">
        <v>1941</v>
      </c>
      <c r="C414" s="89">
        <f t="shared" si="20"/>
        <v>83.5</v>
      </c>
      <c r="D414" s="323">
        <v>4729.75</v>
      </c>
      <c r="E414" s="323">
        <f t="shared" si="21"/>
        <v>394934.125</v>
      </c>
    </row>
    <row r="415" spans="1:5" hidden="1" outlineLevel="2" x14ac:dyDescent="0.2">
      <c r="A415">
        <v>38000</v>
      </c>
      <c r="B415">
        <v>1940</v>
      </c>
      <c r="C415" s="89">
        <f t="shared" si="20"/>
        <v>84.5</v>
      </c>
      <c r="D415" s="323">
        <v>81.069999999999993</v>
      </c>
      <c r="E415" s="323">
        <f t="shared" si="21"/>
        <v>6850.4149999999991</v>
      </c>
    </row>
    <row r="416" spans="1:5" hidden="1" outlineLevel="2" x14ac:dyDescent="0.2">
      <c r="A416">
        <v>38000</v>
      </c>
      <c r="B416">
        <v>1939</v>
      </c>
      <c r="C416" s="89">
        <f t="shared" si="20"/>
        <v>85.5</v>
      </c>
      <c r="D416" s="323">
        <v>1710.51</v>
      </c>
      <c r="E416" s="323">
        <f t="shared" si="21"/>
        <v>146248.60500000001</v>
      </c>
    </row>
    <row r="417" spans="1:6" hidden="1" outlineLevel="2" x14ac:dyDescent="0.2">
      <c r="A417">
        <v>38000</v>
      </c>
      <c r="B417">
        <v>1938</v>
      </c>
      <c r="C417" s="89">
        <f t="shared" si="20"/>
        <v>86.5</v>
      </c>
      <c r="D417" s="323">
        <v>2962.2799999999997</v>
      </c>
      <c r="E417" s="323">
        <f t="shared" si="21"/>
        <v>256237.21999999997</v>
      </c>
    </row>
    <row r="418" spans="1:6" hidden="1" outlineLevel="2" x14ac:dyDescent="0.2">
      <c r="A418">
        <v>38000</v>
      </c>
      <c r="B418">
        <v>1937</v>
      </c>
      <c r="C418" s="89">
        <f t="shared" si="20"/>
        <v>87.5</v>
      </c>
      <c r="D418" s="323">
        <v>59.6</v>
      </c>
      <c r="E418" s="323">
        <f t="shared" si="21"/>
        <v>5215</v>
      </c>
    </row>
    <row r="419" spans="1:6" hidden="1" outlineLevel="2" x14ac:dyDescent="0.2">
      <c r="A419">
        <v>38000</v>
      </c>
      <c r="B419">
        <v>1936</v>
      </c>
      <c r="C419" s="89">
        <f t="shared" si="20"/>
        <v>88.5</v>
      </c>
      <c r="D419" s="323">
        <v>2038.16</v>
      </c>
      <c r="E419" s="323">
        <f t="shared" si="21"/>
        <v>180377.16</v>
      </c>
    </row>
    <row r="420" spans="1:6" hidden="1" outlineLevel="2" x14ac:dyDescent="0.2">
      <c r="A420">
        <v>38000</v>
      </c>
      <c r="B420">
        <v>1935</v>
      </c>
      <c r="C420" s="89">
        <f t="shared" si="20"/>
        <v>89.5</v>
      </c>
      <c r="D420" s="323">
        <v>103.11</v>
      </c>
      <c r="E420" s="323">
        <f t="shared" si="21"/>
        <v>9228.3449999999993</v>
      </c>
    </row>
    <row r="421" spans="1:6" hidden="1" outlineLevel="2" x14ac:dyDescent="0.2">
      <c r="A421">
        <v>38000</v>
      </c>
      <c r="B421">
        <v>1934</v>
      </c>
      <c r="C421" s="89">
        <f t="shared" si="20"/>
        <v>90.5</v>
      </c>
      <c r="D421" s="323">
        <v>84.24</v>
      </c>
      <c r="E421" s="323">
        <f t="shared" si="21"/>
        <v>7623.7199999999993</v>
      </c>
    </row>
    <row r="422" spans="1:6" hidden="1" outlineLevel="2" x14ac:dyDescent="0.2">
      <c r="A422">
        <v>38000</v>
      </c>
      <c r="B422">
        <v>1933</v>
      </c>
      <c r="C422" s="89">
        <f t="shared" si="20"/>
        <v>91.5</v>
      </c>
      <c r="D422" s="323">
        <v>157.80000000000001</v>
      </c>
      <c r="E422" s="323">
        <f t="shared" si="21"/>
        <v>14438.7</v>
      </c>
    </row>
    <row r="423" spans="1:6" hidden="1" outlineLevel="2" x14ac:dyDescent="0.2">
      <c r="A423">
        <v>38000</v>
      </c>
      <c r="B423">
        <v>1932</v>
      </c>
      <c r="C423" s="89">
        <f t="shared" si="20"/>
        <v>92.5</v>
      </c>
      <c r="D423" s="323">
        <v>1402.61</v>
      </c>
      <c r="E423" s="323">
        <f t="shared" si="21"/>
        <v>129741.42499999999</v>
      </c>
    </row>
    <row r="424" spans="1:6" hidden="1" outlineLevel="2" x14ac:dyDescent="0.2">
      <c r="A424">
        <v>38000</v>
      </c>
      <c r="B424">
        <v>1930</v>
      </c>
      <c r="C424" s="89">
        <f t="shared" si="20"/>
        <v>94.5</v>
      </c>
      <c r="D424" s="323">
        <v>1242.3800000000001</v>
      </c>
      <c r="E424" s="323">
        <f t="shared" si="21"/>
        <v>117404.91</v>
      </c>
    </row>
    <row r="425" spans="1:6" s="143" customFormat="1" outlineLevel="1" collapsed="1" x14ac:dyDescent="0.2">
      <c r="A425" s="20" t="s">
        <v>1186</v>
      </c>
      <c r="C425" s="89" t="s">
        <v>1230</v>
      </c>
      <c r="D425" s="323">
        <f>SUBTOTAL(9,D333:D424)</f>
        <v>68085342.289999977</v>
      </c>
      <c r="E425" s="323">
        <f>SUBTOTAL(9,E333:E424)</f>
        <v>1544190108.2850001</v>
      </c>
      <c r="F425" s="323">
        <f>+E425/D425</f>
        <v>22.680213631118114</v>
      </c>
    </row>
    <row r="426" spans="1:6" hidden="1" outlineLevel="2" x14ac:dyDescent="0.2">
      <c r="A426">
        <v>38002</v>
      </c>
      <c r="B426">
        <v>2024</v>
      </c>
      <c r="C426" s="89">
        <f t="shared" si="20"/>
        <v>0.5</v>
      </c>
      <c r="D426" s="323">
        <v>62511257.599999994</v>
      </c>
      <c r="E426" s="323">
        <f t="shared" ref="E426:E466" si="22">+C426*D426</f>
        <v>31255628.799999997</v>
      </c>
    </row>
    <row r="427" spans="1:6" hidden="1" outlineLevel="2" x14ac:dyDescent="0.2">
      <c r="A427">
        <v>38002</v>
      </c>
      <c r="B427">
        <v>2023</v>
      </c>
      <c r="C427" s="89">
        <f t="shared" si="20"/>
        <v>1.5</v>
      </c>
      <c r="D427" s="323">
        <v>66087725.829999991</v>
      </c>
      <c r="E427" s="323">
        <f t="shared" si="22"/>
        <v>99131588.74499999</v>
      </c>
    </row>
    <row r="428" spans="1:6" hidden="1" outlineLevel="2" x14ac:dyDescent="0.2">
      <c r="A428">
        <v>38002</v>
      </c>
      <c r="B428">
        <v>2022</v>
      </c>
      <c r="C428" s="89">
        <f t="shared" si="20"/>
        <v>2.5</v>
      </c>
      <c r="D428" s="323">
        <v>62233681.32</v>
      </c>
      <c r="E428" s="323">
        <f t="shared" si="22"/>
        <v>155584203.30000001</v>
      </c>
    </row>
    <row r="429" spans="1:6" hidden="1" outlineLevel="2" x14ac:dyDescent="0.2">
      <c r="A429">
        <v>38002</v>
      </c>
      <c r="B429">
        <v>2021</v>
      </c>
      <c r="C429" s="89">
        <f t="shared" si="20"/>
        <v>3.5</v>
      </c>
      <c r="D429" s="323">
        <v>54543732.350000001</v>
      </c>
      <c r="E429" s="323">
        <f t="shared" si="22"/>
        <v>190903063.22499999</v>
      </c>
    </row>
    <row r="430" spans="1:6" hidden="1" outlineLevel="2" x14ac:dyDescent="0.2">
      <c r="A430">
        <v>38002</v>
      </c>
      <c r="B430">
        <v>2020</v>
      </c>
      <c r="C430" s="89">
        <f t="shared" si="20"/>
        <v>4.5</v>
      </c>
      <c r="D430" s="323">
        <v>49738113.32</v>
      </c>
      <c r="E430" s="323">
        <f t="shared" si="22"/>
        <v>223821509.94</v>
      </c>
    </row>
    <row r="431" spans="1:6" hidden="1" outlineLevel="2" x14ac:dyDescent="0.2">
      <c r="A431">
        <v>38002</v>
      </c>
      <c r="B431">
        <v>2019</v>
      </c>
      <c r="C431" s="89">
        <f t="shared" si="20"/>
        <v>5.5</v>
      </c>
      <c r="D431" s="323">
        <v>41279315.600000001</v>
      </c>
      <c r="E431" s="323">
        <f t="shared" si="22"/>
        <v>227036235.80000001</v>
      </c>
    </row>
    <row r="432" spans="1:6" hidden="1" outlineLevel="2" x14ac:dyDescent="0.2">
      <c r="A432">
        <v>38002</v>
      </c>
      <c r="B432">
        <v>2018</v>
      </c>
      <c r="C432" s="89">
        <f t="shared" si="20"/>
        <v>6.5</v>
      </c>
      <c r="D432" s="323">
        <v>42070531.100000001</v>
      </c>
      <c r="E432" s="323">
        <f t="shared" si="22"/>
        <v>273458452.15000004</v>
      </c>
    </row>
    <row r="433" spans="1:5" hidden="1" outlineLevel="2" x14ac:dyDescent="0.2">
      <c r="A433">
        <v>38002</v>
      </c>
      <c r="B433">
        <v>2017</v>
      </c>
      <c r="C433" s="89">
        <f t="shared" si="20"/>
        <v>7.5</v>
      </c>
      <c r="D433" s="323">
        <v>25325870.02</v>
      </c>
      <c r="E433" s="323">
        <f t="shared" si="22"/>
        <v>189944025.15000001</v>
      </c>
    </row>
    <row r="434" spans="1:5" hidden="1" outlineLevel="2" x14ac:dyDescent="0.2">
      <c r="A434">
        <v>38002</v>
      </c>
      <c r="B434">
        <v>2016</v>
      </c>
      <c r="C434" s="89">
        <f t="shared" si="20"/>
        <v>8.5</v>
      </c>
      <c r="D434" s="323">
        <v>24706396.629999999</v>
      </c>
      <c r="E434" s="323">
        <f t="shared" si="22"/>
        <v>210004371.35499999</v>
      </c>
    </row>
    <row r="435" spans="1:5" hidden="1" outlineLevel="2" x14ac:dyDescent="0.2">
      <c r="A435">
        <v>38002</v>
      </c>
      <c r="B435">
        <v>2015</v>
      </c>
      <c r="C435" s="89">
        <f t="shared" si="20"/>
        <v>9.5</v>
      </c>
      <c r="D435" s="323">
        <v>17667666.34</v>
      </c>
      <c r="E435" s="323">
        <f t="shared" si="22"/>
        <v>167842830.22999999</v>
      </c>
    </row>
    <row r="436" spans="1:5" hidden="1" outlineLevel="2" x14ac:dyDescent="0.2">
      <c r="A436">
        <v>38002</v>
      </c>
      <c r="B436">
        <v>2014</v>
      </c>
      <c r="C436" s="89">
        <f t="shared" si="20"/>
        <v>10.5</v>
      </c>
      <c r="D436" s="323">
        <v>16039838.689999999</v>
      </c>
      <c r="E436" s="323">
        <f t="shared" si="22"/>
        <v>168418306.245</v>
      </c>
    </row>
    <row r="437" spans="1:5" hidden="1" outlineLevel="2" x14ac:dyDescent="0.2">
      <c r="A437">
        <v>38002</v>
      </c>
      <c r="B437">
        <v>2013</v>
      </c>
      <c r="C437" s="89">
        <f t="shared" si="20"/>
        <v>11.5</v>
      </c>
      <c r="D437" s="323">
        <v>13640697.210000001</v>
      </c>
      <c r="E437" s="323">
        <f t="shared" si="22"/>
        <v>156868017.91500002</v>
      </c>
    </row>
    <row r="438" spans="1:5" hidden="1" outlineLevel="2" x14ac:dyDescent="0.2">
      <c r="A438">
        <v>38002</v>
      </c>
      <c r="B438">
        <v>2012</v>
      </c>
      <c r="C438" s="89">
        <f t="shared" si="20"/>
        <v>12.5</v>
      </c>
      <c r="D438" s="323">
        <v>11400806.609999999</v>
      </c>
      <c r="E438" s="323">
        <f t="shared" si="22"/>
        <v>142510082.625</v>
      </c>
    </row>
    <row r="439" spans="1:5" hidden="1" outlineLevel="2" x14ac:dyDescent="0.2">
      <c r="A439">
        <v>38002</v>
      </c>
      <c r="B439">
        <v>2011</v>
      </c>
      <c r="C439" s="89">
        <f t="shared" si="20"/>
        <v>13.5</v>
      </c>
      <c r="D439" s="323">
        <v>9120883.8599999994</v>
      </c>
      <c r="E439" s="323">
        <f t="shared" si="22"/>
        <v>123131932.10999998</v>
      </c>
    </row>
    <row r="440" spans="1:5" hidden="1" outlineLevel="2" x14ac:dyDescent="0.2">
      <c r="A440">
        <v>38002</v>
      </c>
      <c r="B440">
        <v>2010</v>
      </c>
      <c r="C440" s="89">
        <f t="shared" si="20"/>
        <v>14.5</v>
      </c>
      <c r="D440" s="323">
        <v>8235451.8300000001</v>
      </c>
      <c r="E440" s="323">
        <f t="shared" si="22"/>
        <v>119414051.535</v>
      </c>
    </row>
    <row r="441" spans="1:5" hidden="1" outlineLevel="2" x14ac:dyDescent="0.2">
      <c r="A441">
        <v>38002</v>
      </c>
      <c r="B441">
        <v>2009</v>
      </c>
      <c r="C441" s="89">
        <f t="shared" si="20"/>
        <v>15.5</v>
      </c>
      <c r="D441" s="323">
        <v>6158919.2699999996</v>
      </c>
      <c r="E441" s="323">
        <f t="shared" si="22"/>
        <v>95463248.684999987</v>
      </c>
    </row>
    <row r="442" spans="1:5" hidden="1" outlineLevel="2" x14ac:dyDescent="0.2">
      <c r="A442">
        <v>38002</v>
      </c>
      <c r="B442">
        <v>2008</v>
      </c>
      <c r="C442" s="89">
        <f t="shared" si="20"/>
        <v>16.5</v>
      </c>
      <c r="D442" s="323">
        <v>7961666.0899999999</v>
      </c>
      <c r="E442" s="323">
        <f t="shared" si="22"/>
        <v>131367490.485</v>
      </c>
    </row>
    <row r="443" spans="1:5" hidden="1" outlineLevel="2" x14ac:dyDescent="0.2">
      <c r="A443">
        <v>38002</v>
      </c>
      <c r="B443">
        <v>2007</v>
      </c>
      <c r="C443" s="89">
        <f t="shared" si="20"/>
        <v>17.5</v>
      </c>
      <c r="D443" s="323">
        <v>9570012.0700000003</v>
      </c>
      <c r="E443" s="323">
        <f t="shared" si="22"/>
        <v>167475211.22499999</v>
      </c>
    </row>
    <row r="444" spans="1:5" hidden="1" outlineLevel="2" x14ac:dyDescent="0.2">
      <c r="A444">
        <v>38002</v>
      </c>
      <c r="B444">
        <v>2006</v>
      </c>
      <c r="C444" s="89">
        <f t="shared" si="20"/>
        <v>18.5</v>
      </c>
      <c r="D444" s="323">
        <v>10833211.640000001</v>
      </c>
      <c r="E444" s="323">
        <f t="shared" si="22"/>
        <v>200414415.34</v>
      </c>
    </row>
    <row r="445" spans="1:5" hidden="1" outlineLevel="2" x14ac:dyDescent="0.2">
      <c r="A445">
        <v>38002</v>
      </c>
      <c r="B445">
        <v>2005</v>
      </c>
      <c r="C445" s="89">
        <f t="shared" si="20"/>
        <v>19.5</v>
      </c>
      <c r="D445" s="323">
        <v>10242225.91</v>
      </c>
      <c r="E445" s="323">
        <f t="shared" si="22"/>
        <v>199723405.245</v>
      </c>
    </row>
    <row r="446" spans="1:5" hidden="1" outlineLevel="2" x14ac:dyDescent="0.2">
      <c r="A446">
        <v>38002</v>
      </c>
      <c r="B446">
        <v>2004</v>
      </c>
      <c r="C446" s="89">
        <f t="shared" si="20"/>
        <v>20.5</v>
      </c>
      <c r="D446" s="323">
        <v>10785749.57</v>
      </c>
      <c r="E446" s="323">
        <f t="shared" si="22"/>
        <v>221107866.185</v>
      </c>
    </row>
    <row r="447" spans="1:5" hidden="1" outlineLevel="2" x14ac:dyDescent="0.2">
      <c r="A447">
        <v>38002</v>
      </c>
      <c r="B447">
        <v>2003</v>
      </c>
      <c r="C447" s="89">
        <f t="shared" si="20"/>
        <v>21.5</v>
      </c>
      <c r="D447" s="323">
        <v>10675414.15</v>
      </c>
      <c r="E447" s="323">
        <f t="shared" si="22"/>
        <v>229521404.22499999</v>
      </c>
    </row>
    <row r="448" spans="1:5" hidden="1" outlineLevel="2" x14ac:dyDescent="0.2">
      <c r="A448">
        <v>38002</v>
      </c>
      <c r="B448">
        <v>2002</v>
      </c>
      <c r="C448" s="89">
        <f t="shared" si="20"/>
        <v>22.5</v>
      </c>
      <c r="D448" s="323">
        <v>9561016.3100000005</v>
      </c>
      <c r="E448" s="323">
        <f t="shared" si="22"/>
        <v>215122866.97500002</v>
      </c>
    </row>
    <row r="449" spans="1:5" hidden="1" outlineLevel="2" x14ac:dyDescent="0.2">
      <c r="A449">
        <v>38002</v>
      </c>
      <c r="B449">
        <v>2001</v>
      </c>
      <c r="C449" s="89">
        <f t="shared" si="20"/>
        <v>23.5</v>
      </c>
      <c r="D449" s="323">
        <v>2636333.21</v>
      </c>
      <c r="E449" s="323">
        <f t="shared" si="22"/>
        <v>61953830.435000002</v>
      </c>
    </row>
    <row r="450" spans="1:5" hidden="1" outlineLevel="2" x14ac:dyDescent="0.2">
      <c r="A450">
        <v>38002</v>
      </c>
      <c r="B450">
        <v>2000</v>
      </c>
      <c r="C450" s="89">
        <f t="shared" si="20"/>
        <v>24.5</v>
      </c>
      <c r="D450" s="323">
        <v>22372714.650000002</v>
      </c>
      <c r="E450" s="323">
        <f t="shared" si="22"/>
        <v>548131508.92500007</v>
      </c>
    </row>
    <row r="451" spans="1:5" hidden="1" outlineLevel="2" x14ac:dyDescent="0.2">
      <c r="A451">
        <v>38002</v>
      </c>
      <c r="B451">
        <v>1999</v>
      </c>
      <c r="C451" s="89">
        <f t="shared" si="20"/>
        <v>25.5</v>
      </c>
      <c r="D451" s="323">
        <v>7483457.8899999997</v>
      </c>
      <c r="E451" s="323">
        <f t="shared" si="22"/>
        <v>190828176.19499999</v>
      </c>
    </row>
    <row r="452" spans="1:5" hidden="1" outlineLevel="2" x14ac:dyDescent="0.2">
      <c r="A452">
        <v>38002</v>
      </c>
      <c r="B452">
        <v>1998</v>
      </c>
      <c r="C452" s="89">
        <f t="shared" si="20"/>
        <v>26.5</v>
      </c>
      <c r="D452" s="323">
        <v>5783972.9000000004</v>
      </c>
      <c r="E452" s="323">
        <f t="shared" si="22"/>
        <v>153275281.85000002</v>
      </c>
    </row>
    <row r="453" spans="1:5" hidden="1" outlineLevel="2" x14ac:dyDescent="0.2">
      <c r="A453">
        <v>38002</v>
      </c>
      <c r="B453">
        <v>1997</v>
      </c>
      <c r="C453" s="89">
        <f t="shared" si="20"/>
        <v>27.5</v>
      </c>
      <c r="D453" s="323">
        <v>5793613.7400000002</v>
      </c>
      <c r="E453" s="323">
        <f t="shared" si="22"/>
        <v>159324377.84999999</v>
      </c>
    </row>
    <row r="454" spans="1:5" hidden="1" outlineLevel="2" x14ac:dyDescent="0.2">
      <c r="A454">
        <v>38002</v>
      </c>
      <c r="B454">
        <v>1996</v>
      </c>
      <c r="C454" s="89">
        <f t="shared" si="20"/>
        <v>28.5</v>
      </c>
      <c r="D454" s="323">
        <v>4978692.4400000004</v>
      </c>
      <c r="E454" s="323">
        <f t="shared" si="22"/>
        <v>141892734.54000002</v>
      </c>
    </row>
    <row r="455" spans="1:5" hidden="1" outlineLevel="2" x14ac:dyDescent="0.2">
      <c r="A455">
        <v>38002</v>
      </c>
      <c r="B455">
        <v>1995</v>
      </c>
      <c r="C455" s="89">
        <f t="shared" ref="C455:C518" si="23">2024.5-B455</f>
        <v>29.5</v>
      </c>
      <c r="D455" s="323">
        <v>4686480.8600000003</v>
      </c>
      <c r="E455" s="323">
        <f t="shared" si="22"/>
        <v>138251185.37</v>
      </c>
    </row>
    <row r="456" spans="1:5" hidden="1" outlineLevel="2" x14ac:dyDescent="0.2">
      <c r="A456">
        <v>38002</v>
      </c>
      <c r="B456">
        <v>1994</v>
      </c>
      <c r="C456" s="89">
        <f t="shared" si="23"/>
        <v>30.5</v>
      </c>
      <c r="D456" s="323">
        <v>4973523.9800000004</v>
      </c>
      <c r="E456" s="323">
        <f t="shared" si="22"/>
        <v>151692481.39000002</v>
      </c>
    </row>
    <row r="457" spans="1:5" hidden="1" outlineLevel="2" x14ac:dyDescent="0.2">
      <c r="A457">
        <v>38002</v>
      </c>
      <c r="B457">
        <v>1993</v>
      </c>
      <c r="C457" s="89">
        <f t="shared" si="23"/>
        <v>31.5</v>
      </c>
      <c r="D457" s="323">
        <v>4886374.05</v>
      </c>
      <c r="E457" s="323">
        <f t="shared" si="22"/>
        <v>153920782.57499999</v>
      </c>
    </row>
    <row r="458" spans="1:5" hidden="1" outlineLevel="2" x14ac:dyDescent="0.2">
      <c r="A458">
        <v>38002</v>
      </c>
      <c r="B458">
        <v>1992</v>
      </c>
      <c r="C458" s="89">
        <f t="shared" si="23"/>
        <v>32.5</v>
      </c>
      <c r="D458" s="323">
        <v>3616386.29</v>
      </c>
      <c r="E458" s="323">
        <f t="shared" si="22"/>
        <v>117532554.425</v>
      </c>
    </row>
    <row r="459" spans="1:5" hidden="1" outlineLevel="2" x14ac:dyDescent="0.2">
      <c r="A459">
        <v>38002</v>
      </c>
      <c r="B459">
        <v>1991</v>
      </c>
      <c r="C459" s="89">
        <f t="shared" si="23"/>
        <v>33.5</v>
      </c>
      <c r="D459" s="323">
        <v>3654743.39</v>
      </c>
      <c r="E459" s="323">
        <f t="shared" si="22"/>
        <v>122433903.565</v>
      </c>
    </row>
    <row r="460" spans="1:5" hidden="1" outlineLevel="2" x14ac:dyDescent="0.2">
      <c r="A460">
        <v>38002</v>
      </c>
      <c r="B460">
        <v>1990</v>
      </c>
      <c r="C460" s="89">
        <f t="shared" si="23"/>
        <v>34.5</v>
      </c>
      <c r="D460" s="323">
        <v>3839374.61</v>
      </c>
      <c r="E460" s="323">
        <f t="shared" si="22"/>
        <v>132458424.045</v>
      </c>
    </row>
    <row r="461" spans="1:5" hidden="1" outlineLevel="2" x14ac:dyDescent="0.2">
      <c r="A461">
        <v>38002</v>
      </c>
      <c r="B461">
        <v>1989</v>
      </c>
      <c r="C461" s="89">
        <f t="shared" si="23"/>
        <v>35.5</v>
      </c>
      <c r="D461" s="323">
        <v>2931766.99</v>
      </c>
      <c r="E461" s="323">
        <f t="shared" si="22"/>
        <v>104077728.14500001</v>
      </c>
    </row>
    <row r="462" spans="1:5" hidden="1" outlineLevel="2" x14ac:dyDescent="0.2">
      <c r="A462">
        <v>38002</v>
      </c>
      <c r="B462">
        <v>1988</v>
      </c>
      <c r="C462" s="89">
        <f t="shared" si="23"/>
        <v>36.5</v>
      </c>
      <c r="D462" s="323">
        <v>3232091.47</v>
      </c>
      <c r="E462" s="323">
        <f t="shared" si="22"/>
        <v>117971338.655</v>
      </c>
    </row>
    <row r="463" spans="1:5" hidden="1" outlineLevel="2" x14ac:dyDescent="0.2">
      <c r="A463">
        <v>38002</v>
      </c>
      <c r="B463">
        <v>1987</v>
      </c>
      <c r="C463" s="89">
        <f t="shared" si="23"/>
        <v>37.5</v>
      </c>
      <c r="D463" s="323">
        <v>2663338.87</v>
      </c>
      <c r="E463" s="323">
        <f t="shared" si="22"/>
        <v>99875207.625</v>
      </c>
    </row>
    <row r="464" spans="1:5" hidden="1" outlineLevel="2" x14ac:dyDescent="0.2">
      <c r="A464">
        <v>38002</v>
      </c>
      <c r="B464">
        <v>1986</v>
      </c>
      <c r="C464" s="89">
        <f t="shared" si="23"/>
        <v>38.5</v>
      </c>
      <c r="D464" s="323">
        <v>2463685.46</v>
      </c>
      <c r="E464" s="323">
        <f t="shared" si="22"/>
        <v>94851890.209999993</v>
      </c>
    </row>
    <row r="465" spans="1:6" hidden="1" outlineLevel="2" x14ac:dyDescent="0.2">
      <c r="A465">
        <v>38002</v>
      </c>
      <c r="B465">
        <v>1985</v>
      </c>
      <c r="C465" s="89">
        <f t="shared" si="23"/>
        <v>39.5</v>
      </c>
      <c r="D465" s="323">
        <v>1204161.2099999995</v>
      </c>
      <c r="E465" s="323">
        <f t="shared" si="22"/>
        <v>47564367.794999979</v>
      </c>
    </row>
    <row r="466" spans="1:6" hidden="1" outlineLevel="2" x14ac:dyDescent="0.2">
      <c r="A466">
        <v>38002</v>
      </c>
      <c r="B466">
        <v>1984</v>
      </c>
      <c r="C466" s="89">
        <f t="shared" si="23"/>
        <v>40.5</v>
      </c>
      <c r="D466" s="323">
        <v>0</v>
      </c>
      <c r="E466" s="323">
        <f t="shared" si="22"/>
        <v>0</v>
      </c>
    </row>
    <row r="467" spans="1:6" s="143" customFormat="1" outlineLevel="1" collapsed="1" x14ac:dyDescent="0.2">
      <c r="A467" s="20" t="s">
        <v>1187</v>
      </c>
      <c r="C467" s="89" t="s">
        <v>1230</v>
      </c>
      <c r="D467" s="323">
        <f>SUBTOTAL(9,D426:D466)</f>
        <v>667590895.32999992</v>
      </c>
      <c r="E467" s="323">
        <f>SUBTOTAL(9,E426:E466)</f>
        <v>6475555981.085</v>
      </c>
      <c r="F467" s="323">
        <f>+E467/D467</f>
        <v>9.6998866017848222</v>
      </c>
    </row>
    <row r="468" spans="1:6" hidden="1" outlineLevel="2" x14ac:dyDescent="0.2">
      <c r="A468">
        <v>38100</v>
      </c>
      <c r="B468">
        <v>2024</v>
      </c>
      <c r="C468" s="89">
        <f t="shared" si="23"/>
        <v>0.5</v>
      </c>
      <c r="D468" s="323">
        <v>15370700.000665599</v>
      </c>
      <c r="E468" s="323">
        <f t="shared" ref="E468:E492" si="24">+C468*D468</f>
        <v>7685350.0003327997</v>
      </c>
    </row>
    <row r="469" spans="1:6" hidden="1" outlineLevel="2" x14ac:dyDescent="0.2">
      <c r="A469">
        <v>38100</v>
      </c>
      <c r="B469">
        <v>2023</v>
      </c>
      <c r="C469" s="89">
        <f t="shared" si="23"/>
        <v>1.5</v>
      </c>
      <c r="D469" s="323">
        <v>7270521.6099999994</v>
      </c>
      <c r="E469" s="323">
        <f t="shared" si="24"/>
        <v>10905782.414999999</v>
      </c>
    </row>
    <row r="470" spans="1:6" hidden="1" outlineLevel="2" x14ac:dyDescent="0.2">
      <c r="A470">
        <v>38100</v>
      </c>
      <c r="B470">
        <v>2022</v>
      </c>
      <c r="C470" s="89">
        <f t="shared" si="23"/>
        <v>2.5</v>
      </c>
      <c r="D470" s="323">
        <v>7955614.290000001</v>
      </c>
      <c r="E470" s="323">
        <f t="shared" si="24"/>
        <v>19889035.725000001</v>
      </c>
    </row>
    <row r="471" spans="1:6" hidden="1" outlineLevel="2" x14ac:dyDescent="0.2">
      <c r="A471">
        <v>38100</v>
      </c>
      <c r="B471">
        <v>2021</v>
      </c>
      <c r="C471" s="89">
        <f t="shared" si="23"/>
        <v>3.5</v>
      </c>
      <c r="D471" s="323">
        <v>6363475.7999999998</v>
      </c>
      <c r="E471" s="323">
        <f t="shared" si="24"/>
        <v>22272165.300000001</v>
      </c>
    </row>
    <row r="472" spans="1:6" hidden="1" outlineLevel="2" x14ac:dyDescent="0.2">
      <c r="A472">
        <v>38100</v>
      </c>
      <c r="B472">
        <v>2020</v>
      </c>
      <c r="C472" s="89">
        <f t="shared" si="23"/>
        <v>4.5</v>
      </c>
      <c r="D472" s="323">
        <v>4880024.6900000004</v>
      </c>
      <c r="E472" s="323">
        <f t="shared" si="24"/>
        <v>21960111.105</v>
      </c>
    </row>
    <row r="473" spans="1:6" hidden="1" outlineLevel="2" x14ac:dyDescent="0.2">
      <c r="A473">
        <v>38100</v>
      </c>
      <c r="B473">
        <v>2019</v>
      </c>
      <c r="C473" s="89">
        <f t="shared" si="23"/>
        <v>5.5</v>
      </c>
      <c r="D473" s="323">
        <v>5992488.0499999998</v>
      </c>
      <c r="E473" s="323">
        <f t="shared" si="24"/>
        <v>32958684.274999999</v>
      </c>
    </row>
    <row r="474" spans="1:6" hidden="1" outlineLevel="2" x14ac:dyDescent="0.2">
      <c r="A474">
        <v>38100</v>
      </c>
      <c r="B474">
        <v>2018</v>
      </c>
      <c r="C474" s="89">
        <f t="shared" si="23"/>
        <v>6.5</v>
      </c>
      <c r="D474" s="323">
        <v>3781157.14</v>
      </c>
      <c r="E474" s="323">
        <f t="shared" si="24"/>
        <v>24577521.41</v>
      </c>
    </row>
    <row r="475" spans="1:6" hidden="1" outlineLevel="2" x14ac:dyDescent="0.2">
      <c r="A475">
        <v>38100</v>
      </c>
      <c r="B475">
        <v>2017</v>
      </c>
      <c r="C475" s="89">
        <f t="shared" si="23"/>
        <v>7.5</v>
      </c>
      <c r="D475" s="323">
        <v>5069819.4800000004</v>
      </c>
      <c r="E475" s="323">
        <f t="shared" si="24"/>
        <v>38023646.100000001</v>
      </c>
    </row>
    <row r="476" spans="1:6" hidden="1" outlineLevel="2" x14ac:dyDescent="0.2">
      <c r="A476">
        <v>38100</v>
      </c>
      <c r="B476">
        <v>2016</v>
      </c>
      <c r="C476" s="89">
        <f t="shared" si="23"/>
        <v>8.5</v>
      </c>
      <c r="D476" s="323">
        <v>3923394.52</v>
      </c>
      <c r="E476" s="323">
        <f t="shared" si="24"/>
        <v>33348853.420000002</v>
      </c>
    </row>
    <row r="477" spans="1:6" hidden="1" outlineLevel="2" x14ac:dyDescent="0.2">
      <c r="A477">
        <v>38100</v>
      </c>
      <c r="B477">
        <v>2015</v>
      </c>
      <c r="C477" s="89">
        <f t="shared" si="23"/>
        <v>9.5</v>
      </c>
      <c r="D477" s="323">
        <v>4293558.7300000004</v>
      </c>
      <c r="E477" s="323">
        <f t="shared" si="24"/>
        <v>40788807.935000002</v>
      </c>
    </row>
    <row r="478" spans="1:6" hidden="1" outlineLevel="2" x14ac:dyDescent="0.2">
      <c r="A478">
        <v>38100</v>
      </c>
      <c r="B478">
        <v>2014</v>
      </c>
      <c r="C478" s="89">
        <f t="shared" si="23"/>
        <v>10.5</v>
      </c>
      <c r="D478" s="323">
        <v>2359484.58</v>
      </c>
      <c r="E478" s="323">
        <f t="shared" si="24"/>
        <v>24774588.09</v>
      </c>
    </row>
    <row r="479" spans="1:6" hidden="1" outlineLevel="2" x14ac:dyDescent="0.2">
      <c r="A479">
        <v>38100</v>
      </c>
      <c r="B479">
        <v>2013</v>
      </c>
      <c r="C479" s="89">
        <f t="shared" si="23"/>
        <v>11.5</v>
      </c>
      <c r="D479" s="323">
        <v>2991226.1</v>
      </c>
      <c r="E479" s="323">
        <f t="shared" si="24"/>
        <v>34399100.149999999</v>
      </c>
    </row>
    <row r="480" spans="1:6" hidden="1" outlineLevel="2" x14ac:dyDescent="0.2">
      <c r="A480">
        <v>38100</v>
      </c>
      <c r="B480">
        <v>2012</v>
      </c>
      <c r="C480" s="89">
        <f t="shared" si="23"/>
        <v>12.5</v>
      </c>
      <c r="D480" s="323">
        <v>4915452.76</v>
      </c>
      <c r="E480" s="323">
        <f t="shared" si="24"/>
        <v>61443159.5</v>
      </c>
    </row>
    <row r="481" spans="1:6" hidden="1" outlineLevel="2" x14ac:dyDescent="0.2">
      <c r="A481">
        <v>38100</v>
      </c>
      <c r="B481">
        <v>2011</v>
      </c>
      <c r="C481" s="89">
        <f t="shared" si="23"/>
        <v>13.5</v>
      </c>
      <c r="D481" s="323">
        <v>8431805.2899999991</v>
      </c>
      <c r="E481" s="323">
        <f t="shared" si="24"/>
        <v>113829371.41499999</v>
      </c>
    </row>
    <row r="482" spans="1:6" hidden="1" outlineLevel="2" x14ac:dyDescent="0.2">
      <c r="A482">
        <v>38100</v>
      </c>
      <c r="B482">
        <v>2010</v>
      </c>
      <c r="C482" s="89">
        <f t="shared" si="23"/>
        <v>14.5</v>
      </c>
      <c r="D482" s="323">
        <v>5179866.3600000003</v>
      </c>
      <c r="E482" s="323">
        <f t="shared" si="24"/>
        <v>75108062.219999999</v>
      </c>
    </row>
    <row r="483" spans="1:6" hidden="1" outlineLevel="2" x14ac:dyDescent="0.2">
      <c r="A483">
        <v>38100</v>
      </c>
      <c r="B483">
        <v>2009</v>
      </c>
      <c r="C483" s="89">
        <f t="shared" si="23"/>
        <v>15.5</v>
      </c>
      <c r="D483" s="323">
        <v>1718648.02</v>
      </c>
      <c r="E483" s="323">
        <f t="shared" si="24"/>
        <v>26639044.309999999</v>
      </c>
    </row>
    <row r="484" spans="1:6" hidden="1" outlineLevel="2" x14ac:dyDescent="0.2">
      <c r="A484">
        <v>38100</v>
      </c>
      <c r="B484">
        <v>2008</v>
      </c>
      <c r="C484" s="89">
        <f t="shared" si="23"/>
        <v>16.5</v>
      </c>
      <c r="D484" s="323">
        <v>3289624.18</v>
      </c>
      <c r="E484" s="323">
        <f t="shared" si="24"/>
        <v>54278798.970000006</v>
      </c>
    </row>
    <row r="485" spans="1:6" hidden="1" outlineLevel="2" x14ac:dyDescent="0.2">
      <c r="A485">
        <v>38100</v>
      </c>
      <c r="B485">
        <v>2007</v>
      </c>
      <c r="C485" s="89">
        <f t="shared" si="23"/>
        <v>17.5</v>
      </c>
      <c r="D485" s="323">
        <v>2734232.59</v>
      </c>
      <c r="E485" s="323">
        <f t="shared" si="24"/>
        <v>47849070.324999996</v>
      </c>
    </row>
    <row r="486" spans="1:6" hidden="1" outlineLevel="2" x14ac:dyDescent="0.2">
      <c r="A486">
        <v>38100</v>
      </c>
      <c r="B486">
        <v>2006</v>
      </c>
      <c r="C486" s="89">
        <f t="shared" si="23"/>
        <v>18.5</v>
      </c>
      <c r="D486" s="323">
        <v>3243483.56</v>
      </c>
      <c r="E486" s="323">
        <f t="shared" si="24"/>
        <v>60004445.859999999</v>
      </c>
    </row>
    <row r="487" spans="1:6" hidden="1" outlineLevel="2" x14ac:dyDescent="0.2">
      <c r="A487">
        <v>38100</v>
      </c>
      <c r="B487">
        <v>2005</v>
      </c>
      <c r="C487" s="89">
        <f t="shared" si="23"/>
        <v>19.5</v>
      </c>
      <c r="D487" s="323">
        <v>2881541.76</v>
      </c>
      <c r="E487" s="323">
        <f t="shared" si="24"/>
        <v>56190064.319999993</v>
      </c>
    </row>
    <row r="488" spans="1:6" hidden="1" outlineLevel="2" x14ac:dyDescent="0.2">
      <c r="A488">
        <v>38100</v>
      </c>
      <c r="B488">
        <v>2004</v>
      </c>
      <c r="C488" s="89">
        <f t="shared" si="23"/>
        <v>20.5</v>
      </c>
      <c r="D488" s="323">
        <v>2552262.56</v>
      </c>
      <c r="E488" s="323">
        <f t="shared" si="24"/>
        <v>52321382.480000004</v>
      </c>
    </row>
    <row r="489" spans="1:6" hidden="1" outlineLevel="2" x14ac:dyDescent="0.2">
      <c r="A489">
        <v>38100</v>
      </c>
      <c r="B489">
        <v>2003</v>
      </c>
      <c r="C489" s="89">
        <f t="shared" si="23"/>
        <v>21.5</v>
      </c>
      <c r="D489" s="323">
        <v>2680422.5</v>
      </c>
      <c r="E489" s="323">
        <f t="shared" si="24"/>
        <v>57629083.75</v>
      </c>
    </row>
    <row r="490" spans="1:6" hidden="1" outlineLevel="2" x14ac:dyDescent="0.2">
      <c r="A490">
        <v>38100</v>
      </c>
      <c r="B490">
        <v>2002</v>
      </c>
      <c r="C490" s="89">
        <f t="shared" si="23"/>
        <v>22.5</v>
      </c>
      <c r="D490" s="323">
        <v>2433788.38</v>
      </c>
      <c r="E490" s="323">
        <f t="shared" si="24"/>
        <v>54760238.549999997</v>
      </c>
    </row>
    <row r="491" spans="1:6" hidden="1" outlineLevel="2" x14ac:dyDescent="0.2">
      <c r="A491">
        <v>38100</v>
      </c>
      <c r="B491">
        <v>2000</v>
      </c>
      <c r="C491" s="89">
        <f t="shared" si="23"/>
        <v>24.5</v>
      </c>
      <c r="D491" s="323">
        <v>3099145.3300000005</v>
      </c>
      <c r="E491" s="323">
        <f t="shared" si="24"/>
        <v>75929060.585000008</v>
      </c>
    </row>
    <row r="492" spans="1:6" hidden="1" outlineLevel="2" x14ac:dyDescent="0.2">
      <c r="A492">
        <v>38100</v>
      </c>
      <c r="B492">
        <v>1999</v>
      </c>
      <c r="C492" s="89">
        <f t="shared" si="23"/>
        <v>25.5</v>
      </c>
      <c r="D492" s="323">
        <v>0</v>
      </c>
      <c r="E492" s="323">
        <f t="shared" si="24"/>
        <v>0</v>
      </c>
    </row>
    <row r="493" spans="1:6" s="143" customFormat="1" outlineLevel="1" collapsed="1" x14ac:dyDescent="0.2">
      <c r="A493" s="20" t="s">
        <v>1188</v>
      </c>
      <c r="C493" s="89" t="s">
        <v>1230</v>
      </c>
      <c r="D493" s="323">
        <f>SUBTOTAL(9,D468:D492)</f>
        <v>113411738.28066561</v>
      </c>
      <c r="E493" s="323">
        <f>SUBTOTAL(9,E468:E492)</f>
        <v>1047565428.2103329</v>
      </c>
      <c r="F493" s="323">
        <f>+E493/D493</f>
        <v>9.2368342474204148</v>
      </c>
    </row>
    <row r="494" spans="1:6" hidden="1" outlineLevel="2" x14ac:dyDescent="0.2">
      <c r="A494">
        <v>38200</v>
      </c>
      <c r="B494">
        <v>2024</v>
      </c>
      <c r="C494" s="89">
        <f t="shared" si="23"/>
        <v>0.5</v>
      </c>
      <c r="D494" s="323">
        <v>14527639.261068391</v>
      </c>
      <c r="E494" s="323">
        <f t="shared" ref="E494:E537" si="25">+C494*D494</f>
        <v>7263819.6305341953</v>
      </c>
    </row>
    <row r="495" spans="1:6" hidden="1" outlineLevel="2" x14ac:dyDescent="0.2">
      <c r="A495">
        <v>38200</v>
      </c>
      <c r="B495">
        <v>2023</v>
      </c>
      <c r="C495" s="89">
        <f t="shared" si="23"/>
        <v>1.5</v>
      </c>
      <c r="D495" s="323">
        <v>14647230.451392706</v>
      </c>
      <c r="E495" s="323">
        <f t="shared" si="25"/>
        <v>21970845.677089058</v>
      </c>
    </row>
    <row r="496" spans="1:6" hidden="1" outlineLevel="2" x14ac:dyDescent="0.2">
      <c r="A496">
        <v>38200</v>
      </c>
      <c r="B496">
        <v>2022</v>
      </c>
      <c r="C496" s="89">
        <f t="shared" si="23"/>
        <v>2.5</v>
      </c>
      <c r="D496" s="323">
        <v>10932158.810000001</v>
      </c>
      <c r="E496" s="323">
        <f t="shared" si="25"/>
        <v>27330397.025000002</v>
      </c>
    </row>
    <row r="497" spans="1:5" hidden="1" outlineLevel="2" x14ac:dyDescent="0.2">
      <c r="A497">
        <v>38200</v>
      </c>
      <c r="B497">
        <v>2021</v>
      </c>
      <c r="C497" s="89">
        <f t="shared" si="23"/>
        <v>3.5</v>
      </c>
      <c r="D497" s="323">
        <v>8410531.6300000008</v>
      </c>
      <c r="E497" s="323">
        <f t="shared" si="25"/>
        <v>29436860.705000002</v>
      </c>
    </row>
    <row r="498" spans="1:5" hidden="1" outlineLevel="2" x14ac:dyDescent="0.2">
      <c r="A498">
        <v>38200</v>
      </c>
      <c r="B498">
        <v>2020</v>
      </c>
      <c r="C498" s="89">
        <f t="shared" si="23"/>
        <v>4.5</v>
      </c>
      <c r="D498" s="323">
        <v>7085783.1100000003</v>
      </c>
      <c r="E498" s="323">
        <f t="shared" si="25"/>
        <v>31886023.995000001</v>
      </c>
    </row>
    <row r="499" spans="1:5" hidden="1" outlineLevel="2" x14ac:dyDescent="0.2">
      <c r="A499">
        <v>38200</v>
      </c>
      <c r="B499">
        <v>2019</v>
      </c>
      <c r="C499" s="89">
        <f t="shared" si="23"/>
        <v>5.5</v>
      </c>
      <c r="D499" s="323">
        <v>5760374.3600000003</v>
      </c>
      <c r="E499" s="323">
        <f t="shared" si="25"/>
        <v>31682058.98</v>
      </c>
    </row>
    <row r="500" spans="1:5" hidden="1" outlineLevel="2" x14ac:dyDescent="0.2">
      <c r="A500">
        <v>38200</v>
      </c>
      <c r="B500">
        <v>2018</v>
      </c>
      <c r="C500" s="89">
        <f t="shared" si="23"/>
        <v>6.5</v>
      </c>
      <c r="D500" s="323">
        <v>5206038.25</v>
      </c>
      <c r="E500" s="323">
        <f t="shared" si="25"/>
        <v>33839248.625</v>
      </c>
    </row>
    <row r="501" spans="1:5" hidden="1" outlineLevel="2" x14ac:dyDescent="0.2">
      <c r="A501">
        <v>38200</v>
      </c>
      <c r="B501">
        <v>2017</v>
      </c>
      <c r="C501" s="89">
        <f t="shared" si="23"/>
        <v>7.5</v>
      </c>
      <c r="D501" s="323">
        <v>3370499.49</v>
      </c>
      <c r="E501" s="323">
        <f t="shared" si="25"/>
        <v>25278746.175000001</v>
      </c>
    </row>
    <row r="502" spans="1:5" hidden="1" outlineLevel="2" x14ac:dyDescent="0.2">
      <c r="A502">
        <v>38200</v>
      </c>
      <c r="B502">
        <v>2016</v>
      </c>
      <c r="C502" s="89">
        <f t="shared" si="23"/>
        <v>8.5</v>
      </c>
      <c r="D502" s="323">
        <v>3590691.31</v>
      </c>
      <c r="E502" s="323">
        <f t="shared" si="25"/>
        <v>30520876.135000002</v>
      </c>
    </row>
    <row r="503" spans="1:5" hidden="1" outlineLevel="2" x14ac:dyDescent="0.2">
      <c r="A503">
        <v>38200</v>
      </c>
      <c r="B503">
        <v>2015</v>
      </c>
      <c r="C503" s="89">
        <f t="shared" si="23"/>
        <v>9.5</v>
      </c>
      <c r="D503" s="323">
        <v>2450705.7200000002</v>
      </c>
      <c r="E503" s="323">
        <f t="shared" si="25"/>
        <v>23281704.340000004</v>
      </c>
    </row>
    <row r="504" spans="1:5" hidden="1" outlineLevel="2" x14ac:dyDescent="0.2">
      <c r="A504">
        <v>38200</v>
      </c>
      <c r="B504">
        <v>2014</v>
      </c>
      <c r="C504" s="89">
        <f t="shared" si="23"/>
        <v>10.5</v>
      </c>
      <c r="D504" s="323">
        <v>2327250.21</v>
      </c>
      <c r="E504" s="323">
        <f t="shared" si="25"/>
        <v>24436127.204999998</v>
      </c>
    </row>
    <row r="505" spans="1:5" hidden="1" outlineLevel="2" x14ac:dyDescent="0.2">
      <c r="A505">
        <v>38200</v>
      </c>
      <c r="B505">
        <v>2013</v>
      </c>
      <c r="C505" s="89">
        <f t="shared" si="23"/>
        <v>11.5</v>
      </c>
      <c r="D505" s="323">
        <v>1834052</v>
      </c>
      <c r="E505" s="323">
        <f t="shared" si="25"/>
        <v>21091598</v>
      </c>
    </row>
    <row r="506" spans="1:5" hidden="1" outlineLevel="2" x14ac:dyDescent="0.2">
      <c r="A506">
        <v>38200</v>
      </c>
      <c r="B506">
        <v>2012</v>
      </c>
      <c r="C506" s="89">
        <f t="shared" si="23"/>
        <v>12.5</v>
      </c>
      <c r="D506" s="323">
        <v>1918712.59</v>
      </c>
      <c r="E506" s="323">
        <f t="shared" si="25"/>
        <v>23983907.375</v>
      </c>
    </row>
    <row r="507" spans="1:5" hidden="1" outlineLevel="2" x14ac:dyDescent="0.2">
      <c r="A507">
        <v>38200</v>
      </c>
      <c r="B507">
        <v>2011</v>
      </c>
      <c r="C507" s="89">
        <f t="shared" si="23"/>
        <v>13.5</v>
      </c>
      <c r="D507" s="323">
        <v>2197867.62</v>
      </c>
      <c r="E507" s="323">
        <f t="shared" si="25"/>
        <v>29671212.870000001</v>
      </c>
    </row>
    <row r="508" spans="1:5" hidden="1" outlineLevel="2" x14ac:dyDescent="0.2">
      <c r="A508">
        <v>38200</v>
      </c>
      <c r="B508">
        <v>2010</v>
      </c>
      <c r="C508" s="89">
        <f t="shared" si="23"/>
        <v>14.5</v>
      </c>
      <c r="D508" s="323">
        <v>2001925.56</v>
      </c>
      <c r="E508" s="323">
        <f t="shared" si="25"/>
        <v>29027920.620000001</v>
      </c>
    </row>
    <row r="509" spans="1:5" hidden="1" outlineLevel="2" x14ac:dyDescent="0.2">
      <c r="A509">
        <v>38200</v>
      </c>
      <c r="B509">
        <v>2009</v>
      </c>
      <c r="C509" s="89">
        <f t="shared" si="23"/>
        <v>15.5</v>
      </c>
      <c r="D509" s="323">
        <v>2030124.35</v>
      </c>
      <c r="E509" s="323">
        <f t="shared" si="25"/>
        <v>31466927.425000001</v>
      </c>
    </row>
    <row r="510" spans="1:5" hidden="1" outlineLevel="2" x14ac:dyDescent="0.2">
      <c r="A510">
        <v>38200</v>
      </c>
      <c r="B510">
        <v>2008</v>
      </c>
      <c r="C510" s="89">
        <f t="shared" si="23"/>
        <v>16.5</v>
      </c>
      <c r="D510" s="323">
        <v>2136983.83</v>
      </c>
      <c r="E510" s="323">
        <f t="shared" si="25"/>
        <v>35260233.195</v>
      </c>
    </row>
    <row r="511" spans="1:5" hidden="1" outlineLevel="2" x14ac:dyDescent="0.2">
      <c r="A511">
        <v>38200</v>
      </c>
      <c r="B511">
        <v>2007</v>
      </c>
      <c r="C511" s="89">
        <f t="shared" si="23"/>
        <v>17.5</v>
      </c>
      <c r="D511" s="323">
        <v>2126369.48</v>
      </c>
      <c r="E511" s="323">
        <f t="shared" si="25"/>
        <v>37211465.899999999</v>
      </c>
    </row>
    <row r="512" spans="1:5" hidden="1" outlineLevel="2" x14ac:dyDescent="0.2">
      <c r="A512">
        <v>38200</v>
      </c>
      <c r="B512">
        <v>2006</v>
      </c>
      <c r="C512" s="89">
        <f t="shared" si="23"/>
        <v>18.5</v>
      </c>
      <c r="D512" s="323">
        <v>2554516.2599999998</v>
      </c>
      <c r="E512" s="323">
        <f t="shared" si="25"/>
        <v>47258550.809999995</v>
      </c>
    </row>
    <row r="513" spans="1:5" hidden="1" outlineLevel="2" x14ac:dyDescent="0.2">
      <c r="A513">
        <v>38200</v>
      </c>
      <c r="B513">
        <v>2005</v>
      </c>
      <c r="C513" s="89">
        <f t="shared" si="23"/>
        <v>19.5</v>
      </c>
      <c r="D513" s="323">
        <v>2891763.22</v>
      </c>
      <c r="E513" s="323">
        <f t="shared" si="25"/>
        <v>56389382.790000007</v>
      </c>
    </row>
    <row r="514" spans="1:5" hidden="1" outlineLevel="2" x14ac:dyDescent="0.2">
      <c r="A514">
        <v>38200</v>
      </c>
      <c r="B514">
        <v>2004</v>
      </c>
      <c r="C514" s="89">
        <f t="shared" si="23"/>
        <v>20.5</v>
      </c>
      <c r="D514" s="323">
        <v>2184983.46</v>
      </c>
      <c r="E514" s="323">
        <f t="shared" si="25"/>
        <v>44792160.93</v>
      </c>
    </row>
    <row r="515" spans="1:5" hidden="1" outlineLevel="2" x14ac:dyDescent="0.2">
      <c r="A515">
        <v>38200</v>
      </c>
      <c r="B515">
        <v>2003</v>
      </c>
      <c r="C515" s="89">
        <f t="shared" si="23"/>
        <v>21.5</v>
      </c>
      <c r="D515" s="323">
        <v>2356242.9300000002</v>
      </c>
      <c r="E515" s="323">
        <f t="shared" si="25"/>
        <v>50659222.995000005</v>
      </c>
    </row>
    <row r="516" spans="1:5" hidden="1" outlineLevel="2" x14ac:dyDescent="0.2">
      <c r="A516">
        <v>38200</v>
      </c>
      <c r="B516">
        <v>2002</v>
      </c>
      <c r="C516" s="89">
        <f t="shared" si="23"/>
        <v>22.5</v>
      </c>
      <c r="D516" s="323">
        <v>1936021.23</v>
      </c>
      <c r="E516" s="323">
        <f t="shared" si="25"/>
        <v>43560477.674999997</v>
      </c>
    </row>
    <row r="517" spans="1:5" hidden="1" outlineLevel="2" x14ac:dyDescent="0.2">
      <c r="A517">
        <v>38200</v>
      </c>
      <c r="B517">
        <v>2001</v>
      </c>
      <c r="C517" s="89">
        <f t="shared" si="23"/>
        <v>23.5</v>
      </c>
      <c r="D517" s="323">
        <v>860.3</v>
      </c>
      <c r="E517" s="323">
        <f t="shared" si="25"/>
        <v>20217.05</v>
      </c>
    </row>
    <row r="518" spans="1:5" hidden="1" outlineLevel="2" x14ac:dyDescent="0.2">
      <c r="A518">
        <v>38200</v>
      </c>
      <c r="B518">
        <v>2000</v>
      </c>
      <c r="C518" s="89">
        <f t="shared" si="23"/>
        <v>24.5</v>
      </c>
      <c r="D518" s="323">
        <v>3555689.47</v>
      </c>
      <c r="E518" s="323">
        <f t="shared" si="25"/>
        <v>87114392.015000001</v>
      </c>
    </row>
    <row r="519" spans="1:5" hidden="1" outlineLevel="2" x14ac:dyDescent="0.2">
      <c r="A519">
        <v>38200</v>
      </c>
      <c r="B519">
        <v>1999</v>
      </c>
      <c r="C519" s="89">
        <f t="shared" ref="C519:C582" si="26">2024.5-B519</f>
        <v>25.5</v>
      </c>
      <c r="D519" s="323">
        <v>2960143.64</v>
      </c>
      <c r="E519" s="323">
        <f t="shared" si="25"/>
        <v>75483662.820000008</v>
      </c>
    </row>
    <row r="520" spans="1:5" hidden="1" outlineLevel="2" x14ac:dyDescent="0.2">
      <c r="A520">
        <v>38200</v>
      </c>
      <c r="B520">
        <v>1998</v>
      </c>
      <c r="C520" s="89">
        <f t="shared" si="26"/>
        <v>26.5</v>
      </c>
      <c r="D520" s="323">
        <v>909280.63</v>
      </c>
      <c r="E520" s="323">
        <f t="shared" si="25"/>
        <v>24095936.695</v>
      </c>
    </row>
    <row r="521" spans="1:5" hidden="1" outlineLevel="2" x14ac:dyDescent="0.2">
      <c r="A521">
        <v>38200</v>
      </c>
      <c r="B521">
        <v>1997</v>
      </c>
      <c r="C521" s="89">
        <f t="shared" si="26"/>
        <v>27.5</v>
      </c>
      <c r="D521" s="323">
        <v>706298.75</v>
      </c>
      <c r="E521" s="323">
        <f t="shared" si="25"/>
        <v>19423215.625</v>
      </c>
    </row>
    <row r="522" spans="1:5" hidden="1" outlineLevel="2" x14ac:dyDescent="0.2">
      <c r="A522">
        <v>38200</v>
      </c>
      <c r="B522">
        <v>1996</v>
      </c>
      <c r="C522" s="89">
        <f t="shared" si="26"/>
        <v>28.5</v>
      </c>
      <c r="D522" s="323">
        <v>400813.82</v>
      </c>
      <c r="E522" s="323">
        <f t="shared" si="25"/>
        <v>11423193.870000001</v>
      </c>
    </row>
    <row r="523" spans="1:5" hidden="1" outlineLevel="2" x14ac:dyDescent="0.2">
      <c r="A523">
        <v>38200</v>
      </c>
      <c r="B523">
        <v>1995</v>
      </c>
      <c r="C523" s="89">
        <f t="shared" si="26"/>
        <v>29.5</v>
      </c>
      <c r="D523" s="323">
        <v>759707.64</v>
      </c>
      <c r="E523" s="323">
        <f t="shared" si="25"/>
        <v>22411375.379999999</v>
      </c>
    </row>
    <row r="524" spans="1:5" hidden="1" outlineLevel="2" x14ac:dyDescent="0.2">
      <c r="A524">
        <v>38200</v>
      </c>
      <c r="B524">
        <v>1994</v>
      </c>
      <c r="C524" s="89">
        <f t="shared" si="26"/>
        <v>30.5</v>
      </c>
      <c r="D524" s="323">
        <v>890223.38</v>
      </c>
      <c r="E524" s="323">
        <f t="shared" si="25"/>
        <v>27151813.09</v>
      </c>
    </row>
    <row r="525" spans="1:5" hidden="1" outlineLevel="2" x14ac:dyDescent="0.2">
      <c r="A525">
        <v>38200</v>
      </c>
      <c r="B525">
        <v>1993</v>
      </c>
      <c r="C525" s="89">
        <f t="shared" si="26"/>
        <v>31.5</v>
      </c>
      <c r="D525" s="323">
        <v>548952.93000000005</v>
      </c>
      <c r="E525" s="323">
        <f t="shared" si="25"/>
        <v>17292017.295000002</v>
      </c>
    </row>
    <row r="526" spans="1:5" hidden="1" outlineLevel="2" x14ac:dyDescent="0.2">
      <c r="A526">
        <v>38200</v>
      </c>
      <c r="B526">
        <v>1992</v>
      </c>
      <c r="C526" s="89">
        <f t="shared" si="26"/>
        <v>32.5</v>
      </c>
      <c r="D526" s="323">
        <v>422953.73</v>
      </c>
      <c r="E526" s="323">
        <f t="shared" si="25"/>
        <v>13745996.225</v>
      </c>
    </row>
    <row r="527" spans="1:5" hidden="1" outlineLevel="2" x14ac:dyDescent="0.2">
      <c r="A527">
        <v>38200</v>
      </c>
      <c r="B527">
        <v>1991</v>
      </c>
      <c r="C527" s="89">
        <f t="shared" si="26"/>
        <v>33.5</v>
      </c>
      <c r="D527" s="323">
        <v>356198.1</v>
      </c>
      <c r="E527" s="323">
        <f t="shared" si="25"/>
        <v>11932636.35</v>
      </c>
    </row>
    <row r="528" spans="1:5" hidden="1" outlineLevel="2" x14ac:dyDescent="0.2">
      <c r="A528">
        <v>38200</v>
      </c>
      <c r="B528">
        <v>1990</v>
      </c>
      <c r="C528" s="89">
        <f t="shared" si="26"/>
        <v>34.5</v>
      </c>
      <c r="D528" s="323">
        <v>401454.8</v>
      </c>
      <c r="E528" s="323">
        <f t="shared" si="25"/>
        <v>13850190.6</v>
      </c>
    </row>
    <row r="529" spans="1:6" hidden="1" outlineLevel="2" x14ac:dyDescent="0.2">
      <c r="A529">
        <v>38200</v>
      </c>
      <c r="B529">
        <v>1989</v>
      </c>
      <c r="C529" s="89">
        <f t="shared" si="26"/>
        <v>35.5</v>
      </c>
      <c r="D529" s="323">
        <v>310063.90000000002</v>
      </c>
      <c r="E529" s="323">
        <f t="shared" si="25"/>
        <v>11007268.450000001</v>
      </c>
    </row>
    <row r="530" spans="1:6" hidden="1" outlineLevel="2" x14ac:dyDescent="0.2">
      <c r="A530">
        <v>38200</v>
      </c>
      <c r="B530">
        <v>1988</v>
      </c>
      <c r="C530" s="89">
        <f t="shared" si="26"/>
        <v>36.5</v>
      </c>
      <c r="D530" s="323">
        <v>284334.36</v>
      </c>
      <c r="E530" s="323">
        <f t="shared" si="25"/>
        <v>10378204.139999999</v>
      </c>
    </row>
    <row r="531" spans="1:6" hidden="1" outlineLevel="2" x14ac:dyDescent="0.2">
      <c r="A531">
        <v>38200</v>
      </c>
      <c r="B531">
        <v>1987</v>
      </c>
      <c r="C531" s="89">
        <f t="shared" si="26"/>
        <v>37.5</v>
      </c>
      <c r="D531" s="323">
        <v>277394.90999999997</v>
      </c>
      <c r="E531" s="323">
        <f t="shared" si="25"/>
        <v>10402309.124999998</v>
      </c>
    </row>
    <row r="532" spans="1:6" hidden="1" outlineLevel="2" x14ac:dyDescent="0.2">
      <c r="A532">
        <v>38200</v>
      </c>
      <c r="B532">
        <v>1986</v>
      </c>
      <c r="C532" s="89">
        <f t="shared" si="26"/>
        <v>38.5</v>
      </c>
      <c r="D532" s="323">
        <v>250344.31</v>
      </c>
      <c r="E532" s="323">
        <f t="shared" si="25"/>
        <v>9638255.9350000005</v>
      </c>
    </row>
    <row r="533" spans="1:6" hidden="1" outlineLevel="2" x14ac:dyDescent="0.2">
      <c r="A533">
        <v>38200</v>
      </c>
      <c r="B533">
        <v>1985</v>
      </c>
      <c r="C533" s="89">
        <f t="shared" si="26"/>
        <v>39.5</v>
      </c>
      <c r="D533" s="323">
        <v>466387.68</v>
      </c>
      <c r="E533" s="323">
        <f t="shared" si="25"/>
        <v>18422313.359999999</v>
      </c>
    </row>
    <row r="534" spans="1:6" hidden="1" outlineLevel="2" x14ac:dyDescent="0.2">
      <c r="A534">
        <v>38200</v>
      </c>
      <c r="B534">
        <v>1984</v>
      </c>
      <c r="C534" s="89">
        <f t="shared" si="26"/>
        <v>40.5</v>
      </c>
      <c r="D534" s="323">
        <v>332099.58</v>
      </c>
      <c r="E534" s="323">
        <f t="shared" si="25"/>
        <v>13450032.99</v>
      </c>
    </row>
    <row r="535" spans="1:6" hidden="1" outlineLevel="2" x14ac:dyDescent="0.2">
      <c r="A535">
        <v>38200</v>
      </c>
      <c r="B535">
        <v>1983</v>
      </c>
      <c r="C535" s="89">
        <f t="shared" si="26"/>
        <v>41.5</v>
      </c>
      <c r="D535" s="323">
        <v>403951.26</v>
      </c>
      <c r="E535" s="323">
        <f t="shared" si="25"/>
        <v>16763977.290000001</v>
      </c>
    </row>
    <row r="536" spans="1:6" hidden="1" outlineLevel="2" x14ac:dyDescent="0.2">
      <c r="A536">
        <v>38200</v>
      </c>
      <c r="B536">
        <v>1982</v>
      </c>
      <c r="C536" s="89">
        <f t="shared" si="26"/>
        <v>42.5</v>
      </c>
      <c r="D536" s="323">
        <v>317266.28999999998</v>
      </c>
      <c r="E536" s="323">
        <f t="shared" si="25"/>
        <v>13483817.324999999</v>
      </c>
    </row>
    <row r="537" spans="1:6" hidden="1" outlineLevel="2" x14ac:dyDescent="0.2">
      <c r="A537">
        <v>38200</v>
      </c>
      <c r="B537">
        <v>1981</v>
      </c>
      <c r="C537" s="89">
        <f t="shared" si="26"/>
        <v>43.5</v>
      </c>
      <c r="D537" s="323">
        <v>153034.78000000009</v>
      </c>
      <c r="E537" s="323">
        <f t="shared" si="25"/>
        <v>6657012.9300000034</v>
      </c>
    </row>
    <row r="538" spans="1:6" s="143" customFormat="1" outlineLevel="1" collapsed="1" x14ac:dyDescent="0.2">
      <c r="A538" s="20" t="s">
        <v>1189</v>
      </c>
      <c r="C538" s="89" t="s">
        <v>1230</v>
      </c>
      <c r="D538" s="323">
        <f>SUBTOTAL(9,D494:D537)</f>
        <v>119185919.39246112</v>
      </c>
      <c r="E538" s="323">
        <f>SUBTOTAL(9,E494:E537)</f>
        <v>1171447607.6376233</v>
      </c>
      <c r="F538" s="323">
        <f>+E538/D538</f>
        <v>9.8287416299590245</v>
      </c>
    </row>
    <row r="539" spans="1:6" hidden="1" outlineLevel="2" x14ac:dyDescent="0.2">
      <c r="A539">
        <v>38300</v>
      </c>
      <c r="B539">
        <v>2024</v>
      </c>
      <c r="C539" s="89">
        <f t="shared" si="26"/>
        <v>0.5</v>
      </c>
      <c r="D539" s="323">
        <v>974000.00000000012</v>
      </c>
      <c r="E539" s="323">
        <f t="shared" ref="E539:E570" si="27">+C539*D539</f>
        <v>487000.00000000006</v>
      </c>
    </row>
    <row r="540" spans="1:6" hidden="1" outlineLevel="2" x14ac:dyDescent="0.2">
      <c r="A540">
        <v>38300</v>
      </c>
      <c r="B540">
        <v>2023</v>
      </c>
      <c r="C540" s="89">
        <f t="shared" si="26"/>
        <v>1.5</v>
      </c>
      <c r="D540" s="323">
        <v>914170.26999999979</v>
      </c>
      <c r="E540" s="323">
        <f t="shared" si="27"/>
        <v>1371255.4049999998</v>
      </c>
    </row>
    <row r="541" spans="1:6" hidden="1" outlineLevel="2" x14ac:dyDescent="0.2">
      <c r="A541">
        <v>38300</v>
      </c>
      <c r="B541">
        <v>2022</v>
      </c>
      <c r="C541" s="89">
        <f t="shared" si="26"/>
        <v>2.5</v>
      </c>
      <c r="D541" s="323">
        <v>1638332.4799999997</v>
      </c>
      <c r="E541" s="323">
        <f t="shared" si="27"/>
        <v>4095831.1999999993</v>
      </c>
    </row>
    <row r="542" spans="1:6" hidden="1" outlineLevel="2" x14ac:dyDescent="0.2">
      <c r="A542">
        <v>38300</v>
      </c>
      <c r="B542">
        <v>2021</v>
      </c>
      <c r="C542" s="89">
        <f t="shared" si="26"/>
        <v>3.5</v>
      </c>
      <c r="D542" s="323">
        <v>868691.52</v>
      </c>
      <c r="E542" s="323">
        <f t="shared" si="27"/>
        <v>3040420.3200000003</v>
      </c>
    </row>
    <row r="543" spans="1:6" hidden="1" outlineLevel="2" x14ac:dyDescent="0.2">
      <c r="A543">
        <v>38300</v>
      </c>
      <c r="B543">
        <v>2020</v>
      </c>
      <c r="C543" s="89">
        <f t="shared" si="26"/>
        <v>4.5</v>
      </c>
      <c r="D543" s="323">
        <v>515586.03</v>
      </c>
      <c r="E543" s="323">
        <f t="shared" si="27"/>
        <v>2320137.1350000002</v>
      </c>
    </row>
    <row r="544" spans="1:6" hidden="1" outlineLevel="2" x14ac:dyDescent="0.2">
      <c r="A544">
        <v>38300</v>
      </c>
      <c r="B544">
        <v>2019</v>
      </c>
      <c r="C544" s="89">
        <f t="shared" si="26"/>
        <v>5.5</v>
      </c>
      <c r="D544" s="323">
        <v>779945.35</v>
      </c>
      <c r="E544" s="323">
        <f t="shared" si="27"/>
        <v>4289699.4249999998</v>
      </c>
    </row>
    <row r="545" spans="1:5" hidden="1" outlineLevel="2" x14ac:dyDescent="0.2">
      <c r="A545">
        <v>38300</v>
      </c>
      <c r="B545">
        <v>2018</v>
      </c>
      <c r="C545" s="89">
        <f t="shared" si="26"/>
        <v>6.5</v>
      </c>
      <c r="D545" s="323">
        <v>575744.87</v>
      </c>
      <c r="E545" s="323">
        <f t="shared" si="27"/>
        <v>3742341.6549999998</v>
      </c>
    </row>
    <row r="546" spans="1:5" hidden="1" outlineLevel="2" x14ac:dyDescent="0.2">
      <c r="A546">
        <v>38300</v>
      </c>
      <c r="B546">
        <v>2017</v>
      </c>
      <c r="C546" s="89">
        <f t="shared" si="26"/>
        <v>7.5</v>
      </c>
      <c r="D546" s="323">
        <v>698193.88</v>
      </c>
      <c r="E546" s="323">
        <f t="shared" si="27"/>
        <v>5236454.0999999996</v>
      </c>
    </row>
    <row r="547" spans="1:5" hidden="1" outlineLevel="2" x14ac:dyDescent="0.2">
      <c r="A547">
        <v>38300</v>
      </c>
      <c r="B547">
        <v>2016</v>
      </c>
      <c r="C547" s="89">
        <f t="shared" si="26"/>
        <v>8.5</v>
      </c>
      <c r="D547" s="323">
        <v>651105.68000000005</v>
      </c>
      <c r="E547" s="323">
        <f t="shared" si="27"/>
        <v>5534398.2800000003</v>
      </c>
    </row>
    <row r="548" spans="1:5" hidden="1" outlineLevel="2" x14ac:dyDescent="0.2">
      <c r="A548">
        <v>38300</v>
      </c>
      <c r="B548">
        <v>2015</v>
      </c>
      <c r="C548" s="89">
        <f t="shared" si="26"/>
        <v>9.5</v>
      </c>
      <c r="D548" s="323">
        <v>492213.31</v>
      </c>
      <c r="E548" s="323">
        <f t="shared" si="27"/>
        <v>4676026.4450000003</v>
      </c>
    </row>
    <row r="549" spans="1:5" hidden="1" outlineLevel="2" x14ac:dyDescent="0.2">
      <c r="A549">
        <v>38300</v>
      </c>
      <c r="B549">
        <v>2014</v>
      </c>
      <c r="C549" s="89">
        <f t="shared" si="26"/>
        <v>10.5</v>
      </c>
      <c r="D549" s="323">
        <v>673543.25</v>
      </c>
      <c r="E549" s="323">
        <f t="shared" si="27"/>
        <v>7072204.125</v>
      </c>
    </row>
    <row r="550" spans="1:5" hidden="1" outlineLevel="2" x14ac:dyDescent="0.2">
      <c r="A550">
        <v>38300</v>
      </c>
      <c r="B550">
        <v>2013</v>
      </c>
      <c r="C550" s="89">
        <f t="shared" si="26"/>
        <v>11.5</v>
      </c>
      <c r="D550" s="323">
        <v>624879.43999999994</v>
      </c>
      <c r="E550" s="323">
        <f t="shared" si="27"/>
        <v>7186113.5599999996</v>
      </c>
    </row>
    <row r="551" spans="1:5" hidden="1" outlineLevel="2" x14ac:dyDescent="0.2">
      <c r="A551">
        <v>38300</v>
      </c>
      <c r="B551">
        <v>2012</v>
      </c>
      <c r="C551" s="89">
        <f t="shared" si="26"/>
        <v>12.5</v>
      </c>
      <c r="D551" s="323">
        <v>647202.85</v>
      </c>
      <c r="E551" s="323">
        <f t="shared" si="27"/>
        <v>8090035.625</v>
      </c>
    </row>
    <row r="552" spans="1:5" hidden="1" outlineLevel="2" x14ac:dyDescent="0.2">
      <c r="A552">
        <v>38300</v>
      </c>
      <c r="B552">
        <v>2011</v>
      </c>
      <c r="C552" s="89">
        <f t="shared" si="26"/>
        <v>13.5</v>
      </c>
      <c r="D552" s="323">
        <v>762531.28</v>
      </c>
      <c r="E552" s="323">
        <f t="shared" si="27"/>
        <v>10294172.280000001</v>
      </c>
    </row>
    <row r="553" spans="1:5" hidden="1" outlineLevel="2" x14ac:dyDescent="0.2">
      <c r="A553">
        <v>38300</v>
      </c>
      <c r="B553">
        <v>2010</v>
      </c>
      <c r="C553" s="89">
        <f t="shared" si="26"/>
        <v>14.5</v>
      </c>
      <c r="D553" s="323">
        <v>576915.56999999995</v>
      </c>
      <c r="E553" s="323">
        <f t="shared" si="27"/>
        <v>8365275.7649999997</v>
      </c>
    </row>
    <row r="554" spans="1:5" hidden="1" outlineLevel="2" x14ac:dyDescent="0.2">
      <c r="A554">
        <v>38300</v>
      </c>
      <c r="B554">
        <v>2009</v>
      </c>
      <c r="C554" s="89">
        <f t="shared" si="26"/>
        <v>15.5</v>
      </c>
      <c r="D554" s="323">
        <v>657038.13</v>
      </c>
      <c r="E554" s="323">
        <f t="shared" si="27"/>
        <v>10184091.015000001</v>
      </c>
    </row>
    <row r="555" spans="1:5" hidden="1" outlineLevel="2" x14ac:dyDescent="0.2">
      <c r="A555">
        <v>38300</v>
      </c>
      <c r="B555">
        <v>2008</v>
      </c>
      <c r="C555" s="89">
        <f t="shared" si="26"/>
        <v>16.5</v>
      </c>
      <c r="D555" s="323">
        <v>529731.42000000004</v>
      </c>
      <c r="E555" s="323">
        <f t="shared" si="27"/>
        <v>8740568.4300000016</v>
      </c>
    </row>
    <row r="556" spans="1:5" hidden="1" outlineLevel="2" x14ac:dyDescent="0.2">
      <c r="A556">
        <v>38300</v>
      </c>
      <c r="B556">
        <v>2007</v>
      </c>
      <c r="C556" s="89">
        <f t="shared" si="26"/>
        <v>17.5</v>
      </c>
      <c r="D556" s="323">
        <v>508391.03</v>
      </c>
      <c r="E556" s="323">
        <f t="shared" si="27"/>
        <v>8896843.0250000004</v>
      </c>
    </row>
    <row r="557" spans="1:5" hidden="1" outlineLevel="2" x14ac:dyDescent="0.2">
      <c r="A557">
        <v>38300</v>
      </c>
      <c r="B557">
        <v>2006</v>
      </c>
      <c r="C557" s="89">
        <f t="shared" si="26"/>
        <v>18.5</v>
      </c>
      <c r="D557" s="323">
        <v>465635.5</v>
      </c>
      <c r="E557" s="323">
        <f t="shared" si="27"/>
        <v>8614256.75</v>
      </c>
    </row>
    <row r="558" spans="1:5" hidden="1" outlineLevel="2" x14ac:dyDescent="0.2">
      <c r="A558">
        <v>38300</v>
      </c>
      <c r="B558">
        <v>2005</v>
      </c>
      <c r="C558" s="89">
        <f t="shared" si="26"/>
        <v>19.5</v>
      </c>
      <c r="D558" s="323">
        <v>382854.95</v>
      </c>
      <c r="E558" s="323">
        <f t="shared" si="27"/>
        <v>7465671.5250000004</v>
      </c>
    </row>
    <row r="559" spans="1:5" hidden="1" outlineLevel="2" x14ac:dyDescent="0.2">
      <c r="A559">
        <v>38300</v>
      </c>
      <c r="B559">
        <v>2004</v>
      </c>
      <c r="C559" s="89">
        <f t="shared" si="26"/>
        <v>20.5</v>
      </c>
      <c r="D559" s="323">
        <v>300837.45</v>
      </c>
      <c r="E559" s="323">
        <f t="shared" si="27"/>
        <v>6167167.7250000006</v>
      </c>
    </row>
    <row r="560" spans="1:5" hidden="1" outlineLevel="2" x14ac:dyDescent="0.2">
      <c r="A560">
        <v>38300</v>
      </c>
      <c r="B560">
        <v>2003</v>
      </c>
      <c r="C560" s="89">
        <f t="shared" si="26"/>
        <v>21.5</v>
      </c>
      <c r="D560" s="323">
        <v>207937.86</v>
      </c>
      <c r="E560" s="323">
        <f t="shared" si="27"/>
        <v>4470663.9899999993</v>
      </c>
    </row>
    <row r="561" spans="1:5" hidden="1" outlineLevel="2" x14ac:dyDescent="0.2">
      <c r="A561">
        <v>38300</v>
      </c>
      <c r="B561">
        <v>2002</v>
      </c>
      <c r="C561" s="89">
        <f t="shared" si="26"/>
        <v>22.5</v>
      </c>
      <c r="D561" s="323">
        <v>297269.75</v>
      </c>
      <c r="E561" s="323">
        <f t="shared" si="27"/>
        <v>6688569.375</v>
      </c>
    </row>
    <row r="562" spans="1:5" hidden="1" outlineLevel="2" x14ac:dyDescent="0.2">
      <c r="A562">
        <v>38300</v>
      </c>
      <c r="B562">
        <v>2001</v>
      </c>
      <c r="C562" s="89">
        <f t="shared" si="26"/>
        <v>23.5</v>
      </c>
      <c r="D562" s="323">
        <v>38881.089999999997</v>
      </c>
      <c r="E562" s="323">
        <f t="shared" si="27"/>
        <v>913705.61499999987</v>
      </c>
    </row>
    <row r="563" spans="1:5" hidden="1" outlineLevel="2" x14ac:dyDescent="0.2">
      <c r="A563">
        <v>38300</v>
      </c>
      <c r="B563">
        <v>2000</v>
      </c>
      <c r="C563" s="89">
        <f t="shared" si="26"/>
        <v>24.5</v>
      </c>
      <c r="D563" s="323">
        <v>1068379.6499999999</v>
      </c>
      <c r="E563" s="323">
        <f t="shared" si="27"/>
        <v>26175301.424999997</v>
      </c>
    </row>
    <row r="564" spans="1:5" hidden="1" outlineLevel="2" x14ac:dyDescent="0.2">
      <c r="A564">
        <v>38300</v>
      </c>
      <c r="B564">
        <v>1999</v>
      </c>
      <c r="C564" s="89">
        <f t="shared" si="26"/>
        <v>25.5</v>
      </c>
      <c r="D564" s="323">
        <v>565894.18000000005</v>
      </c>
      <c r="E564" s="323">
        <f t="shared" si="27"/>
        <v>14430301.590000002</v>
      </c>
    </row>
    <row r="565" spans="1:5" hidden="1" outlineLevel="2" x14ac:dyDescent="0.2">
      <c r="A565">
        <v>38300</v>
      </c>
      <c r="B565">
        <v>1998</v>
      </c>
      <c r="C565" s="89">
        <f t="shared" si="26"/>
        <v>26.5</v>
      </c>
      <c r="D565" s="323">
        <v>478111.94</v>
      </c>
      <c r="E565" s="323">
        <f t="shared" si="27"/>
        <v>12669966.41</v>
      </c>
    </row>
    <row r="566" spans="1:5" hidden="1" outlineLevel="2" x14ac:dyDescent="0.2">
      <c r="A566">
        <v>38300</v>
      </c>
      <c r="B566">
        <v>1997</v>
      </c>
      <c r="C566" s="89">
        <f t="shared" si="26"/>
        <v>27.5</v>
      </c>
      <c r="D566" s="323">
        <v>606083.75</v>
      </c>
      <c r="E566" s="323">
        <f t="shared" si="27"/>
        <v>16667303.125</v>
      </c>
    </row>
    <row r="567" spans="1:5" hidden="1" outlineLevel="2" x14ac:dyDescent="0.2">
      <c r="A567">
        <v>38300</v>
      </c>
      <c r="B567">
        <v>1996</v>
      </c>
      <c r="C567" s="89">
        <f t="shared" si="26"/>
        <v>28.5</v>
      </c>
      <c r="D567" s="323">
        <v>374216.61</v>
      </c>
      <c r="E567" s="323">
        <f t="shared" si="27"/>
        <v>10665173.385</v>
      </c>
    </row>
    <row r="568" spans="1:5" hidden="1" outlineLevel="2" x14ac:dyDescent="0.2">
      <c r="A568">
        <v>38300</v>
      </c>
      <c r="B568">
        <v>1995</v>
      </c>
      <c r="C568" s="89">
        <f t="shared" si="26"/>
        <v>29.5</v>
      </c>
      <c r="D568" s="323">
        <v>338080.91</v>
      </c>
      <c r="E568" s="323">
        <f t="shared" si="27"/>
        <v>9973386.8449999988</v>
      </c>
    </row>
    <row r="569" spans="1:5" hidden="1" outlineLevel="2" x14ac:dyDescent="0.2">
      <c r="A569">
        <v>38300</v>
      </c>
      <c r="B569">
        <v>1994</v>
      </c>
      <c r="C569" s="89">
        <f t="shared" si="26"/>
        <v>30.5</v>
      </c>
      <c r="D569" s="323">
        <v>365650.8</v>
      </c>
      <c r="E569" s="323">
        <f t="shared" si="27"/>
        <v>11152349.4</v>
      </c>
    </row>
    <row r="570" spans="1:5" hidden="1" outlineLevel="2" x14ac:dyDescent="0.2">
      <c r="A570">
        <v>38300</v>
      </c>
      <c r="B570">
        <v>1993</v>
      </c>
      <c r="C570" s="89">
        <f t="shared" si="26"/>
        <v>31.5</v>
      </c>
      <c r="D570" s="323">
        <v>392196.25</v>
      </c>
      <c r="E570" s="323">
        <f t="shared" si="27"/>
        <v>12354181.875</v>
      </c>
    </row>
    <row r="571" spans="1:5" hidden="1" outlineLevel="2" x14ac:dyDescent="0.2">
      <c r="A571">
        <v>38300</v>
      </c>
      <c r="B571">
        <v>1992</v>
      </c>
      <c r="C571" s="89">
        <f t="shared" si="26"/>
        <v>32.5</v>
      </c>
      <c r="D571" s="323">
        <v>249601.69</v>
      </c>
      <c r="E571" s="323">
        <f t="shared" ref="E571:E590" si="28">+C571*D571</f>
        <v>8112054.9249999998</v>
      </c>
    </row>
    <row r="572" spans="1:5" hidden="1" outlineLevel="2" x14ac:dyDescent="0.2">
      <c r="A572">
        <v>38300</v>
      </c>
      <c r="B572">
        <v>1991</v>
      </c>
      <c r="C572" s="89">
        <f t="shared" si="26"/>
        <v>33.5</v>
      </c>
      <c r="D572" s="323">
        <v>361257.71</v>
      </c>
      <c r="E572" s="323">
        <f t="shared" si="28"/>
        <v>12102133.285</v>
      </c>
    </row>
    <row r="573" spans="1:5" hidden="1" outlineLevel="2" x14ac:dyDescent="0.2">
      <c r="A573">
        <v>38300</v>
      </c>
      <c r="B573">
        <v>1990</v>
      </c>
      <c r="C573" s="89">
        <f t="shared" si="26"/>
        <v>34.5</v>
      </c>
      <c r="D573" s="323">
        <v>263731.37</v>
      </c>
      <c r="E573" s="323">
        <f t="shared" si="28"/>
        <v>9098732.2650000006</v>
      </c>
    </row>
    <row r="574" spans="1:5" hidden="1" outlineLevel="2" x14ac:dyDescent="0.2">
      <c r="A574">
        <v>38300</v>
      </c>
      <c r="B574">
        <v>1989</v>
      </c>
      <c r="C574" s="89">
        <f t="shared" si="26"/>
        <v>35.5</v>
      </c>
      <c r="D574" s="323">
        <v>175379.78</v>
      </c>
      <c r="E574" s="323">
        <f t="shared" si="28"/>
        <v>6225982.1900000004</v>
      </c>
    </row>
    <row r="575" spans="1:5" hidden="1" outlineLevel="2" x14ac:dyDescent="0.2">
      <c r="A575">
        <v>38300</v>
      </c>
      <c r="B575">
        <v>1988</v>
      </c>
      <c r="C575" s="89">
        <f t="shared" si="26"/>
        <v>36.5</v>
      </c>
      <c r="D575" s="323">
        <v>197396.53</v>
      </c>
      <c r="E575" s="323">
        <f t="shared" si="28"/>
        <v>7204973.3449999997</v>
      </c>
    </row>
    <row r="576" spans="1:5" hidden="1" outlineLevel="2" x14ac:dyDescent="0.2">
      <c r="A576">
        <v>38300</v>
      </c>
      <c r="B576">
        <v>1987</v>
      </c>
      <c r="C576" s="89">
        <f t="shared" si="26"/>
        <v>37.5</v>
      </c>
      <c r="D576" s="323">
        <v>277179.63</v>
      </c>
      <c r="E576" s="323">
        <f t="shared" si="28"/>
        <v>10394236.125</v>
      </c>
    </row>
    <row r="577" spans="1:6" hidden="1" outlineLevel="2" x14ac:dyDescent="0.2">
      <c r="A577">
        <v>38300</v>
      </c>
      <c r="B577">
        <v>1986</v>
      </c>
      <c r="C577" s="89">
        <f t="shared" si="26"/>
        <v>38.5</v>
      </c>
      <c r="D577" s="323">
        <v>264406.53000000003</v>
      </c>
      <c r="E577" s="323">
        <f t="shared" si="28"/>
        <v>10179651.405000001</v>
      </c>
    </row>
    <row r="578" spans="1:6" hidden="1" outlineLevel="2" x14ac:dyDescent="0.2">
      <c r="A578">
        <v>38300</v>
      </c>
      <c r="B578">
        <v>1985</v>
      </c>
      <c r="C578" s="89">
        <f t="shared" si="26"/>
        <v>39.5</v>
      </c>
      <c r="D578" s="323">
        <v>182310.15</v>
      </c>
      <c r="E578" s="323">
        <f t="shared" si="28"/>
        <v>7201250.9249999998</v>
      </c>
    </row>
    <row r="579" spans="1:6" hidden="1" outlineLevel="2" x14ac:dyDescent="0.2">
      <c r="A579">
        <v>38300</v>
      </c>
      <c r="B579">
        <v>1984</v>
      </c>
      <c r="C579" s="89">
        <f t="shared" si="26"/>
        <v>40.5</v>
      </c>
      <c r="D579" s="323">
        <v>129589.29</v>
      </c>
      <c r="E579" s="323">
        <f t="shared" si="28"/>
        <v>5248366.2450000001</v>
      </c>
    </row>
    <row r="580" spans="1:6" hidden="1" outlineLevel="2" x14ac:dyDescent="0.2">
      <c r="A580">
        <v>38300</v>
      </c>
      <c r="B580">
        <v>1983</v>
      </c>
      <c r="C580" s="89">
        <f t="shared" si="26"/>
        <v>41.5</v>
      </c>
      <c r="D580" s="323">
        <v>59468.89</v>
      </c>
      <c r="E580" s="323">
        <f t="shared" si="28"/>
        <v>2467958.9350000001</v>
      </c>
    </row>
    <row r="581" spans="1:6" hidden="1" outlineLevel="2" x14ac:dyDescent="0.2">
      <c r="A581">
        <v>38300</v>
      </c>
      <c r="B581">
        <v>1982</v>
      </c>
      <c r="C581" s="89">
        <f t="shared" si="26"/>
        <v>42.5</v>
      </c>
      <c r="D581" s="323">
        <v>76749.27</v>
      </c>
      <c r="E581" s="323">
        <f t="shared" si="28"/>
        <v>3261843.9750000001</v>
      </c>
    </row>
    <row r="582" spans="1:6" hidden="1" outlineLevel="2" x14ac:dyDescent="0.2">
      <c r="A582">
        <v>38300</v>
      </c>
      <c r="B582">
        <v>1981</v>
      </c>
      <c r="C582" s="89">
        <f t="shared" si="26"/>
        <v>43.5</v>
      </c>
      <c r="D582" s="323">
        <v>117688.66</v>
      </c>
      <c r="E582" s="323">
        <f t="shared" si="28"/>
        <v>5119456.71</v>
      </c>
    </row>
    <row r="583" spans="1:6" hidden="1" outlineLevel="2" x14ac:dyDescent="0.2">
      <c r="A583">
        <v>38300</v>
      </c>
      <c r="B583">
        <v>1980</v>
      </c>
      <c r="C583" s="89">
        <f t="shared" ref="C583:C646" si="29">2024.5-B583</f>
        <v>44.5</v>
      </c>
      <c r="D583" s="323">
        <v>85874.18</v>
      </c>
      <c r="E583" s="323">
        <f t="shared" si="28"/>
        <v>3821401.01</v>
      </c>
    </row>
    <row r="584" spans="1:6" hidden="1" outlineLevel="2" x14ac:dyDescent="0.2">
      <c r="A584">
        <v>38300</v>
      </c>
      <c r="B584">
        <v>1979</v>
      </c>
      <c r="C584" s="89">
        <f t="shared" si="29"/>
        <v>45.5</v>
      </c>
      <c r="D584" s="323">
        <v>48170.29</v>
      </c>
      <c r="E584" s="323">
        <f t="shared" si="28"/>
        <v>2191748.1949999998</v>
      </c>
    </row>
    <row r="585" spans="1:6" hidden="1" outlineLevel="2" x14ac:dyDescent="0.2">
      <c r="A585">
        <v>38300</v>
      </c>
      <c r="B585">
        <v>1978</v>
      </c>
      <c r="C585" s="89">
        <f t="shared" si="29"/>
        <v>46.5</v>
      </c>
      <c r="D585" s="323">
        <v>53032.49</v>
      </c>
      <c r="E585" s="323">
        <f t="shared" si="28"/>
        <v>2466010.7849999997</v>
      </c>
    </row>
    <row r="586" spans="1:6" hidden="1" outlineLevel="2" x14ac:dyDescent="0.2">
      <c r="A586">
        <v>38300</v>
      </c>
      <c r="B586">
        <v>1977</v>
      </c>
      <c r="C586" s="89">
        <f t="shared" si="29"/>
        <v>47.5</v>
      </c>
      <c r="D586" s="323">
        <v>45144</v>
      </c>
      <c r="E586" s="323">
        <f t="shared" si="28"/>
        <v>2144340</v>
      </c>
    </row>
    <row r="587" spans="1:6" hidden="1" outlineLevel="2" x14ac:dyDescent="0.2">
      <c r="A587">
        <v>38300</v>
      </c>
      <c r="B587">
        <v>1976</v>
      </c>
      <c r="C587" s="89">
        <f t="shared" si="29"/>
        <v>48.5</v>
      </c>
      <c r="D587" s="323">
        <v>22156.81</v>
      </c>
      <c r="E587" s="323">
        <f t="shared" si="28"/>
        <v>1074605.2850000001</v>
      </c>
    </row>
    <row r="588" spans="1:6" hidden="1" outlineLevel="2" x14ac:dyDescent="0.2">
      <c r="A588">
        <v>38300</v>
      </c>
      <c r="B588">
        <v>1975</v>
      </c>
      <c r="C588" s="89">
        <f t="shared" si="29"/>
        <v>49.5</v>
      </c>
      <c r="D588" s="323">
        <v>32725.68</v>
      </c>
      <c r="E588" s="323">
        <f t="shared" si="28"/>
        <v>1619921.16</v>
      </c>
    </row>
    <row r="589" spans="1:6" hidden="1" outlineLevel="2" x14ac:dyDescent="0.2">
      <c r="A589">
        <v>38300</v>
      </c>
      <c r="B589">
        <v>1974</v>
      </c>
      <c r="C589" s="89">
        <f t="shared" si="29"/>
        <v>50.5</v>
      </c>
      <c r="D589" s="323">
        <v>31153.5</v>
      </c>
      <c r="E589" s="323">
        <f t="shared" si="28"/>
        <v>1573251.75</v>
      </c>
    </row>
    <row r="590" spans="1:6" hidden="1" outlineLevel="2" x14ac:dyDescent="0.2">
      <c r="A590">
        <v>38300</v>
      </c>
      <c r="B590">
        <v>1973</v>
      </c>
      <c r="C590" s="89">
        <f t="shared" si="29"/>
        <v>51.5</v>
      </c>
      <c r="D590" s="323">
        <v>19633.699999999997</v>
      </c>
      <c r="E590" s="323">
        <f t="shared" si="28"/>
        <v>1011135.5499999998</v>
      </c>
    </row>
    <row r="591" spans="1:6" s="143" customFormat="1" outlineLevel="1" collapsed="1" x14ac:dyDescent="0.2">
      <c r="A591" s="20" t="s">
        <v>1190</v>
      </c>
      <c r="C591" s="89" t="s">
        <v>1230</v>
      </c>
      <c r="D591" s="323">
        <f>SUBTOTAL(9,D539:D590)</f>
        <v>21662897.199999996</v>
      </c>
      <c r="E591" s="323">
        <f>SUBTOTAL(9,E539:E590)</f>
        <v>354549920.89000022</v>
      </c>
      <c r="F591" s="323">
        <f>+E591/D591</f>
        <v>16.366689903786291</v>
      </c>
    </row>
    <row r="592" spans="1:6" hidden="1" outlineLevel="2" x14ac:dyDescent="0.2">
      <c r="A592">
        <v>38400</v>
      </c>
      <c r="B592">
        <v>2022</v>
      </c>
      <c r="C592" s="89">
        <f t="shared" si="29"/>
        <v>2.5</v>
      </c>
      <c r="D592" s="323">
        <v>6517029.4899999993</v>
      </c>
      <c r="E592" s="323">
        <f t="shared" ref="E592:E623" si="30">+C592*D592</f>
        <v>16292573.724999998</v>
      </c>
    </row>
    <row r="593" spans="1:5" hidden="1" outlineLevel="2" x14ac:dyDescent="0.2">
      <c r="A593">
        <v>38400</v>
      </c>
      <c r="B593">
        <v>2021</v>
      </c>
      <c r="C593" s="89">
        <f t="shared" si="29"/>
        <v>3.5</v>
      </c>
      <c r="D593" s="323">
        <v>4440943.29</v>
      </c>
      <c r="E593" s="323">
        <f t="shared" si="30"/>
        <v>15543301.515000001</v>
      </c>
    </row>
    <row r="594" spans="1:5" hidden="1" outlineLevel="2" x14ac:dyDescent="0.2">
      <c r="A594">
        <v>38400</v>
      </c>
      <c r="B594">
        <v>2020</v>
      </c>
      <c r="C594" s="89">
        <f t="shared" si="29"/>
        <v>4.5</v>
      </c>
      <c r="D594" s="323">
        <v>2242163.2000000002</v>
      </c>
      <c r="E594" s="323">
        <f t="shared" si="30"/>
        <v>10089734.4</v>
      </c>
    </row>
    <row r="595" spans="1:5" hidden="1" outlineLevel="2" x14ac:dyDescent="0.2">
      <c r="A595">
        <v>38400</v>
      </c>
      <c r="B595">
        <v>2019</v>
      </c>
      <c r="C595" s="89">
        <f t="shared" si="29"/>
        <v>5.5</v>
      </c>
      <c r="D595" s="323">
        <v>1920126.15</v>
      </c>
      <c r="E595" s="323">
        <f t="shared" si="30"/>
        <v>10560693.824999999</v>
      </c>
    </row>
    <row r="596" spans="1:5" hidden="1" outlineLevel="2" x14ac:dyDescent="0.2">
      <c r="A596">
        <v>38400</v>
      </c>
      <c r="B596">
        <v>2018</v>
      </c>
      <c r="C596" s="89">
        <f t="shared" si="29"/>
        <v>6.5</v>
      </c>
      <c r="D596" s="323">
        <v>1755541.61</v>
      </c>
      <c r="E596" s="323">
        <f t="shared" si="30"/>
        <v>11411020.465</v>
      </c>
    </row>
    <row r="597" spans="1:5" hidden="1" outlineLevel="2" x14ac:dyDescent="0.2">
      <c r="A597">
        <v>38400</v>
      </c>
      <c r="B597">
        <v>2017</v>
      </c>
      <c r="C597" s="89">
        <f t="shared" si="29"/>
        <v>7.5</v>
      </c>
      <c r="D597" s="323">
        <v>1120608.94</v>
      </c>
      <c r="E597" s="323">
        <f t="shared" si="30"/>
        <v>8404567.0499999989</v>
      </c>
    </row>
    <row r="598" spans="1:5" hidden="1" outlineLevel="2" x14ac:dyDescent="0.2">
      <c r="A598">
        <v>38400</v>
      </c>
      <c r="B598">
        <v>2016</v>
      </c>
      <c r="C598" s="89">
        <f t="shared" si="29"/>
        <v>8.5</v>
      </c>
      <c r="D598" s="323">
        <v>1198676.73</v>
      </c>
      <c r="E598" s="323">
        <f t="shared" si="30"/>
        <v>10188752.205</v>
      </c>
    </row>
    <row r="599" spans="1:5" hidden="1" outlineLevel="2" x14ac:dyDescent="0.2">
      <c r="A599">
        <v>38400</v>
      </c>
      <c r="B599">
        <v>2015</v>
      </c>
      <c r="C599" s="89">
        <f t="shared" si="29"/>
        <v>9.5</v>
      </c>
      <c r="D599" s="323">
        <v>817036.65</v>
      </c>
      <c r="E599" s="323">
        <f t="shared" si="30"/>
        <v>7761848.1749999998</v>
      </c>
    </row>
    <row r="600" spans="1:5" hidden="1" outlineLevel="2" x14ac:dyDescent="0.2">
      <c r="A600">
        <v>38400</v>
      </c>
      <c r="B600">
        <v>2014</v>
      </c>
      <c r="C600" s="89">
        <f t="shared" si="29"/>
        <v>10.5</v>
      </c>
      <c r="D600" s="323">
        <v>776896.66</v>
      </c>
      <c r="E600" s="323">
        <f t="shared" si="30"/>
        <v>8157414.9300000006</v>
      </c>
    </row>
    <row r="601" spans="1:5" hidden="1" outlineLevel="2" x14ac:dyDescent="0.2">
      <c r="A601">
        <v>38400</v>
      </c>
      <c r="B601">
        <v>2013</v>
      </c>
      <c r="C601" s="89">
        <f t="shared" si="29"/>
        <v>11.5</v>
      </c>
      <c r="D601" s="323">
        <v>1316985.8600000001</v>
      </c>
      <c r="E601" s="323">
        <f t="shared" si="30"/>
        <v>15145337.390000001</v>
      </c>
    </row>
    <row r="602" spans="1:5" hidden="1" outlineLevel="2" x14ac:dyDescent="0.2">
      <c r="A602">
        <v>38400</v>
      </c>
      <c r="B602">
        <v>2012</v>
      </c>
      <c r="C602" s="89">
        <f t="shared" si="29"/>
        <v>12.5</v>
      </c>
      <c r="D602" s="323">
        <v>1151122.04</v>
      </c>
      <c r="E602" s="323">
        <f t="shared" si="30"/>
        <v>14389025.5</v>
      </c>
    </row>
    <row r="603" spans="1:5" hidden="1" outlineLevel="2" x14ac:dyDescent="0.2">
      <c r="A603">
        <v>38400</v>
      </c>
      <c r="B603">
        <v>2011</v>
      </c>
      <c r="C603" s="89">
        <f t="shared" si="29"/>
        <v>13.5</v>
      </c>
      <c r="D603" s="323">
        <v>738173.99</v>
      </c>
      <c r="E603" s="323">
        <f t="shared" si="30"/>
        <v>9965348.8650000002</v>
      </c>
    </row>
    <row r="604" spans="1:5" hidden="1" outlineLevel="2" x14ac:dyDescent="0.2">
      <c r="A604">
        <v>38400</v>
      </c>
      <c r="B604">
        <v>2010</v>
      </c>
      <c r="C604" s="89">
        <f t="shared" si="29"/>
        <v>14.5</v>
      </c>
      <c r="D604" s="323">
        <v>671129.47</v>
      </c>
      <c r="E604" s="323">
        <f t="shared" si="30"/>
        <v>9731377.3149999995</v>
      </c>
    </row>
    <row r="605" spans="1:5" hidden="1" outlineLevel="2" x14ac:dyDescent="0.2">
      <c r="A605">
        <v>38400</v>
      </c>
      <c r="B605">
        <v>2009</v>
      </c>
      <c r="C605" s="89">
        <f t="shared" si="29"/>
        <v>15.5</v>
      </c>
      <c r="D605" s="323">
        <v>686919.72</v>
      </c>
      <c r="E605" s="323">
        <f t="shared" si="30"/>
        <v>10647255.66</v>
      </c>
    </row>
    <row r="606" spans="1:5" hidden="1" outlineLevel="2" x14ac:dyDescent="0.2">
      <c r="A606">
        <v>38400</v>
      </c>
      <c r="B606">
        <v>2008</v>
      </c>
      <c r="C606" s="89">
        <f t="shared" si="29"/>
        <v>16.5</v>
      </c>
      <c r="D606" s="323">
        <v>732920.04</v>
      </c>
      <c r="E606" s="323">
        <f t="shared" si="30"/>
        <v>12093180.66</v>
      </c>
    </row>
    <row r="607" spans="1:5" hidden="1" outlineLevel="2" x14ac:dyDescent="0.2">
      <c r="A607">
        <v>38400</v>
      </c>
      <c r="B607">
        <v>2007</v>
      </c>
      <c r="C607" s="89">
        <f t="shared" si="29"/>
        <v>17.5</v>
      </c>
      <c r="D607" s="323">
        <v>877182.82</v>
      </c>
      <c r="E607" s="323">
        <f t="shared" si="30"/>
        <v>15350699.35</v>
      </c>
    </row>
    <row r="608" spans="1:5" hidden="1" outlineLevel="2" x14ac:dyDescent="0.2">
      <c r="A608">
        <v>38400</v>
      </c>
      <c r="B608">
        <v>2006</v>
      </c>
      <c r="C608" s="89">
        <f t="shared" si="29"/>
        <v>18.5</v>
      </c>
      <c r="D608" s="323">
        <v>1557909.68</v>
      </c>
      <c r="E608" s="323">
        <f t="shared" si="30"/>
        <v>28821329.079999998</v>
      </c>
    </row>
    <row r="609" spans="1:5" hidden="1" outlineLevel="2" x14ac:dyDescent="0.2">
      <c r="A609">
        <v>38400</v>
      </c>
      <c r="B609">
        <v>2005</v>
      </c>
      <c r="C609" s="89">
        <f t="shared" si="29"/>
        <v>19.5</v>
      </c>
      <c r="D609" s="323">
        <v>919834.48</v>
      </c>
      <c r="E609" s="323">
        <f t="shared" si="30"/>
        <v>17936772.359999999</v>
      </c>
    </row>
    <row r="610" spans="1:5" hidden="1" outlineLevel="2" x14ac:dyDescent="0.2">
      <c r="A610">
        <v>38400</v>
      </c>
      <c r="B610">
        <v>2004</v>
      </c>
      <c r="C610" s="89">
        <f t="shared" si="29"/>
        <v>20.5</v>
      </c>
      <c r="D610" s="323">
        <v>874870.58</v>
      </c>
      <c r="E610" s="323">
        <f t="shared" si="30"/>
        <v>17934846.890000001</v>
      </c>
    </row>
    <row r="611" spans="1:5" hidden="1" outlineLevel="2" x14ac:dyDescent="0.2">
      <c r="A611">
        <v>38400</v>
      </c>
      <c r="B611">
        <v>2003</v>
      </c>
      <c r="C611" s="89">
        <f t="shared" si="29"/>
        <v>21.5</v>
      </c>
      <c r="D611" s="323">
        <v>1190767.25</v>
      </c>
      <c r="E611" s="323">
        <f t="shared" si="30"/>
        <v>25601495.875</v>
      </c>
    </row>
    <row r="612" spans="1:5" hidden="1" outlineLevel="2" x14ac:dyDescent="0.2">
      <c r="A612">
        <v>38400</v>
      </c>
      <c r="B612">
        <v>2002</v>
      </c>
      <c r="C612" s="89">
        <f t="shared" si="29"/>
        <v>22.5</v>
      </c>
      <c r="D612" s="323">
        <v>781013.24</v>
      </c>
      <c r="E612" s="323">
        <f t="shared" si="30"/>
        <v>17572797.899999999</v>
      </c>
    </row>
    <row r="613" spans="1:5" hidden="1" outlineLevel="2" x14ac:dyDescent="0.2">
      <c r="A613">
        <v>38400</v>
      </c>
      <c r="B613">
        <v>2000</v>
      </c>
      <c r="C613" s="89">
        <f t="shared" si="29"/>
        <v>24.5</v>
      </c>
      <c r="D613" s="323">
        <v>1069154.9099999999</v>
      </c>
      <c r="E613" s="323">
        <f t="shared" si="30"/>
        <v>26194295.294999998</v>
      </c>
    </row>
    <row r="614" spans="1:5" hidden="1" outlineLevel="2" x14ac:dyDescent="0.2">
      <c r="A614">
        <v>38400</v>
      </c>
      <c r="B614">
        <v>1999</v>
      </c>
      <c r="C614" s="89">
        <f t="shared" si="29"/>
        <v>25.5</v>
      </c>
      <c r="D614" s="323">
        <v>471049.24</v>
      </c>
      <c r="E614" s="323">
        <f t="shared" si="30"/>
        <v>12011755.619999999</v>
      </c>
    </row>
    <row r="615" spans="1:5" hidden="1" outlineLevel="2" x14ac:dyDescent="0.2">
      <c r="A615">
        <v>38400</v>
      </c>
      <c r="B615">
        <v>1998</v>
      </c>
      <c r="C615" s="89">
        <f t="shared" si="29"/>
        <v>26.5</v>
      </c>
      <c r="D615" s="323">
        <v>383996.61</v>
      </c>
      <c r="E615" s="323">
        <f t="shared" si="30"/>
        <v>10175910.164999999</v>
      </c>
    </row>
    <row r="616" spans="1:5" hidden="1" outlineLevel="2" x14ac:dyDescent="0.2">
      <c r="A616">
        <v>38400</v>
      </c>
      <c r="B616">
        <v>1997</v>
      </c>
      <c r="C616" s="89">
        <f t="shared" si="29"/>
        <v>27.5</v>
      </c>
      <c r="D616" s="323">
        <v>485085.41</v>
      </c>
      <c r="E616" s="323">
        <f t="shared" si="30"/>
        <v>13339848.774999999</v>
      </c>
    </row>
    <row r="617" spans="1:5" hidden="1" outlineLevel="2" x14ac:dyDescent="0.2">
      <c r="A617">
        <v>38400</v>
      </c>
      <c r="B617">
        <v>1996</v>
      </c>
      <c r="C617" s="89">
        <f t="shared" si="29"/>
        <v>28.5</v>
      </c>
      <c r="D617" s="323">
        <v>459277.08</v>
      </c>
      <c r="E617" s="323">
        <f t="shared" si="30"/>
        <v>13089396.780000001</v>
      </c>
    </row>
    <row r="618" spans="1:5" hidden="1" outlineLevel="2" x14ac:dyDescent="0.2">
      <c r="A618">
        <v>38400</v>
      </c>
      <c r="B618">
        <v>1995</v>
      </c>
      <c r="C618" s="89">
        <f t="shared" si="29"/>
        <v>29.5</v>
      </c>
      <c r="D618" s="323">
        <v>353198.32</v>
      </c>
      <c r="E618" s="323">
        <f t="shared" si="30"/>
        <v>10419350.439999999</v>
      </c>
    </row>
    <row r="619" spans="1:5" hidden="1" outlineLevel="2" x14ac:dyDescent="0.2">
      <c r="A619">
        <v>38400</v>
      </c>
      <c r="B619">
        <v>1994</v>
      </c>
      <c r="C619" s="89">
        <f t="shared" si="29"/>
        <v>30.5</v>
      </c>
      <c r="D619" s="323">
        <v>347172.16</v>
      </c>
      <c r="E619" s="323">
        <f t="shared" si="30"/>
        <v>10588750.879999999</v>
      </c>
    </row>
    <row r="620" spans="1:5" hidden="1" outlineLevel="2" x14ac:dyDescent="0.2">
      <c r="A620">
        <v>38400</v>
      </c>
      <c r="B620">
        <v>1993</v>
      </c>
      <c r="C620" s="89">
        <f t="shared" si="29"/>
        <v>31.5</v>
      </c>
      <c r="D620" s="323">
        <v>276917.36</v>
      </c>
      <c r="E620" s="323">
        <f t="shared" si="30"/>
        <v>8722896.8399999999</v>
      </c>
    </row>
    <row r="621" spans="1:5" hidden="1" outlineLevel="2" x14ac:dyDescent="0.2">
      <c r="A621">
        <v>38400</v>
      </c>
      <c r="B621">
        <v>1992</v>
      </c>
      <c r="C621" s="89">
        <f t="shared" si="29"/>
        <v>32.5</v>
      </c>
      <c r="D621" s="323">
        <v>301050.49</v>
      </c>
      <c r="E621" s="323">
        <f t="shared" si="30"/>
        <v>9784140.9249999989</v>
      </c>
    </row>
    <row r="622" spans="1:5" hidden="1" outlineLevel="2" x14ac:dyDescent="0.2">
      <c r="A622">
        <v>38400</v>
      </c>
      <c r="B622">
        <v>1991</v>
      </c>
      <c r="C622" s="89">
        <f t="shared" si="29"/>
        <v>33.5</v>
      </c>
      <c r="D622" s="323">
        <v>208658.58</v>
      </c>
      <c r="E622" s="323">
        <f t="shared" si="30"/>
        <v>6990062.4299999997</v>
      </c>
    </row>
    <row r="623" spans="1:5" hidden="1" outlineLevel="2" x14ac:dyDescent="0.2">
      <c r="A623">
        <v>38400</v>
      </c>
      <c r="B623">
        <v>1990</v>
      </c>
      <c r="C623" s="89">
        <f t="shared" si="29"/>
        <v>34.5</v>
      </c>
      <c r="D623" s="323">
        <v>353261.45</v>
      </c>
      <c r="E623" s="323">
        <f t="shared" si="30"/>
        <v>12187520.025</v>
      </c>
    </row>
    <row r="624" spans="1:5" hidden="1" outlineLevel="2" x14ac:dyDescent="0.2">
      <c r="A624">
        <v>38400</v>
      </c>
      <c r="B624">
        <v>1989</v>
      </c>
      <c r="C624" s="89">
        <f t="shared" si="29"/>
        <v>35.5</v>
      </c>
      <c r="D624" s="323">
        <v>232637.44</v>
      </c>
      <c r="E624" s="323">
        <f t="shared" ref="E624:E655" si="31">+C624*D624</f>
        <v>8258629.1200000001</v>
      </c>
    </row>
    <row r="625" spans="1:5" hidden="1" outlineLevel="2" x14ac:dyDescent="0.2">
      <c r="A625">
        <v>38400</v>
      </c>
      <c r="B625">
        <v>1988</v>
      </c>
      <c r="C625" s="89">
        <f t="shared" si="29"/>
        <v>36.5</v>
      </c>
      <c r="D625" s="323">
        <v>196784.29</v>
      </c>
      <c r="E625" s="323">
        <f t="shared" si="31"/>
        <v>7182626.585</v>
      </c>
    </row>
    <row r="626" spans="1:5" hidden="1" outlineLevel="2" x14ac:dyDescent="0.2">
      <c r="A626">
        <v>38400</v>
      </c>
      <c r="B626">
        <v>1987</v>
      </c>
      <c r="C626" s="89">
        <f t="shared" si="29"/>
        <v>37.5</v>
      </c>
      <c r="D626" s="323">
        <v>147729.25</v>
      </c>
      <c r="E626" s="323">
        <f t="shared" si="31"/>
        <v>5539846.875</v>
      </c>
    </row>
    <row r="627" spans="1:5" hidden="1" outlineLevel="2" x14ac:dyDescent="0.2">
      <c r="A627">
        <v>38400</v>
      </c>
      <c r="B627">
        <v>1986</v>
      </c>
      <c r="C627" s="89">
        <f t="shared" si="29"/>
        <v>38.5</v>
      </c>
      <c r="D627" s="323">
        <v>146511.46</v>
      </c>
      <c r="E627" s="323">
        <f t="shared" si="31"/>
        <v>5640691.21</v>
      </c>
    </row>
    <row r="628" spans="1:5" hidden="1" outlineLevel="2" x14ac:dyDescent="0.2">
      <c r="A628">
        <v>38400</v>
      </c>
      <c r="B628">
        <v>1985</v>
      </c>
      <c r="C628" s="89">
        <f t="shared" si="29"/>
        <v>39.5</v>
      </c>
      <c r="D628" s="323">
        <v>170597.53</v>
      </c>
      <c r="E628" s="323">
        <f t="shared" si="31"/>
        <v>6738602.4349999996</v>
      </c>
    </row>
    <row r="629" spans="1:5" hidden="1" outlineLevel="2" x14ac:dyDescent="0.2">
      <c r="A629">
        <v>38400</v>
      </c>
      <c r="B629">
        <v>1984</v>
      </c>
      <c r="C629" s="89">
        <f t="shared" si="29"/>
        <v>40.5</v>
      </c>
      <c r="D629" s="323">
        <v>127971.21</v>
      </c>
      <c r="E629" s="323">
        <f t="shared" si="31"/>
        <v>5182834.0049999999</v>
      </c>
    </row>
    <row r="630" spans="1:5" hidden="1" outlineLevel="2" x14ac:dyDescent="0.2">
      <c r="A630">
        <v>38400</v>
      </c>
      <c r="B630">
        <v>1983</v>
      </c>
      <c r="C630" s="89">
        <f t="shared" si="29"/>
        <v>41.5</v>
      </c>
      <c r="D630" s="323">
        <v>87337.01</v>
      </c>
      <c r="E630" s="323">
        <f t="shared" si="31"/>
        <v>3624485.9149999996</v>
      </c>
    </row>
    <row r="631" spans="1:5" hidden="1" outlineLevel="2" x14ac:dyDescent="0.2">
      <c r="A631">
        <v>38400</v>
      </c>
      <c r="B631">
        <v>1982</v>
      </c>
      <c r="C631" s="89">
        <f t="shared" si="29"/>
        <v>42.5</v>
      </c>
      <c r="D631" s="323">
        <v>75868.649999999994</v>
      </c>
      <c r="E631" s="323">
        <f t="shared" si="31"/>
        <v>3224417.6249999995</v>
      </c>
    </row>
    <row r="632" spans="1:5" hidden="1" outlineLevel="2" x14ac:dyDescent="0.2">
      <c r="A632">
        <v>38400</v>
      </c>
      <c r="B632">
        <v>1981</v>
      </c>
      <c r="C632" s="89">
        <f t="shared" si="29"/>
        <v>43.5</v>
      </c>
      <c r="D632" s="323">
        <v>64988.36</v>
      </c>
      <c r="E632" s="323">
        <f t="shared" si="31"/>
        <v>2826993.66</v>
      </c>
    </row>
    <row r="633" spans="1:5" hidden="1" outlineLevel="2" x14ac:dyDescent="0.2">
      <c r="A633">
        <v>38400</v>
      </c>
      <c r="B633">
        <v>1980</v>
      </c>
      <c r="C633" s="89">
        <f t="shared" si="29"/>
        <v>44.5</v>
      </c>
      <c r="D633" s="323">
        <v>70727.09</v>
      </c>
      <c r="E633" s="323">
        <f t="shared" si="31"/>
        <v>3147355.5049999999</v>
      </c>
    </row>
    <row r="634" spans="1:5" hidden="1" outlineLevel="2" x14ac:dyDescent="0.2">
      <c r="A634">
        <v>38400</v>
      </c>
      <c r="B634">
        <v>1979</v>
      </c>
      <c r="C634" s="89">
        <f t="shared" si="29"/>
        <v>45.5</v>
      </c>
      <c r="D634" s="323">
        <v>39274.400000000001</v>
      </c>
      <c r="E634" s="323">
        <f t="shared" si="31"/>
        <v>1786985.2</v>
      </c>
    </row>
    <row r="635" spans="1:5" hidden="1" outlineLevel="2" x14ac:dyDescent="0.2">
      <c r="A635">
        <v>38400</v>
      </c>
      <c r="B635">
        <v>1978</v>
      </c>
      <c r="C635" s="89">
        <f t="shared" si="29"/>
        <v>46.5</v>
      </c>
      <c r="D635" s="323">
        <v>40674.449999999997</v>
      </c>
      <c r="E635" s="323">
        <f t="shared" si="31"/>
        <v>1891361.9249999998</v>
      </c>
    </row>
    <row r="636" spans="1:5" hidden="1" outlineLevel="2" x14ac:dyDescent="0.2">
      <c r="A636">
        <v>38400</v>
      </c>
      <c r="B636">
        <v>1977</v>
      </c>
      <c r="C636" s="89">
        <f t="shared" si="29"/>
        <v>47.5</v>
      </c>
      <c r="D636" s="323">
        <v>28484.48</v>
      </c>
      <c r="E636" s="323">
        <f t="shared" si="31"/>
        <v>1353012.8</v>
      </c>
    </row>
    <row r="637" spans="1:5" hidden="1" outlineLevel="2" x14ac:dyDescent="0.2">
      <c r="A637">
        <v>38400</v>
      </c>
      <c r="B637">
        <v>1976</v>
      </c>
      <c r="C637" s="89">
        <f t="shared" si="29"/>
        <v>48.5</v>
      </c>
      <c r="D637" s="323">
        <v>25776.54</v>
      </c>
      <c r="E637" s="323">
        <f t="shared" si="31"/>
        <v>1250162.19</v>
      </c>
    </row>
    <row r="638" spans="1:5" hidden="1" outlineLevel="2" x14ac:dyDescent="0.2">
      <c r="A638">
        <v>38400</v>
      </c>
      <c r="B638">
        <v>1975</v>
      </c>
      <c r="C638" s="89">
        <f t="shared" si="29"/>
        <v>49.5</v>
      </c>
      <c r="D638" s="323">
        <v>28854.75</v>
      </c>
      <c r="E638" s="323">
        <f t="shared" si="31"/>
        <v>1428310.125</v>
      </c>
    </row>
    <row r="639" spans="1:5" hidden="1" outlineLevel="2" x14ac:dyDescent="0.2">
      <c r="A639">
        <v>38400</v>
      </c>
      <c r="B639">
        <v>1974</v>
      </c>
      <c r="C639" s="89">
        <f t="shared" si="29"/>
        <v>50.5</v>
      </c>
      <c r="D639" s="323">
        <v>23369.85</v>
      </c>
      <c r="E639" s="323">
        <f t="shared" si="31"/>
        <v>1180177.4249999998</v>
      </c>
    </row>
    <row r="640" spans="1:5" hidden="1" outlineLevel="2" x14ac:dyDescent="0.2">
      <c r="A640">
        <v>38400</v>
      </c>
      <c r="B640">
        <v>1973</v>
      </c>
      <c r="C640" s="89">
        <f t="shared" si="29"/>
        <v>51.5</v>
      </c>
      <c r="D640" s="323">
        <v>38660.97</v>
      </c>
      <c r="E640" s="323">
        <f t="shared" si="31"/>
        <v>1991039.9550000001</v>
      </c>
    </row>
    <row r="641" spans="1:6" hidden="1" outlineLevel="2" x14ac:dyDescent="0.2">
      <c r="A641">
        <v>38400</v>
      </c>
      <c r="B641">
        <v>1972</v>
      </c>
      <c r="C641" s="89">
        <f t="shared" si="29"/>
        <v>52.5</v>
      </c>
      <c r="D641" s="323">
        <v>12165.82</v>
      </c>
      <c r="E641" s="323">
        <f t="shared" si="31"/>
        <v>638705.54999999993</v>
      </c>
    </row>
    <row r="642" spans="1:6" hidden="1" outlineLevel="2" x14ac:dyDescent="0.2">
      <c r="A642">
        <v>38400</v>
      </c>
      <c r="B642">
        <v>1971</v>
      </c>
      <c r="C642" s="89">
        <f t="shared" si="29"/>
        <v>53.5</v>
      </c>
      <c r="D642" s="323">
        <v>13928.55</v>
      </c>
      <c r="E642" s="323">
        <f t="shared" si="31"/>
        <v>745177.42499999993</v>
      </c>
    </row>
    <row r="643" spans="1:6" hidden="1" outlineLevel="2" x14ac:dyDescent="0.2">
      <c r="A643">
        <v>38400</v>
      </c>
      <c r="B643">
        <v>1970</v>
      </c>
      <c r="C643" s="89">
        <f t="shared" si="29"/>
        <v>54.5</v>
      </c>
      <c r="D643" s="323">
        <v>6544.32</v>
      </c>
      <c r="E643" s="323">
        <f t="shared" si="31"/>
        <v>356665.44</v>
      </c>
    </row>
    <row r="644" spans="1:6" hidden="1" outlineLevel="2" x14ac:dyDescent="0.2">
      <c r="A644">
        <v>38400</v>
      </c>
      <c r="B644">
        <v>1969</v>
      </c>
      <c r="C644" s="89">
        <f t="shared" si="29"/>
        <v>55.5</v>
      </c>
      <c r="D644" s="323">
        <v>6340.25</v>
      </c>
      <c r="E644" s="323">
        <f t="shared" si="31"/>
        <v>351883.875</v>
      </c>
    </row>
    <row r="645" spans="1:6" hidden="1" outlineLevel="2" x14ac:dyDescent="0.2">
      <c r="A645">
        <v>38400</v>
      </c>
      <c r="B645">
        <v>1968</v>
      </c>
      <c r="C645" s="89">
        <f t="shared" si="29"/>
        <v>56.5</v>
      </c>
      <c r="D645" s="323">
        <v>2622.74</v>
      </c>
      <c r="E645" s="323">
        <f t="shared" si="31"/>
        <v>148184.81</v>
      </c>
    </row>
    <row r="646" spans="1:6" hidden="1" outlineLevel="2" x14ac:dyDescent="0.2">
      <c r="A646">
        <v>38400</v>
      </c>
      <c r="B646">
        <v>1967</v>
      </c>
      <c r="C646" s="89">
        <f t="shared" si="29"/>
        <v>57.5</v>
      </c>
      <c r="D646" s="323">
        <v>4619.18</v>
      </c>
      <c r="E646" s="323">
        <f t="shared" si="31"/>
        <v>265602.85000000003</v>
      </c>
    </row>
    <row r="647" spans="1:6" hidden="1" outlineLevel="2" x14ac:dyDescent="0.2">
      <c r="A647">
        <v>38400</v>
      </c>
      <c r="B647">
        <v>1966</v>
      </c>
      <c r="C647" s="89">
        <f t="shared" ref="C647:C711" si="32">2024.5-B647</f>
        <v>58.5</v>
      </c>
      <c r="D647" s="323">
        <v>4903.5600000000004</v>
      </c>
      <c r="E647" s="323">
        <f t="shared" si="31"/>
        <v>286858.26</v>
      </c>
    </row>
    <row r="648" spans="1:6" hidden="1" outlineLevel="2" x14ac:dyDescent="0.2">
      <c r="A648">
        <v>38400</v>
      </c>
      <c r="B648">
        <v>1965</v>
      </c>
      <c r="C648" s="89">
        <f t="shared" si="32"/>
        <v>59.5</v>
      </c>
      <c r="D648" s="323">
        <v>3694.46</v>
      </c>
      <c r="E648" s="323">
        <f t="shared" si="31"/>
        <v>219820.37</v>
      </c>
    </row>
    <row r="649" spans="1:6" hidden="1" outlineLevel="2" x14ac:dyDescent="0.2">
      <c r="A649">
        <v>38400</v>
      </c>
      <c r="B649">
        <v>1964</v>
      </c>
      <c r="C649" s="89">
        <f t="shared" si="32"/>
        <v>60.5</v>
      </c>
      <c r="D649" s="323">
        <v>4963.21</v>
      </c>
      <c r="E649" s="323">
        <f t="shared" si="31"/>
        <v>300274.20500000002</v>
      </c>
    </row>
    <row r="650" spans="1:6" hidden="1" outlineLevel="2" x14ac:dyDescent="0.2">
      <c r="A650">
        <v>38400</v>
      </c>
      <c r="B650">
        <v>1963</v>
      </c>
      <c r="C650" s="89">
        <f t="shared" si="32"/>
        <v>61.5</v>
      </c>
      <c r="D650" s="323">
        <v>4372.3100000000004</v>
      </c>
      <c r="E650" s="323">
        <f t="shared" si="31"/>
        <v>268897.065</v>
      </c>
    </row>
    <row r="651" spans="1:6" hidden="1" outlineLevel="2" x14ac:dyDescent="0.2">
      <c r="A651">
        <v>38400</v>
      </c>
      <c r="B651">
        <v>1962</v>
      </c>
      <c r="C651" s="89">
        <f t="shared" si="32"/>
        <v>62.5</v>
      </c>
      <c r="D651" s="323">
        <v>30396.61</v>
      </c>
      <c r="E651" s="323">
        <f t="shared" si="31"/>
        <v>1899788.125</v>
      </c>
    </row>
    <row r="652" spans="1:6" hidden="1" outlineLevel="2" x14ac:dyDescent="0.2">
      <c r="A652">
        <v>38400</v>
      </c>
      <c r="B652">
        <v>1961</v>
      </c>
      <c r="C652" s="89">
        <f t="shared" si="32"/>
        <v>63.5</v>
      </c>
      <c r="D652" s="323">
        <v>5605.81</v>
      </c>
      <c r="E652" s="323">
        <f t="shared" si="31"/>
        <v>355968.935</v>
      </c>
    </row>
    <row r="653" spans="1:6" hidden="1" outlineLevel="2" x14ac:dyDescent="0.2">
      <c r="A653">
        <v>38400</v>
      </c>
      <c r="B653">
        <v>1960</v>
      </c>
      <c r="C653" s="89">
        <f t="shared" si="32"/>
        <v>64.5</v>
      </c>
      <c r="D653" s="323">
        <v>9552.76</v>
      </c>
      <c r="E653" s="323">
        <f t="shared" si="31"/>
        <v>616153.02</v>
      </c>
    </row>
    <row r="654" spans="1:6" hidden="1" outlineLevel="2" x14ac:dyDescent="0.2">
      <c r="A654">
        <v>38400</v>
      </c>
      <c r="B654">
        <v>1959</v>
      </c>
      <c r="C654" s="89">
        <f t="shared" si="32"/>
        <v>65.5</v>
      </c>
      <c r="D654" s="323">
        <v>21695.01</v>
      </c>
      <c r="E654" s="323">
        <f t="shared" si="31"/>
        <v>1421023.1549999998</v>
      </c>
    </row>
    <row r="655" spans="1:6" hidden="1" outlineLevel="2" x14ac:dyDescent="0.2">
      <c r="A655">
        <v>38400</v>
      </c>
      <c r="B655">
        <v>1958</v>
      </c>
      <c r="C655" s="89">
        <f t="shared" si="32"/>
        <v>66.5</v>
      </c>
      <c r="D655" s="323">
        <v>2829.11</v>
      </c>
      <c r="E655" s="323">
        <f t="shared" si="31"/>
        <v>188135.815</v>
      </c>
    </row>
    <row r="656" spans="1:6" s="143" customFormat="1" outlineLevel="1" collapsed="1" x14ac:dyDescent="0.2">
      <c r="A656" s="20" t="s">
        <v>1191</v>
      </c>
      <c r="C656" s="89" t="s">
        <v>1230</v>
      </c>
      <c r="D656" s="323">
        <f>SUBTOTAL(9,D592:D655)</f>
        <v>38677154.929999985</v>
      </c>
      <c r="E656" s="323">
        <f>SUBTOTAL(9,E592:E655)</f>
        <v>497413972.76499993</v>
      </c>
      <c r="F656" s="323">
        <f>+E656/D656</f>
        <v>12.86066603568041</v>
      </c>
    </row>
    <row r="657" spans="1:5" hidden="1" outlineLevel="2" x14ac:dyDescent="0.2">
      <c r="A657">
        <v>38500</v>
      </c>
      <c r="B657">
        <v>2022</v>
      </c>
      <c r="C657" s="89">
        <f t="shared" si="32"/>
        <v>2.5</v>
      </c>
      <c r="D657" s="323">
        <v>147096.76</v>
      </c>
      <c r="E657" s="323">
        <f t="shared" ref="E657:E703" si="33">+C657*D657</f>
        <v>367741.9</v>
      </c>
    </row>
    <row r="658" spans="1:5" hidden="1" outlineLevel="2" x14ac:dyDescent="0.2">
      <c r="A658">
        <v>38500</v>
      </c>
      <c r="B658">
        <v>2021</v>
      </c>
      <c r="C658" s="89">
        <f t="shared" si="32"/>
        <v>3.5</v>
      </c>
      <c r="D658" s="323">
        <v>9121.3799999999992</v>
      </c>
      <c r="E658" s="323">
        <f t="shared" si="33"/>
        <v>31924.829999999998</v>
      </c>
    </row>
    <row r="659" spans="1:5" hidden="1" outlineLevel="2" x14ac:dyDescent="0.2">
      <c r="A659">
        <v>38500</v>
      </c>
      <c r="B659">
        <v>2020</v>
      </c>
      <c r="C659" s="89">
        <f t="shared" si="32"/>
        <v>4.5</v>
      </c>
      <c r="D659" s="323">
        <v>74719.59</v>
      </c>
      <c r="E659" s="323">
        <f t="shared" si="33"/>
        <v>336238.15499999997</v>
      </c>
    </row>
    <row r="660" spans="1:5" hidden="1" outlineLevel="2" x14ac:dyDescent="0.2">
      <c r="A660">
        <v>38500</v>
      </c>
      <c r="B660">
        <v>2019</v>
      </c>
      <c r="C660" s="89">
        <f t="shared" si="32"/>
        <v>5.5</v>
      </c>
      <c r="D660" s="323">
        <v>5547454.9000000004</v>
      </c>
      <c r="E660" s="323">
        <f t="shared" si="33"/>
        <v>30511001.950000003</v>
      </c>
    </row>
    <row r="661" spans="1:5" hidden="1" outlineLevel="2" x14ac:dyDescent="0.2">
      <c r="A661">
        <v>38500</v>
      </c>
      <c r="B661">
        <v>2018</v>
      </c>
      <c r="C661" s="89">
        <f t="shared" si="32"/>
        <v>6.5</v>
      </c>
      <c r="D661" s="323">
        <v>394881.58</v>
      </c>
      <c r="E661" s="323">
        <f t="shared" si="33"/>
        <v>2566730.27</v>
      </c>
    </row>
    <row r="662" spans="1:5" hidden="1" outlineLevel="2" x14ac:dyDescent="0.2">
      <c r="A662">
        <v>38500</v>
      </c>
      <c r="B662">
        <v>2017</v>
      </c>
      <c r="C662" s="89">
        <f t="shared" si="32"/>
        <v>7.5</v>
      </c>
      <c r="D662" s="323">
        <v>463.33</v>
      </c>
      <c r="E662" s="323">
        <f t="shared" si="33"/>
        <v>3474.9749999999999</v>
      </c>
    </row>
    <row r="663" spans="1:5" hidden="1" outlineLevel="2" x14ac:dyDescent="0.2">
      <c r="A663">
        <v>38500</v>
      </c>
      <c r="B663">
        <v>2016</v>
      </c>
      <c r="C663" s="89">
        <f t="shared" si="32"/>
        <v>8.5</v>
      </c>
      <c r="D663" s="323">
        <v>599736.89</v>
      </c>
      <c r="E663" s="323">
        <f t="shared" si="33"/>
        <v>5097763.5650000004</v>
      </c>
    </row>
    <row r="664" spans="1:5" hidden="1" outlineLevel="2" x14ac:dyDescent="0.2">
      <c r="A664">
        <v>38500</v>
      </c>
      <c r="B664">
        <v>2014</v>
      </c>
      <c r="C664" s="89">
        <f t="shared" si="32"/>
        <v>10.5</v>
      </c>
      <c r="D664" s="323">
        <v>1327.53</v>
      </c>
      <c r="E664" s="323">
        <f t="shared" si="33"/>
        <v>13939.065000000001</v>
      </c>
    </row>
    <row r="665" spans="1:5" hidden="1" outlineLevel="2" x14ac:dyDescent="0.2">
      <c r="A665">
        <v>38500</v>
      </c>
      <c r="B665">
        <v>2013</v>
      </c>
      <c r="C665" s="89">
        <f t="shared" si="32"/>
        <v>11.5</v>
      </c>
      <c r="D665" s="323">
        <v>102723.49</v>
      </c>
      <c r="E665" s="323">
        <f t="shared" si="33"/>
        <v>1181320.135</v>
      </c>
    </row>
    <row r="666" spans="1:5" hidden="1" outlineLevel="2" x14ac:dyDescent="0.2">
      <c r="A666">
        <v>38500</v>
      </c>
      <c r="B666">
        <v>2008</v>
      </c>
      <c r="C666" s="89">
        <f t="shared" si="32"/>
        <v>16.5</v>
      </c>
      <c r="D666" s="323">
        <v>36582.050000000003</v>
      </c>
      <c r="E666" s="323">
        <f t="shared" si="33"/>
        <v>603603.82500000007</v>
      </c>
    </row>
    <row r="667" spans="1:5" hidden="1" outlineLevel="2" x14ac:dyDescent="0.2">
      <c r="A667">
        <v>38500</v>
      </c>
      <c r="B667">
        <v>2007</v>
      </c>
      <c r="C667" s="89">
        <f t="shared" si="32"/>
        <v>17.5</v>
      </c>
      <c r="D667" s="323">
        <v>100970.91</v>
      </c>
      <c r="E667" s="323">
        <f t="shared" si="33"/>
        <v>1766990.925</v>
      </c>
    </row>
    <row r="668" spans="1:5" hidden="1" outlineLevel="2" x14ac:dyDescent="0.2">
      <c r="A668">
        <v>38500</v>
      </c>
      <c r="B668">
        <v>2006</v>
      </c>
      <c r="C668" s="89">
        <f t="shared" si="32"/>
        <v>18.5</v>
      </c>
      <c r="D668" s="323">
        <v>426246.06</v>
      </c>
      <c r="E668" s="323">
        <f t="shared" si="33"/>
        <v>7885552.1100000003</v>
      </c>
    </row>
    <row r="669" spans="1:5" hidden="1" outlineLevel="2" x14ac:dyDescent="0.2">
      <c r="A669">
        <v>38500</v>
      </c>
      <c r="B669">
        <v>2005</v>
      </c>
      <c r="C669" s="89">
        <f t="shared" si="32"/>
        <v>19.5</v>
      </c>
      <c r="D669" s="323">
        <v>307717.42</v>
      </c>
      <c r="E669" s="323">
        <f t="shared" si="33"/>
        <v>6000489.6899999995</v>
      </c>
    </row>
    <row r="670" spans="1:5" hidden="1" outlineLevel="2" x14ac:dyDescent="0.2">
      <c r="A670">
        <v>38500</v>
      </c>
      <c r="B670">
        <v>2004</v>
      </c>
      <c r="C670" s="89">
        <f t="shared" si="32"/>
        <v>20.5</v>
      </c>
      <c r="D670" s="323">
        <v>176234.88</v>
      </c>
      <c r="E670" s="323">
        <f t="shared" si="33"/>
        <v>3612815.04</v>
      </c>
    </row>
    <row r="671" spans="1:5" hidden="1" outlineLevel="2" x14ac:dyDescent="0.2">
      <c r="A671">
        <v>38500</v>
      </c>
      <c r="B671">
        <v>2003</v>
      </c>
      <c r="C671" s="89">
        <f t="shared" si="32"/>
        <v>21.5</v>
      </c>
      <c r="D671" s="323">
        <v>600207.4</v>
      </c>
      <c r="E671" s="323">
        <f t="shared" si="33"/>
        <v>12904459.1</v>
      </c>
    </row>
    <row r="672" spans="1:5" hidden="1" outlineLevel="2" x14ac:dyDescent="0.2">
      <c r="A672">
        <v>38500</v>
      </c>
      <c r="B672">
        <v>2002</v>
      </c>
      <c r="C672" s="89">
        <f t="shared" si="32"/>
        <v>22.5</v>
      </c>
      <c r="D672" s="323">
        <v>212974.43</v>
      </c>
      <c r="E672" s="323">
        <f t="shared" si="33"/>
        <v>4791924.6749999998</v>
      </c>
    </row>
    <row r="673" spans="1:5" hidden="1" outlineLevel="2" x14ac:dyDescent="0.2">
      <c r="A673">
        <v>38500</v>
      </c>
      <c r="B673">
        <v>2001</v>
      </c>
      <c r="C673" s="89">
        <f t="shared" si="32"/>
        <v>23.5</v>
      </c>
      <c r="D673" s="323">
        <v>68811.039999999994</v>
      </c>
      <c r="E673" s="323">
        <f t="shared" si="33"/>
        <v>1617059.44</v>
      </c>
    </row>
    <row r="674" spans="1:5" hidden="1" outlineLevel="2" x14ac:dyDescent="0.2">
      <c r="A674">
        <v>38500</v>
      </c>
      <c r="B674">
        <v>2000</v>
      </c>
      <c r="C674" s="89">
        <f t="shared" si="32"/>
        <v>24.5</v>
      </c>
      <c r="D674" s="323">
        <v>695612.81</v>
      </c>
      <c r="E674" s="323">
        <f t="shared" si="33"/>
        <v>17042513.845000003</v>
      </c>
    </row>
    <row r="675" spans="1:5" hidden="1" outlineLevel="2" x14ac:dyDescent="0.2">
      <c r="A675">
        <v>38500</v>
      </c>
      <c r="B675">
        <v>1999</v>
      </c>
      <c r="C675" s="89">
        <f t="shared" si="32"/>
        <v>25.5</v>
      </c>
      <c r="D675" s="323">
        <v>472881.47</v>
      </c>
      <c r="E675" s="323">
        <f t="shared" si="33"/>
        <v>12058477.484999999</v>
      </c>
    </row>
    <row r="676" spans="1:5" hidden="1" outlineLevel="2" x14ac:dyDescent="0.2">
      <c r="A676">
        <v>38500</v>
      </c>
      <c r="B676">
        <v>1998</v>
      </c>
      <c r="C676" s="89">
        <f t="shared" si="32"/>
        <v>26.5</v>
      </c>
      <c r="D676" s="323">
        <v>359267.11</v>
      </c>
      <c r="E676" s="323">
        <f t="shared" si="33"/>
        <v>9520578.4149999991</v>
      </c>
    </row>
    <row r="677" spans="1:5" hidden="1" outlineLevel="2" x14ac:dyDescent="0.2">
      <c r="A677">
        <v>38500</v>
      </c>
      <c r="B677">
        <v>1997</v>
      </c>
      <c r="C677" s="89">
        <f t="shared" si="32"/>
        <v>27.5</v>
      </c>
      <c r="D677" s="323">
        <v>292567.28999999998</v>
      </c>
      <c r="E677" s="323">
        <f t="shared" si="33"/>
        <v>8045600.4749999996</v>
      </c>
    </row>
    <row r="678" spans="1:5" hidden="1" outlineLevel="2" x14ac:dyDescent="0.2">
      <c r="A678">
        <v>38500</v>
      </c>
      <c r="B678">
        <v>1996</v>
      </c>
      <c r="C678" s="89">
        <f t="shared" si="32"/>
        <v>28.5</v>
      </c>
      <c r="D678" s="323">
        <v>238512.58</v>
      </c>
      <c r="E678" s="323">
        <f t="shared" si="33"/>
        <v>6797608.5299999993</v>
      </c>
    </row>
    <row r="679" spans="1:5" hidden="1" outlineLevel="2" x14ac:dyDescent="0.2">
      <c r="A679">
        <v>38500</v>
      </c>
      <c r="B679">
        <v>1995</v>
      </c>
      <c r="C679" s="89">
        <f t="shared" si="32"/>
        <v>29.5</v>
      </c>
      <c r="D679" s="323">
        <v>207956.66</v>
      </c>
      <c r="E679" s="323">
        <f t="shared" si="33"/>
        <v>6134721.4699999997</v>
      </c>
    </row>
    <row r="680" spans="1:5" hidden="1" outlineLevel="2" x14ac:dyDescent="0.2">
      <c r="A680">
        <v>38500</v>
      </c>
      <c r="B680">
        <v>1994</v>
      </c>
      <c r="C680" s="89">
        <f t="shared" si="32"/>
        <v>30.5</v>
      </c>
      <c r="D680" s="323">
        <v>656860</v>
      </c>
      <c r="E680" s="323">
        <f t="shared" si="33"/>
        <v>20034230</v>
      </c>
    </row>
    <row r="681" spans="1:5" hidden="1" outlineLevel="2" x14ac:dyDescent="0.2">
      <c r="A681">
        <v>38500</v>
      </c>
      <c r="B681">
        <v>1993</v>
      </c>
      <c r="C681" s="89">
        <f t="shared" si="32"/>
        <v>31.5</v>
      </c>
      <c r="D681" s="323">
        <v>352865.07</v>
      </c>
      <c r="E681" s="323">
        <f t="shared" si="33"/>
        <v>11115249.705</v>
      </c>
    </row>
    <row r="682" spans="1:5" hidden="1" outlineLevel="2" x14ac:dyDescent="0.2">
      <c r="A682">
        <v>38500</v>
      </c>
      <c r="B682">
        <v>1992</v>
      </c>
      <c r="C682" s="89">
        <f t="shared" si="32"/>
        <v>32.5</v>
      </c>
      <c r="D682" s="323">
        <v>234841.1</v>
      </c>
      <c r="E682" s="323">
        <f t="shared" si="33"/>
        <v>7632335.75</v>
      </c>
    </row>
    <row r="683" spans="1:5" hidden="1" outlineLevel="2" x14ac:dyDescent="0.2">
      <c r="A683">
        <v>38500</v>
      </c>
      <c r="B683">
        <v>1991</v>
      </c>
      <c r="C683" s="89">
        <f t="shared" si="32"/>
        <v>33.5</v>
      </c>
      <c r="D683" s="323">
        <v>328532.15999999997</v>
      </c>
      <c r="E683" s="323">
        <f t="shared" si="33"/>
        <v>11005827.359999999</v>
      </c>
    </row>
    <row r="684" spans="1:5" hidden="1" outlineLevel="2" x14ac:dyDescent="0.2">
      <c r="A684">
        <v>38500</v>
      </c>
      <c r="B684">
        <v>1990</v>
      </c>
      <c r="C684" s="89">
        <f t="shared" si="32"/>
        <v>34.5</v>
      </c>
      <c r="D684" s="323">
        <v>660172.68999999994</v>
      </c>
      <c r="E684" s="323">
        <f t="shared" si="33"/>
        <v>22775957.805</v>
      </c>
    </row>
    <row r="685" spans="1:5" hidden="1" outlineLevel="2" x14ac:dyDescent="0.2">
      <c r="A685">
        <v>38500</v>
      </c>
      <c r="B685">
        <v>1989</v>
      </c>
      <c r="C685" s="89">
        <f t="shared" si="32"/>
        <v>35.5</v>
      </c>
      <c r="D685" s="323">
        <v>269563.17</v>
      </c>
      <c r="E685" s="323">
        <f t="shared" si="33"/>
        <v>9569492.5350000001</v>
      </c>
    </row>
    <row r="686" spans="1:5" hidden="1" outlineLevel="2" x14ac:dyDescent="0.2">
      <c r="A686">
        <v>38500</v>
      </c>
      <c r="B686">
        <v>1988</v>
      </c>
      <c r="C686" s="89">
        <f t="shared" si="32"/>
        <v>36.5</v>
      </c>
      <c r="D686" s="323">
        <v>502416.81</v>
      </c>
      <c r="E686" s="323">
        <f t="shared" si="33"/>
        <v>18338213.565000001</v>
      </c>
    </row>
    <row r="687" spans="1:5" hidden="1" outlineLevel="2" x14ac:dyDescent="0.2">
      <c r="A687">
        <v>38500</v>
      </c>
      <c r="B687">
        <v>1987</v>
      </c>
      <c r="C687" s="89">
        <f t="shared" si="32"/>
        <v>37.5</v>
      </c>
      <c r="D687" s="323">
        <v>229133.04</v>
      </c>
      <c r="E687" s="323">
        <f t="shared" si="33"/>
        <v>8592489</v>
      </c>
    </row>
    <row r="688" spans="1:5" hidden="1" outlineLevel="2" x14ac:dyDescent="0.2">
      <c r="A688">
        <v>38500</v>
      </c>
      <c r="B688">
        <v>1986</v>
      </c>
      <c r="C688" s="89">
        <f t="shared" si="32"/>
        <v>38.5</v>
      </c>
      <c r="D688" s="323">
        <v>354147.05</v>
      </c>
      <c r="E688" s="323">
        <f t="shared" si="33"/>
        <v>13634661.424999999</v>
      </c>
    </row>
    <row r="689" spans="1:6" hidden="1" outlineLevel="2" x14ac:dyDescent="0.2">
      <c r="A689">
        <v>38500</v>
      </c>
      <c r="B689">
        <v>1985</v>
      </c>
      <c r="C689" s="89">
        <f t="shared" si="32"/>
        <v>39.5</v>
      </c>
      <c r="D689" s="323">
        <v>176580.69</v>
      </c>
      <c r="E689" s="323">
        <f t="shared" si="33"/>
        <v>6974937.2549999999</v>
      </c>
    </row>
    <row r="690" spans="1:6" hidden="1" outlineLevel="2" x14ac:dyDescent="0.2">
      <c r="A690">
        <v>38500</v>
      </c>
      <c r="B690">
        <v>1984</v>
      </c>
      <c r="C690" s="89">
        <f t="shared" si="32"/>
        <v>40.5</v>
      </c>
      <c r="D690" s="323">
        <v>114096.57</v>
      </c>
      <c r="E690" s="323">
        <f t="shared" si="33"/>
        <v>4620911.085</v>
      </c>
    </row>
    <row r="691" spans="1:6" hidden="1" outlineLevel="2" x14ac:dyDescent="0.2">
      <c r="A691">
        <v>38500</v>
      </c>
      <c r="B691">
        <v>1983</v>
      </c>
      <c r="C691" s="89">
        <f t="shared" si="32"/>
        <v>41.5</v>
      </c>
      <c r="D691" s="323">
        <v>88578.93</v>
      </c>
      <c r="E691" s="323">
        <f t="shared" si="33"/>
        <v>3676025.5949999997</v>
      </c>
    </row>
    <row r="692" spans="1:6" hidden="1" outlineLevel="2" x14ac:dyDescent="0.2">
      <c r="A692">
        <v>38500</v>
      </c>
      <c r="B692">
        <v>1982</v>
      </c>
      <c r="C692" s="89">
        <f t="shared" si="32"/>
        <v>42.5</v>
      </c>
      <c r="D692" s="323">
        <v>86063.71</v>
      </c>
      <c r="E692" s="323">
        <f t="shared" si="33"/>
        <v>3657707.6750000003</v>
      </c>
    </row>
    <row r="693" spans="1:6" hidden="1" outlineLevel="2" x14ac:dyDescent="0.2">
      <c r="A693">
        <v>38500</v>
      </c>
      <c r="B693">
        <v>1981</v>
      </c>
      <c r="C693" s="89">
        <f t="shared" si="32"/>
        <v>43.5</v>
      </c>
      <c r="D693" s="323">
        <v>29721.03</v>
      </c>
      <c r="E693" s="323">
        <f t="shared" si="33"/>
        <v>1292864.8049999999</v>
      </c>
    </row>
    <row r="694" spans="1:6" hidden="1" outlineLevel="2" x14ac:dyDescent="0.2">
      <c r="A694">
        <v>38500</v>
      </c>
      <c r="B694">
        <v>1980</v>
      </c>
      <c r="C694" s="89">
        <f t="shared" si="32"/>
        <v>44.5</v>
      </c>
      <c r="D694" s="323">
        <v>4431.1899999999996</v>
      </c>
      <c r="E694" s="323">
        <f t="shared" si="33"/>
        <v>197187.95499999999</v>
      </c>
    </row>
    <row r="695" spans="1:6" hidden="1" outlineLevel="2" x14ac:dyDescent="0.2">
      <c r="A695">
        <v>38500</v>
      </c>
      <c r="B695">
        <v>1979</v>
      </c>
      <c r="C695" s="89">
        <f t="shared" si="32"/>
        <v>45.5</v>
      </c>
      <c r="D695" s="323">
        <v>301.47000000000003</v>
      </c>
      <c r="E695" s="323">
        <f t="shared" si="33"/>
        <v>13716.885000000002</v>
      </c>
    </row>
    <row r="696" spans="1:6" hidden="1" outlineLevel="2" x14ac:dyDescent="0.2">
      <c r="A696">
        <v>38500</v>
      </c>
      <c r="B696">
        <v>1977</v>
      </c>
      <c r="C696" s="89">
        <f t="shared" si="32"/>
        <v>47.5</v>
      </c>
      <c r="D696" s="323">
        <v>6344.39</v>
      </c>
      <c r="E696" s="323">
        <f t="shared" si="33"/>
        <v>301358.52500000002</v>
      </c>
    </row>
    <row r="697" spans="1:6" hidden="1" outlineLevel="2" x14ac:dyDescent="0.2">
      <c r="A697">
        <v>38500</v>
      </c>
      <c r="B697">
        <v>1976</v>
      </c>
      <c r="C697" s="89">
        <f t="shared" si="32"/>
        <v>48.5</v>
      </c>
      <c r="D697" s="323">
        <v>1302.27</v>
      </c>
      <c r="E697" s="323">
        <f t="shared" si="33"/>
        <v>63160.095000000001</v>
      </c>
    </row>
    <row r="698" spans="1:6" hidden="1" outlineLevel="2" x14ac:dyDescent="0.2">
      <c r="A698">
        <v>38500</v>
      </c>
      <c r="B698">
        <v>1975</v>
      </c>
      <c r="C698" s="89">
        <f t="shared" si="32"/>
        <v>49.5</v>
      </c>
      <c r="D698" s="323">
        <v>3536.71</v>
      </c>
      <c r="E698" s="323">
        <f t="shared" si="33"/>
        <v>175067.14499999999</v>
      </c>
    </row>
    <row r="699" spans="1:6" hidden="1" outlineLevel="2" x14ac:dyDescent="0.2">
      <c r="A699">
        <v>38500</v>
      </c>
      <c r="B699">
        <v>1974</v>
      </c>
      <c r="C699" s="89">
        <f t="shared" si="32"/>
        <v>50.5</v>
      </c>
      <c r="D699" s="323">
        <v>8987.32</v>
      </c>
      <c r="E699" s="323">
        <f t="shared" si="33"/>
        <v>453859.66</v>
      </c>
    </row>
    <row r="700" spans="1:6" hidden="1" outlineLevel="2" x14ac:dyDescent="0.2">
      <c r="A700">
        <v>38500</v>
      </c>
      <c r="B700">
        <v>1972</v>
      </c>
      <c r="C700" s="89">
        <f t="shared" si="32"/>
        <v>52.5</v>
      </c>
      <c r="D700" s="323">
        <v>711.03</v>
      </c>
      <c r="E700" s="323">
        <f t="shared" si="33"/>
        <v>37329.074999999997</v>
      </c>
    </row>
    <row r="701" spans="1:6" hidden="1" outlineLevel="2" x14ac:dyDescent="0.2">
      <c r="A701">
        <v>38500</v>
      </c>
      <c r="B701">
        <v>1971</v>
      </c>
      <c r="C701" s="89">
        <f t="shared" si="32"/>
        <v>53.5</v>
      </c>
      <c r="D701" s="323">
        <v>6882.95</v>
      </c>
      <c r="E701" s="323">
        <f t="shared" si="33"/>
        <v>368237.82500000001</v>
      </c>
    </row>
    <row r="702" spans="1:6" s="143" customFormat="1" hidden="1" outlineLevel="2" x14ac:dyDescent="0.2">
      <c r="A702" s="143">
        <v>38500</v>
      </c>
      <c r="B702" s="143">
        <v>1970</v>
      </c>
      <c r="C702" s="89">
        <f t="shared" si="32"/>
        <v>54.5</v>
      </c>
      <c r="D702" s="323">
        <v>5759.09</v>
      </c>
      <c r="E702" s="323">
        <f t="shared" ref="E702" si="34">+C702*D702</f>
        <v>313870.40500000003</v>
      </c>
      <c r="F702" s="323"/>
    </row>
    <row r="703" spans="1:6" hidden="1" outlineLevel="2" x14ac:dyDescent="0.2">
      <c r="A703">
        <v>38500</v>
      </c>
      <c r="B703">
        <v>1969</v>
      </c>
      <c r="C703" s="89">
        <f t="shared" si="32"/>
        <v>55.5</v>
      </c>
      <c r="D703" s="323">
        <v>930.64</v>
      </c>
      <c r="E703" s="323">
        <f t="shared" si="33"/>
        <v>51650.52</v>
      </c>
    </row>
    <row r="704" spans="1:6" s="143" customFormat="1" outlineLevel="1" collapsed="1" x14ac:dyDescent="0.2">
      <c r="A704" s="20" t="s">
        <v>1192</v>
      </c>
      <c r="C704" s="89" t="s">
        <v>1230</v>
      </c>
      <c r="D704" s="323">
        <f>SUBTOTAL(9,D657:D703)</f>
        <v>15196826.639999999</v>
      </c>
      <c r="E704" s="323">
        <f>SUBTOTAL(9,E657:E703)</f>
        <v>283788871.51999998</v>
      </c>
      <c r="F704" s="323">
        <f>+E704/D704</f>
        <v>18.674219180274864</v>
      </c>
    </row>
    <row r="705" spans="1:5" hidden="1" outlineLevel="2" x14ac:dyDescent="0.2">
      <c r="A705">
        <v>38700</v>
      </c>
      <c r="B705">
        <v>2022</v>
      </c>
      <c r="C705" s="89">
        <f t="shared" si="32"/>
        <v>2.5</v>
      </c>
      <c r="D705" s="323">
        <v>506839.74000000005</v>
      </c>
      <c r="E705" s="323">
        <f t="shared" ref="E705:E747" si="35">+C705*D705</f>
        <v>1267099.3500000001</v>
      </c>
    </row>
    <row r="706" spans="1:5" hidden="1" outlineLevel="2" x14ac:dyDescent="0.2">
      <c r="A706">
        <v>38700</v>
      </c>
      <c r="B706">
        <v>2021</v>
      </c>
      <c r="C706" s="89">
        <f t="shared" si="32"/>
        <v>3.5</v>
      </c>
      <c r="D706" s="323">
        <v>1821650.02</v>
      </c>
      <c r="E706" s="323">
        <f t="shared" si="35"/>
        <v>6375775.0700000003</v>
      </c>
    </row>
    <row r="707" spans="1:5" hidden="1" outlineLevel="2" x14ac:dyDescent="0.2">
      <c r="A707">
        <v>38700</v>
      </c>
      <c r="B707">
        <v>2020</v>
      </c>
      <c r="C707" s="89">
        <f t="shared" si="32"/>
        <v>4.5</v>
      </c>
      <c r="D707" s="323">
        <v>984702.63</v>
      </c>
      <c r="E707" s="323">
        <f t="shared" si="35"/>
        <v>4431161.835</v>
      </c>
    </row>
    <row r="708" spans="1:5" hidden="1" outlineLevel="2" x14ac:dyDescent="0.2">
      <c r="A708">
        <v>38700</v>
      </c>
      <c r="B708">
        <v>2019</v>
      </c>
      <c r="C708" s="89">
        <f t="shared" si="32"/>
        <v>5.5</v>
      </c>
      <c r="D708" s="323">
        <v>1243321.68</v>
      </c>
      <c r="E708" s="323">
        <f t="shared" si="35"/>
        <v>6838269.2399999993</v>
      </c>
    </row>
    <row r="709" spans="1:5" hidden="1" outlineLevel="2" x14ac:dyDescent="0.2">
      <c r="A709">
        <v>38700</v>
      </c>
      <c r="B709">
        <v>2018</v>
      </c>
      <c r="C709" s="89">
        <f t="shared" si="32"/>
        <v>6.5</v>
      </c>
      <c r="D709" s="323">
        <v>1520325.52</v>
      </c>
      <c r="E709" s="323">
        <f t="shared" si="35"/>
        <v>9882115.8800000008</v>
      </c>
    </row>
    <row r="710" spans="1:5" hidden="1" outlineLevel="2" x14ac:dyDescent="0.2">
      <c r="A710">
        <v>38700</v>
      </c>
      <c r="B710">
        <v>2017</v>
      </c>
      <c r="C710" s="89">
        <f t="shared" si="32"/>
        <v>7.5</v>
      </c>
      <c r="D710" s="323">
        <v>625901.17000000004</v>
      </c>
      <c r="E710" s="323">
        <f t="shared" si="35"/>
        <v>4694258.7750000004</v>
      </c>
    </row>
    <row r="711" spans="1:5" hidden="1" outlineLevel="2" x14ac:dyDescent="0.2">
      <c r="A711">
        <v>38700</v>
      </c>
      <c r="B711">
        <v>2016</v>
      </c>
      <c r="C711" s="89">
        <f t="shared" si="32"/>
        <v>8.5</v>
      </c>
      <c r="D711" s="323">
        <v>497048.71</v>
      </c>
      <c r="E711" s="323">
        <f t="shared" si="35"/>
        <v>4224914.0350000001</v>
      </c>
    </row>
    <row r="712" spans="1:5" hidden="1" outlineLevel="2" x14ac:dyDescent="0.2">
      <c r="A712">
        <v>38700</v>
      </c>
      <c r="B712">
        <v>2015</v>
      </c>
      <c r="C712" s="89">
        <f t="shared" ref="C712:C775" si="36">2024.5-B712</f>
        <v>9.5</v>
      </c>
      <c r="D712" s="323">
        <v>491827.7</v>
      </c>
      <c r="E712" s="323">
        <f t="shared" si="35"/>
        <v>4672363.1500000004</v>
      </c>
    </row>
    <row r="713" spans="1:5" hidden="1" outlineLevel="2" x14ac:dyDescent="0.2">
      <c r="A713">
        <v>38700</v>
      </c>
      <c r="B713">
        <v>2014</v>
      </c>
      <c r="C713" s="89">
        <f t="shared" si="36"/>
        <v>10.5</v>
      </c>
      <c r="D713" s="323">
        <v>1084921.98</v>
      </c>
      <c r="E713" s="323">
        <f t="shared" si="35"/>
        <v>11391680.789999999</v>
      </c>
    </row>
    <row r="714" spans="1:5" hidden="1" outlineLevel="2" x14ac:dyDescent="0.2">
      <c r="A714">
        <v>38700</v>
      </c>
      <c r="B714">
        <v>2013</v>
      </c>
      <c r="C714" s="89">
        <f t="shared" si="36"/>
        <v>11.5</v>
      </c>
      <c r="D714" s="323">
        <v>307418.8</v>
      </c>
      <c r="E714" s="323">
        <f t="shared" si="35"/>
        <v>3535316.1999999997</v>
      </c>
    </row>
    <row r="715" spans="1:5" hidden="1" outlineLevel="2" x14ac:dyDescent="0.2">
      <c r="A715">
        <v>38700</v>
      </c>
      <c r="B715">
        <v>2012</v>
      </c>
      <c r="C715" s="89">
        <f t="shared" si="36"/>
        <v>12.5</v>
      </c>
      <c r="D715" s="323">
        <v>520523.51</v>
      </c>
      <c r="E715" s="323">
        <f t="shared" si="35"/>
        <v>6506543.875</v>
      </c>
    </row>
    <row r="716" spans="1:5" hidden="1" outlineLevel="2" x14ac:dyDescent="0.2">
      <c r="A716">
        <v>38700</v>
      </c>
      <c r="B716">
        <v>2011</v>
      </c>
      <c r="C716" s="89">
        <f t="shared" si="36"/>
        <v>13.5</v>
      </c>
      <c r="D716" s="323">
        <v>536464.85</v>
      </c>
      <c r="E716" s="323">
        <f t="shared" si="35"/>
        <v>7242275.4749999996</v>
      </c>
    </row>
    <row r="717" spans="1:5" hidden="1" outlineLevel="2" x14ac:dyDescent="0.2">
      <c r="A717">
        <v>38700</v>
      </c>
      <c r="B717">
        <v>2010</v>
      </c>
      <c r="C717" s="89">
        <f t="shared" si="36"/>
        <v>14.5</v>
      </c>
      <c r="D717" s="323">
        <v>539022.11</v>
      </c>
      <c r="E717" s="323">
        <f t="shared" si="35"/>
        <v>7815820.5949999997</v>
      </c>
    </row>
    <row r="718" spans="1:5" hidden="1" outlineLevel="2" x14ac:dyDescent="0.2">
      <c r="A718">
        <v>38700</v>
      </c>
      <c r="B718">
        <v>2009</v>
      </c>
      <c r="C718" s="89">
        <f t="shared" si="36"/>
        <v>15.5</v>
      </c>
      <c r="D718" s="323">
        <v>668413.77</v>
      </c>
      <c r="E718" s="323">
        <f t="shared" si="35"/>
        <v>10360413.435000001</v>
      </c>
    </row>
    <row r="719" spans="1:5" hidden="1" outlineLevel="2" x14ac:dyDescent="0.2">
      <c r="A719">
        <v>38700</v>
      </c>
      <c r="B719">
        <v>2008</v>
      </c>
      <c r="C719" s="89">
        <f t="shared" si="36"/>
        <v>16.5</v>
      </c>
      <c r="D719" s="323">
        <v>148017.06</v>
      </c>
      <c r="E719" s="323">
        <f t="shared" si="35"/>
        <v>2442281.4899999998</v>
      </c>
    </row>
    <row r="720" spans="1:5" hidden="1" outlineLevel="2" x14ac:dyDescent="0.2">
      <c r="A720">
        <v>38700</v>
      </c>
      <c r="B720">
        <v>2007</v>
      </c>
      <c r="C720" s="89">
        <f t="shared" si="36"/>
        <v>17.5</v>
      </c>
      <c r="D720" s="323">
        <v>329322.34999999998</v>
      </c>
      <c r="E720" s="323">
        <f t="shared" si="35"/>
        <v>5763141.125</v>
      </c>
    </row>
    <row r="721" spans="1:5" hidden="1" outlineLevel="2" x14ac:dyDescent="0.2">
      <c r="A721">
        <v>38700</v>
      </c>
      <c r="B721">
        <v>2006</v>
      </c>
      <c r="C721" s="89">
        <f t="shared" si="36"/>
        <v>18.5</v>
      </c>
      <c r="D721" s="323">
        <v>346776.93</v>
      </c>
      <c r="E721" s="323">
        <f t="shared" si="35"/>
        <v>6415373.2050000001</v>
      </c>
    </row>
    <row r="722" spans="1:5" hidden="1" outlineLevel="2" x14ac:dyDescent="0.2">
      <c r="A722">
        <v>38700</v>
      </c>
      <c r="B722">
        <v>2005</v>
      </c>
      <c r="C722" s="89">
        <f t="shared" si="36"/>
        <v>19.5</v>
      </c>
      <c r="D722" s="323">
        <v>139566.21</v>
      </c>
      <c r="E722" s="323">
        <f t="shared" si="35"/>
        <v>2721541.0949999997</v>
      </c>
    </row>
    <row r="723" spans="1:5" hidden="1" outlineLevel="2" x14ac:dyDescent="0.2">
      <c r="A723">
        <v>38700</v>
      </c>
      <c r="B723">
        <v>2004</v>
      </c>
      <c r="C723" s="89">
        <f t="shared" si="36"/>
        <v>20.5</v>
      </c>
      <c r="D723" s="323">
        <v>202102.66</v>
      </c>
      <c r="E723" s="323">
        <f t="shared" si="35"/>
        <v>4143104.5300000003</v>
      </c>
    </row>
    <row r="724" spans="1:5" hidden="1" outlineLevel="2" x14ac:dyDescent="0.2">
      <c r="A724">
        <v>38700</v>
      </c>
      <c r="B724">
        <v>2003</v>
      </c>
      <c r="C724" s="89">
        <f t="shared" si="36"/>
        <v>21.5</v>
      </c>
      <c r="D724" s="323">
        <v>190802.76</v>
      </c>
      <c r="E724" s="323">
        <f t="shared" si="35"/>
        <v>4102259.3400000003</v>
      </c>
    </row>
    <row r="725" spans="1:5" hidden="1" outlineLevel="2" x14ac:dyDescent="0.2">
      <c r="A725">
        <v>38700</v>
      </c>
      <c r="B725">
        <v>2002</v>
      </c>
      <c r="C725" s="89">
        <f t="shared" si="36"/>
        <v>22.5</v>
      </c>
      <c r="D725" s="323">
        <v>78107.23</v>
      </c>
      <c r="E725" s="323">
        <f t="shared" si="35"/>
        <v>1757412.6749999998</v>
      </c>
    </row>
    <row r="726" spans="1:5" hidden="1" outlineLevel="2" x14ac:dyDescent="0.2">
      <c r="A726">
        <v>38700</v>
      </c>
      <c r="B726">
        <v>2001</v>
      </c>
      <c r="C726" s="89">
        <f t="shared" si="36"/>
        <v>23.5</v>
      </c>
      <c r="D726" s="323">
        <v>96049.079999999987</v>
      </c>
      <c r="E726" s="323">
        <f t="shared" si="35"/>
        <v>2257153.38</v>
      </c>
    </row>
    <row r="727" spans="1:5" hidden="1" outlineLevel="2" x14ac:dyDescent="0.2">
      <c r="A727">
        <v>38700</v>
      </c>
      <c r="B727">
        <v>2000</v>
      </c>
      <c r="C727" s="89">
        <f t="shared" si="36"/>
        <v>24.5</v>
      </c>
      <c r="D727" s="323">
        <v>156360.82</v>
      </c>
      <c r="E727" s="323">
        <f t="shared" si="35"/>
        <v>3830840.0900000003</v>
      </c>
    </row>
    <row r="728" spans="1:5" hidden="1" outlineLevel="2" x14ac:dyDescent="0.2">
      <c r="A728">
        <v>38700</v>
      </c>
      <c r="B728">
        <v>1999</v>
      </c>
      <c r="C728" s="89">
        <f t="shared" si="36"/>
        <v>25.5</v>
      </c>
      <c r="D728" s="323">
        <v>79657.95</v>
      </c>
      <c r="E728" s="323">
        <f t="shared" si="35"/>
        <v>2031277.7249999999</v>
      </c>
    </row>
    <row r="729" spans="1:5" hidden="1" outlineLevel="2" x14ac:dyDescent="0.2">
      <c r="A729">
        <v>38700</v>
      </c>
      <c r="B729">
        <v>1998</v>
      </c>
      <c r="C729" s="89">
        <f t="shared" si="36"/>
        <v>26.5</v>
      </c>
      <c r="D729" s="323">
        <v>33665.1</v>
      </c>
      <c r="E729" s="323">
        <f t="shared" si="35"/>
        <v>892125.14999999991</v>
      </c>
    </row>
    <row r="730" spans="1:5" hidden="1" outlineLevel="2" x14ac:dyDescent="0.2">
      <c r="A730">
        <v>38700</v>
      </c>
      <c r="B730">
        <v>1997</v>
      </c>
      <c r="C730" s="89">
        <f t="shared" si="36"/>
        <v>27.5</v>
      </c>
      <c r="D730" s="323">
        <v>79003.23</v>
      </c>
      <c r="E730" s="323">
        <f t="shared" si="35"/>
        <v>2172588.8249999997</v>
      </c>
    </row>
    <row r="731" spans="1:5" hidden="1" outlineLevel="2" x14ac:dyDescent="0.2">
      <c r="A731">
        <v>38700</v>
      </c>
      <c r="B731">
        <v>1996</v>
      </c>
      <c r="C731" s="89">
        <f t="shared" si="36"/>
        <v>28.5</v>
      </c>
      <c r="D731" s="323">
        <v>35736.370000000003</v>
      </c>
      <c r="E731" s="323">
        <f t="shared" si="35"/>
        <v>1018486.545</v>
      </c>
    </row>
    <row r="732" spans="1:5" hidden="1" outlineLevel="2" x14ac:dyDescent="0.2">
      <c r="A732">
        <v>38700</v>
      </c>
      <c r="B732">
        <v>1995</v>
      </c>
      <c r="C732" s="89">
        <f t="shared" si="36"/>
        <v>29.5</v>
      </c>
      <c r="D732" s="323">
        <v>26792.02</v>
      </c>
      <c r="E732" s="323">
        <f t="shared" si="35"/>
        <v>790364.59</v>
      </c>
    </row>
    <row r="733" spans="1:5" hidden="1" outlineLevel="2" x14ac:dyDescent="0.2">
      <c r="A733">
        <v>38700</v>
      </c>
      <c r="B733">
        <v>1994</v>
      </c>
      <c r="C733" s="89">
        <f t="shared" si="36"/>
        <v>30.5</v>
      </c>
      <c r="D733" s="323">
        <v>41201.18</v>
      </c>
      <c r="E733" s="323">
        <f t="shared" si="35"/>
        <v>1256635.99</v>
      </c>
    </row>
    <row r="734" spans="1:5" hidden="1" outlineLevel="2" x14ac:dyDescent="0.2">
      <c r="A734">
        <v>38700</v>
      </c>
      <c r="B734">
        <v>1993</v>
      </c>
      <c r="C734" s="89">
        <f t="shared" si="36"/>
        <v>31.5</v>
      </c>
      <c r="D734" s="323">
        <v>21490.94</v>
      </c>
      <c r="E734" s="323">
        <f t="shared" si="35"/>
        <v>676964.61</v>
      </c>
    </row>
    <row r="735" spans="1:5" hidden="1" outlineLevel="2" x14ac:dyDescent="0.2">
      <c r="A735">
        <v>38700</v>
      </c>
      <c r="B735">
        <v>1992</v>
      </c>
      <c r="C735" s="89">
        <f t="shared" si="36"/>
        <v>32.5</v>
      </c>
      <c r="D735" s="323">
        <v>16379.55</v>
      </c>
      <c r="E735" s="323">
        <f t="shared" si="35"/>
        <v>532335.375</v>
      </c>
    </row>
    <row r="736" spans="1:5" hidden="1" outlineLevel="2" x14ac:dyDescent="0.2">
      <c r="A736">
        <v>38700</v>
      </c>
      <c r="B736">
        <v>1991</v>
      </c>
      <c r="C736" s="89">
        <f t="shared" si="36"/>
        <v>33.5</v>
      </c>
      <c r="D736" s="323">
        <v>17681.57</v>
      </c>
      <c r="E736" s="323">
        <f t="shared" si="35"/>
        <v>592332.59499999997</v>
      </c>
    </row>
    <row r="737" spans="1:6" hidden="1" outlineLevel="2" x14ac:dyDescent="0.2">
      <c r="A737">
        <v>38700</v>
      </c>
      <c r="B737">
        <v>1990</v>
      </c>
      <c r="C737" s="89">
        <f t="shared" si="36"/>
        <v>34.5</v>
      </c>
      <c r="D737" s="323">
        <v>8597.36</v>
      </c>
      <c r="E737" s="323">
        <f t="shared" si="35"/>
        <v>296608.92000000004</v>
      </c>
    </row>
    <row r="738" spans="1:6" hidden="1" outlineLevel="2" x14ac:dyDescent="0.2">
      <c r="A738">
        <v>38700</v>
      </c>
      <c r="B738">
        <v>1989</v>
      </c>
      <c r="C738" s="89">
        <f t="shared" si="36"/>
        <v>35.5</v>
      </c>
      <c r="D738" s="323">
        <v>2004.48</v>
      </c>
      <c r="E738" s="323">
        <f t="shared" si="35"/>
        <v>71159.039999999994</v>
      </c>
    </row>
    <row r="739" spans="1:6" hidden="1" outlineLevel="2" x14ac:dyDescent="0.2">
      <c r="A739">
        <v>38700</v>
      </c>
      <c r="B739">
        <v>1988</v>
      </c>
      <c r="C739" s="89">
        <f t="shared" si="36"/>
        <v>36.5</v>
      </c>
      <c r="D739" s="323">
        <v>4612.16</v>
      </c>
      <c r="E739" s="323">
        <f t="shared" si="35"/>
        <v>168343.84</v>
      </c>
    </row>
    <row r="740" spans="1:6" hidden="1" outlineLevel="2" x14ac:dyDescent="0.2">
      <c r="A740">
        <v>38700</v>
      </c>
      <c r="B740">
        <v>1986</v>
      </c>
      <c r="C740" s="89">
        <f t="shared" si="36"/>
        <v>38.5</v>
      </c>
      <c r="D740" s="323">
        <v>7400.34</v>
      </c>
      <c r="E740" s="323">
        <f t="shared" si="35"/>
        <v>284913.09000000003</v>
      </c>
    </row>
    <row r="741" spans="1:6" hidden="1" outlineLevel="2" x14ac:dyDescent="0.2">
      <c r="A741">
        <v>38700</v>
      </c>
      <c r="B741">
        <v>1985</v>
      </c>
      <c r="C741" s="89">
        <f t="shared" si="36"/>
        <v>39.5</v>
      </c>
      <c r="D741" s="323">
        <v>1881.03</v>
      </c>
      <c r="E741" s="323">
        <f t="shared" si="35"/>
        <v>74300.684999999998</v>
      </c>
    </row>
    <row r="742" spans="1:6" hidden="1" outlineLevel="2" x14ac:dyDescent="0.2">
      <c r="A742">
        <v>38700</v>
      </c>
      <c r="B742">
        <v>1983</v>
      </c>
      <c r="C742" s="89">
        <f t="shared" si="36"/>
        <v>41.5</v>
      </c>
      <c r="D742" s="323">
        <v>1376.02</v>
      </c>
      <c r="E742" s="323">
        <f t="shared" si="35"/>
        <v>57104.83</v>
      </c>
    </row>
    <row r="743" spans="1:6" hidden="1" outlineLevel="2" x14ac:dyDescent="0.2">
      <c r="A743">
        <v>38700</v>
      </c>
      <c r="B743">
        <v>1982</v>
      </c>
      <c r="C743" s="89">
        <f t="shared" si="36"/>
        <v>42.5</v>
      </c>
      <c r="D743" s="323">
        <v>880.94</v>
      </c>
      <c r="E743" s="323">
        <f t="shared" si="35"/>
        <v>37439.950000000004</v>
      </c>
    </row>
    <row r="744" spans="1:6" hidden="1" outlineLevel="2" x14ac:dyDescent="0.2">
      <c r="A744">
        <v>38700</v>
      </c>
      <c r="B744">
        <v>1981</v>
      </c>
      <c r="C744" s="89">
        <f t="shared" si="36"/>
        <v>43.5</v>
      </c>
      <c r="D744" s="323">
        <v>1900.94</v>
      </c>
      <c r="E744" s="323">
        <f t="shared" si="35"/>
        <v>82690.89</v>
      </c>
    </row>
    <row r="745" spans="1:6" hidden="1" outlineLevel="2" x14ac:dyDescent="0.2">
      <c r="A745">
        <v>38700</v>
      </c>
      <c r="B745">
        <v>1979</v>
      </c>
      <c r="C745" s="89">
        <f t="shared" si="36"/>
        <v>45.5</v>
      </c>
      <c r="D745" s="323">
        <v>2403.2800000000002</v>
      </c>
      <c r="E745" s="323">
        <f t="shared" si="35"/>
        <v>109349.24</v>
      </c>
    </row>
    <row r="746" spans="1:6" hidden="1" outlineLevel="2" x14ac:dyDescent="0.2">
      <c r="A746">
        <v>38700</v>
      </c>
      <c r="B746">
        <v>1977</v>
      </c>
      <c r="C746" s="89">
        <f t="shared" si="36"/>
        <v>47.5</v>
      </c>
      <c r="D746" s="323">
        <v>9036.84</v>
      </c>
      <c r="E746" s="323">
        <f t="shared" si="35"/>
        <v>429249.9</v>
      </c>
    </row>
    <row r="747" spans="1:6" hidden="1" outlineLevel="2" x14ac:dyDescent="0.2">
      <c r="A747">
        <v>38700</v>
      </c>
      <c r="B747">
        <v>1975</v>
      </c>
      <c r="C747" s="89">
        <f t="shared" si="36"/>
        <v>49.5</v>
      </c>
      <c r="D747" s="323">
        <v>4654.4399999999996</v>
      </c>
      <c r="E747" s="323">
        <f t="shared" si="35"/>
        <v>230394.77999999997</v>
      </c>
    </row>
    <row r="748" spans="1:6" s="143" customFormat="1" outlineLevel="1" collapsed="1" x14ac:dyDescent="0.2">
      <c r="A748" s="20" t="s">
        <v>1193</v>
      </c>
      <c r="C748" s="89" t="s">
        <v>1230</v>
      </c>
      <c r="D748" s="323">
        <f>SUBTOTAL(9,D705:D747)</f>
        <v>13431843.029999996</v>
      </c>
      <c r="E748" s="323">
        <f>SUBTOTAL(9,E705:E747)</f>
        <v>134475781.20500001</v>
      </c>
      <c r="F748" s="323">
        <f>+E748/D748</f>
        <v>10.011714766517791</v>
      </c>
    </row>
    <row r="749" spans="1:6" hidden="1" outlineLevel="2" x14ac:dyDescent="0.2">
      <c r="A749">
        <v>39000</v>
      </c>
      <c r="B749">
        <v>2023</v>
      </c>
      <c r="C749" s="89">
        <f t="shared" si="36"/>
        <v>1.5</v>
      </c>
      <c r="D749" s="323">
        <v>544265.86</v>
      </c>
      <c r="E749" s="323">
        <f t="shared" ref="E749:E755" si="37">+C749*D749</f>
        <v>816398.79</v>
      </c>
    </row>
    <row r="750" spans="1:6" hidden="1" outlineLevel="2" x14ac:dyDescent="0.2">
      <c r="A750">
        <v>39000</v>
      </c>
      <c r="B750">
        <v>2016</v>
      </c>
      <c r="C750" s="89">
        <f t="shared" ref="C750:C755" si="38">2024.5-B750</f>
        <v>8.5</v>
      </c>
      <c r="D750" s="323">
        <v>12393.52</v>
      </c>
      <c r="E750" s="323">
        <f t="shared" si="37"/>
        <v>105344.92</v>
      </c>
    </row>
    <row r="751" spans="1:6" hidden="1" outlineLevel="2" x14ac:dyDescent="0.2">
      <c r="A751">
        <v>39000</v>
      </c>
      <c r="B751">
        <v>2015</v>
      </c>
      <c r="C751" s="89">
        <f t="shared" si="38"/>
        <v>9.5</v>
      </c>
      <c r="D751" s="323">
        <v>18604.02</v>
      </c>
      <c r="E751" s="323">
        <f t="shared" si="37"/>
        <v>176738.19</v>
      </c>
    </row>
    <row r="752" spans="1:6" hidden="1" outlineLevel="2" x14ac:dyDescent="0.2">
      <c r="A752">
        <v>39000</v>
      </c>
      <c r="B752">
        <v>2012</v>
      </c>
      <c r="C752" s="89">
        <f t="shared" si="38"/>
        <v>12.5</v>
      </c>
      <c r="D752" s="323">
        <v>50788.77</v>
      </c>
      <c r="E752" s="323">
        <f t="shared" si="37"/>
        <v>634859.625</v>
      </c>
    </row>
    <row r="753" spans="1:6" hidden="1" outlineLevel="2" x14ac:dyDescent="0.2">
      <c r="A753">
        <v>39000</v>
      </c>
      <c r="B753">
        <v>2009</v>
      </c>
      <c r="C753" s="89">
        <f t="shared" si="38"/>
        <v>15.5</v>
      </c>
      <c r="D753" s="323">
        <v>9582.32</v>
      </c>
      <c r="E753" s="323">
        <f t="shared" si="37"/>
        <v>148525.96</v>
      </c>
    </row>
    <row r="754" spans="1:6" hidden="1" outlineLevel="2" x14ac:dyDescent="0.2">
      <c r="A754">
        <v>39000</v>
      </c>
      <c r="B754">
        <v>2008</v>
      </c>
      <c r="C754" s="89">
        <f t="shared" si="38"/>
        <v>16.5</v>
      </c>
      <c r="D754" s="323">
        <v>2319.3000000000002</v>
      </c>
      <c r="E754" s="323">
        <f t="shared" si="37"/>
        <v>38268.450000000004</v>
      </c>
    </row>
    <row r="755" spans="1:6" hidden="1" outlineLevel="2" x14ac:dyDescent="0.2">
      <c r="A755">
        <v>39000</v>
      </c>
      <c r="B755">
        <v>2007</v>
      </c>
      <c r="C755" s="89">
        <f t="shared" si="38"/>
        <v>17.5</v>
      </c>
      <c r="D755" s="323">
        <v>25115.11</v>
      </c>
      <c r="E755" s="323">
        <f t="shared" si="37"/>
        <v>439514.42499999999</v>
      </c>
    </row>
    <row r="756" spans="1:6" s="143" customFormat="1" outlineLevel="1" collapsed="1" x14ac:dyDescent="0.2">
      <c r="A756" s="20" t="s">
        <v>1194</v>
      </c>
      <c r="C756" s="89" t="s">
        <v>1230</v>
      </c>
      <c r="D756" s="323">
        <f>SUBTOTAL(9,D749:D755)</f>
        <v>663068.9</v>
      </c>
      <c r="E756" s="323">
        <f>SUBTOTAL(9,E749:E755)</f>
        <v>2359650.36</v>
      </c>
      <c r="F756" s="323">
        <f>+E756/D756</f>
        <v>3.5586804930829961</v>
      </c>
    </row>
    <row r="757" spans="1:6" hidden="1" outlineLevel="2" x14ac:dyDescent="0.2">
      <c r="A757">
        <v>39100</v>
      </c>
      <c r="B757">
        <v>2024</v>
      </c>
      <c r="C757" s="89">
        <f t="shared" si="36"/>
        <v>0.5</v>
      </c>
      <c r="D757" s="323">
        <v>40500.000000000029</v>
      </c>
      <c r="E757" s="323">
        <f t="shared" ref="E757:E773" si="39">+C757*D757</f>
        <v>20250.000000000015</v>
      </c>
    </row>
    <row r="758" spans="1:6" hidden="1" outlineLevel="2" x14ac:dyDescent="0.2">
      <c r="A758">
        <v>39100</v>
      </c>
      <c r="B758">
        <v>2023</v>
      </c>
      <c r="C758" s="89">
        <f t="shared" si="36"/>
        <v>1.5</v>
      </c>
      <c r="D758" s="323">
        <v>241700.3300000001</v>
      </c>
      <c r="E758" s="323">
        <f t="shared" si="39"/>
        <v>362550.49500000017</v>
      </c>
    </row>
    <row r="759" spans="1:6" hidden="1" outlineLevel="2" x14ac:dyDescent="0.2">
      <c r="A759">
        <v>39100</v>
      </c>
      <c r="B759">
        <v>2022</v>
      </c>
      <c r="C759" s="89">
        <f t="shared" si="36"/>
        <v>2.5</v>
      </c>
      <c r="D759" s="323">
        <v>31734.79</v>
      </c>
      <c r="E759" s="323">
        <f t="shared" si="39"/>
        <v>79336.975000000006</v>
      </c>
    </row>
    <row r="760" spans="1:6" hidden="1" outlineLevel="2" x14ac:dyDescent="0.2">
      <c r="A760">
        <v>39100</v>
      </c>
      <c r="B760">
        <v>2020</v>
      </c>
      <c r="C760" s="89">
        <f t="shared" si="36"/>
        <v>4.5</v>
      </c>
      <c r="D760" s="323">
        <v>71253.88</v>
      </c>
      <c r="E760" s="323">
        <f t="shared" si="39"/>
        <v>320642.46000000002</v>
      </c>
    </row>
    <row r="761" spans="1:6" hidden="1" outlineLevel="2" x14ac:dyDescent="0.2">
      <c r="A761">
        <v>39100</v>
      </c>
      <c r="B761">
        <v>2019</v>
      </c>
      <c r="C761" s="89">
        <f t="shared" si="36"/>
        <v>5.5</v>
      </c>
      <c r="D761" s="323">
        <v>135016.5</v>
      </c>
      <c r="E761" s="323">
        <f t="shared" si="39"/>
        <v>742590.75</v>
      </c>
    </row>
    <row r="762" spans="1:6" hidden="1" outlineLevel="2" x14ac:dyDescent="0.2">
      <c r="A762">
        <v>39100</v>
      </c>
      <c r="B762">
        <v>2018</v>
      </c>
      <c r="C762" s="89">
        <f t="shared" si="36"/>
        <v>6.5</v>
      </c>
      <c r="D762" s="323">
        <v>575028.36</v>
      </c>
      <c r="E762" s="323">
        <f t="shared" si="39"/>
        <v>3737684.34</v>
      </c>
    </row>
    <row r="763" spans="1:6" hidden="1" outlineLevel="2" x14ac:dyDescent="0.2">
      <c r="A763">
        <v>39100</v>
      </c>
      <c r="B763">
        <v>2017</v>
      </c>
      <c r="C763" s="89">
        <f t="shared" si="36"/>
        <v>7.5</v>
      </c>
      <c r="D763" s="323">
        <v>91250.94</v>
      </c>
      <c r="E763" s="323">
        <f t="shared" si="39"/>
        <v>684382.05</v>
      </c>
    </row>
    <row r="764" spans="1:6" hidden="1" outlineLevel="2" x14ac:dyDescent="0.2">
      <c r="A764">
        <v>39100</v>
      </c>
      <c r="B764">
        <v>2016</v>
      </c>
      <c r="C764" s="89">
        <f t="shared" si="36"/>
        <v>8.5</v>
      </c>
      <c r="D764" s="323">
        <v>305779.15999999997</v>
      </c>
      <c r="E764" s="323">
        <f t="shared" si="39"/>
        <v>2599122.86</v>
      </c>
    </row>
    <row r="765" spans="1:6" hidden="1" outlineLevel="2" x14ac:dyDescent="0.2">
      <c r="A765">
        <v>39100</v>
      </c>
      <c r="B765">
        <v>2015</v>
      </c>
      <c r="C765" s="89">
        <f t="shared" si="36"/>
        <v>9.5</v>
      </c>
      <c r="D765" s="323">
        <v>52030.62</v>
      </c>
      <c r="E765" s="323">
        <f t="shared" si="39"/>
        <v>494290.89</v>
      </c>
    </row>
    <row r="766" spans="1:6" hidden="1" outlineLevel="2" x14ac:dyDescent="0.2">
      <c r="A766">
        <v>39100</v>
      </c>
      <c r="B766">
        <v>2014</v>
      </c>
      <c r="C766" s="89">
        <f t="shared" si="36"/>
        <v>10.5</v>
      </c>
      <c r="D766" s="323">
        <v>17304.09</v>
      </c>
      <c r="E766" s="323">
        <f t="shared" si="39"/>
        <v>181692.94500000001</v>
      </c>
    </row>
    <row r="767" spans="1:6" hidden="1" outlineLevel="2" x14ac:dyDescent="0.2">
      <c r="A767">
        <v>39100</v>
      </c>
      <c r="B767">
        <v>2013</v>
      </c>
      <c r="C767" s="89">
        <f t="shared" si="36"/>
        <v>11.5</v>
      </c>
      <c r="D767" s="323">
        <v>54887.66</v>
      </c>
      <c r="E767" s="323">
        <f t="shared" si="39"/>
        <v>631208.09000000008</v>
      </c>
    </row>
    <row r="768" spans="1:6" hidden="1" outlineLevel="2" x14ac:dyDescent="0.2">
      <c r="A768">
        <v>39100</v>
      </c>
      <c r="B768">
        <v>2012</v>
      </c>
      <c r="C768" s="89">
        <f t="shared" si="36"/>
        <v>12.5</v>
      </c>
      <c r="D768" s="323">
        <v>46697.45</v>
      </c>
      <c r="E768" s="323">
        <f t="shared" si="39"/>
        <v>583718.125</v>
      </c>
    </row>
    <row r="769" spans="1:6" hidden="1" outlineLevel="2" x14ac:dyDescent="0.2">
      <c r="A769">
        <v>39100</v>
      </c>
      <c r="B769">
        <v>2011</v>
      </c>
      <c r="C769" s="89">
        <f t="shared" si="36"/>
        <v>13.5</v>
      </c>
      <c r="D769" s="323">
        <v>271246.45</v>
      </c>
      <c r="E769" s="323">
        <f t="shared" si="39"/>
        <v>3661827.0750000002</v>
      </c>
    </row>
    <row r="770" spans="1:6" hidden="1" outlineLevel="2" x14ac:dyDescent="0.2">
      <c r="A770">
        <v>39100</v>
      </c>
      <c r="B770">
        <v>2010</v>
      </c>
      <c r="C770" s="89">
        <f t="shared" si="36"/>
        <v>14.5</v>
      </c>
      <c r="D770" s="323">
        <v>40633.46</v>
      </c>
      <c r="E770" s="323">
        <f t="shared" si="39"/>
        <v>589185.17000000004</v>
      </c>
    </row>
    <row r="771" spans="1:6" hidden="1" outlineLevel="2" x14ac:dyDescent="0.2">
      <c r="A771">
        <v>39100</v>
      </c>
      <c r="B771">
        <v>2009</v>
      </c>
      <c r="C771" s="89">
        <f t="shared" si="36"/>
        <v>15.5</v>
      </c>
      <c r="D771" s="323">
        <v>19483.57</v>
      </c>
      <c r="E771" s="323">
        <f t="shared" si="39"/>
        <v>301995.33500000002</v>
      </c>
    </row>
    <row r="772" spans="1:6" hidden="1" outlineLevel="2" x14ac:dyDescent="0.2">
      <c r="A772">
        <v>39100</v>
      </c>
      <c r="B772">
        <v>2007</v>
      </c>
      <c r="C772" s="89">
        <f t="shared" si="36"/>
        <v>17.5</v>
      </c>
      <c r="D772" s="323">
        <v>118417.47</v>
      </c>
      <c r="E772" s="323">
        <f t="shared" si="39"/>
        <v>2072305.7250000001</v>
      </c>
    </row>
    <row r="773" spans="1:6" hidden="1" outlineLevel="2" x14ac:dyDescent="0.2">
      <c r="A773">
        <v>39100</v>
      </c>
      <c r="B773">
        <v>2006</v>
      </c>
      <c r="C773" s="89">
        <f t="shared" si="36"/>
        <v>18.5</v>
      </c>
      <c r="D773" s="323">
        <v>79485</v>
      </c>
      <c r="E773" s="323">
        <f t="shared" si="39"/>
        <v>1470472.5</v>
      </c>
    </row>
    <row r="774" spans="1:6" s="143" customFormat="1" outlineLevel="1" collapsed="1" x14ac:dyDescent="0.2">
      <c r="A774" s="20" t="s">
        <v>1195</v>
      </c>
      <c r="C774" s="89" t="s">
        <v>1230</v>
      </c>
      <c r="D774" s="323">
        <f>SUBTOTAL(9,D757:D773)</f>
        <v>2192449.73</v>
      </c>
      <c r="E774" s="323">
        <f>SUBTOTAL(9,E757:E773)</f>
        <v>18533255.785</v>
      </c>
      <c r="F774" s="323">
        <f>+E774/D774</f>
        <v>8.4532181200797698</v>
      </c>
    </row>
    <row r="775" spans="1:6" hidden="1" outlineLevel="2" x14ac:dyDescent="0.2">
      <c r="A775">
        <v>39101</v>
      </c>
      <c r="B775">
        <v>2024</v>
      </c>
      <c r="C775" s="89">
        <f t="shared" si="36"/>
        <v>0.5</v>
      </c>
      <c r="D775" s="323">
        <v>6441651.3675089739</v>
      </c>
      <c r="E775" s="323">
        <f t="shared" ref="E775:E787" si="40">+C775*D775</f>
        <v>3220825.683754487</v>
      </c>
    </row>
    <row r="776" spans="1:6" hidden="1" outlineLevel="2" x14ac:dyDescent="0.2">
      <c r="A776">
        <v>39101</v>
      </c>
      <c r="B776">
        <v>2023</v>
      </c>
      <c r="C776" s="89">
        <f t="shared" ref="C776:C839" si="41">2024.5-B776</f>
        <v>1.5</v>
      </c>
      <c r="D776" s="323">
        <v>2673941.5974910171</v>
      </c>
      <c r="E776" s="323">
        <f t="shared" si="40"/>
        <v>4010912.3962365258</v>
      </c>
    </row>
    <row r="777" spans="1:6" hidden="1" outlineLevel="2" x14ac:dyDescent="0.2">
      <c r="A777">
        <v>39101</v>
      </c>
      <c r="B777">
        <v>2022</v>
      </c>
      <c r="C777" s="89">
        <f t="shared" si="41"/>
        <v>2.5</v>
      </c>
      <c r="D777" s="323">
        <v>47509.97</v>
      </c>
      <c r="E777" s="323">
        <f t="shared" si="40"/>
        <v>118774.925</v>
      </c>
    </row>
    <row r="778" spans="1:6" hidden="1" outlineLevel="2" x14ac:dyDescent="0.2">
      <c r="A778">
        <v>39101</v>
      </c>
      <c r="B778">
        <v>2021</v>
      </c>
      <c r="C778" s="89">
        <f t="shared" si="41"/>
        <v>3.5</v>
      </c>
      <c r="D778" s="323">
        <v>8106.39</v>
      </c>
      <c r="E778" s="323">
        <f t="shared" si="40"/>
        <v>28372.365000000002</v>
      </c>
    </row>
    <row r="779" spans="1:6" hidden="1" outlineLevel="2" x14ac:dyDescent="0.2">
      <c r="A779">
        <v>39101</v>
      </c>
      <c r="B779">
        <v>2020</v>
      </c>
      <c r="C779" s="89">
        <f t="shared" si="41"/>
        <v>4.5</v>
      </c>
      <c r="D779" s="323">
        <v>138455</v>
      </c>
      <c r="E779" s="323">
        <f t="shared" si="40"/>
        <v>623047.5</v>
      </c>
    </row>
    <row r="780" spans="1:6" hidden="1" outlineLevel="2" x14ac:dyDescent="0.2">
      <c r="A780">
        <v>39101</v>
      </c>
      <c r="B780">
        <v>2019</v>
      </c>
      <c r="C780" s="89">
        <f t="shared" si="41"/>
        <v>5.5</v>
      </c>
      <c r="D780" s="323">
        <v>1630801.36</v>
      </c>
      <c r="E780" s="323">
        <f t="shared" si="40"/>
        <v>8969407.4800000004</v>
      </c>
    </row>
    <row r="781" spans="1:6" hidden="1" outlineLevel="2" x14ac:dyDescent="0.2">
      <c r="A781">
        <v>39101</v>
      </c>
      <c r="B781">
        <v>2018</v>
      </c>
      <c r="C781" s="89">
        <f t="shared" si="41"/>
        <v>6.5</v>
      </c>
      <c r="D781" s="323">
        <v>82269.73</v>
      </c>
      <c r="E781" s="323">
        <f t="shared" si="40"/>
        <v>534753.245</v>
      </c>
    </row>
    <row r="782" spans="1:6" hidden="1" outlineLevel="2" x14ac:dyDescent="0.2">
      <c r="A782">
        <v>39101</v>
      </c>
      <c r="B782">
        <v>2017</v>
      </c>
      <c r="C782" s="89">
        <f t="shared" si="41"/>
        <v>7.5</v>
      </c>
      <c r="D782" s="323">
        <v>11535.38</v>
      </c>
      <c r="E782" s="323">
        <f t="shared" si="40"/>
        <v>86515.349999999991</v>
      </c>
    </row>
    <row r="783" spans="1:6" hidden="1" outlineLevel="2" x14ac:dyDescent="0.2">
      <c r="A783">
        <v>39101</v>
      </c>
      <c r="B783">
        <v>2016</v>
      </c>
      <c r="C783" s="89">
        <f t="shared" si="41"/>
        <v>8.5</v>
      </c>
      <c r="D783" s="323">
        <v>175832.21</v>
      </c>
      <c r="E783" s="323">
        <f t="shared" si="40"/>
        <v>1494573.7849999999</v>
      </c>
    </row>
    <row r="784" spans="1:6" hidden="1" outlineLevel="2" x14ac:dyDescent="0.2">
      <c r="A784">
        <v>39101</v>
      </c>
      <c r="B784">
        <v>2015</v>
      </c>
      <c r="C784" s="89">
        <f t="shared" si="41"/>
        <v>9.5</v>
      </c>
      <c r="D784" s="323">
        <v>574371.25</v>
      </c>
      <c r="E784" s="323">
        <f t="shared" si="40"/>
        <v>5456526.875</v>
      </c>
    </row>
    <row r="785" spans="1:6" hidden="1" outlineLevel="2" x14ac:dyDescent="0.2">
      <c r="A785">
        <v>39101</v>
      </c>
      <c r="B785">
        <v>2014</v>
      </c>
      <c r="C785" s="89">
        <f t="shared" si="41"/>
        <v>10.5</v>
      </c>
      <c r="D785" s="323">
        <v>431635.95</v>
      </c>
      <c r="E785" s="323">
        <f t="shared" si="40"/>
        <v>4532177.4750000006</v>
      </c>
    </row>
    <row r="786" spans="1:6" hidden="1" outlineLevel="2" x14ac:dyDescent="0.2">
      <c r="A786">
        <v>39101</v>
      </c>
      <c r="B786">
        <v>2013</v>
      </c>
      <c r="C786" s="89">
        <f t="shared" si="41"/>
        <v>11.5</v>
      </c>
      <c r="D786" s="323">
        <v>100249.64</v>
      </c>
      <c r="E786" s="323">
        <f t="shared" si="40"/>
        <v>1152870.8600000001</v>
      </c>
    </row>
    <row r="787" spans="1:6" hidden="1" outlineLevel="2" x14ac:dyDescent="0.2">
      <c r="A787">
        <v>39101</v>
      </c>
      <c r="B787">
        <v>2012</v>
      </c>
      <c r="C787" s="89">
        <f t="shared" si="41"/>
        <v>12.5</v>
      </c>
      <c r="D787" s="323">
        <v>57597.38</v>
      </c>
      <c r="E787" s="323">
        <f t="shared" si="40"/>
        <v>719967.25</v>
      </c>
    </row>
    <row r="788" spans="1:6" s="143" customFormat="1" outlineLevel="1" collapsed="1" x14ac:dyDescent="0.2">
      <c r="A788" s="20" t="s">
        <v>1196</v>
      </c>
      <c r="C788" s="89" t="s">
        <v>1230</v>
      </c>
      <c r="D788" s="323">
        <f>SUBTOTAL(9,D775:D787)</f>
        <v>12373957.224999994</v>
      </c>
      <c r="E788" s="323">
        <f>SUBTOTAL(9,E775:E787)</f>
        <v>30948725.189991016</v>
      </c>
      <c r="F788" s="323">
        <f>+E788/D788</f>
        <v>2.5011178418705931</v>
      </c>
    </row>
    <row r="789" spans="1:6" hidden="1" outlineLevel="2" x14ac:dyDescent="0.2">
      <c r="A789">
        <v>39102</v>
      </c>
      <c r="B789">
        <v>2022</v>
      </c>
      <c r="C789" s="89">
        <f t="shared" si="41"/>
        <v>2.5</v>
      </c>
      <c r="D789" s="323">
        <v>67254.5</v>
      </c>
      <c r="E789" s="323">
        <f t="shared" ref="E789:E807" si="42">+C789*D789</f>
        <v>168136.25</v>
      </c>
    </row>
    <row r="790" spans="1:6" hidden="1" outlineLevel="2" x14ac:dyDescent="0.2">
      <c r="A790">
        <v>39102</v>
      </c>
      <c r="B790">
        <v>2020</v>
      </c>
      <c r="C790" s="89">
        <f t="shared" si="41"/>
        <v>4.5</v>
      </c>
      <c r="D790" s="323">
        <v>16678.310000000001</v>
      </c>
      <c r="E790" s="323">
        <f t="shared" si="42"/>
        <v>75052.395000000004</v>
      </c>
    </row>
    <row r="791" spans="1:6" hidden="1" outlineLevel="2" x14ac:dyDescent="0.2">
      <c r="A791">
        <v>39102</v>
      </c>
      <c r="B791">
        <v>2019</v>
      </c>
      <c r="C791" s="89">
        <f t="shared" si="41"/>
        <v>5.5</v>
      </c>
      <c r="D791" s="323">
        <v>123272.16</v>
      </c>
      <c r="E791" s="323">
        <f t="shared" si="42"/>
        <v>677996.88</v>
      </c>
    </row>
    <row r="792" spans="1:6" hidden="1" outlineLevel="2" x14ac:dyDescent="0.2">
      <c r="A792">
        <v>39102</v>
      </c>
      <c r="B792">
        <v>2018</v>
      </c>
      <c r="C792" s="89">
        <f t="shared" si="41"/>
        <v>6.5</v>
      </c>
      <c r="D792" s="323">
        <v>16931.7</v>
      </c>
      <c r="E792" s="323">
        <f t="shared" si="42"/>
        <v>110056.05</v>
      </c>
    </row>
    <row r="793" spans="1:6" hidden="1" outlineLevel="2" x14ac:dyDescent="0.2">
      <c r="A793">
        <v>39102</v>
      </c>
      <c r="B793">
        <v>2017</v>
      </c>
      <c r="C793" s="89">
        <f t="shared" si="41"/>
        <v>7.5</v>
      </c>
      <c r="D793" s="323">
        <v>443681.45</v>
      </c>
      <c r="E793" s="323">
        <f t="shared" si="42"/>
        <v>3327610.875</v>
      </c>
    </row>
    <row r="794" spans="1:6" hidden="1" outlineLevel="2" x14ac:dyDescent="0.2">
      <c r="A794">
        <v>39102</v>
      </c>
      <c r="B794">
        <v>2016</v>
      </c>
      <c r="C794" s="89">
        <f t="shared" si="41"/>
        <v>8.5</v>
      </c>
      <c r="D794" s="323">
        <v>65264.69</v>
      </c>
      <c r="E794" s="323">
        <f t="shared" si="42"/>
        <v>554749.86499999999</v>
      </c>
    </row>
    <row r="795" spans="1:6" hidden="1" outlineLevel="2" x14ac:dyDescent="0.2">
      <c r="A795">
        <v>39102</v>
      </c>
      <c r="B795">
        <v>2015</v>
      </c>
      <c r="C795" s="89">
        <f t="shared" si="41"/>
        <v>9.5</v>
      </c>
      <c r="D795" s="323">
        <v>32576.23</v>
      </c>
      <c r="E795" s="323">
        <f t="shared" si="42"/>
        <v>309474.185</v>
      </c>
    </row>
    <row r="796" spans="1:6" hidden="1" outlineLevel="2" x14ac:dyDescent="0.2">
      <c r="A796">
        <v>39102</v>
      </c>
      <c r="B796">
        <v>2014</v>
      </c>
      <c r="C796" s="89">
        <f t="shared" si="41"/>
        <v>10.5</v>
      </c>
      <c r="D796" s="323">
        <v>15220.5</v>
      </c>
      <c r="E796" s="323">
        <f t="shared" si="42"/>
        <v>159815.25</v>
      </c>
    </row>
    <row r="797" spans="1:6" hidden="1" outlineLevel="2" x14ac:dyDescent="0.2">
      <c r="A797">
        <v>39102</v>
      </c>
      <c r="B797">
        <v>2013</v>
      </c>
      <c r="C797" s="89">
        <f t="shared" si="41"/>
        <v>11.5</v>
      </c>
      <c r="D797" s="323">
        <v>257470.04</v>
      </c>
      <c r="E797" s="323">
        <f t="shared" si="42"/>
        <v>2960905.46</v>
      </c>
    </row>
    <row r="798" spans="1:6" hidden="1" outlineLevel="2" x14ac:dyDescent="0.2">
      <c r="A798">
        <v>39102</v>
      </c>
      <c r="B798">
        <v>2012</v>
      </c>
      <c r="C798" s="89">
        <f t="shared" si="41"/>
        <v>12.5</v>
      </c>
      <c r="D798" s="323">
        <v>9286.1299999999992</v>
      </c>
      <c r="E798" s="323">
        <f t="shared" si="42"/>
        <v>116076.62499999999</v>
      </c>
    </row>
    <row r="799" spans="1:6" hidden="1" outlineLevel="2" x14ac:dyDescent="0.2">
      <c r="A799">
        <v>39102</v>
      </c>
      <c r="B799">
        <v>2011</v>
      </c>
      <c r="C799" s="89">
        <f t="shared" si="41"/>
        <v>13.5</v>
      </c>
      <c r="D799" s="323">
        <v>277041.59000000003</v>
      </c>
      <c r="E799" s="323">
        <f t="shared" si="42"/>
        <v>3740061.4650000003</v>
      </c>
    </row>
    <row r="800" spans="1:6" hidden="1" outlineLevel="2" x14ac:dyDescent="0.2">
      <c r="A800">
        <v>39102</v>
      </c>
      <c r="B800">
        <v>2010</v>
      </c>
      <c r="C800" s="89">
        <f t="shared" si="41"/>
        <v>14.5</v>
      </c>
      <c r="D800" s="323">
        <v>11701.77</v>
      </c>
      <c r="E800" s="323">
        <f t="shared" si="42"/>
        <v>169675.66500000001</v>
      </c>
    </row>
    <row r="801" spans="1:6" hidden="1" outlineLevel="2" x14ac:dyDescent="0.2">
      <c r="A801">
        <v>39102</v>
      </c>
      <c r="B801">
        <v>2009</v>
      </c>
      <c r="C801" s="89">
        <f t="shared" si="41"/>
        <v>15.5</v>
      </c>
      <c r="D801" s="323">
        <v>3389.84</v>
      </c>
      <c r="E801" s="323">
        <f t="shared" si="42"/>
        <v>52542.520000000004</v>
      </c>
    </row>
    <row r="802" spans="1:6" hidden="1" outlineLevel="2" x14ac:dyDescent="0.2">
      <c r="A802">
        <v>39102</v>
      </c>
      <c r="B802">
        <v>2008</v>
      </c>
      <c r="C802" s="89">
        <f t="shared" si="41"/>
        <v>16.5</v>
      </c>
      <c r="D802" s="323">
        <v>3705.13</v>
      </c>
      <c r="E802" s="323">
        <f t="shared" si="42"/>
        <v>61134.645000000004</v>
      </c>
    </row>
    <row r="803" spans="1:6" hidden="1" outlineLevel="2" x14ac:dyDescent="0.2">
      <c r="A803">
        <v>39102</v>
      </c>
      <c r="B803">
        <v>2007</v>
      </c>
      <c r="C803" s="89">
        <f t="shared" si="41"/>
        <v>17.5</v>
      </c>
      <c r="D803" s="323">
        <v>100172.03</v>
      </c>
      <c r="E803" s="323">
        <f t="shared" si="42"/>
        <v>1753010.5249999999</v>
      </c>
    </row>
    <row r="804" spans="1:6" hidden="1" outlineLevel="2" x14ac:dyDescent="0.2">
      <c r="A804">
        <v>39102</v>
      </c>
      <c r="B804">
        <v>2006</v>
      </c>
      <c r="C804" s="89">
        <f t="shared" si="41"/>
        <v>18.5</v>
      </c>
      <c r="D804" s="323">
        <v>10052.629999999999</v>
      </c>
      <c r="E804" s="323">
        <f t="shared" si="42"/>
        <v>185973.655</v>
      </c>
    </row>
    <row r="805" spans="1:6" hidden="1" outlineLevel="2" x14ac:dyDescent="0.2">
      <c r="A805">
        <v>39102</v>
      </c>
      <c r="B805">
        <v>2005</v>
      </c>
      <c r="C805" s="89">
        <f t="shared" si="41"/>
        <v>19.5</v>
      </c>
      <c r="D805" s="323">
        <v>15753.720000000001</v>
      </c>
      <c r="E805" s="323">
        <f t="shared" si="42"/>
        <v>307197.54000000004</v>
      </c>
    </row>
    <row r="806" spans="1:6" hidden="1" outlineLevel="2" x14ac:dyDescent="0.2">
      <c r="A806">
        <v>39102</v>
      </c>
      <c r="B806">
        <v>2004</v>
      </c>
      <c r="C806" s="89">
        <f t="shared" si="41"/>
        <v>20.5</v>
      </c>
      <c r="D806" s="323">
        <v>50945.45</v>
      </c>
      <c r="E806" s="323">
        <f t="shared" si="42"/>
        <v>1044381.725</v>
      </c>
    </row>
    <row r="807" spans="1:6" hidden="1" outlineLevel="2" x14ac:dyDescent="0.2">
      <c r="A807">
        <v>39102</v>
      </c>
      <c r="B807">
        <v>2002</v>
      </c>
      <c r="C807" s="89">
        <f t="shared" si="41"/>
        <v>22.5</v>
      </c>
      <c r="D807" s="323">
        <v>9275.92</v>
      </c>
      <c r="E807" s="323">
        <f t="shared" si="42"/>
        <v>208708.2</v>
      </c>
    </row>
    <row r="808" spans="1:6" s="143" customFormat="1" outlineLevel="1" collapsed="1" x14ac:dyDescent="0.2">
      <c r="A808" s="20" t="s">
        <v>1197</v>
      </c>
      <c r="B808" s="89" t="s">
        <v>1230</v>
      </c>
      <c r="C808" s="89" t="s">
        <v>1368</v>
      </c>
      <c r="D808" s="323">
        <f>SUBTOTAL(9,D789:D807)</f>
        <v>1529673.7899999998</v>
      </c>
      <c r="E808" s="323">
        <f>SUBTOTAL(9,E789:E807)</f>
        <v>15982559.774999997</v>
      </c>
      <c r="F808" s="323">
        <f>+E808/D808</f>
        <v>10.448345182798745</v>
      </c>
    </row>
    <row r="809" spans="1:6" hidden="1" outlineLevel="2" x14ac:dyDescent="0.2">
      <c r="A809">
        <v>39201</v>
      </c>
      <c r="B809">
        <v>2024</v>
      </c>
      <c r="C809" s="89">
        <f t="shared" si="41"/>
        <v>0.5</v>
      </c>
      <c r="D809" s="323">
        <v>8319999.639862583</v>
      </c>
      <c r="E809" s="323">
        <f t="shared" ref="E809:E831" si="43">+C809*D809</f>
        <v>4159999.8199312915</v>
      </c>
    </row>
    <row r="810" spans="1:6" hidden="1" outlineLevel="2" x14ac:dyDescent="0.2">
      <c r="A810">
        <v>39201</v>
      </c>
      <c r="B810">
        <v>2023</v>
      </c>
      <c r="C810" s="89">
        <f t="shared" si="41"/>
        <v>1.5</v>
      </c>
      <c r="D810" s="323">
        <v>6169828.3810883248</v>
      </c>
      <c r="E810" s="323">
        <f t="shared" si="43"/>
        <v>9254742.5716324877</v>
      </c>
    </row>
    <row r="811" spans="1:6" hidden="1" outlineLevel="2" x14ac:dyDescent="0.2">
      <c r="A811">
        <v>39201</v>
      </c>
      <c r="B811">
        <v>2022</v>
      </c>
      <c r="C811" s="89">
        <f t="shared" si="41"/>
        <v>2.5</v>
      </c>
      <c r="D811" s="323">
        <v>1724117.87</v>
      </c>
      <c r="E811" s="323">
        <f t="shared" si="43"/>
        <v>4310294.6750000007</v>
      </c>
    </row>
    <row r="812" spans="1:6" hidden="1" outlineLevel="2" x14ac:dyDescent="0.2">
      <c r="A812">
        <v>39201</v>
      </c>
      <c r="B812">
        <v>2021</v>
      </c>
      <c r="C812" s="89">
        <f t="shared" si="41"/>
        <v>3.5</v>
      </c>
      <c r="D812" s="323">
        <v>444941.58</v>
      </c>
      <c r="E812" s="323">
        <f t="shared" si="43"/>
        <v>1557295.53</v>
      </c>
    </row>
    <row r="813" spans="1:6" hidden="1" outlineLevel="2" x14ac:dyDescent="0.2">
      <c r="A813">
        <v>39201</v>
      </c>
      <c r="B813">
        <v>2020</v>
      </c>
      <c r="C813" s="89">
        <f t="shared" si="41"/>
        <v>4.5</v>
      </c>
      <c r="D813" s="323">
        <v>905277.36</v>
      </c>
      <c r="E813" s="323">
        <f t="shared" si="43"/>
        <v>4073748.12</v>
      </c>
    </row>
    <row r="814" spans="1:6" hidden="1" outlineLevel="2" x14ac:dyDescent="0.2">
      <c r="A814">
        <v>39201</v>
      </c>
      <c r="B814">
        <v>2019</v>
      </c>
      <c r="C814" s="89">
        <f t="shared" si="41"/>
        <v>5.5</v>
      </c>
      <c r="D814" s="323">
        <v>644561.13</v>
      </c>
      <c r="E814" s="323">
        <f t="shared" si="43"/>
        <v>3545086.2149999999</v>
      </c>
    </row>
    <row r="815" spans="1:6" hidden="1" outlineLevel="2" x14ac:dyDescent="0.2">
      <c r="A815">
        <v>39201</v>
      </c>
      <c r="B815">
        <v>2018</v>
      </c>
      <c r="C815" s="89">
        <f t="shared" si="41"/>
        <v>6.5</v>
      </c>
      <c r="D815" s="323">
        <v>332369.98</v>
      </c>
      <c r="E815" s="323">
        <f t="shared" si="43"/>
        <v>2160404.87</v>
      </c>
    </row>
    <row r="816" spans="1:6" hidden="1" outlineLevel="2" x14ac:dyDescent="0.2">
      <c r="A816">
        <v>39201</v>
      </c>
      <c r="B816">
        <v>2017</v>
      </c>
      <c r="C816" s="89">
        <f t="shared" si="41"/>
        <v>7.5</v>
      </c>
      <c r="D816" s="323">
        <v>740847.12</v>
      </c>
      <c r="E816" s="323">
        <f t="shared" si="43"/>
        <v>5556353.4000000004</v>
      </c>
    </row>
    <row r="817" spans="1:6" hidden="1" outlineLevel="2" x14ac:dyDescent="0.2">
      <c r="A817">
        <v>39201</v>
      </c>
      <c r="B817">
        <v>2016</v>
      </c>
      <c r="C817" s="89">
        <f t="shared" si="41"/>
        <v>8.5</v>
      </c>
      <c r="D817" s="323">
        <v>792209.89</v>
      </c>
      <c r="E817" s="323">
        <f t="shared" si="43"/>
        <v>6733784.0650000004</v>
      </c>
    </row>
    <row r="818" spans="1:6" hidden="1" outlineLevel="2" x14ac:dyDescent="0.2">
      <c r="A818">
        <v>39201</v>
      </c>
      <c r="B818">
        <v>2015</v>
      </c>
      <c r="C818" s="89">
        <f t="shared" si="41"/>
        <v>9.5</v>
      </c>
      <c r="D818" s="323">
        <v>1016083.2100000001</v>
      </c>
      <c r="E818" s="323">
        <f t="shared" si="43"/>
        <v>9652790.495000001</v>
      </c>
    </row>
    <row r="819" spans="1:6" hidden="1" outlineLevel="2" x14ac:dyDescent="0.2">
      <c r="A819">
        <v>39201</v>
      </c>
      <c r="B819">
        <v>2014</v>
      </c>
      <c r="C819" s="89">
        <f t="shared" si="41"/>
        <v>10.5</v>
      </c>
      <c r="D819" s="323">
        <v>168286.89</v>
      </c>
      <c r="E819" s="323">
        <f t="shared" si="43"/>
        <v>1767012.3450000002</v>
      </c>
    </row>
    <row r="820" spans="1:6" hidden="1" outlineLevel="2" x14ac:dyDescent="0.2">
      <c r="A820">
        <v>39201</v>
      </c>
      <c r="B820">
        <v>2013</v>
      </c>
      <c r="C820" s="89">
        <f t="shared" si="41"/>
        <v>11.5</v>
      </c>
      <c r="D820" s="323">
        <v>742667.23</v>
      </c>
      <c r="E820" s="323">
        <f t="shared" si="43"/>
        <v>8540673.1449999996</v>
      </c>
    </row>
    <row r="821" spans="1:6" hidden="1" outlineLevel="2" x14ac:dyDescent="0.2">
      <c r="A821">
        <v>39201</v>
      </c>
      <c r="B821">
        <v>2012</v>
      </c>
      <c r="C821" s="89">
        <f t="shared" si="41"/>
        <v>12.5</v>
      </c>
      <c r="D821" s="323">
        <v>152253.15999999997</v>
      </c>
      <c r="E821" s="323">
        <f t="shared" si="43"/>
        <v>1903164.4999999998</v>
      </c>
    </row>
    <row r="822" spans="1:6" hidden="1" outlineLevel="2" x14ac:dyDescent="0.2">
      <c r="A822">
        <v>39201</v>
      </c>
      <c r="B822">
        <v>2011</v>
      </c>
      <c r="C822" s="89">
        <f t="shared" si="41"/>
        <v>13.5</v>
      </c>
      <c r="D822" s="323">
        <v>504980.21000000008</v>
      </c>
      <c r="E822" s="323">
        <f t="shared" si="43"/>
        <v>6817232.8350000009</v>
      </c>
    </row>
    <row r="823" spans="1:6" hidden="1" outlineLevel="2" x14ac:dyDescent="0.2">
      <c r="A823">
        <v>39201</v>
      </c>
      <c r="B823">
        <v>2010</v>
      </c>
      <c r="C823" s="89">
        <f t="shared" si="41"/>
        <v>14.5</v>
      </c>
      <c r="D823" s="323">
        <v>424184.03</v>
      </c>
      <c r="E823" s="323">
        <f t="shared" si="43"/>
        <v>6150668.4350000005</v>
      </c>
    </row>
    <row r="824" spans="1:6" hidden="1" outlineLevel="2" x14ac:dyDescent="0.2">
      <c r="A824">
        <v>39201</v>
      </c>
      <c r="B824">
        <v>2009</v>
      </c>
      <c r="C824" s="89">
        <f t="shared" si="41"/>
        <v>15.5</v>
      </c>
      <c r="D824" s="323">
        <v>246695.28999999998</v>
      </c>
      <c r="E824" s="323">
        <f t="shared" si="43"/>
        <v>3823776.9949999996</v>
      </c>
    </row>
    <row r="825" spans="1:6" hidden="1" outlineLevel="2" x14ac:dyDescent="0.2">
      <c r="A825">
        <v>39201</v>
      </c>
      <c r="B825">
        <v>2008</v>
      </c>
      <c r="C825" s="89">
        <f t="shared" si="41"/>
        <v>16.5</v>
      </c>
      <c r="D825" s="323">
        <v>71314.789999999994</v>
      </c>
      <c r="E825" s="323">
        <f t="shared" si="43"/>
        <v>1176694.0349999999</v>
      </c>
    </row>
    <row r="826" spans="1:6" hidden="1" outlineLevel="2" x14ac:dyDescent="0.2">
      <c r="A826">
        <v>39201</v>
      </c>
      <c r="B826">
        <v>2007</v>
      </c>
      <c r="C826" s="89">
        <f t="shared" si="41"/>
        <v>17.5</v>
      </c>
      <c r="D826" s="323">
        <v>37028.729999999996</v>
      </c>
      <c r="E826" s="323">
        <f t="shared" si="43"/>
        <v>648002.77499999991</v>
      </c>
    </row>
    <row r="827" spans="1:6" hidden="1" outlineLevel="2" x14ac:dyDescent="0.2">
      <c r="A827">
        <v>39201</v>
      </c>
      <c r="B827">
        <v>2006</v>
      </c>
      <c r="C827" s="89">
        <f t="shared" si="41"/>
        <v>18.5</v>
      </c>
      <c r="D827" s="323">
        <v>87562.87999999999</v>
      </c>
      <c r="E827" s="323">
        <f t="shared" si="43"/>
        <v>1619913.2799999998</v>
      </c>
    </row>
    <row r="828" spans="1:6" hidden="1" outlineLevel="2" x14ac:dyDescent="0.2">
      <c r="A828">
        <v>39201</v>
      </c>
      <c r="B828">
        <v>2005</v>
      </c>
      <c r="C828" s="89">
        <f t="shared" si="41"/>
        <v>19.5</v>
      </c>
      <c r="D828" s="323">
        <v>22425.81</v>
      </c>
      <c r="E828" s="323">
        <f t="shared" si="43"/>
        <v>437303.29500000004</v>
      </c>
    </row>
    <row r="829" spans="1:6" hidden="1" outlineLevel="2" x14ac:dyDescent="0.2">
      <c r="A829">
        <v>39201</v>
      </c>
      <c r="B829">
        <v>2004</v>
      </c>
      <c r="C829" s="89">
        <f t="shared" si="41"/>
        <v>20.5</v>
      </c>
      <c r="D829" s="323">
        <v>74529.36</v>
      </c>
      <c r="E829" s="323">
        <f t="shared" si="43"/>
        <v>1527851.8800000001</v>
      </c>
    </row>
    <row r="830" spans="1:6" hidden="1" outlineLevel="2" x14ac:dyDescent="0.2">
      <c r="A830">
        <v>39201</v>
      </c>
      <c r="B830">
        <v>2002</v>
      </c>
      <c r="C830" s="89">
        <f t="shared" si="41"/>
        <v>22.5</v>
      </c>
      <c r="D830" s="323">
        <v>42654.92</v>
      </c>
      <c r="E830" s="323">
        <f t="shared" si="43"/>
        <v>959735.7</v>
      </c>
    </row>
    <row r="831" spans="1:6" hidden="1" outlineLevel="2" x14ac:dyDescent="0.2">
      <c r="A831">
        <v>39201</v>
      </c>
      <c r="B831">
        <v>2001</v>
      </c>
      <c r="C831" s="89">
        <f t="shared" si="41"/>
        <v>23.5</v>
      </c>
      <c r="D831" s="323">
        <v>36755.440000000002</v>
      </c>
      <c r="E831" s="323">
        <f t="shared" si="43"/>
        <v>863752.84000000008</v>
      </c>
    </row>
    <row r="832" spans="1:6" s="143" customFormat="1" outlineLevel="1" collapsed="1" x14ac:dyDescent="0.2">
      <c r="A832" s="20" t="s">
        <v>1198</v>
      </c>
      <c r="C832" s="89" t="s">
        <v>1230</v>
      </c>
      <c r="D832" s="323">
        <f>SUBTOTAL(9,D809:D831)</f>
        <v>23701574.900950912</v>
      </c>
      <c r="E832" s="323">
        <f>SUBTOTAL(9,E809:E831)</f>
        <v>87240281.82156378</v>
      </c>
      <c r="F832" s="323">
        <f>+E832/D832</f>
        <v>3.6807799560215586</v>
      </c>
    </row>
    <row r="833" spans="1:5" hidden="1" outlineLevel="2" x14ac:dyDescent="0.2">
      <c r="A833">
        <v>39202</v>
      </c>
      <c r="B833">
        <v>2022</v>
      </c>
      <c r="C833" s="89">
        <f t="shared" si="41"/>
        <v>2.5</v>
      </c>
      <c r="D833" s="323">
        <v>2475253.83</v>
      </c>
      <c r="E833" s="323">
        <f t="shared" ref="E833:E851" si="44">+C833*D833</f>
        <v>6188134.5750000002</v>
      </c>
    </row>
    <row r="834" spans="1:5" hidden="1" outlineLevel="2" x14ac:dyDescent="0.2">
      <c r="A834">
        <v>39202</v>
      </c>
      <c r="B834">
        <v>2021</v>
      </c>
      <c r="C834" s="89">
        <f t="shared" si="41"/>
        <v>3.5</v>
      </c>
      <c r="D834" s="323">
        <v>2259093.98</v>
      </c>
      <c r="E834" s="323">
        <f t="shared" si="44"/>
        <v>7906828.9299999997</v>
      </c>
    </row>
    <row r="835" spans="1:5" hidden="1" outlineLevel="2" x14ac:dyDescent="0.2">
      <c r="A835">
        <v>39202</v>
      </c>
      <c r="B835">
        <v>2020</v>
      </c>
      <c r="C835" s="89">
        <f t="shared" si="41"/>
        <v>4.5</v>
      </c>
      <c r="D835" s="323">
        <v>2150749.91</v>
      </c>
      <c r="E835" s="323">
        <f t="shared" si="44"/>
        <v>9678374.5950000007</v>
      </c>
    </row>
    <row r="836" spans="1:5" hidden="1" outlineLevel="2" x14ac:dyDescent="0.2">
      <c r="A836">
        <v>39202</v>
      </c>
      <c r="B836">
        <v>2019</v>
      </c>
      <c r="C836" s="89">
        <f t="shared" si="41"/>
        <v>5.5</v>
      </c>
      <c r="D836" s="323">
        <v>3533710.6</v>
      </c>
      <c r="E836" s="323">
        <f t="shared" si="44"/>
        <v>19435408.300000001</v>
      </c>
    </row>
    <row r="837" spans="1:5" hidden="1" outlineLevel="2" x14ac:dyDescent="0.2">
      <c r="A837">
        <v>39202</v>
      </c>
      <c r="B837">
        <v>2018</v>
      </c>
      <c r="C837" s="89">
        <f t="shared" si="41"/>
        <v>6.5</v>
      </c>
      <c r="D837" s="323">
        <v>1935383.29</v>
      </c>
      <c r="E837" s="323">
        <f t="shared" si="44"/>
        <v>12579991.385</v>
      </c>
    </row>
    <row r="838" spans="1:5" hidden="1" outlineLevel="2" x14ac:dyDescent="0.2">
      <c r="A838">
        <v>39202</v>
      </c>
      <c r="B838">
        <v>2017</v>
      </c>
      <c r="C838" s="89">
        <f t="shared" si="41"/>
        <v>7.5</v>
      </c>
      <c r="D838" s="323">
        <v>1279351.26</v>
      </c>
      <c r="E838" s="323">
        <f t="shared" si="44"/>
        <v>9595134.4499999993</v>
      </c>
    </row>
    <row r="839" spans="1:5" hidden="1" outlineLevel="2" x14ac:dyDescent="0.2">
      <c r="A839">
        <v>39202</v>
      </c>
      <c r="B839">
        <v>2016</v>
      </c>
      <c r="C839" s="89">
        <f t="shared" si="41"/>
        <v>8.5</v>
      </c>
      <c r="D839" s="323">
        <v>1068257.92</v>
      </c>
      <c r="E839" s="323">
        <f t="shared" si="44"/>
        <v>9080192.3200000003</v>
      </c>
    </row>
    <row r="840" spans="1:5" hidden="1" outlineLevel="2" x14ac:dyDescent="0.2">
      <c r="A840">
        <v>39202</v>
      </c>
      <c r="B840">
        <v>2015</v>
      </c>
      <c r="C840" s="89">
        <f t="shared" ref="C840:C903" si="45">2024.5-B840</f>
        <v>9.5</v>
      </c>
      <c r="D840" s="323">
        <v>792939.6</v>
      </c>
      <c r="E840" s="323">
        <f t="shared" si="44"/>
        <v>7532926.2000000002</v>
      </c>
    </row>
    <row r="841" spans="1:5" hidden="1" outlineLevel="2" x14ac:dyDescent="0.2">
      <c r="A841">
        <v>39202</v>
      </c>
      <c r="B841">
        <v>2014</v>
      </c>
      <c r="C841" s="89">
        <f t="shared" si="45"/>
        <v>10.5</v>
      </c>
      <c r="D841" s="323">
        <v>540415.86</v>
      </c>
      <c r="E841" s="323">
        <f t="shared" si="44"/>
        <v>5674366.5300000003</v>
      </c>
    </row>
    <row r="842" spans="1:5" hidden="1" outlineLevel="2" x14ac:dyDescent="0.2">
      <c r="A842">
        <v>39202</v>
      </c>
      <c r="B842">
        <v>2013</v>
      </c>
      <c r="C842" s="89">
        <f t="shared" si="45"/>
        <v>11.5</v>
      </c>
      <c r="D842" s="323">
        <v>543449.20000000007</v>
      </c>
      <c r="E842" s="323">
        <f t="shared" si="44"/>
        <v>6249665.8000000007</v>
      </c>
    </row>
    <row r="843" spans="1:5" hidden="1" outlineLevel="2" x14ac:dyDescent="0.2">
      <c r="A843">
        <v>39202</v>
      </c>
      <c r="B843">
        <v>2012</v>
      </c>
      <c r="C843" s="89">
        <f t="shared" si="45"/>
        <v>12.5</v>
      </c>
      <c r="D843" s="323">
        <v>164947.66</v>
      </c>
      <c r="E843" s="323">
        <f t="shared" si="44"/>
        <v>2061845.75</v>
      </c>
    </row>
    <row r="844" spans="1:5" hidden="1" outlineLevel="2" x14ac:dyDescent="0.2">
      <c r="A844">
        <v>39202</v>
      </c>
      <c r="B844">
        <v>2011</v>
      </c>
      <c r="C844" s="89">
        <f t="shared" si="45"/>
        <v>13.5</v>
      </c>
      <c r="D844" s="323">
        <v>427348.14</v>
      </c>
      <c r="E844" s="323">
        <f t="shared" si="44"/>
        <v>5769199.8900000006</v>
      </c>
    </row>
    <row r="845" spans="1:5" hidden="1" outlineLevel="2" x14ac:dyDescent="0.2">
      <c r="A845">
        <v>39202</v>
      </c>
      <c r="B845">
        <v>2010</v>
      </c>
      <c r="C845" s="89">
        <f t="shared" si="45"/>
        <v>14.5</v>
      </c>
      <c r="D845" s="323">
        <v>274641.56000000006</v>
      </c>
      <c r="E845" s="323">
        <f t="shared" si="44"/>
        <v>3982302.620000001</v>
      </c>
    </row>
    <row r="846" spans="1:5" hidden="1" outlineLevel="2" x14ac:dyDescent="0.2">
      <c r="A846">
        <v>39202</v>
      </c>
      <c r="B846">
        <v>2008</v>
      </c>
      <c r="C846" s="89">
        <f t="shared" si="45"/>
        <v>16.5</v>
      </c>
      <c r="D846" s="323">
        <v>73253.509999999995</v>
      </c>
      <c r="E846" s="323">
        <f t="shared" si="44"/>
        <v>1208682.9149999998</v>
      </c>
    </row>
    <row r="847" spans="1:5" hidden="1" outlineLevel="2" x14ac:dyDescent="0.2">
      <c r="A847">
        <v>39202</v>
      </c>
      <c r="B847">
        <v>2007</v>
      </c>
      <c r="C847" s="89">
        <f t="shared" si="45"/>
        <v>17.5</v>
      </c>
      <c r="D847" s="323">
        <v>147650.81</v>
      </c>
      <c r="E847" s="323">
        <f t="shared" si="44"/>
        <v>2583889.1749999998</v>
      </c>
    </row>
    <row r="848" spans="1:5" hidden="1" outlineLevel="2" x14ac:dyDescent="0.2">
      <c r="A848">
        <v>39202</v>
      </c>
      <c r="B848">
        <v>2006</v>
      </c>
      <c r="C848" s="89">
        <f t="shared" si="45"/>
        <v>18.5</v>
      </c>
      <c r="D848" s="323">
        <v>24202.13</v>
      </c>
      <c r="E848" s="323">
        <f t="shared" si="44"/>
        <v>447739.40500000003</v>
      </c>
    </row>
    <row r="849" spans="1:6" hidden="1" outlineLevel="2" x14ac:dyDescent="0.2">
      <c r="A849">
        <v>39202</v>
      </c>
      <c r="B849">
        <v>2005</v>
      </c>
      <c r="C849" s="89">
        <f t="shared" si="45"/>
        <v>19.5</v>
      </c>
      <c r="D849" s="323">
        <v>34520.57</v>
      </c>
      <c r="E849" s="323">
        <f t="shared" si="44"/>
        <v>673151.11499999999</v>
      </c>
    </row>
    <row r="850" spans="1:6" hidden="1" outlineLevel="2" x14ac:dyDescent="0.2">
      <c r="A850">
        <v>39202</v>
      </c>
      <c r="B850">
        <v>2002</v>
      </c>
      <c r="C850" s="89">
        <f t="shared" si="45"/>
        <v>22.5</v>
      </c>
      <c r="D850" s="323">
        <v>50180.97</v>
      </c>
      <c r="E850" s="323">
        <f t="shared" si="44"/>
        <v>1129071.825</v>
      </c>
    </row>
    <row r="851" spans="1:6" hidden="1" outlineLevel="2" x14ac:dyDescent="0.2">
      <c r="A851">
        <v>39202</v>
      </c>
      <c r="B851">
        <v>1999</v>
      </c>
      <c r="C851" s="89">
        <f t="shared" si="45"/>
        <v>25.5</v>
      </c>
      <c r="D851" s="323">
        <v>28303.89</v>
      </c>
      <c r="E851" s="323">
        <f t="shared" si="44"/>
        <v>721749.19499999995</v>
      </c>
    </row>
    <row r="852" spans="1:6" s="143" customFormat="1" outlineLevel="1" collapsed="1" x14ac:dyDescent="0.2">
      <c r="A852" s="20" t="s">
        <v>1199</v>
      </c>
      <c r="C852" s="89" t="s">
        <v>1230</v>
      </c>
      <c r="D852" s="323">
        <f>SUBTOTAL(9,D833:D851)</f>
        <v>17803654.689999994</v>
      </c>
      <c r="E852" s="323">
        <f>SUBTOTAL(9,E833:E851)</f>
        <v>112498654.97500001</v>
      </c>
      <c r="F852" s="323">
        <f>+E852/D852</f>
        <v>6.3188517713831285</v>
      </c>
    </row>
    <row r="853" spans="1:6" hidden="1" outlineLevel="2" x14ac:dyDescent="0.2">
      <c r="A853">
        <v>39204</v>
      </c>
      <c r="B853">
        <v>2024</v>
      </c>
      <c r="C853" s="89">
        <f t="shared" si="45"/>
        <v>0.5</v>
      </c>
      <c r="D853" s="323">
        <v>69941.248751477717</v>
      </c>
      <c r="E853" s="323">
        <f t="shared" ref="E853:E892" si="46">+C853*D853</f>
        <v>34970.624375738858</v>
      </c>
    </row>
    <row r="854" spans="1:6" hidden="1" outlineLevel="2" x14ac:dyDescent="0.2">
      <c r="A854">
        <v>39204</v>
      </c>
      <c r="B854">
        <v>2023</v>
      </c>
      <c r="C854" s="89">
        <f t="shared" si="45"/>
        <v>1.5</v>
      </c>
      <c r="D854" s="323">
        <v>1315163.5615047601</v>
      </c>
      <c r="E854" s="323">
        <f t="shared" si="46"/>
        <v>1972745.3422571402</v>
      </c>
    </row>
    <row r="855" spans="1:6" hidden="1" outlineLevel="2" x14ac:dyDescent="0.2">
      <c r="A855">
        <v>39204</v>
      </c>
      <c r="B855">
        <v>2022</v>
      </c>
      <c r="C855" s="89">
        <f t="shared" si="45"/>
        <v>2.5</v>
      </c>
      <c r="D855" s="323">
        <v>14459.36</v>
      </c>
      <c r="E855" s="323">
        <f t="shared" si="46"/>
        <v>36148.400000000001</v>
      </c>
    </row>
    <row r="856" spans="1:6" hidden="1" outlineLevel="2" x14ac:dyDescent="0.2">
      <c r="A856">
        <v>39204</v>
      </c>
      <c r="B856">
        <v>2021</v>
      </c>
      <c r="C856" s="89">
        <f t="shared" si="45"/>
        <v>3.5</v>
      </c>
      <c r="D856" s="323">
        <v>29471.59</v>
      </c>
      <c r="E856" s="323">
        <f t="shared" si="46"/>
        <v>103150.565</v>
      </c>
    </row>
    <row r="857" spans="1:6" hidden="1" outlineLevel="2" x14ac:dyDescent="0.2">
      <c r="A857">
        <v>39204</v>
      </c>
      <c r="B857">
        <v>2020</v>
      </c>
      <c r="C857" s="89">
        <f t="shared" si="45"/>
        <v>4.5</v>
      </c>
      <c r="D857" s="323">
        <v>895773.72</v>
      </c>
      <c r="E857" s="323">
        <f t="shared" si="46"/>
        <v>4030981.7399999998</v>
      </c>
    </row>
    <row r="858" spans="1:6" hidden="1" outlineLevel="2" x14ac:dyDescent="0.2">
      <c r="A858">
        <v>39204</v>
      </c>
      <c r="B858">
        <v>2019</v>
      </c>
      <c r="C858" s="89">
        <f t="shared" si="45"/>
        <v>5.5</v>
      </c>
      <c r="D858" s="323">
        <v>1077081.04</v>
      </c>
      <c r="E858" s="323">
        <f t="shared" si="46"/>
        <v>5923945.7200000007</v>
      </c>
    </row>
    <row r="859" spans="1:6" hidden="1" outlineLevel="2" x14ac:dyDescent="0.2">
      <c r="A859">
        <v>39204</v>
      </c>
      <c r="B859">
        <v>2018</v>
      </c>
      <c r="C859" s="89">
        <f t="shared" si="45"/>
        <v>6.5</v>
      </c>
      <c r="D859" s="323">
        <v>20800.900000000001</v>
      </c>
      <c r="E859" s="323">
        <f t="shared" si="46"/>
        <v>135205.85</v>
      </c>
    </row>
    <row r="860" spans="1:6" hidden="1" outlineLevel="2" x14ac:dyDescent="0.2">
      <c r="A860">
        <v>39204</v>
      </c>
      <c r="B860">
        <v>2017</v>
      </c>
      <c r="C860" s="89">
        <f t="shared" si="45"/>
        <v>7.5</v>
      </c>
      <c r="D860" s="323">
        <v>94323.73</v>
      </c>
      <c r="E860" s="323">
        <f t="shared" si="46"/>
        <v>707427.97499999998</v>
      </c>
    </row>
    <row r="861" spans="1:6" hidden="1" outlineLevel="2" x14ac:dyDescent="0.2">
      <c r="A861">
        <v>39204</v>
      </c>
      <c r="B861">
        <v>2016</v>
      </c>
      <c r="C861" s="89">
        <f t="shared" si="45"/>
        <v>8.5</v>
      </c>
      <c r="D861" s="323">
        <v>23325.99</v>
      </c>
      <c r="E861" s="323">
        <f t="shared" si="46"/>
        <v>198270.91500000001</v>
      </c>
    </row>
    <row r="862" spans="1:6" hidden="1" outlineLevel="2" x14ac:dyDescent="0.2">
      <c r="A862">
        <v>39204</v>
      </c>
      <c r="B862">
        <v>2015</v>
      </c>
      <c r="C862" s="89">
        <f t="shared" si="45"/>
        <v>9.5</v>
      </c>
      <c r="D862" s="323">
        <v>5738.84</v>
      </c>
      <c r="E862" s="323">
        <f t="shared" si="46"/>
        <v>54518.98</v>
      </c>
    </row>
    <row r="863" spans="1:6" hidden="1" outlineLevel="2" x14ac:dyDescent="0.2">
      <c r="A863">
        <v>39204</v>
      </c>
      <c r="B863">
        <v>2014</v>
      </c>
      <c r="C863" s="89">
        <f t="shared" si="45"/>
        <v>10.5</v>
      </c>
      <c r="D863" s="323">
        <v>818004.33</v>
      </c>
      <c r="E863" s="323">
        <f t="shared" si="46"/>
        <v>8589045.4649999999</v>
      </c>
    </row>
    <row r="864" spans="1:6" hidden="1" outlineLevel="2" x14ac:dyDescent="0.2">
      <c r="A864">
        <v>39204</v>
      </c>
      <c r="B864">
        <v>2013</v>
      </c>
      <c r="C864" s="89">
        <f t="shared" si="45"/>
        <v>11.5</v>
      </c>
      <c r="D864" s="323">
        <v>13995.21</v>
      </c>
      <c r="E864" s="323">
        <f t="shared" si="46"/>
        <v>160944.91499999998</v>
      </c>
    </row>
    <row r="865" spans="1:5" hidden="1" outlineLevel="2" x14ac:dyDescent="0.2">
      <c r="A865">
        <v>39204</v>
      </c>
      <c r="B865">
        <v>2012</v>
      </c>
      <c r="C865" s="89">
        <f t="shared" si="45"/>
        <v>12.5</v>
      </c>
      <c r="D865" s="323">
        <v>3189.24</v>
      </c>
      <c r="E865" s="323">
        <f t="shared" si="46"/>
        <v>39865.5</v>
      </c>
    </row>
    <row r="866" spans="1:5" hidden="1" outlineLevel="2" x14ac:dyDescent="0.2">
      <c r="A866">
        <v>39204</v>
      </c>
      <c r="B866">
        <v>2011</v>
      </c>
      <c r="C866" s="89">
        <f t="shared" si="45"/>
        <v>13.5</v>
      </c>
      <c r="D866" s="323">
        <v>63338.54</v>
      </c>
      <c r="E866" s="323">
        <f t="shared" si="46"/>
        <v>855070.29</v>
      </c>
    </row>
    <row r="867" spans="1:5" hidden="1" outlineLevel="2" x14ac:dyDescent="0.2">
      <c r="A867">
        <v>39204</v>
      </c>
      <c r="B867">
        <v>2010</v>
      </c>
      <c r="C867" s="89">
        <f t="shared" si="45"/>
        <v>14.5</v>
      </c>
      <c r="D867" s="323">
        <v>2115.2600000000002</v>
      </c>
      <c r="E867" s="323">
        <f t="shared" si="46"/>
        <v>30671.270000000004</v>
      </c>
    </row>
    <row r="868" spans="1:5" hidden="1" outlineLevel="2" x14ac:dyDescent="0.2">
      <c r="A868">
        <v>39204</v>
      </c>
      <c r="B868">
        <v>2009</v>
      </c>
      <c r="C868" s="89">
        <f t="shared" si="45"/>
        <v>15.5</v>
      </c>
      <c r="D868" s="323">
        <v>4641.83</v>
      </c>
      <c r="E868" s="323">
        <f t="shared" si="46"/>
        <v>71948.365000000005</v>
      </c>
    </row>
    <row r="869" spans="1:5" hidden="1" outlineLevel="2" x14ac:dyDescent="0.2">
      <c r="A869">
        <v>39204</v>
      </c>
      <c r="B869">
        <v>2008</v>
      </c>
      <c r="C869" s="89">
        <f t="shared" si="45"/>
        <v>16.5</v>
      </c>
      <c r="D869" s="323">
        <v>6491.02</v>
      </c>
      <c r="E869" s="323">
        <f t="shared" si="46"/>
        <v>107101.83</v>
      </c>
    </row>
    <row r="870" spans="1:5" hidden="1" outlineLevel="2" x14ac:dyDescent="0.2">
      <c r="A870">
        <v>39204</v>
      </c>
      <c r="B870">
        <v>2007</v>
      </c>
      <c r="C870" s="89">
        <f t="shared" si="45"/>
        <v>17.5</v>
      </c>
      <c r="D870" s="323">
        <v>11864.93</v>
      </c>
      <c r="E870" s="323">
        <f t="shared" si="46"/>
        <v>207636.27499999999</v>
      </c>
    </row>
    <row r="871" spans="1:5" hidden="1" outlineLevel="2" x14ac:dyDescent="0.2">
      <c r="A871">
        <v>39204</v>
      </c>
      <c r="B871">
        <v>2006</v>
      </c>
      <c r="C871" s="89">
        <f t="shared" si="45"/>
        <v>18.5</v>
      </c>
      <c r="D871" s="323">
        <v>3047.57</v>
      </c>
      <c r="E871" s="323">
        <f t="shared" si="46"/>
        <v>56380.045000000006</v>
      </c>
    </row>
    <row r="872" spans="1:5" hidden="1" outlineLevel="2" x14ac:dyDescent="0.2">
      <c r="A872">
        <v>39204</v>
      </c>
      <c r="B872">
        <v>2005</v>
      </c>
      <c r="C872" s="89">
        <f t="shared" si="45"/>
        <v>19.5</v>
      </c>
      <c r="D872" s="323">
        <v>4071</v>
      </c>
      <c r="E872" s="323">
        <f t="shared" si="46"/>
        <v>79384.5</v>
      </c>
    </row>
    <row r="873" spans="1:5" hidden="1" outlineLevel="2" x14ac:dyDescent="0.2">
      <c r="A873">
        <v>39204</v>
      </c>
      <c r="B873">
        <v>2004</v>
      </c>
      <c r="C873" s="89">
        <f t="shared" si="45"/>
        <v>20.5</v>
      </c>
      <c r="D873" s="323">
        <v>3983.48</v>
      </c>
      <c r="E873" s="323">
        <f t="shared" si="46"/>
        <v>81661.34</v>
      </c>
    </row>
    <row r="874" spans="1:5" hidden="1" outlineLevel="2" x14ac:dyDescent="0.2">
      <c r="A874">
        <v>39204</v>
      </c>
      <c r="B874">
        <v>2003</v>
      </c>
      <c r="C874" s="89">
        <f t="shared" si="45"/>
        <v>21.5</v>
      </c>
      <c r="D874" s="323">
        <v>4435.24</v>
      </c>
      <c r="E874" s="323">
        <f t="shared" si="46"/>
        <v>95357.659999999989</v>
      </c>
    </row>
    <row r="875" spans="1:5" hidden="1" outlineLevel="2" x14ac:dyDescent="0.2">
      <c r="A875">
        <v>39204</v>
      </c>
      <c r="B875">
        <v>2001</v>
      </c>
      <c r="C875" s="89">
        <f t="shared" si="45"/>
        <v>23.5</v>
      </c>
      <c r="D875" s="323">
        <v>19226.38</v>
      </c>
      <c r="E875" s="323">
        <f t="shared" si="46"/>
        <v>451819.93000000005</v>
      </c>
    </row>
    <row r="876" spans="1:5" hidden="1" outlineLevel="2" x14ac:dyDescent="0.2">
      <c r="A876">
        <v>39204</v>
      </c>
      <c r="B876">
        <v>2000</v>
      </c>
      <c r="C876" s="89">
        <f t="shared" si="45"/>
        <v>24.5</v>
      </c>
      <c r="D876" s="323">
        <v>6398.95</v>
      </c>
      <c r="E876" s="323">
        <f t="shared" si="46"/>
        <v>156774.27499999999</v>
      </c>
    </row>
    <row r="877" spans="1:5" hidden="1" outlineLevel="2" x14ac:dyDescent="0.2">
      <c r="A877">
        <v>39204</v>
      </c>
      <c r="B877">
        <v>1999</v>
      </c>
      <c r="C877" s="89">
        <f t="shared" si="45"/>
        <v>25.5</v>
      </c>
      <c r="D877" s="323">
        <v>5017.6400000000003</v>
      </c>
      <c r="E877" s="323">
        <f t="shared" si="46"/>
        <v>127949.82</v>
      </c>
    </row>
    <row r="878" spans="1:5" hidden="1" outlineLevel="2" x14ac:dyDescent="0.2">
      <c r="A878">
        <v>39204</v>
      </c>
      <c r="B878">
        <v>1998</v>
      </c>
      <c r="C878" s="89">
        <f t="shared" si="45"/>
        <v>26.5</v>
      </c>
      <c r="D878" s="323">
        <v>14707.84</v>
      </c>
      <c r="E878" s="323">
        <f t="shared" si="46"/>
        <v>389757.76</v>
      </c>
    </row>
    <row r="879" spans="1:5" hidden="1" outlineLevel="2" x14ac:dyDescent="0.2">
      <c r="A879">
        <v>39204</v>
      </c>
      <c r="B879">
        <v>1997</v>
      </c>
      <c r="C879" s="89">
        <f t="shared" si="45"/>
        <v>27.5</v>
      </c>
      <c r="D879" s="323">
        <v>14299.11</v>
      </c>
      <c r="E879" s="323">
        <f t="shared" si="46"/>
        <v>393225.52500000002</v>
      </c>
    </row>
    <row r="880" spans="1:5" hidden="1" outlineLevel="2" x14ac:dyDescent="0.2">
      <c r="A880">
        <v>39204</v>
      </c>
      <c r="B880">
        <v>1996</v>
      </c>
      <c r="C880" s="89">
        <f t="shared" si="45"/>
        <v>28.5</v>
      </c>
      <c r="D880" s="323">
        <v>58319.86</v>
      </c>
      <c r="E880" s="323">
        <f t="shared" si="46"/>
        <v>1662116.01</v>
      </c>
    </row>
    <row r="881" spans="1:6" hidden="1" outlineLevel="2" x14ac:dyDescent="0.2">
      <c r="A881">
        <v>39204</v>
      </c>
      <c r="B881">
        <v>1995</v>
      </c>
      <c r="C881" s="89">
        <f t="shared" si="45"/>
        <v>29.5</v>
      </c>
      <c r="D881" s="323">
        <v>7475</v>
      </c>
      <c r="E881" s="323">
        <f t="shared" si="46"/>
        <v>220512.5</v>
      </c>
    </row>
    <row r="882" spans="1:6" hidden="1" outlineLevel="2" x14ac:dyDescent="0.2">
      <c r="A882">
        <v>39204</v>
      </c>
      <c r="B882">
        <v>1994</v>
      </c>
      <c r="C882" s="89">
        <f t="shared" si="45"/>
        <v>30.5</v>
      </c>
      <c r="D882" s="323">
        <v>34745.96</v>
      </c>
      <c r="E882" s="323">
        <f t="shared" si="46"/>
        <v>1059751.78</v>
      </c>
    </row>
    <row r="883" spans="1:6" hidden="1" outlineLevel="2" x14ac:dyDescent="0.2">
      <c r="A883">
        <v>39204</v>
      </c>
      <c r="B883">
        <v>1991</v>
      </c>
      <c r="C883" s="89">
        <f t="shared" si="45"/>
        <v>33.5</v>
      </c>
      <c r="D883" s="323">
        <v>6535.4</v>
      </c>
      <c r="E883" s="323">
        <f t="shared" si="46"/>
        <v>218935.9</v>
      </c>
    </row>
    <row r="884" spans="1:6" hidden="1" outlineLevel="2" x14ac:dyDescent="0.2">
      <c r="A884">
        <v>39204</v>
      </c>
      <c r="B884">
        <v>1990</v>
      </c>
      <c r="C884" s="89">
        <f t="shared" si="45"/>
        <v>34.5</v>
      </c>
      <c r="D884" s="323">
        <v>3623.68</v>
      </c>
      <c r="E884" s="323">
        <f t="shared" si="46"/>
        <v>125016.95999999999</v>
      </c>
    </row>
    <row r="885" spans="1:6" hidden="1" outlineLevel="2" x14ac:dyDescent="0.2">
      <c r="A885">
        <v>39204</v>
      </c>
      <c r="B885">
        <v>1988</v>
      </c>
      <c r="C885" s="89">
        <f t="shared" si="45"/>
        <v>36.5</v>
      </c>
      <c r="D885" s="323">
        <v>6252.55</v>
      </c>
      <c r="E885" s="323">
        <f t="shared" si="46"/>
        <v>228218.07500000001</v>
      </c>
    </row>
    <row r="886" spans="1:6" hidden="1" outlineLevel="2" x14ac:dyDescent="0.2">
      <c r="A886">
        <v>39204</v>
      </c>
      <c r="B886">
        <v>1987</v>
      </c>
      <c r="C886" s="89">
        <f t="shared" si="45"/>
        <v>37.5</v>
      </c>
      <c r="D886" s="323">
        <v>4914.45</v>
      </c>
      <c r="E886" s="323">
        <f t="shared" si="46"/>
        <v>184291.875</v>
      </c>
    </row>
    <row r="887" spans="1:6" hidden="1" outlineLevel="2" x14ac:dyDescent="0.2">
      <c r="A887">
        <v>39204</v>
      </c>
      <c r="B887">
        <v>1986</v>
      </c>
      <c r="C887" s="89">
        <f t="shared" si="45"/>
        <v>38.5</v>
      </c>
      <c r="D887" s="323">
        <v>1577.73</v>
      </c>
      <c r="E887" s="323">
        <f t="shared" si="46"/>
        <v>60742.605000000003</v>
      </c>
    </row>
    <row r="888" spans="1:6" hidden="1" outlineLevel="2" x14ac:dyDescent="0.2">
      <c r="A888">
        <v>39204</v>
      </c>
      <c r="B888">
        <v>1984</v>
      </c>
      <c r="C888" s="89">
        <f t="shared" si="45"/>
        <v>40.5</v>
      </c>
      <c r="D888" s="323">
        <v>1671.8</v>
      </c>
      <c r="E888" s="323">
        <f t="shared" si="46"/>
        <v>67707.899999999994</v>
      </c>
    </row>
    <row r="889" spans="1:6" hidden="1" outlineLevel="2" x14ac:dyDescent="0.2">
      <c r="A889">
        <v>39204</v>
      </c>
      <c r="B889">
        <v>1982</v>
      </c>
      <c r="C889" s="89">
        <f t="shared" si="45"/>
        <v>42.5</v>
      </c>
      <c r="D889" s="323">
        <v>6121.82</v>
      </c>
      <c r="E889" s="323">
        <f t="shared" si="46"/>
        <v>260177.34999999998</v>
      </c>
    </row>
    <row r="890" spans="1:6" hidden="1" outlineLevel="2" x14ac:dyDescent="0.2">
      <c r="A890">
        <v>39204</v>
      </c>
      <c r="B890">
        <v>1978</v>
      </c>
      <c r="C890" s="89">
        <f t="shared" si="45"/>
        <v>46.5</v>
      </c>
      <c r="D890" s="323">
        <v>3068</v>
      </c>
      <c r="E890" s="323">
        <f t="shared" si="46"/>
        <v>142662</v>
      </c>
    </row>
    <row r="891" spans="1:6" hidden="1" outlineLevel="2" x14ac:dyDescent="0.2">
      <c r="A891">
        <v>39204</v>
      </c>
      <c r="B891">
        <v>1976</v>
      </c>
      <c r="C891" s="89">
        <f t="shared" si="45"/>
        <v>48.5</v>
      </c>
      <c r="D891" s="323">
        <v>1425.84</v>
      </c>
      <c r="E891" s="323">
        <f t="shared" si="46"/>
        <v>69153.239999999991</v>
      </c>
    </row>
    <row r="892" spans="1:6" hidden="1" outlineLevel="2" x14ac:dyDescent="0.2">
      <c r="A892">
        <v>39204</v>
      </c>
      <c r="B892">
        <v>1974</v>
      </c>
      <c r="C892" s="89">
        <f t="shared" si="45"/>
        <v>50.5</v>
      </c>
      <c r="D892" s="323">
        <v>927.68</v>
      </c>
      <c r="E892" s="323">
        <f t="shared" si="46"/>
        <v>46847.839999999997</v>
      </c>
    </row>
    <row r="893" spans="1:6" s="143" customFormat="1" outlineLevel="1" collapsed="1" x14ac:dyDescent="0.2">
      <c r="A893" s="20" t="s">
        <v>1200</v>
      </c>
      <c r="C893" s="89" t="s">
        <v>1230</v>
      </c>
      <c r="D893" s="323">
        <f>SUBTOTAL(9,D853:D892)</f>
        <v>4681567.3202562388</v>
      </c>
      <c r="E893" s="323">
        <f>SUBTOTAL(9,E853:E892)</f>
        <v>29438094.911632873</v>
      </c>
      <c r="F893" s="323">
        <f>+E893/D893</f>
        <v>6.2880853564275183</v>
      </c>
    </row>
    <row r="894" spans="1:6" hidden="1" outlineLevel="2" x14ac:dyDescent="0.2">
      <c r="A894">
        <v>39205</v>
      </c>
      <c r="B894">
        <v>2020</v>
      </c>
      <c r="C894" s="89">
        <f t="shared" si="45"/>
        <v>4.5</v>
      </c>
      <c r="D894" s="323">
        <v>571330.16999999993</v>
      </c>
      <c r="E894" s="323">
        <f t="shared" ref="E894:E908" si="47">+C894*D894</f>
        <v>2570985.7649999997</v>
      </c>
    </row>
    <row r="895" spans="1:6" hidden="1" outlineLevel="2" x14ac:dyDescent="0.2">
      <c r="A895">
        <v>39205</v>
      </c>
      <c r="B895">
        <v>2019</v>
      </c>
      <c r="C895" s="89">
        <f t="shared" si="45"/>
        <v>5.5</v>
      </c>
      <c r="D895" s="323">
        <v>623444.4</v>
      </c>
      <c r="E895" s="323">
        <f t="shared" si="47"/>
        <v>3428944.2</v>
      </c>
    </row>
    <row r="896" spans="1:6" hidden="1" outlineLevel="2" x14ac:dyDescent="0.2">
      <c r="A896">
        <v>39205</v>
      </c>
      <c r="B896">
        <v>2018</v>
      </c>
      <c r="C896" s="89">
        <f t="shared" si="45"/>
        <v>6.5</v>
      </c>
      <c r="D896" s="323">
        <v>130825.56</v>
      </c>
      <c r="E896" s="323">
        <f t="shared" si="47"/>
        <v>850366.14</v>
      </c>
    </row>
    <row r="897" spans="1:6" hidden="1" outlineLevel="2" x14ac:dyDescent="0.2">
      <c r="A897">
        <v>39205</v>
      </c>
      <c r="B897">
        <v>2016</v>
      </c>
      <c r="C897" s="89">
        <f t="shared" si="45"/>
        <v>8.5</v>
      </c>
      <c r="D897" s="323">
        <v>202698.33000000002</v>
      </c>
      <c r="E897" s="323">
        <f t="shared" si="47"/>
        <v>1722935.8050000002</v>
      </c>
    </row>
    <row r="898" spans="1:6" hidden="1" outlineLevel="2" x14ac:dyDescent="0.2">
      <c r="A898">
        <v>39205</v>
      </c>
      <c r="B898">
        <v>2015</v>
      </c>
      <c r="C898" s="89">
        <f t="shared" si="45"/>
        <v>9.5</v>
      </c>
      <c r="D898" s="323">
        <v>576414.01</v>
      </c>
      <c r="E898" s="323">
        <f t="shared" si="47"/>
        <v>5475933.0949999997</v>
      </c>
    </row>
    <row r="899" spans="1:6" hidden="1" outlineLevel="2" x14ac:dyDescent="0.2">
      <c r="A899">
        <v>39205</v>
      </c>
      <c r="B899">
        <v>2014</v>
      </c>
      <c r="C899" s="89">
        <f t="shared" si="45"/>
        <v>10.5</v>
      </c>
      <c r="D899" s="323">
        <v>134191.32</v>
      </c>
      <c r="E899" s="323">
        <f t="shared" si="47"/>
        <v>1409008.86</v>
      </c>
    </row>
    <row r="900" spans="1:6" hidden="1" outlineLevel="2" x14ac:dyDescent="0.2">
      <c r="A900">
        <v>39205</v>
      </c>
      <c r="B900">
        <v>2013</v>
      </c>
      <c r="C900" s="89">
        <f t="shared" si="45"/>
        <v>11.5</v>
      </c>
      <c r="D900" s="323">
        <v>67792.77</v>
      </c>
      <c r="E900" s="323">
        <f t="shared" si="47"/>
        <v>779616.8550000001</v>
      </c>
    </row>
    <row r="901" spans="1:6" hidden="1" outlineLevel="2" x14ac:dyDescent="0.2">
      <c r="A901">
        <v>39205</v>
      </c>
      <c r="B901">
        <v>2011</v>
      </c>
      <c r="C901" s="89">
        <f t="shared" si="45"/>
        <v>13.5</v>
      </c>
      <c r="D901" s="323">
        <v>0</v>
      </c>
      <c r="E901" s="323">
        <f t="shared" si="47"/>
        <v>0</v>
      </c>
    </row>
    <row r="902" spans="1:6" hidden="1" outlineLevel="2" x14ac:dyDescent="0.2">
      <c r="A902">
        <v>39205</v>
      </c>
      <c r="B902">
        <v>2010</v>
      </c>
      <c r="C902" s="89">
        <f t="shared" si="45"/>
        <v>14.5</v>
      </c>
      <c r="D902" s="323">
        <v>8912.49</v>
      </c>
      <c r="E902" s="323">
        <f t="shared" si="47"/>
        <v>129231.105</v>
      </c>
    </row>
    <row r="903" spans="1:6" hidden="1" outlineLevel="2" x14ac:dyDescent="0.2">
      <c r="A903">
        <v>39205</v>
      </c>
      <c r="B903">
        <v>2007</v>
      </c>
      <c r="C903" s="89">
        <f t="shared" si="45"/>
        <v>17.5</v>
      </c>
      <c r="D903" s="323">
        <v>71334.69</v>
      </c>
      <c r="E903" s="323">
        <f t="shared" si="47"/>
        <v>1248357.075</v>
      </c>
    </row>
    <row r="904" spans="1:6" hidden="1" outlineLevel="2" x14ac:dyDescent="0.2">
      <c r="A904">
        <v>39205</v>
      </c>
      <c r="B904">
        <v>2006</v>
      </c>
      <c r="C904" s="89">
        <f t="shared" ref="C904:C967" si="48">2024.5-B904</f>
        <v>18.5</v>
      </c>
      <c r="D904" s="323">
        <v>120234.03000000001</v>
      </c>
      <c r="E904" s="323">
        <f t="shared" si="47"/>
        <v>2224329.5550000002</v>
      </c>
    </row>
    <row r="905" spans="1:6" hidden="1" outlineLevel="2" x14ac:dyDescent="0.2">
      <c r="A905">
        <v>39205</v>
      </c>
      <c r="B905">
        <v>2005</v>
      </c>
      <c r="C905" s="89">
        <f t="shared" si="48"/>
        <v>19.5</v>
      </c>
      <c r="D905" s="323">
        <v>10202.86</v>
      </c>
      <c r="E905" s="323">
        <f t="shared" si="47"/>
        <v>198955.77000000002</v>
      </c>
    </row>
    <row r="906" spans="1:6" hidden="1" outlineLevel="2" x14ac:dyDescent="0.2">
      <c r="A906">
        <v>39205</v>
      </c>
      <c r="B906">
        <v>2001</v>
      </c>
      <c r="C906" s="89">
        <f t="shared" si="48"/>
        <v>23.5</v>
      </c>
      <c r="D906" s="323">
        <v>0</v>
      </c>
      <c r="E906" s="323">
        <f t="shared" si="47"/>
        <v>0</v>
      </c>
    </row>
    <row r="907" spans="1:6" hidden="1" outlineLevel="2" x14ac:dyDescent="0.2">
      <c r="A907">
        <v>39205</v>
      </c>
      <c r="B907">
        <v>1993</v>
      </c>
      <c r="C907" s="89">
        <f t="shared" si="48"/>
        <v>31.5</v>
      </c>
      <c r="D907" s="323">
        <v>0</v>
      </c>
      <c r="E907" s="323">
        <f t="shared" si="47"/>
        <v>0</v>
      </c>
    </row>
    <row r="908" spans="1:6" hidden="1" outlineLevel="2" x14ac:dyDescent="0.2">
      <c r="A908">
        <v>39205</v>
      </c>
      <c r="B908">
        <v>1992</v>
      </c>
      <c r="C908" s="89">
        <f t="shared" si="48"/>
        <v>32.5</v>
      </c>
      <c r="D908" s="323">
        <v>46758.6</v>
      </c>
      <c r="E908" s="323">
        <f t="shared" si="47"/>
        <v>1519654.5</v>
      </c>
    </row>
    <row r="909" spans="1:6" s="143" customFormat="1" outlineLevel="1" collapsed="1" x14ac:dyDescent="0.2">
      <c r="A909" s="20" t="s">
        <v>1201</v>
      </c>
      <c r="C909" s="89" t="s">
        <v>1230</v>
      </c>
      <c r="D909" s="323">
        <f>SUBTOTAL(9,D894:D908)</f>
        <v>2564139.2299999995</v>
      </c>
      <c r="E909" s="323">
        <f>SUBTOTAL(9,E894:E908)</f>
        <v>21558318.724999998</v>
      </c>
      <c r="F909" s="323">
        <f>+E909/D909</f>
        <v>8.4076240762479983</v>
      </c>
    </row>
    <row r="910" spans="1:6" hidden="1" outlineLevel="2" x14ac:dyDescent="0.2">
      <c r="A910">
        <v>39300</v>
      </c>
      <c r="B910">
        <v>2012</v>
      </c>
      <c r="C910" s="89">
        <f t="shared" si="48"/>
        <v>12.5</v>
      </c>
      <c r="D910" s="323">
        <v>1283.3900000000001</v>
      </c>
      <c r="E910" s="323">
        <f>+C910*D910</f>
        <v>16042.375000000002</v>
      </c>
    </row>
    <row r="911" spans="1:6" s="143" customFormat="1" outlineLevel="1" collapsed="1" x14ac:dyDescent="0.2">
      <c r="A911" s="20" t="s">
        <v>1202</v>
      </c>
      <c r="C911" s="89" t="s">
        <v>1230</v>
      </c>
      <c r="D911" s="323">
        <f>SUBTOTAL(9,D910:D910)</f>
        <v>1283.3900000000001</v>
      </c>
      <c r="E911" s="323">
        <f>SUBTOTAL(9,E910:E910)</f>
        <v>16042.375000000002</v>
      </c>
      <c r="F911" s="323">
        <f>+E911/D911</f>
        <v>12.5</v>
      </c>
    </row>
    <row r="912" spans="1:6" hidden="1" outlineLevel="2" x14ac:dyDescent="0.2">
      <c r="A912">
        <v>39400</v>
      </c>
      <c r="B912">
        <v>2024</v>
      </c>
      <c r="C912" s="89">
        <f t="shared" si="48"/>
        <v>0.5</v>
      </c>
      <c r="D912" s="323">
        <v>823262</v>
      </c>
      <c r="E912" s="323">
        <f t="shared" ref="E912:E932" si="49">+C912*D912</f>
        <v>411631</v>
      </c>
    </row>
    <row r="913" spans="1:5" hidden="1" outlineLevel="2" x14ac:dyDescent="0.2">
      <c r="A913">
        <v>39400</v>
      </c>
      <c r="B913">
        <v>2023</v>
      </c>
      <c r="C913" s="89">
        <f t="shared" si="48"/>
        <v>1.5</v>
      </c>
      <c r="D913" s="323">
        <v>1605734.5099999998</v>
      </c>
      <c r="E913" s="323">
        <f t="shared" si="49"/>
        <v>2408601.7649999997</v>
      </c>
    </row>
    <row r="914" spans="1:5" hidden="1" outlineLevel="2" x14ac:dyDescent="0.2">
      <c r="A914">
        <v>39400</v>
      </c>
      <c r="B914">
        <v>2022</v>
      </c>
      <c r="C914" s="89">
        <f t="shared" si="48"/>
        <v>2.5</v>
      </c>
      <c r="D914" s="323">
        <v>70095.72</v>
      </c>
      <c r="E914" s="323">
        <f t="shared" si="49"/>
        <v>175239.3</v>
      </c>
    </row>
    <row r="915" spans="1:5" hidden="1" outlineLevel="2" x14ac:dyDescent="0.2">
      <c r="A915">
        <v>39400</v>
      </c>
      <c r="B915">
        <v>2021</v>
      </c>
      <c r="C915" s="89">
        <f t="shared" si="48"/>
        <v>3.5</v>
      </c>
      <c r="D915" s="323">
        <v>43089.54</v>
      </c>
      <c r="E915" s="323">
        <f t="shared" si="49"/>
        <v>150813.39000000001</v>
      </c>
    </row>
    <row r="916" spans="1:5" hidden="1" outlineLevel="2" x14ac:dyDescent="0.2">
      <c r="A916">
        <v>39400</v>
      </c>
      <c r="B916">
        <v>2020</v>
      </c>
      <c r="C916" s="89">
        <f t="shared" si="48"/>
        <v>4.5</v>
      </c>
      <c r="D916" s="323">
        <v>138839.27000000002</v>
      </c>
      <c r="E916" s="323">
        <f t="shared" si="49"/>
        <v>624776.71500000008</v>
      </c>
    </row>
    <row r="917" spans="1:5" hidden="1" outlineLevel="2" x14ac:dyDescent="0.2">
      <c r="A917">
        <v>39400</v>
      </c>
      <c r="B917">
        <v>2019</v>
      </c>
      <c r="C917" s="89">
        <f t="shared" si="48"/>
        <v>5.5</v>
      </c>
      <c r="D917" s="323">
        <v>169435.99</v>
      </c>
      <c r="E917" s="323">
        <f t="shared" si="49"/>
        <v>931897.94499999995</v>
      </c>
    </row>
    <row r="918" spans="1:5" hidden="1" outlineLevel="2" x14ac:dyDescent="0.2">
      <c r="A918">
        <v>39400</v>
      </c>
      <c r="B918">
        <v>2018</v>
      </c>
      <c r="C918" s="89">
        <f t="shared" si="48"/>
        <v>6.5</v>
      </c>
      <c r="D918" s="323">
        <v>185617.31999999998</v>
      </c>
      <c r="E918" s="323">
        <f t="shared" si="49"/>
        <v>1206512.5799999998</v>
      </c>
    </row>
    <row r="919" spans="1:5" hidden="1" outlineLevel="2" x14ac:dyDescent="0.2">
      <c r="A919">
        <v>39400</v>
      </c>
      <c r="B919">
        <v>2017</v>
      </c>
      <c r="C919" s="89">
        <f t="shared" si="48"/>
        <v>7.5</v>
      </c>
      <c r="D919" s="323">
        <v>131580.30000000002</v>
      </c>
      <c r="E919" s="323">
        <f t="shared" si="49"/>
        <v>986852.25000000012</v>
      </c>
    </row>
    <row r="920" spans="1:5" hidden="1" outlineLevel="2" x14ac:dyDescent="0.2">
      <c r="A920">
        <v>39400</v>
      </c>
      <c r="B920">
        <v>2016</v>
      </c>
      <c r="C920" s="89">
        <f t="shared" si="48"/>
        <v>8.5</v>
      </c>
      <c r="D920" s="323">
        <v>303818.81</v>
      </c>
      <c r="E920" s="323">
        <f t="shared" si="49"/>
        <v>2582459.8849999998</v>
      </c>
    </row>
    <row r="921" spans="1:5" hidden="1" outlineLevel="2" x14ac:dyDescent="0.2">
      <c r="A921">
        <v>39400</v>
      </c>
      <c r="B921">
        <v>2015</v>
      </c>
      <c r="C921" s="89">
        <f t="shared" si="48"/>
        <v>9.5</v>
      </c>
      <c r="D921" s="323">
        <v>2693626.21</v>
      </c>
      <c r="E921" s="323">
        <f t="shared" si="49"/>
        <v>25589448.995000001</v>
      </c>
    </row>
    <row r="922" spans="1:5" hidden="1" outlineLevel="2" x14ac:dyDescent="0.2">
      <c r="A922">
        <v>39400</v>
      </c>
      <c r="B922">
        <v>2014</v>
      </c>
      <c r="C922" s="89">
        <f t="shared" si="48"/>
        <v>10.5</v>
      </c>
      <c r="D922" s="323">
        <v>1471365.8900000001</v>
      </c>
      <c r="E922" s="323">
        <f t="shared" si="49"/>
        <v>15449341.845000001</v>
      </c>
    </row>
    <row r="923" spans="1:5" hidden="1" outlineLevel="2" x14ac:dyDescent="0.2">
      <c r="A923">
        <v>39400</v>
      </c>
      <c r="B923">
        <v>2013</v>
      </c>
      <c r="C923" s="89">
        <f t="shared" si="48"/>
        <v>11.5</v>
      </c>
      <c r="D923" s="323">
        <v>386884.17</v>
      </c>
      <c r="E923" s="323">
        <f t="shared" si="49"/>
        <v>4449167.9550000001</v>
      </c>
    </row>
    <row r="924" spans="1:5" hidden="1" outlineLevel="2" x14ac:dyDescent="0.2">
      <c r="A924">
        <v>39400</v>
      </c>
      <c r="B924">
        <v>2012</v>
      </c>
      <c r="C924" s="89">
        <f t="shared" si="48"/>
        <v>12.5</v>
      </c>
      <c r="D924" s="323">
        <v>160080.34000000005</v>
      </c>
      <c r="E924" s="323">
        <f t="shared" si="49"/>
        <v>2001004.2500000007</v>
      </c>
    </row>
    <row r="925" spans="1:5" hidden="1" outlineLevel="2" x14ac:dyDescent="0.2">
      <c r="A925">
        <v>39400</v>
      </c>
      <c r="B925">
        <v>2011</v>
      </c>
      <c r="C925" s="89">
        <f t="shared" si="48"/>
        <v>13.5</v>
      </c>
      <c r="D925" s="323">
        <v>370307.51999999996</v>
      </c>
      <c r="E925" s="323">
        <f t="shared" si="49"/>
        <v>4999151.5199999996</v>
      </c>
    </row>
    <row r="926" spans="1:5" hidden="1" outlineLevel="2" x14ac:dyDescent="0.2">
      <c r="A926">
        <v>39400</v>
      </c>
      <c r="B926">
        <v>2010</v>
      </c>
      <c r="C926" s="89">
        <f t="shared" si="48"/>
        <v>14.5</v>
      </c>
      <c r="D926" s="323">
        <v>165917.14999999997</v>
      </c>
      <c r="E926" s="323">
        <f t="shared" si="49"/>
        <v>2405798.6749999993</v>
      </c>
    </row>
    <row r="927" spans="1:5" hidden="1" outlineLevel="2" x14ac:dyDescent="0.2">
      <c r="A927">
        <v>39400</v>
      </c>
      <c r="B927">
        <v>2009</v>
      </c>
      <c r="C927" s="89">
        <f t="shared" si="48"/>
        <v>15.5</v>
      </c>
      <c r="D927" s="323">
        <v>211344.44999999998</v>
      </c>
      <c r="E927" s="323">
        <f t="shared" si="49"/>
        <v>3275838.9749999996</v>
      </c>
    </row>
    <row r="928" spans="1:5" hidden="1" outlineLevel="2" x14ac:dyDescent="0.2">
      <c r="A928">
        <v>39400</v>
      </c>
      <c r="B928">
        <v>2008</v>
      </c>
      <c r="C928" s="89">
        <f t="shared" si="48"/>
        <v>16.5</v>
      </c>
      <c r="D928" s="323">
        <v>77877.13</v>
      </c>
      <c r="E928" s="323">
        <f t="shared" si="49"/>
        <v>1284972.645</v>
      </c>
    </row>
    <row r="929" spans="1:6" hidden="1" outlineLevel="2" x14ac:dyDescent="0.2">
      <c r="A929">
        <v>39400</v>
      </c>
      <c r="B929">
        <v>2007</v>
      </c>
      <c r="C929" s="89">
        <f t="shared" si="48"/>
        <v>17.5</v>
      </c>
      <c r="D929" s="323">
        <v>120829</v>
      </c>
      <c r="E929" s="323">
        <f t="shared" si="49"/>
        <v>2114507.5</v>
      </c>
    </row>
    <row r="930" spans="1:6" hidden="1" outlineLevel="2" x14ac:dyDescent="0.2">
      <c r="A930">
        <v>39400</v>
      </c>
      <c r="B930">
        <v>2006</v>
      </c>
      <c r="C930" s="89">
        <f t="shared" si="48"/>
        <v>18.5</v>
      </c>
      <c r="D930" s="323">
        <v>102556.61</v>
      </c>
      <c r="E930" s="323">
        <f t="shared" si="49"/>
        <v>1897297.2849999999</v>
      </c>
    </row>
    <row r="931" spans="1:6" hidden="1" outlineLevel="2" x14ac:dyDescent="0.2">
      <c r="A931">
        <v>39400</v>
      </c>
      <c r="B931">
        <v>2005</v>
      </c>
      <c r="C931" s="89">
        <f t="shared" si="48"/>
        <v>19.5</v>
      </c>
      <c r="D931" s="323">
        <v>102633.27</v>
      </c>
      <c r="E931" s="323">
        <f t="shared" si="49"/>
        <v>2001348.7650000001</v>
      </c>
    </row>
    <row r="932" spans="1:6" hidden="1" outlineLevel="2" x14ac:dyDescent="0.2">
      <c r="A932">
        <v>39400</v>
      </c>
      <c r="B932">
        <v>2004</v>
      </c>
      <c r="C932" s="89">
        <f t="shared" si="48"/>
        <v>20.5</v>
      </c>
      <c r="D932" s="323">
        <v>10203.200000000012</v>
      </c>
      <c r="E932" s="323">
        <f t="shared" si="49"/>
        <v>209165.60000000024</v>
      </c>
    </row>
    <row r="933" spans="1:6" s="143" customFormat="1" outlineLevel="1" collapsed="1" x14ac:dyDescent="0.2">
      <c r="A933" s="20" t="s">
        <v>1203</v>
      </c>
      <c r="C933" s="89" t="s">
        <v>1230</v>
      </c>
      <c r="D933" s="323">
        <f>SUBTOTAL(9,D912:D932)</f>
        <v>9345098.3999999985</v>
      </c>
      <c r="E933" s="323">
        <f>SUBTOTAL(9,E912:E932)</f>
        <v>75155828.839999974</v>
      </c>
      <c r="F933" s="323">
        <f>+E933/D933</f>
        <v>8.0422726035715133</v>
      </c>
    </row>
    <row r="934" spans="1:6" hidden="1" outlineLevel="2" x14ac:dyDescent="0.2">
      <c r="A934">
        <v>39401</v>
      </c>
      <c r="B934">
        <v>2023</v>
      </c>
      <c r="C934" s="89">
        <f t="shared" si="48"/>
        <v>1.5</v>
      </c>
      <c r="D934" s="323">
        <v>655754.14</v>
      </c>
      <c r="E934" s="323">
        <f t="shared" ref="E934:E941" si="50">+C934*D934</f>
        <v>983631.21</v>
      </c>
    </row>
    <row r="935" spans="1:6" hidden="1" outlineLevel="2" x14ac:dyDescent="0.2">
      <c r="A935">
        <v>39401</v>
      </c>
      <c r="B935">
        <v>2022</v>
      </c>
      <c r="C935" s="89">
        <f t="shared" si="48"/>
        <v>2.5</v>
      </c>
      <c r="D935" s="323">
        <v>4788.5600000000004</v>
      </c>
      <c r="E935" s="323">
        <f t="shared" si="50"/>
        <v>11971.400000000001</v>
      </c>
    </row>
    <row r="936" spans="1:6" hidden="1" outlineLevel="2" x14ac:dyDescent="0.2">
      <c r="A936">
        <v>39401</v>
      </c>
      <c r="B936">
        <v>2020</v>
      </c>
      <c r="C936" s="89">
        <f t="shared" si="48"/>
        <v>4.5</v>
      </c>
      <c r="D936" s="323">
        <v>24427.550000000003</v>
      </c>
      <c r="E936" s="323">
        <f t="shared" si="50"/>
        <v>109923.97500000001</v>
      </c>
    </row>
    <row r="937" spans="1:6" hidden="1" outlineLevel="2" x14ac:dyDescent="0.2">
      <c r="A937">
        <v>39401</v>
      </c>
      <c r="B937">
        <v>2019</v>
      </c>
      <c r="C937" s="89">
        <f t="shared" si="48"/>
        <v>5.5</v>
      </c>
      <c r="D937" s="323">
        <v>1095156.28</v>
      </c>
      <c r="E937" s="323">
        <f t="shared" si="50"/>
        <v>6023359.54</v>
      </c>
    </row>
    <row r="938" spans="1:6" hidden="1" outlineLevel="2" x14ac:dyDescent="0.2">
      <c r="A938">
        <v>39401</v>
      </c>
      <c r="B938">
        <v>2016</v>
      </c>
      <c r="C938" s="89">
        <f t="shared" si="48"/>
        <v>8.5</v>
      </c>
      <c r="D938" s="323">
        <v>1431845.1399999987</v>
      </c>
      <c r="E938" s="323">
        <f t="shared" si="50"/>
        <v>12170683.68999999</v>
      </c>
    </row>
    <row r="939" spans="1:6" hidden="1" outlineLevel="2" x14ac:dyDescent="0.2">
      <c r="A939">
        <v>39401</v>
      </c>
      <c r="B939">
        <v>2013</v>
      </c>
      <c r="C939" s="89">
        <f t="shared" si="48"/>
        <v>11.5</v>
      </c>
      <c r="D939" s="323">
        <v>20727.47</v>
      </c>
      <c r="E939" s="323">
        <f t="shared" si="50"/>
        <v>238365.90500000003</v>
      </c>
    </row>
    <row r="940" spans="1:6" hidden="1" outlineLevel="2" x14ac:dyDescent="0.2">
      <c r="A940">
        <v>39401</v>
      </c>
      <c r="B940">
        <v>2012</v>
      </c>
      <c r="C940" s="89">
        <f t="shared" si="48"/>
        <v>12.5</v>
      </c>
      <c r="D940" s="323">
        <v>2413.6799999999998</v>
      </c>
      <c r="E940" s="323">
        <f t="shared" si="50"/>
        <v>30170.999999999996</v>
      </c>
    </row>
    <row r="941" spans="1:6" hidden="1" outlineLevel="2" x14ac:dyDescent="0.2">
      <c r="A941">
        <v>39401</v>
      </c>
      <c r="B941">
        <v>2011</v>
      </c>
      <c r="C941" s="89">
        <f t="shared" si="48"/>
        <v>13.5</v>
      </c>
      <c r="D941" s="323">
        <v>6679.97</v>
      </c>
      <c r="E941" s="323">
        <f t="shared" si="50"/>
        <v>90179.595000000001</v>
      </c>
    </row>
    <row r="942" spans="1:6" s="143" customFormat="1" outlineLevel="1" collapsed="1" x14ac:dyDescent="0.2">
      <c r="A942" s="20" t="s">
        <v>1204</v>
      </c>
      <c r="C942" s="89" t="s">
        <v>1230</v>
      </c>
      <c r="D942" s="323">
        <f>SUBTOTAL(9,D934:D941)</f>
        <v>3241792.7899999996</v>
      </c>
      <c r="E942" s="323">
        <f>SUBTOTAL(9,E934:E941)</f>
        <v>19658286.31499999</v>
      </c>
      <c r="F942" s="323">
        <f>+E942/D942</f>
        <v>6.0640169154673185</v>
      </c>
    </row>
    <row r="943" spans="1:6" hidden="1" outlineLevel="2" x14ac:dyDescent="0.2">
      <c r="A943">
        <v>39600</v>
      </c>
      <c r="B943">
        <v>2024</v>
      </c>
      <c r="C943" s="89">
        <f t="shared" si="48"/>
        <v>0.5</v>
      </c>
      <c r="D943" s="323">
        <v>1044256.1074807071</v>
      </c>
      <c r="E943" s="323">
        <f t="shared" ref="E943:E975" si="51">+C943*D943</f>
        <v>522128.05374035356</v>
      </c>
    </row>
    <row r="944" spans="1:6" hidden="1" outlineLevel="2" x14ac:dyDescent="0.2">
      <c r="A944">
        <v>39600</v>
      </c>
      <c r="B944">
        <v>2023</v>
      </c>
      <c r="C944" s="89">
        <f t="shared" si="48"/>
        <v>1.5</v>
      </c>
      <c r="D944" s="323">
        <v>484735.73791431397</v>
      </c>
      <c r="E944" s="323">
        <f t="shared" si="51"/>
        <v>727103.60687147093</v>
      </c>
    </row>
    <row r="945" spans="1:5" hidden="1" outlineLevel="2" x14ac:dyDescent="0.2">
      <c r="A945">
        <v>39600</v>
      </c>
      <c r="B945">
        <v>2022</v>
      </c>
      <c r="C945" s="89">
        <f t="shared" si="48"/>
        <v>2.5</v>
      </c>
      <c r="D945" s="323">
        <v>10696.08</v>
      </c>
      <c r="E945" s="323">
        <f t="shared" si="51"/>
        <v>26740.2</v>
      </c>
    </row>
    <row r="946" spans="1:5" hidden="1" outlineLevel="2" x14ac:dyDescent="0.2">
      <c r="A946">
        <v>39600</v>
      </c>
      <c r="B946">
        <v>2021</v>
      </c>
      <c r="C946" s="89">
        <f t="shared" si="48"/>
        <v>3.5</v>
      </c>
      <c r="D946" s="323">
        <v>48793.21</v>
      </c>
      <c r="E946" s="323">
        <f t="shared" si="51"/>
        <v>170776.23499999999</v>
      </c>
    </row>
    <row r="947" spans="1:5" hidden="1" outlineLevel="2" x14ac:dyDescent="0.2">
      <c r="A947">
        <v>39600</v>
      </c>
      <c r="B947">
        <v>2020</v>
      </c>
      <c r="C947" s="89">
        <f t="shared" si="48"/>
        <v>4.5</v>
      </c>
      <c r="D947" s="323">
        <v>74102.89</v>
      </c>
      <c r="E947" s="323">
        <f t="shared" si="51"/>
        <v>333463.005</v>
      </c>
    </row>
    <row r="948" spans="1:5" hidden="1" outlineLevel="2" x14ac:dyDescent="0.2">
      <c r="A948">
        <v>39600</v>
      </c>
      <c r="B948">
        <v>2019</v>
      </c>
      <c r="C948" s="89">
        <f t="shared" si="48"/>
        <v>5.5</v>
      </c>
      <c r="D948" s="323">
        <v>76294.87</v>
      </c>
      <c r="E948" s="323">
        <f t="shared" si="51"/>
        <v>419621.78499999997</v>
      </c>
    </row>
    <row r="949" spans="1:5" hidden="1" outlineLevel="2" x14ac:dyDescent="0.2">
      <c r="A949">
        <v>39600</v>
      </c>
      <c r="B949">
        <v>2018</v>
      </c>
      <c r="C949" s="89">
        <f t="shared" si="48"/>
        <v>6.5</v>
      </c>
      <c r="D949" s="323">
        <v>212537.04</v>
      </c>
      <c r="E949" s="323">
        <f t="shared" si="51"/>
        <v>1381490.76</v>
      </c>
    </row>
    <row r="950" spans="1:5" hidden="1" outlineLevel="2" x14ac:dyDescent="0.2">
      <c r="A950">
        <v>39600</v>
      </c>
      <c r="B950">
        <v>2017</v>
      </c>
      <c r="C950" s="89">
        <f t="shared" si="48"/>
        <v>7.5</v>
      </c>
      <c r="D950" s="323">
        <v>91302.21</v>
      </c>
      <c r="E950" s="323">
        <f t="shared" si="51"/>
        <v>684766.57500000007</v>
      </c>
    </row>
    <row r="951" spans="1:5" hidden="1" outlineLevel="2" x14ac:dyDescent="0.2">
      <c r="A951">
        <v>39600</v>
      </c>
      <c r="B951">
        <v>2016</v>
      </c>
      <c r="C951" s="89">
        <f t="shared" si="48"/>
        <v>8.5</v>
      </c>
      <c r="D951" s="323">
        <v>78520.429999999993</v>
      </c>
      <c r="E951" s="323">
        <f t="shared" si="51"/>
        <v>667423.65499999991</v>
      </c>
    </row>
    <row r="952" spans="1:5" hidden="1" outlineLevel="2" x14ac:dyDescent="0.2">
      <c r="A952">
        <v>39600</v>
      </c>
      <c r="B952">
        <v>2015</v>
      </c>
      <c r="C952" s="89">
        <f t="shared" si="48"/>
        <v>9.5</v>
      </c>
      <c r="D952" s="323">
        <v>22819.81</v>
      </c>
      <c r="E952" s="323">
        <f t="shared" si="51"/>
        <v>216788.19500000001</v>
      </c>
    </row>
    <row r="953" spans="1:5" hidden="1" outlineLevel="2" x14ac:dyDescent="0.2">
      <c r="A953">
        <v>39600</v>
      </c>
      <c r="B953">
        <v>2014</v>
      </c>
      <c r="C953" s="89">
        <f t="shared" si="48"/>
        <v>10.5</v>
      </c>
      <c r="D953" s="323">
        <v>926640.52</v>
      </c>
      <c r="E953" s="323">
        <f t="shared" si="51"/>
        <v>9729725.4600000009</v>
      </c>
    </row>
    <row r="954" spans="1:5" hidden="1" outlineLevel="2" x14ac:dyDescent="0.2">
      <c r="A954">
        <v>39600</v>
      </c>
      <c r="B954">
        <v>2013</v>
      </c>
      <c r="C954" s="89">
        <f t="shared" si="48"/>
        <v>11.5</v>
      </c>
      <c r="D954" s="323">
        <v>76102.52</v>
      </c>
      <c r="E954" s="323">
        <f t="shared" si="51"/>
        <v>875178.9800000001</v>
      </c>
    </row>
    <row r="955" spans="1:5" hidden="1" outlineLevel="2" x14ac:dyDescent="0.2">
      <c r="A955">
        <v>39600</v>
      </c>
      <c r="B955">
        <v>2012</v>
      </c>
      <c r="C955" s="89">
        <f t="shared" si="48"/>
        <v>12.5</v>
      </c>
      <c r="D955" s="323">
        <v>79155.789999999994</v>
      </c>
      <c r="E955" s="323">
        <f t="shared" si="51"/>
        <v>989447.37499999988</v>
      </c>
    </row>
    <row r="956" spans="1:5" hidden="1" outlineLevel="2" x14ac:dyDescent="0.2">
      <c r="A956">
        <v>39600</v>
      </c>
      <c r="B956">
        <v>2011</v>
      </c>
      <c r="C956" s="89">
        <f t="shared" si="48"/>
        <v>13.5</v>
      </c>
      <c r="D956" s="323">
        <v>225949.51</v>
      </c>
      <c r="E956" s="323">
        <f t="shared" si="51"/>
        <v>3050318.3850000002</v>
      </c>
    </row>
    <row r="957" spans="1:5" hidden="1" outlineLevel="2" x14ac:dyDescent="0.2">
      <c r="A957">
        <v>39600</v>
      </c>
      <c r="B957">
        <v>2010</v>
      </c>
      <c r="C957" s="89">
        <f t="shared" si="48"/>
        <v>14.5</v>
      </c>
      <c r="D957" s="323">
        <v>218585.51</v>
      </c>
      <c r="E957" s="323">
        <f t="shared" si="51"/>
        <v>3169489.895</v>
      </c>
    </row>
    <row r="958" spans="1:5" hidden="1" outlineLevel="2" x14ac:dyDescent="0.2">
      <c r="A958">
        <v>39600</v>
      </c>
      <c r="B958">
        <v>2009</v>
      </c>
      <c r="C958" s="89">
        <f t="shared" si="48"/>
        <v>15.5</v>
      </c>
      <c r="D958" s="323">
        <v>86902.71</v>
      </c>
      <c r="E958" s="323">
        <f t="shared" si="51"/>
        <v>1346992.0050000001</v>
      </c>
    </row>
    <row r="959" spans="1:5" hidden="1" outlineLevel="2" x14ac:dyDescent="0.2">
      <c r="A959">
        <v>39600</v>
      </c>
      <c r="B959">
        <v>2008</v>
      </c>
      <c r="C959" s="89">
        <f t="shared" si="48"/>
        <v>16.5</v>
      </c>
      <c r="D959" s="323">
        <v>74752.28</v>
      </c>
      <c r="E959" s="323">
        <f t="shared" si="51"/>
        <v>1233412.6199999999</v>
      </c>
    </row>
    <row r="960" spans="1:5" hidden="1" outlineLevel="2" x14ac:dyDescent="0.2">
      <c r="A960">
        <v>39600</v>
      </c>
      <c r="B960">
        <v>2007</v>
      </c>
      <c r="C960" s="89">
        <f t="shared" si="48"/>
        <v>17.5</v>
      </c>
      <c r="D960" s="323">
        <v>9061.0300000000007</v>
      </c>
      <c r="E960" s="323">
        <f t="shared" si="51"/>
        <v>158568.02500000002</v>
      </c>
    </row>
    <row r="961" spans="1:6" hidden="1" outlineLevel="2" x14ac:dyDescent="0.2">
      <c r="A961">
        <v>39600</v>
      </c>
      <c r="B961">
        <v>2006</v>
      </c>
      <c r="C961" s="89">
        <f t="shared" si="48"/>
        <v>18.5</v>
      </c>
      <c r="D961" s="323">
        <v>41545.760000000002</v>
      </c>
      <c r="E961" s="323">
        <f t="shared" si="51"/>
        <v>768596.56</v>
      </c>
    </row>
    <row r="962" spans="1:6" hidden="1" outlineLevel="2" x14ac:dyDescent="0.2">
      <c r="A962">
        <v>39600</v>
      </c>
      <c r="B962">
        <v>2005</v>
      </c>
      <c r="C962" s="89">
        <f t="shared" si="48"/>
        <v>19.5</v>
      </c>
      <c r="D962" s="323">
        <v>5104.2700000000004</v>
      </c>
      <c r="E962" s="323">
        <f t="shared" si="51"/>
        <v>99533.265000000014</v>
      </c>
    </row>
    <row r="963" spans="1:6" hidden="1" outlineLevel="2" x14ac:dyDescent="0.2">
      <c r="A963">
        <v>39600</v>
      </c>
      <c r="B963">
        <v>2004</v>
      </c>
      <c r="C963" s="89">
        <f t="shared" si="48"/>
        <v>20.5</v>
      </c>
      <c r="D963" s="323">
        <v>49850.67</v>
      </c>
      <c r="E963" s="323">
        <f t="shared" si="51"/>
        <v>1021938.735</v>
      </c>
    </row>
    <row r="964" spans="1:6" hidden="1" outlineLevel="2" x14ac:dyDescent="0.2">
      <c r="A964">
        <v>39600</v>
      </c>
      <c r="B964">
        <v>2002</v>
      </c>
      <c r="C964" s="89">
        <f t="shared" si="48"/>
        <v>22.5</v>
      </c>
      <c r="D964" s="323">
        <v>58640.06</v>
      </c>
      <c r="E964" s="323">
        <f t="shared" si="51"/>
        <v>1319401.3499999999</v>
      </c>
    </row>
    <row r="965" spans="1:6" hidden="1" outlineLevel="2" x14ac:dyDescent="0.2">
      <c r="A965">
        <v>39600</v>
      </c>
      <c r="B965">
        <v>2001</v>
      </c>
      <c r="C965" s="89">
        <f t="shared" si="48"/>
        <v>23.5</v>
      </c>
      <c r="D965" s="323">
        <v>55638.93</v>
      </c>
      <c r="E965" s="323">
        <f t="shared" si="51"/>
        <v>1307514.855</v>
      </c>
    </row>
    <row r="966" spans="1:6" hidden="1" outlineLevel="2" x14ac:dyDescent="0.2">
      <c r="A966">
        <v>39600</v>
      </c>
      <c r="B966">
        <v>2000</v>
      </c>
      <c r="C966" s="89">
        <f t="shared" si="48"/>
        <v>24.5</v>
      </c>
      <c r="D966" s="323">
        <v>36993.15</v>
      </c>
      <c r="E966" s="323">
        <f t="shared" si="51"/>
        <v>906332.17500000005</v>
      </c>
    </row>
    <row r="967" spans="1:6" hidden="1" outlineLevel="2" x14ac:dyDescent="0.2">
      <c r="A967">
        <v>39600</v>
      </c>
      <c r="B967">
        <v>1999</v>
      </c>
      <c r="C967" s="89">
        <f t="shared" si="48"/>
        <v>25.5</v>
      </c>
      <c r="D967" s="323">
        <v>12270.42</v>
      </c>
      <c r="E967" s="323">
        <f t="shared" si="51"/>
        <v>312895.71000000002</v>
      </c>
    </row>
    <row r="968" spans="1:6" hidden="1" outlineLevel="2" x14ac:dyDescent="0.2">
      <c r="A968">
        <v>39600</v>
      </c>
      <c r="B968">
        <v>1998</v>
      </c>
      <c r="C968" s="89">
        <f t="shared" ref="C968:C1006" si="52">2024.5-B968</f>
        <v>26.5</v>
      </c>
      <c r="D968" s="323">
        <v>194264.2</v>
      </c>
      <c r="E968" s="323">
        <f t="shared" si="51"/>
        <v>5148001.3000000007</v>
      </c>
    </row>
    <row r="969" spans="1:6" hidden="1" outlineLevel="2" x14ac:dyDescent="0.2">
      <c r="A969">
        <v>39600</v>
      </c>
      <c r="B969">
        <v>1997</v>
      </c>
      <c r="C969" s="89">
        <f t="shared" si="52"/>
        <v>27.5</v>
      </c>
      <c r="D969" s="323">
        <v>42989.34</v>
      </c>
      <c r="E969" s="323">
        <f t="shared" si="51"/>
        <v>1182206.8499999999</v>
      </c>
    </row>
    <row r="970" spans="1:6" hidden="1" outlineLevel="2" x14ac:dyDescent="0.2">
      <c r="A970">
        <v>39600</v>
      </c>
      <c r="B970">
        <v>1996</v>
      </c>
      <c r="C970" s="89">
        <f t="shared" si="52"/>
        <v>28.5</v>
      </c>
      <c r="D970" s="323">
        <v>76843.92</v>
      </c>
      <c r="E970" s="323">
        <f t="shared" si="51"/>
        <v>2190051.7199999997</v>
      </c>
    </row>
    <row r="971" spans="1:6" hidden="1" outlineLevel="2" x14ac:dyDescent="0.2">
      <c r="A971">
        <v>39600</v>
      </c>
      <c r="B971">
        <v>1995</v>
      </c>
      <c r="C971" s="89">
        <f t="shared" si="52"/>
        <v>29.5</v>
      </c>
      <c r="D971" s="323">
        <v>43250.67</v>
      </c>
      <c r="E971" s="323">
        <f t="shared" si="51"/>
        <v>1275894.7649999999</v>
      </c>
    </row>
    <row r="972" spans="1:6" hidden="1" outlineLevel="2" x14ac:dyDescent="0.2">
      <c r="A972">
        <v>39600</v>
      </c>
      <c r="B972">
        <v>1994</v>
      </c>
      <c r="C972" s="89">
        <f t="shared" si="52"/>
        <v>30.5</v>
      </c>
      <c r="D972" s="323">
        <v>62179.31</v>
      </c>
      <c r="E972" s="323">
        <f t="shared" si="51"/>
        <v>1896468.9549999998</v>
      </c>
    </row>
    <row r="973" spans="1:6" hidden="1" outlineLevel="2" x14ac:dyDescent="0.2">
      <c r="A973">
        <v>39600</v>
      </c>
      <c r="B973">
        <v>1993</v>
      </c>
      <c r="C973" s="89">
        <f t="shared" si="52"/>
        <v>31.5</v>
      </c>
      <c r="D973" s="323">
        <v>1949.65</v>
      </c>
      <c r="E973" s="323">
        <f t="shared" si="51"/>
        <v>61413.975000000006</v>
      </c>
    </row>
    <row r="974" spans="1:6" hidden="1" outlineLevel="2" x14ac:dyDescent="0.2">
      <c r="A974">
        <v>39600</v>
      </c>
      <c r="B974">
        <v>1992</v>
      </c>
      <c r="C974" s="89">
        <f t="shared" si="52"/>
        <v>32.5</v>
      </c>
      <c r="D974" s="323">
        <v>0</v>
      </c>
      <c r="E974" s="323">
        <f t="shared" si="51"/>
        <v>0</v>
      </c>
    </row>
    <row r="975" spans="1:6" hidden="1" outlineLevel="2" x14ac:dyDescent="0.2">
      <c r="A975">
        <v>39600</v>
      </c>
      <c r="B975">
        <v>1991</v>
      </c>
      <c r="C975" s="89">
        <f t="shared" si="52"/>
        <v>33.5</v>
      </c>
      <c r="D975" s="323">
        <v>0</v>
      </c>
      <c r="E975" s="323">
        <f t="shared" si="51"/>
        <v>0</v>
      </c>
    </row>
    <row r="976" spans="1:6" s="143" customFormat="1" outlineLevel="1" collapsed="1" x14ac:dyDescent="0.2">
      <c r="A976" s="20" t="s">
        <v>1205</v>
      </c>
      <c r="C976" s="89" t="s">
        <v>1230</v>
      </c>
      <c r="D976" s="323">
        <f>SUBTOTAL(9,D943:D975)</f>
        <v>4522728.60539502</v>
      </c>
      <c r="E976" s="323">
        <f>SUBTOTAL(9,E943:E975)</f>
        <v>43193685.030611828</v>
      </c>
      <c r="F976" s="323">
        <f>+E976/D976</f>
        <v>9.5503597052203055</v>
      </c>
    </row>
    <row r="977" spans="1:6" hidden="1" outlineLevel="2" x14ac:dyDescent="0.2">
      <c r="A977">
        <v>39700</v>
      </c>
      <c r="B977">
        <v>2024</v>
      </c>
      <c r="C977" s="89">
        <f t="shared" si="52"/>
        <v>0.5</v>
      </c>
      <c r="D977" s="323">
        <v>12000</v>
      </c>
      <c r="E977" s="323">
        <f t="shared" ref="E977:E988" si="53">+C977*D977</f>
        <v>6000</v>
      </c>
    </row>
    <row r="978" spans="1:6" hidden="1" outlineLevel="2" x14ac:dyDescent="0.2">
      <c r="A978">
        <v>39700</v>
      </c>
      <c r="B978">
        <v>2023</v>
      </c>
      <c r="C978" s="89">
        <f t="shared" si="52"/>
        <v>1.5</v>
      </c>
      <c r="D978" s="323">
        <v>59905.99</v>
      </c>
      <c r="E978" s="323">
        <f t="shared" si="53"/>
        <v>89858.985000000001</v>
      </c>
    </row>
    <row r="979" spans="1:6" hidden="1" outlineLevel="2" x14ac:dyDescent="0.2">
      <c r="A979">
        <v>39700</v>
      </c>
      <c r="B979">
        <v>2022</v>
      </c>
      <c r="C979" s="89">
        <f t="shared" si="52"/>
        <v>2.5</v>
      </c>
      <c r="D979" s="323">
        <v>0</v>
      </c>
      <c r="E979" s="323">
        <f t="shared" si="53"/>
        <v>0</v>
      </c>
    </row>
    <row r="980" spans="1:6" hidden="1" outlineLevel="2" x14ac:dyDescent="0.2">
      <c r="A980">
        <v>39700</v>
      </c>
      <c r="B980">
        <v>2017</v>
      </c>
      <c r="C980" s="89">
        <f t="shared" si="52"/>
        <v>7.5</v>
      </c>
      <c r="D980" s="323">
        <v>386579.78</v>
      </c>
      <c r="E980" s="323">
        <f t="shared" si="53"/>
        <v>2899348.35</v>
      </c>
    </row>
    <row r="981" spans="1:6" hidden="1" outlineLevel="2" x14ac:dyDescent="0.2">
      <c r="A981">
        <v>39700</v>
      </c>
      <c r="B981">
        <v>2016</v>
      </c>
      <c r="C981" s="89">
        <f t="shared" si="52"/>
        <v>8.5</v>
      </c>
      <c r="D981" s="323">
        <v>163127.93</v>
      </c>
      <c r="E981" s="323">
        <f t="shared" si="53"/>
        <v>1386587.405</v>
      </c>
    </row>
    <row r="982" spans="1:6" hidden="1" outlineLevel="2" x14ac:dyDescent="0.2">
      <c r="A982">
        <v>39700</v>
      </c>
      <c r="B982">
        <v>2014</v>
      </c>
      <c r="C982" s="89">
        <f t="shared" si="52"/>
        <v>10.5</v>
      </c>
      <c r="D982" s="323">
        <v>63729.73</v>
      </c>
      <c r="E982" s="323">
        <f t="shared" si="53"/>
        <v>669162.16500000004</v>
      </c>
    </row>
    <row r="983" spans="1:6" hidden="1" outlineLevel="2" x14ac:dyDescent="0.2">
      <c r="A983">
        <v>39700</v>
      </c>
      <c r="B983">
        <v>2013</v>
      </c>
      <c r="C983" s="89">
        <f t="shared" si="52"/>
        <v>11.5</v>
      </c>
      <c r="D983" s="323">
        <v>799377.33</v>
      </c>
      <c r="E983" s="323">
        <f t="shared" si="53"/>
        <v>9192839.2949999999</v>
      </c>
    </row>
    <row r="984" spans="1:6" hidden="1" outlineLevel="2" x14ac:dyDescent="0.2">
      <c r="A984">
        <v>39700</v>
      </c>
      <c r="B984">
        <v>2012</v>
      </c>
      <c r="C984" s="89">
        <f t="shared" si="52"/>
        <v>12.5</v>
      </c>
      <c r="D984" s="323">
        <v>178355.18</v>
      </c>
      <c r="E984" s="323">
        <f t="shared" si="53"/>
        <v>2229439.75</v>
      </c>
    </row>
    <row r="985" spans="1:6" hidden="1" outlineLevel="2" x14ac:dyDescent="0.2">
      <c r="A985">
        <v>39700</v>
      </c>
      <c r="B985">
        <v>2011</v>
      </c>
      <c r="C985" s="89">
        <f t="shared" si="52"/>
        <v>13.5</v>
      </c>
      <c r="D985" s="323">
        <v>559751.32999999996</v>
      </c>
      <c r="E985" s="323">
        <f t="shared" si="53"/>
        <v>7556642.9549999991</v>
      </c>
    </row>
    <row r="986" spans="1:6" hidden="1" outlineLevel="2" x14ac:dyDescent="0.2">
      <c r="A986">
        <v>39700</v>
      </c>
      <c r="B986">
        <v>2010</v>
      </c>
      <c r="C986" s="89">
        <f t="shared" si="52"/>
        <v>14.5</v>
      </c>
      <c r="D986" s="323">
        <v>274684.7</v>
      </c>
      <c r="E986" s="323">
        <f t="shared" si="53"/>
        <v>3982928.1500000004</v>
      </c>
    </row>
    <row r="987" spans="1:6" hidden="1" outlineLevel="2" x14ac:dyDescent="0.2">
      <c r="A987">
        <v>39700</v>
      </c>
      <c r="B987">
        <v>2009</v>
      </c>
      <c r="C987" s="89">
        <f t="shared" si="52"/>
        <v>15.5</v>
      </c>
      <c r="D987" s="323">
        <v>513040.36</v>
      </c>
      <c r="E987" s="323">
        <f t="shared" si="53"/>
        <v>7952125.5800000001</v>
      </c>
    </row>
    <row r="988" spans="1:6" hidden="1" outlineLevel="2" x14ac:dyDescent="0.2">
      <c r="A988">
        <v>39700</v>
      </c>
      <c r="B988">
        <v>2008</v>
      </c>
      <c r="C988" s="89">
        <f t="shared" si="52"/>
        <v>16.5</v>
      </c>
      <c r="D988" s="323">
        <v>15752.040800000002</v>
      </c>
      <c r="E988" s="323">
        <f t="shared" si="53"/>
        <v>259908.67320000005</v>
      </c>
    </row>
    <row r="989" spans="1:6" s="143" customFormat="1" outlineLevel="1" collapsed="1" x14ac:dyDescent="0.2">
      <c r="A989" s="20" t="s">
        <v>1206</v>
      </c>
      <c r="C989" s="89" t="s">
        <v>1230</v>
      </c>
      <c r="D989" s="323">
        <f>SUBTOTAL(9,D977:D988)</f>
        <v>3026304.3707999997</v>
      </c>
      <c r="E989" s="323">
        <f>SUBTOTAL(9,E977:E988)</f>
        <v>36224841.308199994</v>
      </c>
      <c r="F989" s="323">
        <f>+E989/D989</f>
        <v>11.969992727011793</v>
      </c>
    </row>
    <row r="990" spans="1:6" hidden="1" outlineLevel="2" x14ac:dyDescent="0.2">
      <c r="A990">
        <v>39800</v>
      </c>
      <c r="B990">
        <v>2024</v>
      </c>
      <c r="C990" s="89">
        <f t="shared" si="52"/>
        <v>0.5</v>
      </c>
      <c r="D990" s="323">
        <v>189309.82</v>
      </c>
      <c r="E990" s="323">
        <f t="shared" ref="E990:E1006" si="54">+C990*D990</f>
        <v>94654.91</v>
      </c>
    </row>
    <row r="991" spans="1:6" hidden="1" outlineLevel="2" x14ac:dyDescent="0.2">
      <c r="A991">
        <v>39800</v>
      </c>
      <c r="B991">
        <v>2023</v>
      </c>
      <c r="C991" s="89">
        <f t="shared" si="52"/>
        <v>1.5</v>
      </c>
      <c r="D991" s="323">
        <v>583815.16410236084</v>
      </c>
      <c r="E991" s="323">
        <f t="shared" si="54"/>
        <v>875722.74615354126</v>
      </c>
    </row>
    <row r="992" spans="1:6" hidden="1" outlineLevel="2" x14ac:dyDescent="0.2">
      <c r="A992">
        <v>39800</v>
      </c>
      <c r="B992">
        <v>2022</v>
      </c>
      <c r="C992" s="89">
        <f t="shared" si="52"/>
        <v>2.5</v>
      </c>
      <c r="D992" s="323">
        <v>0</v>
      </c>
      <c r="E992" s="323">
        <f t="shared" si="54"/>
        <v>0</v>
      </c>
    </row>
    <row r="993" spans="1:6" hidden="1" outlineLevel="2" x14ac:dyDescent="0.2">
      <c r="A993">
        <v>39800</v>
      </c>
      <c r="B993">
        <v>2020</v>
      </c>
      <c r="C993" s="89">
        <f t="shared" si="52"/>
        <v>4.5</v>
      </c>
      <c r="D993" s="323">
        <v>8108.69</v>
      </c>
      <c r="E993" s="323">
        <f t="shared" si="54"/>
        <v>36489.104999999996</v>
      </c>
    </row>
    <row r="994" spans="1:6" hidden="1" outlineLevel="2" x14ac:dyDescent="0.2">
      <c r="A994">
        <v>39800</v>
      </c>
      <c r="B994">
        <v>2019</v>
      </c>
      <c r="C994" s="89">
        <f t="shared" si="52"/>
        <v>5.5</v>
      </c>
      <c r="D994" s="323">
        <v>9100.7900000000009</v>
      </c>
      <c r="E994" s="323">
        <f t="shared" si="54"/>
        <v>50054.345000000001</v>
      </c>
    </row>
    <row r="995" spans="1:6" hidden="1" outlineLevel="2" x14ac:dyDescent="0.2">
      <c r="A995">
        <v>39800</v>
      </c>
      <c r="B995">
        <v>2016</v>
      </c>
      <c r="C995" s="89">
        <f t="shared" si="52"/>
        <v>8.5</v>
      </c>
      <c r="D995" s="323">
        <v>4275.45</v>
      </c>
      <c r="E995" s="323">
        <f t="shared" si="54"/>
        <v>36341.324999999997</v>
      </c>
    </row>
    <row r="996" spans="1:6" hidden="1" outlineLevel="2" x14ac:dyDescent="0.2">
      <c r="A996">
        <v>39800</v>
      </c>
      <c r="B996">
        <v>2015</v>
      </c>
      <c r="C996" s="89">
        <f t="shared" si="52"/>
        <v>9.5</v>
      </c>
      <c r="D996" s="323">
        <v>8249.33</v>
      </c>
      <c r="E996" s="323">
        <f t="shared" si="54"/>
        <v>78368.634999999995</v>
      </c>
    </row>
    <row r="997" spans="1:6" hidden="1" outlineLevel="2" x14ac:dyDescent="0.2">
      <c r="A997">
        <v>39800</v>
      </c>
      <c r="B997">
        <v>2014</v>
      </c>
      <c r="C997" s="89">
        <f t="shared" si="52"/>
        <v>10.5</v>
      </c>
      <c r="D997" s="323">
        <v>10833.74</v>
      </c>
      <c r="E997" s="323">
        <f t="shared" si="54"/>
        <v>113754.27</v>
      </c>
    </row>
    <row r="998" spans="1:6" hidden="1" outlineLevel="2" x14ac:dyDescent="0.2">
      <c r="A998">
        <v>39800</v>
      </c>
      <c r="B998">
        <v>2013</v>
      </c>
      <c r="C998" s="89">
        <f t="shared" si="52"/>
        <v>11.5</v>
      </c>
      <c r="D998" s="323">
        <v>655.68</v>
      </c>
      <c r="E998" s="323">
        <f t="shared" si="54"/>
        <v>7540.32</v>
      </c>
    </row>
    <row r="999" spans="1:6" hidden="1" outlineLevel="2" x14ac:dyDescent="0.2">
      <c r="A999">
        <v>39800</v>
      </c>
      <c r="B999">
        <v>2012</v>
      </c>
      <c r="C999" s="89">
        <f t="shared" si="52"/>
        <v>12.5</v>
      </c>
      <c r="D999" s="323">
        <v>1158.3499999999999</v>
      </c>
      <c r="E999" s="323">
        <f t="shared" si="54"/>
        <v>14479.374999999998</v>
      </c>
    </row>
    <row r="1000" spans="1:6" hidden="1" outlineLevel="2" x14ac:dyDescent="0.2">
      <c r="A1000">
        <v>39800</v>
      </c>
      <c r="B1000">
        <v>2011</v>
      </c>
      <c r="C1000" s="89">
        <f t="shared" si="52"/>
        <v>13.5</v>
      </c>
      <c r="D1000" s="323">
        <v>20642.52</v>
      </c>
      <c r="E1000" s="323">
        <f t="shared" si="54"/>
        <v>278674.02</v>
      </c>
    </row>
    <row r="1001" spans="1:6" hidden="1" outlineLevel="2" x14ac:dyDescent="0.2">
      <c r="A1001">
        <v>39800</v>
      </c>
      <c r="B1001">
        <v>2010</v>
      </c>
      <c r="C1001" s="89">
        <f t="shared" si="52"/>
        <v>14.5</v>
      </c>
      <c r="D1001" s="323">
        <v>5655.92</v>
      </c>
      <c r="E1001" s="323">
        <f t="shared" si="54"/>
        <v>82010.84</v>
      </c>
    </row>
    <row r="1002" spans="1:6" hidden="1" outlineLevel="2" x14ac:dyDescent="0.2">
      <c r="A1002">
        <v>39800</v>
      </c>
      <c r="B1002">
        <v>2008</v>
      </c>
      <c r="C1002" s="89">
        <f t="shared" si="52"/>
        <v>16.5</v>
      </c>
      <c r="D1002" s="323">
        <v>2887.48</v>
      </c>
      <c r="E1002" s="323">
        <f t="shared" si="54"/>
        <v>47643.42</v>
      </c>
    </row>
    <row r="1003" spans="1:6" hidden="1" outlineLevel="2" x14ac:dyDescent="0.2">
      <c r="A1003">
        <v>39800</v>
      </c>
      <c r="B1003">
        <v>2007</v>
      </c>
      <c r="C1003" s="89">
        <f t="shared" si="52"/>
        <v>17.5</v>
      </c>
      <c r="D1003" s="323">
        <v>3361.02</v>
      </c>
      <c r="E1003" s="323">
        <f t="shared" si="54"/>
        <v>58817.85</v>
      </c>
    </row>
    <row r="1004" spans="1:6" hidden="1" outlineLevel="2" x14ac:dyDescent="0.2">
      <c r="A1004">
        <v>39800</v>
      </c>
      <c r="B1004">
        <v>2006</v>
      </c>
      <c r="C1004" s="89">
        <f t="shared" si="52"/>
        <v>18.5</v>
      </c>
      <c r="D1004" s="323">
        <v>38674.550000000003</v>
      </c>
      <c r="E1004" s="323">
        <f t="shared" si="54"/>
        <v>715479.17500000005</v>
      </c>
    </row>
    <row r="1005" spans="1:6" hidden="1" outlineLevel="2" x14ac:dyDescent="0.2">
      <c r="A1005">
        <v>39800</v>
      </c>
      <c r="B1005">
        <v>2004</v>
      </c>
      <c r="C1005" s="89">
        <f t="shared" si="52"/>
        <v>20.5</v>
      </c>
      <c r="D1005" s="323">
        <v>3032.14</v>
      </c>
      <c r="E1005" s="323">
        <f t="shared" si="54"/>
        <v>62158.869999999995</v>
      </c>
    </row>
    <row r="1006" spans="1:6" hidden="1" outlineLevel="2" x14ac:dyDescent="0.2">
      <c r="A1006">
        <v>39800</v>
      </c>
      <c r="B1006">
        <v>2003</v>
      </c>
      <c r="C1006" s="89">
        <f t="shared" si="52"/>
        <v>21.5</v>
      </c>
      <c r="D1006" s="323">
        <v>33681.359999999993</v>
      </c>
      <c r="E1006" s="323">
        <f t="shared" si="54"/>
        <v>724149.23999999987</v>
      </c>
    </row>
    <row r="1007" spans="1:6" s="143" customFormat="1" outlineLevel="1" collapsed="1" x14ac:dyDescent="0.2">
      <c r="A1007" s="20" t="s">
        <v>1207</v>
      </c>
      <c r="D1007" s="323">
        <f>SUBTOTAL(9,D990:D1006)</f>
        <v>923442.00410236092</v>
      </c>
      <c r="E1007" s="323">
        <f>SUBTOTAL(9,E990:E1006)</f>
        <v>3276338.4461535416</v>
      </c>
      <c r="F1007" s="323">
        <f>+E1007/D1007</f>
        <v>3.5479634147012105</v>
      </c>
    </row>
    <row r="1008" spans="1:6" s="143" customFormat="1" x14ac:dyDescent="0.2">
      <c r="A1008" s="20" t="s">
        <v>174</v>
      </c>
      <c r="D1008" s="323">
        <f>SUBTOTAL(9,D2:D1006)</f>
        <v>3450047856.6122069</v>
      </c>
      <c r="E1008" s="323">
        <f>SUBTOTAL(9,E2:E1006)</f>
        <v>35108996271.143341</v>
      </c>
      <c r="F1008" s="323">
        <f>+E1008/D1008</f>
        <v>10.176379496839447</v>
      </c>
    </row>
  </sheetData>
  <sortState xmlns:xlrd2="http://schemas.microsoft.com/office/spreadsheetml/2017/richdata2" ref="A2:E1006">
    <sortCondition ref="A2:A100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C8244-D746-4235-BE2F-51E199DB7EA2}">
  <dimension ref="A1:K58"/>
  <sheetViews>
    <sheetView topLeftCell="A25" workbookViewId="0">
      <selection activeCell="I43" sqref="I43:I53"/>
    </sheetView>
  </sheetViews>
  <sheetFormatPr defaultRowHeight="12.75" x14ac:dyDescent="0.2"/>
  <cols>
    <col min="1" max="1" width="42.85546875" customWidth="1"/>
    <col min="2" max="2" width="48.42578125" customWidth="1"/>
  </cols>
  <sheetData>
    <row r="1" spans="1:11" x14ac:dyDescent="0.2">
      <c r="A1" t="s">
        <v>1212</v>
      </c>
    </row>
    <row r="2" spans="1:11" x14ac:dyDescent="0.2">
      <c r="A2" t="s">
        <v>1266</v>
      </c>
    </row>
    <row r="3" spans="1:11" x14ac:dyDescent="0.2">
      <c r="A3" t="s">
        <v>1211</v>
      </c>
    </row>
    <row r="4" spans="1:11" x14ac:dyDescent="0.2">
      <c r="A4" t="s">
        <v>1251</v>
      </c>
    </row>
    <row r="6" spans="1:11" x14ac:dyDescent="0.2">
      <c r="C6" t="s">
        <v>1267</v>
      </c>
    </row>
    <row r="7" spans="1:11" x14ac:dyDescent="0.2">
      <c r="A7" t="s">
        <v>1230</v>
      </c>
      <c r="B7" t="s">
        <v>1230</v>
      </c>
      <c r="C7" t="s">
        <v>1268</v>
      </c>
      <c r="G7" t="s">
        <v>1269</v>
      </c>
    </row>
    <row r="8" spans="1:11" x14ac:dyDescent="0.2">
      <c r="A8" t="s">
        <v>1230</v>
      </c>
      <c r="B8" t="s">
        <v>1230</v>
      </c>
      <c r="C8" t="s">
        <v>1248</v>
      </c>
      <c r="D8">
        <v>0</v>
      </c>
      <c r="G8" t="s">
        <v>1261</v>
      </c>
    </row>
    <row r="9" spans="1:11" x14ac:dyDescent="0.2">
      <c r="A9" t="s">
        <v>1230</v>
      </c>
      <c r="B9" t="s">
        <v>1230</v>
      </c>
    </row>
    <row r="10" spans="1:11" x14ac:dyDescent="0.2">
      <c r="A10" t="s">
        <v>1230</v>
      </c>
      <c r="B10" t="s">
        <v>1230</v>
      </c>
      <c r="C10" t="s">
        <v>3</v>
      </c>
      <c r="E10" t="s">
        <v>4</v>
      </c>
      <c r="G10" t="s">
        <v>3</v>
      </c>
      <c r="I10" t="s">
        <v>4</v>
      </c>
    </row>
    <row r="11" spans="1:11" x14ac:dyDescent="0.2">
      <c r="A11" t="s">
        <v>9</v>
      </c>
      <c r="B11" t="s">
        <v>1230</v>
      </c>
      <c r="C11" t="s">
        <v>10</v>
      </c>
      <c r="D11" t="s">
        <v>13</v>
      </c>
      <c r="E11" t="s">
        <v>12</v>
      </c>
      <c r="G11" t="s">
        <v>10</v>
      </c>
      <c r="H11" t="s">
        <v>13</v>
      </c>
      <c r="I11" t="s">
        <v>12</v>
      </c>
    </row>
    <row r="12" spans="1:11" x14ac:dyDescent="0.2">
      <c r="A12" t="s">
        <v>17</v>
      </c>
      <c r="B12" t="s">
        <v>18</v>
      </c>
      <c r="C12" t="s">
        <v>16</v>
      </c>
      <c r="D12" t="s">
        <v>20</v>
      </c>
      <c r="E12" t="s">
        <v>19</v>
      </c>
      <c r="G12" t="s">
        <v>16</v>
      </c>
      <c r="H12" t="s">
        <v>20</v>
      </c>
      <c r="I12" t="s">
        <v>19</v>
      </c>
    </row>
    <row r="13" spans="1:11" x14ac:dyDescent="0.2">
      <c r="C13" t="s">
        <v>23</v>
      </c>
      <c r="E13" t="s">
        <v>24</v>
      </c>
      <c r="G13" t="s">
        <v>23</v>
      </c>
      <c r="I13" t="s">
        <v>24</v>
      </c>
    </row>
    <row r="14" spans="1:11" x14ac:dyDescent="0.2">
      <c r="B14" t="s">
        <v>27</v>
      </c>
    </row>
    <row r="15" spans="1:11" x14ac:dyDescent="0.2">
      <c r="A15">
        <v>37402</v>
      </c>
      <c r="B15" t="s">
        <v>646</v>
      </c>
      <c r="C15">
        <v>75</v>
      </c>
      <c r="D15" t="s">
        <v>652</v>
      </c>
      <c r="E15">
        <v>0</v>
      </c>
      <c r="G15">
        <v>75</v>
      </c>
      <c r="H15" t="s">
        <v>652</v>
      </c>
      <c r="I15">
        <f>'Proposed Rates'!O16</f>
        <v>0</v>
      </c>
      <c r="K15" s="143">
        <f t="shared" ref="K15:K58" si="0">+I15-E15</f>
        <v>0</v>
      </c>
    </row>
    <row r="16" spans="1:11" x14ac:dyDescent="0.2">
      <c r="A16">
        <v>37500</v>
      </c>
      <c r="B16" t="s">
        <v>93</v>
      </c>
      <c r="C16">
        <v>33</v>
      </c>
      <c r="D16" t="s">
        <v>1256</v>
      </c>
      <c r="E16">
        <v>0</v>
      </c>
      <c r="G16">
        <v>33</v>
      </c>
      <c r="H16" t="s">
        <v>1256</v>
      </c>
      <c r="I16">
        <f>'Proposed Rates'!O17</f>
        <v>0</v>
      </c>
      <c r="K16" s="143">
        <f t="shared" si="0"/>
        <v>0</v>
      </c>
    </row>
    <row r="17" spans="1:11" x14ac:dyDescent="0.2">
      <c r="A17">
        <v>37600</v>
      </c>
      <c r="B17" t="s">
        <v>94</v>
      </c>
      <c r="C17">
        <v>65</v>
      </c>
      <c r="D17" t="s">
        <v>703</v>
      </c>
      <c r="E17">
        <v>-50</v>
      </c>
      <c r="G17">
        <v>65</v>
      </c>
      <c r="H17" t="s">
        <v>703</v>
      </c>
      <c r="I17">
        <f>'Proposed Rates'!O18</f>
        <v>-60</v>
      </c>
      <c r="K17" s="143">
        <f t="shared" si="0"/>
        <v>-10</v>
      </c>
    </row>
    <row r="18" spans="1:11" x14ac:dyDescent="0.2">
      <c r="A18">
        <v>37602</v>
      </c>
      <c r="B18" t="s">
        <v>95</v>
      </c>
      <c r="C18">
        <v>75</v>
      </c>
      <c r="D18" t="s">
        <v>26</v>
      </c>
      <c r="E18">
        <v>-33</v>
      </c>
      <c r="G18">
        <v>75</v>
      </c>
      <c r="H18" t="s">
        <v>26</v>
      </c>
      <c r="I18">
        <f>'Proposed Rates'!O19</f>
        <v>-40</v>
      </c>
      <c r="K18" s="143">
        <f t="shared" si="0"/>
        <v>-7</v>
      </c>
    </row>
    <row r="19" spans="1:11" x14ac:dyDescent="0.2">
      <c r="A19">
        <v>37700</v>
      </c>
      <c r="B19" t="s">
        <v>1253</v>
      </c>
      <c r="C19">
        <v>35</v>
      </c>
      <c r="D19" t="s">
        <v>26</v>
      </c>
      <c r="E19">
        <v>-5</v>
      </c>
      <c r="G19">
        <v>35</v>
      </c>
      <c r="H19" t="s">
        <v>26</v>
      </c>
      <c r="I19">
        <f>'Proposed Rates'!O20</f>
        <v>-5</v>
      </c>
      <c r="K19" s="143">
        <f t="shared" si="0"/>
        <v>0</v>
      </c>
    </row>
    <row r="20" spans="1:11" x14ac:dyDescent="0.2">
      <c r="A20">
        <v>37800</v>
      </c>
      <c r="B20" t="s">
        <v>96</v>
      </c>
      <c r="C20">
        <v>40</v>
      </c>
      <c r="D20" t="s">
        <v>703</v>
      </c>
      <c r="E20">
        <v>-10</v>
      </c>
      <c r="G20">
        <v>40</v>
      </c>
      <c r="H20" t="s">
        <v>703</v>
      </c>
      <c r="I20">
        <f>'Proposed Rates'!O21</f>
        <v>-20</v>
      </c>
      <c r="K20" s="143">
        <f t="shared" si="0"/>
        <v>-10</v>
      </c>
    </row>
    <row r="21" spans="1:11" x14ac:dyDescent="0.2">
      <c r="A21">
        <v>37900</v>
      </c>
      <c r="B21" t="s">
        <v>97</v>
      </c>
      <c r="C21">
        <v>50</v>
      </c>
      <c r="D21" t="s">
        <v>702</v>
      </c>
      <c r="E21">
        <v>-10</v>
      </c>
      <c r="G21">
        <v>52</v>
      </c>
      <c r="H21" t="s">
        <v>26</v>
      </c>
      <c r="I21">
        <f>'Proposed Rates'!O22</f>
        <v>-20</v>
      </c>
      <c r="K21" s="143">
        <f t="shared" si="0"/>
        <v>-10</v>
      </c>
    </row>
    <row r="22" spans="1:11" x14ac:dyDescent="0.2">
      <c r="A22">
        <v>38000</v>
      </c>
      <c r="B22" t="s">
        <v>98</v>
      </c>
      <c r="C22">
        <v>52</v>
      </c>
      <c r="D22" t="s">
        <v>705</v>
      </c>
      <c r="E22">
        <v>-125</v>
      </c>
      <c r="G22">
        <v>52</v>
      </c>
      <c r="H22" t="s">
        <v>705</v>
      </c>
      <c r="I22">
        <f>'Proposed Rates'!O23</f>
        <v>-130</v>
      </c>
      <c r="K22" s="143">
        <f t="shared" si="0"/>
        <v>-5</v>
      </c>
    </row>
    <row r="23" spans="1:11" x14ac:dyDescent="0.2">
      <c r="A23">
        <v>38002</v>
      </c>
      <c r="B23" t="s">
        <v>99</v>
      </c>
      <c r="C23">
        <v>55</v>
      </c>
      <c r="D23" t="s">
        <v>703</v>
      </c>
      <c r="E23">
        <v>-68</v>
      </c>
      <c r="G23">
        <v>55</v>
      </c>
      <c r="H23" t="s">
        <v>702</v>
      </c>
      <c r="I23">
        <f>'Proposed Rates'!O24</f>
        <v>-75</v>
      </c>
      <c r="K23" s="143">
        <f t="shared" si="0"/>
        <v>-7</v>
      </c>
    </row>
    <row r="24" spans="1:11" x14ac:dyDescent="0.2">
      <c r="A24">
        <v>38100</v>
      </c>
      <c r="B24" t="s">
        <v>100</v>
      </c>
      <c r="C24">
        <v>19</v>
      </c>
      <c r="D24" t="s">
        <v>26</v>
      </c>
      <c r="E24">
        <v>3</v>
      </c>
      <c r="G24">
        <v>20</v>
      </c>
      <c r="H24" t="s">
        <v>26</v>
      </c>
      <c r="I24">
        <f>'Proposed Rates'!O25</f>
        <v>0</v>
      </c>
      <c r="K24" s="143">
        <f t="shared" si="0"/>
        <v>-3</v>
      </c>
    </row>
    <row r="25" spans="1:11" x14ac:dyDescent="0.2">
      <c r="A25">
        <v>38200</v>
      </c>
      <c r="B25" t="s">
        <v>101</v>
      </c>
      <c r="C25">
        <v>44</v>
      </c>
      <c r="D25" t="s">
        <v>52</v>
      </c>
      <c r="E25">
        <v>-25</v>
      </c>
      <c r="G25">
        <v>45</v>
      </c>
      <c r="H25" t="s">
        <v>703</v>
      </c>
      <c r="I25">
        <f>'Proposed Rates'!O26</f>
        <v>-30</v>
      </c>
      <c r="K25" s="143">
        <f t="shared" si="0"/>
        <v>-5</v>
      </c>
    </row>
    <row r="26" spans="1:11" x14ac:dyDescent="0.2">
      <c r="A26">
        <v>38300</v>
      </c>
      <c r="B26" t="s">
        <v>102</v>
      </c>
      <c r="C26">
        <v>42</v>
      </c>
      <c r="D26" t="s">
        <v>53</v>
      </c>
      <c r="E26">
        <v>0</v>
      </c>
      <c r="G26">
        <v>42</v>
      </c>
      <c r="H26" t="s">
        <v>1263</v>
      </c>
      <c r="I26">
        <f>'Proposed Rates'!O27</f>
        <v>0</v>
      </c>
      <c r="K26" s="143">
        <f t="shared" si="0"/>
        <v>0</v>
      </c>
    </row>
    <row r="27" spans="1:11" x14ac:dyDescent="0.2">
      <c r="A27">
        <v>38400</v>
      </c>
      <c r="B27" t="s">
        <v>103</v>
      </c>
      <c r="C27">
        <v>47</v>
      </c>
      <c r="D27" t="s">
        <v>52</v>
      </c>
      <c r="E27">
        <v>-25</v>
      </c>
      <c r="G27">
        <v>47</v>
      </c>
      <c r="H27" t="s">
        <v>703</v>
      </c>
      <c r="I27">
        <f>'Proposed Rates'!O28</f>
        <v>-30</v>
      </c>
      <c r="K27" s="143">
        <f t="shared" si="0"/>
        <v>-5</v>
      </c>
    </row>
    <row r="28" spans="1:11" x14ac:dyDescent="0.2">
      <c r="A28">
        <v>38500</v>
      </c>
      <c r="B28" t="s">
        <v>104</v>
      </c>
      <c r="C28">
        <v>37</v>
      </c>
      <c r="D28" t="s">
        <v>25</v>
      </c>
      <c r="E28">
        <v>-2</v>
      </c>
      <c r="G28">
        <v>39</v>
      </c>
      <c r="H28" t="s">
        <v>702</v>
      </c>
      <c r="I28">
        <f>'Proposed Rates'!O29</f>
        <v>0</v>
      </c>
      <c r="K28" s="143">
        <f t="shared" si="0"/>
        <v>2</v>
      </c>
    </row>
    <row r="29" spans="1:11" x14ac:dyDescent="0.2">
      <c r="A29">
        <v>38600</v>
      </c>
      <c r="B29" t="s">
        <v>105</v>
      </c>
      <c r="C29">
        <v>15</v>
      </c>
      <c r="D29" t="s">
        <v>52</v>
      </c>
      <c r="E29">
        <v>0</v>
      </c>
      <c r="I29">
        <f>'Proposed Rates'!O30</f>
        <v>0</v>
      </c>
      <c r="K29" s="143">
        <f t="shared" si="0"/>
        <v>0</v>
      </c>
    </row>
    <row r="30" spans="1:11" x14ac:dyDescent="0.2">
      <c r="A30">
        <v>38700</v>
      </c>
      <c r="B30" t="s">
        <v>106</v>
      </c>
      <c r="C30">
        <v>24</v>
      </c>
      <c r="D30" t="s">
        <v>707</v>
      </c>
      <c r="E30">
        <v>0</v>
      </c>
      <c r="G30">
        <v>27</v>
      </c>
      <c r="H30" t="s">
        <v>1259</v>
      </c>
      <c r="I30">
        <f>'Proposed Rates'!O31</f>
        <v>0</v>
      </c>
      <c r="K30" s="143">
        <f t="shared" si="0"/>
        <v>0</v>
      </c>
    </row>
    <row r="31" spans="1:11" x14ac:dyDescent="0.2">
      <c r="K31" s="143"/>
    </row>
    <row r="32" spans="1:11" x14ac:dyDescent="0.2">
      <c r="B32" t="s">
        <v>31</v>
      </c>
      <c r="K32" s="143"/>
    </row>
    <row r="33" spans="1:11" x14ac:dyDescent="0.2">
      <c r="A33">
        <v>39201</v>
      </c>
      <c r="B33" t="s">
        <v>110</v>
      </c>
      <c r="C33">
        <v>9</v>
      </c>
      <c r="D33" t="s">
        <v>1257</v>
      </c>
      <c r="E33">
        <v>11</v>
      </c>
      <c r="G33">
        <v>8</v>
      </c>
      <c r="H33" t="s">
        <v>1257</v>
      </c>
      <c r="I33">
        <f>'Proposed Rates'!O38</f>
        <v>11</v>
      </c>
      <c r="K33" s="143">
        <f t="shared" si="0"/>
        <v>0</v>
      </c>
    </row>
    <row r="34" spans="1:11" x14ac:dyDescent="0.2">
      <c r="A34">
        <v>39202</v>
      </c>
      <c r="B34" t="s">
        <v>111</v>
      </c>
      <c r="C34">
        <v>10</v>
      </c>
      <c r="D34" t="s">
        <v>1258</v>
      </c>
      <c r="E34">
        <v>11</v>
      </c>
      <c r="G34">
        <v>10</v>
      </c>
      <c r="H34" t="s">
        <v>1258</v>
      </c>
      <c r="I34">
        <f>'Proposed Rates'!O39</f>
        <v>11</v>
      </c>
      <c r="K34" s="143">
        <f t="shared" si="0"/>
        <v>0</v>
      </c>
    </row>
    <row r="35" spans="1:11" x14ac:dyDescent="0.2">
      <c r="A35">
        <v>39204</v>
      </c>
      <c r="B35" t="s">
        <v>112</v>
      </c>
      <c r="C35">
        <v>27</v>
      </c>
      <c r="D35" t="s">
        <v>26</v>
      </c>
      <c r="E35">
        <v>15</v>
      </c>
      <c r="G35">
        <v>30</v>
      </c>
      <c r="H35" t="s">
        <v>703</v>
      </c>
      <c r="I35">
        <f>'Proposed Rates'!O40</f>
        <v>20</v>
      </c>
      <c r="K35" s="143">
        <f t="shared" si="0"/>
        <v>5</v>
      </c>
    </row>
    <row r="36" spans="1:11" x14ac:dyDescent="0.2">
      <c r="A36">
        <v>39205</v>
      </c>
      <c r="B36" t="s">
        <v>113</v>
      </c>
      <c r="C36">
        <v>12</v>
      </c>
      <c r="D36" t="s">
        <v>707</v>
      </c>
      <c r="E36">
        <v>4</v>
      </c>
      <c r="G36">
        <v>13</v>
      </c>
      <c r="H36" t="s">
        <v>1271</v>
      </c>
      <c r="I36">
        <f>'Proposed Rates'!O41</f>
        <v>7</v>
      </c>
      <c r="K36" s="143">
        <f t="shared" si="0"/>
        <v>3</v>
      </c>
    </row>
    <row r="37" spans="1:11" x14ac:dyDescent="0.2">
      <c r="A37" t="s">
        <v>1230</v>
      </c>
      <c r="B37" t="s">
        <v>1230</v>
      </c>
      <c r="C37" t="s">
        <v>1230</v>
      </c>
      <c r="D37" t="s">
        <v>1230</v>
      </c>
      <c r="E37" t="s">
        <v>1230</v>
      </c>
      <c r="K37" s="143"/>
    </row>
    <row r="38" spans="1:11" x14ac:dyDescent="0.2">
      <c r="A38" t="s">
        <v>1230</v>
      </c>
      <c r="B38" t="s">
        <v>62</v>
      </c>
      <c r="C38" t="s">
        <v>1230</v>
      </c>
      <c r="D38" t="s">
        <v>1230</v>
      </c>
      <c r="E38" t="s">
        <v>1230</v>
      </c>
      <c r="K38" s="143"/>
    </row>
    <row r="39" spans="1:11" x14ac:dyDescent="0.2">
      <c r="A39">
        <v>30100</v>
      </c>
      <c r="B39" t="s">
        <v>655</v>
      </c>
      <c r="C39" t="s">
        <v>645</v>
      </c>
      <c r="G39" t="s">
        <v>645</v>
      </c>
      <c r="K39" s="143"/>
    </row>
    <row r="40" spans="1:11" x14ac:dyDescent="0.2">
      <c r="A40">
        <v>30200</v>
      </c>
      <c r="B40" t="s">
        <v>90</v>
      </c>
      <c r="C40">
        <v>25</v>
      </c>
      <c r="D40" t="s">
        <v>652</v>
      </c>
      <c r="E40">
        <v>0</v>
      </c>
      <c r="G40">
        <v>25</v>
      </c>
      <c r="H40" t="s">
        <v>652</v>
      </c>
      <c r="I40" s="143">
        <v>0</v>
      </c>
      <c r="J40" s="143"/>
      <c r="K40" s="143">
        <f t="shared" si="0"/>
        <v>0</v>
      </c>
    </row>
    <row r="41" spans="1:11" x14ac:dyDescent="0.2">
      <c r="A41">
        <v>30300</v>
      </c>
      <c r="B41" t="s">
        <v>91</v>
      </c>
      <c r="C41">
        <v>25</v>
      </c>
      <c r="D41" t="s">
        <v>652</v>
      </c>
      <c r="E41">
        <v>0</v>
      </c>
      <c r="G41">
        <v>25</v>
      </c>
      <c r="H41" t="s">
        <v>652</v>
      </c>
      <c r="I41" s="143">
        <v>0</v>
      </c>
      <c r="J41" s="143"/>
      <c r="K41" s="143">
        <f t="shared" si="0"/>
        <v>0</v>
      </c>
    </row>
    <row r="42" spans="1:11" x14ac:dyDescent="0.2">
      <c r="A42">
        <v>30301</v>
      </c>
      <c r="B42" t="s">
        <v>92</v>
      </c>
      <c r="C42">
        <v>15</v>
      </c>
      <c r="D42" t="s">
        <v>652</v>
      </c>
      <c r="E42">
        <v>0</v>
      </c>
      <c r="G42">
        <v>15</v>
      </c>
      <c r="H42" t="s">
        <v>652</v>
      </c>
      <c r="I42" s="143">
        <v>0</v>
      </c>
      <c r="J42" s="143"/>
      <c r="K42" s="143">
        <f t="shared" si="0"/>
        <v>0</v>
      </c>
    </row>
    <row r="43" spans="1:11" x14ac:dyDescent="0.2">
      <c r="A43">
        <v>39000</v>
      </c>
      <c r="B43" t="s">
        <v>93</v>
      </c>
      <c r="C43">
        <v>25</v>
      </c>
      <c r="D43" t="s">
        <v>1256</v>
      </c>
      <c r="E43">
        <v>0</v>
      </c>
      <c r="G43">
        <v>25</v>
      </c>
      <c r="H43" t="s">
        <v>1256</v>
      </c>
      <c r="I43" s="143">
        <f>'Proposed Rates'!O49</f>
        <v>0</v>
      </c>
      <c r="J43" s="143"/>
      <c r="K43" s="143">
        <f t="shared" si="0"/>
        <v>0</v>
      </c>
    </row>
    <row r="44" spans="1:11" x14ac:dyDescent="0.2">
      <c r="A44">
        <v>39100</v>
      </c>
      <c r="B44" t="s">
        <v>107</v>
      </c>
      <c r="C44">
        <v>17</v>
      </c>
      <c r="D44" t="s">
        <v>652</v>
      </c>
      <c r="E44">
        <v>0</v>
      </c>
      <c r="G44">
        <v>17</v>
      </c>
      <c r="H44" t="s">
        <v>652</v>
      </c>
      <c r="I44" s="143">
        <f>'Proposed Rates'!O50</f>
        <v>0</v>
      </c>
      <c r="J44" s="143"/>
      <c r="K44" s="143">
        <f t="shared" si="0"/>
        <v>0</v>
      </c>
    </row>
    <row r="45" spans="1:11" x14ac:dyDescent="0.2">
      <c r="A45">
        <v>39101</v>
      </c>
      <c r="B45" t="s">
        <v>108</v>
      </c>
      <c r="C45">
        <v>9</v>
      </c>
      <c r="D45" t="s">
        <v>652</v>
      </c>
      <c r="E45">
        <v>0</v>
      </c>
      <c r="G45">
        <v>9</v>
      </c>
      <c r="H45" t="s">
        <v>652</v>
      </c>
      <c r="I45" s="143">
        <f>'Proposed Rates'!O51</f>
        <v>0</v>
      </c>
      <c r="J45" s="143"/>
      <c r="K45" s="143">
        <f t="shared" si="0"/>
        <v>0</v>
      </c>
    </row>
    <row r="46" spans="1:11" x14ac:dyDescent="0.2">
      <c r="A46">
        <v>39102</v>
      </c>
      <c r="B46" t="s">
        <v>109</v>
      </c>
      <c r="C46">
        <v>15</v>
      </c>
      <c r="D46" t="s">
        <v>652</v>
      </c>
      <c r="E46">
        <v>0</v>
      </c>
      <c r="G46">
        <v>15</v>
      </c>
      <c r="H46" t="s">
        <v>652</v>
      </c>
      <c r="I46" s="143">
        <f>'Proposed Rates'!O52</f>
        <v>0</v>
      </c>
      <c r="J46" s="143"/>
      <c r="K46" s="143">
        <f t="shared" si="0"/>
        <v>0</v>
      </c>
    </row>
    <row r="47" spans="1:11" x14ac:dyDescent="0.2">
      <c r="A47">
        <v>39300</v>
      </c>
      <c r="B47" t="s">
        <v>114</v>
      </c>
      <c r="C47">
        <v>24</v>
      </c>
      <c r="D47" t="s">
        <v>652</v>
      </c>
      <c r="E47">
        <v>0</v>
      </c>
      <c r="G47">
        <v>24</v>
      </c>
      <c r="H47" t="s">
        <v>652</v>
      </c>
      <c r="I47" s="143">
        <f>'Proposed Rates'!O53</f>
        <v>0</v>
      </c>
      <c r="J47" s="143"/>
      <c r="K47" s="143">
        <f t="shared" si="0"/>
        <v>0</v>
      </c>
    </row>
    <row r="48" spans="1:11" x14ac:dyDescent="0.2">
      <c r="A48">
        <v>39400</v>
      </c>
      <c r="B48" t="s">
        <v>115</v>
      </c>
      <c r="C48">
        <v>18</v>
      </c>
      <c r="D48" t="s">
        <v>652</v>
      </c>
      <c r="E48">
        <v>0</v>
      </c>
      <c r="G48">
        <v>18</v>
      </c>
      <c r="H48" t="s">
        <v>652</v>
      </c>
      <c r="I48" s="143">
        <f>'Proposed Rates'!O54</f>
        <v>0</v>
      </c>
      <c r="J48" s="143"/>
      <c r="K48" s="143">
        <f t="shared" si="0"/>
        <v>0</v>
      </c>
    </row>
    <row r="49" spans="1:11" x14ac:dyDescent="0.2">
      <c r="A49">
        <v>39401</v>
      </c>
      <c r="B49" t="s">
        <v>681</v>
      </c>
      <c r="C49">
        <v>20</v>
      </c>
      <c r="D49" t="s">
        <v>652</v>
      </c>
      <c r="E49">
        <v>0</v>
      </c>
      <c r="G49">
        <v>20</v>
      </c>
      <c r="H49" t="s">
        <v>652</v>
      </c>
      <c r="I49" s="143">
        <f>'Proposed Rates'!O55</f>
        <v>0</v>
      </c>
      <c r="J49" s="143"/>
      <c r="K49" s="143">
        <f t="shared" si="0"/>
        <v>0</v>
      </c>
    </row>
    <row r="50" spans="1:11" x14ac:dyDescent="0.2">
      <c r="A50">
        <v>39500</v>
      </c>
      <c r="B50" t="s">
        <v>29</v>
      </c>
      <c r="C50">
        <v>20</v>
      </c>
      <c r="D50" t="s">
        <v>652</v>
      </c>
      <c r="E50">
        <v>0</v>
      </c>
      <c r="G50">
        <v>20</v>
      </c>
      <c r="H50" t="s">
        <v>652</v>
      </c>
      <c r="I50" s="143">
        <f>'Proposed Rates'!O56</f>
        <v>0</v>
      </c>
      <c r="J50" s="143"/>
      <c r="K50" s="143">
        <f t="shared" si="0"/>
        <v>0</v>
      </c>
    </row>
    <row r="51" spans="1:11" x14ac:dyDescent="0.2">
      <c r="A51">
        <v>39600</v>
      </c>
      <c r="B51" t="s">
        <v>30</v>
      </c>
      <c r="C51">
        <v>18</v>
      </c>
      <c r="D51" t="s">
        <v>1259</v>
      </c>
      <c r="E51">
        <v>10</v>
      </c>
      <c r="G51">
        <v>18</v>
      </c>
      <c r="H51" t="s">
        <v>1259</v>
      </c>
      <c r="I51" s="143">
        <f>'Proposed Rates'!O57</f>
        <v>10</v>
      </c>
      <c r="J51" s="143"/>
      <c r="K51" s="143">
        <f t="shared" si="0"/>
        <v>0</v>
      </c>
    </row>
    <row r="52" spans="1:11" x14ac:dyDescent="0.2">
      <c r="A52">
        <v>39700</v>
      </c>
      <c r="B52" t="s">
        <v>32</v>
      </c>
      <c r="C52">
        <v>13</v>
      </c>
      <c r="D52" t="s">
        <v>652</v>
      </c>
      <c r="E52">
        <v>0</v>
      </c>
      <c r="G52">
        <v>13</v>
      </c>
      <c r="H52" t="s">
        <v>652</v>
      </c>
      <c r="I52" s="143">
        <f>'Proposed Rates'!O58</f>
        <v>0</v>
      </c>
      <c r="J52" s="143"/>
      <c r="K52" s="143">
        <f t="shared" si="0"/>
        <v>0</v>
      </c>
    </row>
    <row r="53" spans="1:11" x14ac:dyDescent="0.2">
      <c r="A53">
        <v>39800</v>
      </c>
      <c r="B53" t="s">
        <v>33</v>
      </c>
      <c r="C53">
        <v>20</v>
      </c>
      <c r="D53" t="s">
        <v>652</v>
      </c>
      <c r="E53">
        <v>0</v>
      </c>
      <c r="G53">
        <v>20</v>
      </c>
      <c r="H53" t="s">
        <v>652</v>
      </c>
      <c r="I53" s="143">
        <f>'Proposed Rates'!O59</f>
        <v>0</v>
      </c>
      <c r="J53" s="143"/>
      <c r="K53" s="143">
        <f t="shared" si="0"/>
        <v>0</v>
      </c>
    </row>
    <row r="54" spans="1:11" x14ac:dyDescent="0.2">
      <c r="K54" s="143">
        <f t="shared" si="0"/>
        <v>0</v>
      </c>
    </row>
    <row r="55" spans="1:11" x14ac:dyDescent="0.2">
      <c r="A55">
        <v>33600</v>
      </c>
      <c r="B55" t="s">
        <v>1272</v>
      </c>
      <c r="C55">
        <v>30</v>
      </c>
      <c r="D55" t="s">
        <v>26</v>
      </c>
      <c r="E55">
        <v>-5</v>
      </c>
      <c r="G55" s="143">
        <v>30</v>
      </c>
      <c r="H55" s="143" t="s">
        <v>26</v>
      </c>
      <c r="I55" s="143">
        <v>-5</v>
      </c>
      <c r="K55" s="143">
        <f t="shared" si="0"/>
        <v>0</v>
      </c>
    </row>
    <row r="56" spans="1:11" s="143" customFormat="1" x14ac:dyDescent="0.2">
      <c r="A56" s="143">
        <v>33601</v>
      </c>
      <c r="B56" s="89" t="s">
        <v>1362</v>
      </c>
      <c r="C56" s="140">
        <v>15</v>
      </c>
      <c r="D56" s="378" t="s">
        <v>652</v>
      </c>
      <c r="E56" s="140">
        <v>0</v>
      </c>
      <c r="G56" s="143">
        <v>15</v>
      </c>
      <c r="H56" s="89" t="s">
        <v>652</v>
      </c>
      <c r="I56" s="143">
        <v>0</v>
      </c>
      <c r="K56" s="143">
        <f t="shared" si="0"/>
        <v>0</v>
      </c>
    </row>
    <row r="57" spans="1:11" x14ac:dyDescent="0.2">
      <c r="A57">
        <v>36400</v>
      </c>
      <c r="B57" t="s">
        <v>1273</v>
      </c>
      <c r="C57">
        <v>30</v>
      </c>
      <c r="D57" t="s">
        <v>26</v>
      </c>
      <c r="E57">
        <v>-5</v>
      </c>
      <c r="G57">
        <v>30</v>
      </c>
      <c r="H57" t="s">
        <v>26</v>
      </c>
      <c r="I57">
        <v>-5</v>
      </c>
      <c r="K57" s="143">
        <f t="shared" si="0"/>
        <v>0</v>
      </c>
    </row>
    <row r="58" spans="1:11" x14ac:dyDescent="0.2">
      <c r="K58" s="143">
        <f t="shared" si="0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S302"/>
  <sheetViews>
    <sheetView zoomScaleNormal="100" workbookViewId="0">
      <pane xSplit="4" ySplit="11" topLeftCell="E279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ColWidth="8.85546875" defaultRowHeight="12.75" x14ac:dyDescent="0.2"/>
  <cols>
    <col min="1" max="1" width="7.7109375" style="143" customWidth="1"/>
    <col min="2" max="2" width="1.7109375" style="143" customWidth="1"/>
    <col min="3" max="3" width="4.7109375" style="143" customWidth="1"/>
    <col min="4" max="4" width="20.42578125" style="143" bestFit="1" customWidth="1"/>
    <col min="5" max="5" width="1.7109375" style="143" customWidth="1"/>
    <col min="6" max="7" width="10.42578125" style="143" customWidth="1"/>
    <col min="8" max="8" width="1.7109375" style="143" customWidth="1"/>
    <col min="9" max="10" width="10.42578125" style="143" customWidth="1"/>
    <col min="11" max="11" width="1.7109375" style="143" customWidth="1"/>
    <col min="12" max="13" width="10.42578125" style="143" customWidth="1"/>
    <col min="14" max="14" width="1.7109375" style="143" customWidth="1"/>
    <col min="15" max="15" width="10.42578125" style="143" customWidth="1"/>
    <col min="16" max="17" width="1.42578125" style="143" customWidth="1"/>
    <col min="18" max="18" width="10.42578125" style="143" customWidth="1"/>
    <col min="19" max="16384" width="8.85546875" style="143"/>
  </cols>
  <sheetData>
    <row r="1" spans="1:19" s="89" customFormat="1" ht="16.5" x14ac:dyDescent="0.25">
      <c r="A1" s="44" t="s">
        <v>88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9" s="89" customFormat="1" ht="16.5" x14ac:dyDescent="0.25">
      <c r="A2" s="44" t="s">
        <v>44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9" s="89" customFormat="1" ht="16.5" x14ac:dyDescent="0.25">
      <c r="A3" s="44" t="str">
        <f>'Proposed Rates'!A2</f>
        <v>2022 Depreciation Rate Review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9" s="89" customFormat="1" x14ac:dyDescent="0.2"/>
    <row r="5" spans="1:19" s="89" customFormat="1" x14ac:dyDescent="0.2"/>
    <row r="6" spans="1:19" s="89" customFormat="1" x14ac:dyDescent="0.2"/>
    <row r="7" spans="1:19" s="89" customFormat="1" ht="13.5" thickBot="1" x14ac:dyDescent="0.25">
      <c r="F7" s="29" t="s">
        <v>116</v>
      </c>
      <c r="G7" s="29"/>
      <c r="H7" s="90"/>
      <c r="I7" s="90"/>
      <c r="J7" s="90"/>
      <c r="K7" s="90"/>
      <c r="L7" s="90"/>
      <c r="M7" s="91"/>
      <c r="O7" s="21" t="s">
        <v>89</v>
      </c>
      <c r="P7" s="21"/>
      <c r="Q7" s="21"/>
      <c r="R7" s="90"/>
    </row>
    <row r="8" spans="1:19" s="89" customFormat="1" x14ac:dyDescent="0.2">
      <c r="A8" s="144"/>
      <c r="B8" s="144"/>
      <c r="C8" s="144"/>
      <c r="D8" s="144"/>
      <c r="E8" s="144"/>
      <c r="F8" s="87" t="s">
        <v>647</v>
      </c>
      <c r="G8" s="87"/>
      <c r="H8" s="144"/>
      <c r="I8" s="261" t="s">
        <v>649</v>
      </c>
      <c r="J8" s="261"/>
      <c r="K8" s="144"/>
      <c r="L8" s="92" t="s">
        <v>698</v>
      </c>
      <c r="M8" s="92"/>
      <c r="N8" s="144"/>
      <c r="O8" s="28" t="s">
        <v>699</v>
      </c>
      <c r="P8" s="50"/>
      <c r="Q8" s="144"/>
      <c r="R8" s="47">
        <v>42370</v>
      </c>
    </row>
    <row r="9" spans="1:19" s="89" customFormat="1" x14ac:dyDescent="0.2">
      <c r="A9" s="144"/>
      <c r="B9" s="144"/>
      <c r="C9" s="144"/>
      <c r="D9" s="144"/>
      <c r="E9" s="144"/>
      <c r="F9" s="87" t="s">
        <v>648</v>
      </c>
      <c r="G9" s="87"/>
      <c r="H9" s="57"/>
      <c r="I9" s="87" t="s">
        <v>650</v>
      </c>
      <c r="J9" s="87"/>
      <c r="K9" s="57"/>
      <c r="L9" s="87" t="s">
        <v>700</v>
      </c>
      <c r="M9" s="87"/>
      <c r="N9" s="144"/>
      <c r="O9" s="28"/>
      <c r="P9" s="50"/>
      <c r="Q9" s="144"/>
      <c r="R9" s="47"/>
    </row>
    <row r="10" spans="1:19" s="89" customFormat="1" x14ac:dyDescent="0.2">
      <c r="A10" s="144" t="s">
        <v>9</v>
      </c>
      <c r="B10" s="144"/>
      <c r="C10" s="144"/>
      <c r="D10" s="144"/>
      <c r="E10" s="144"/>
      <c r="F10" s="93">
        <v>39814</v>
      </c>
      <c r="G10" s="93"/>
      <c r="H10" s="88"/>
      <c r="I10" s="93">
        <v>39814</v>
      </c>
      <c r="J10" s="93"/>
      <c r="K10" s="88"/>
      <c r="L10" s="93">
        <v>38718</v>
      </c>
      <c r="M10" s="93"/>
      <c r="N10" s="144"/>
      <c r="O10" s="144" t="s">
        <v>46</v>
      </c>
      <c r="P10" s="50"/>
      <c r="Q10" s="144"/>
      <c r="R10" s="48" t="s">
        <v>45</v>
      </c>
    </row>
    <row r="11" spans="1:19" s="89" customFormat="1" ht="13.5" thickBot="1" x14ac:dyDescent="0.25">
      <c r="A11" s="95" t="s">
        <v>17</v>
      </c>
      <c r="B11" s="26"/>
      <c r="C11" s="21" t="s">
        <v>18</v>
      </c>
      <c r="D11" s="21"/>
      <c r="E11" s="26"/>
      <c r="F11" s="96" t="s">
        <v>657</v>
      </c>
      <c r="G11" s="96" t="s">
        <v>656</v>
      </c>
      <c r="H11" s="26"/>
      <c r="I11" s="96" t="s">
        <v>657</v>
      </c>
      <c r="J11" s="96" t="s">
        <v>656</v>
      </c>
      <c r="K11" s="26"/>
      <c r="L11" s="96" t="s">
        <v>657</v>
      </c>
      <c r="M11" s="96" t="s">
        <v>656</v>
      </c>
      <c r="N11" s="26"/>
      <c r="O11" s="95" t="s">
        <v>5</v>
      </c>
      <c r="P11" s="26"/>
      <c r="Q11" s="26"/>
      <c r="R11" s="97" t="s">
        <v>64</v>
      </c>
      <c r="S11" s="94"/>
    </row>
    <row r="12" spans="1:19" x14ac:dyDescent="0.2">
      <c r="A12" s="1"/>
      <c r="F12" s="8"/>
      <c r="G12" s="8"/>
      <c r="H12" s="5"/>
      <c r="I12" s="8"/>
      <c r="J12" s="8"/>
      <c r="K12" s="5"/>
      <c r="L12" s="8"/>
      <c r="M12" s="8"/>
      <c r="O12" s="2"/>
      <c r="P12" s="50"/>
      <c r="Q12" s="144"/>
      <c r="R12" s="2"/>
    </row>
    <row r="13" spans="1:19" x14ac:dyDescent="0.2">
      <c r="A13" s="1"/>
      <c r="C13" s="25" t="str">
        <f>'Proposed Rates'!C14</f>
        <v>Distribution Plant</v>
      </c>
      <c r="D13" s="25"/>
      <c r="F13" s="5"/>
      <c r="G13" s="5"/>
      <c r="H13" s="5"/>
      <c r="I13" s="5"/>
      <c r="J13" s="5"/>
      <c r="K13" s="5"/>
      <c r="L13" s="5"/>
      <c r="M13" s="5"/>
      <c r="P13" s="50"/>
      <c r="Q13" s="144"/>
    </row>
    <row r="14" spans="1:19" x14ac:dyDescent="0.2">
      <c r="A14" s="1"/>
      <c r="F14" s="5"/>
      <c r="G14" s="5"/>
      <c r="H14" s="5"/>
      <c r="I14" s="5"/>
      <c r="J14" s="5"/>
      <c r="K14" s="5"/>
      <c r="L14" s="5"/>
      <c r="M14" s="5"/>
      <c r="P14" s="49"/>
    </row>
    <row r="15" spans="1:19" x14ac:dyDescent="0.2">
      <c r="A15" s="6">
        <f>'Proposed Rates'!A16</f>
        <v>37402</v>
      </c>
      <c r="C15" s="20" t="str">
        <f>'Proposed Rates'!C16</f>
        <v>Land Rights</v>
      </c>
      <c r="F15" s="14"/>
      <c r="G15" s="14"/>
      <c r="H15" s="14"/>
      <c r="I15" s="14"/>
      <c r="J15" s="14"/>
      <c r="K15" s="14"/>
      <c r="L15" s="14"/>
      <c r="M15" s="14"/>
      <c r="O15" s="12"/>
      <c r="P15" s="52"/>
      <c r="Q15" s="12"/>
      <c r="R15" s="22"/>
    </row>
    <row r="16" spans="1:19" x14ac:dyDescent="0.2">
      <c r="A16" s="6"/>
      <c r="D16" s="143" t="s">
        <v>47</v>
      </c>
      <c r="F16" s="83"/>
      <c r="G16" s="83">
        <v>3.3</v>
      </c>
      <c r="H16" s="15"/>
      <c r="I16" s="83" t="s">
        <v>651</v>
      </c>
      <c r="J16" s="83" t="s">
        <v>651</v>
      </c>
      <c r="K16" s="15"/>
      <c r="L16" s="83">
        <v>1.71</v>
      </c>
      <c r="M16" s="83">
        <v>1.53</v>
      </c>
      <c r="O16" s="39">
        <f>'Proposed Rates'!J16</f>
        <v>1.2999999999999999E-2</v>
      </c>
      <c r="P16" s="53"/>
      <c r="Q16" s="39"/>
      <c r="R16" s="58">
        <f>'Proposed Rates'!X16</f>
        <v>1.3000000000000001E-2</v>
      </c>
    </row>
    <row r="17" spans="1:18" x14ac:dyDescent="0.2">
      <c r="A17" s="6"/>
      <c r="D17" s="143" t="s">
        <v>79</v>
      </c>
      <c r="F17" s="83"/>
      <c r="G17" s="83"/>
      <c r="H17" s="16"/>
      <c r="I17" s="83" t="s">
        <v>651</v>
      </c>
      <c r="J17" s="83" t="s">
        <v>651</v>
      </c>
      <c r="K17" s="16"/>
      <c r="L17" s="83"/>
      <c r="M17" s="83"/>
      <c r="O17" s="40">
        <f>'Proposed Rates'!F16</f>
        <v>75</v>
      </c>
      <c r="P17" s="54"/>
      <c r="Q17" s="40"/>
      <c r="R17" s="59">
        <f>'Proposed Rates'!N16</f>
        <v>75</v>
      </c>
    </row>
    <row r="18" spans="1:18" x14ac:dyDescent="0.2">
      <c r="A18" s="6"/>
      <c r="D18" s="143" t="s">
        <v>48</v>
      </c>
      <c r="F18" s="83"/>
      <c r="G18" s="83">
        <v>30</v>
      </c>
      <c r="H18" s="15"/>
      <c r="I18" s="83" t="s">
        <v>651</v>
      </c>
      <c r="J18" s="83" t="s">
        <v>651</v>
      </c>
      <c r="K18" s="15"/>
      <c r="L18" s="83">
        <v>65</v>
      </c>
      <c r="M18" s="83">
        <v>65</v>
      </c>
      <c r="O18" s="39">
        <f>'Proposed Rates'!G16</f>
        <v>59.86</v>
      </c>
      <c r="P18" s="53"/>
      <c r="Q18" s="39"/>
      <c r="R18" s="58">
        <f>'Proposed Rates'!S16</f>
        <v>55.861004813856397</v>
      </c>
    </row>
    <row r="19" spans="1:18" x14ac:dyDescent="0.2">
      <c r="A19" s="6"/>
      <c r="D19" s="143" t="s">
        <v>49</v>
      </c>
      <c r="F19" s="83"/>
      <c r="G19" s="83">
        <v>0</v>
      </c>
      <c r="H19" s="16"/>
      <c r="I19" s="83" t="s">
        <v>651</v>
      </c>
      <c r="J19" s="83" t="s">
        <v>651</v>
      </c>
      <c r="K19" s="16"/>
      <c r="L19" s="83">
        <v>0</v>
      </c>
      <c r="M19" s="83">
        <v>0</v>
      </c>
      <c r="O19" s="99">
        <f>'Proposed Rates'!H16</f>
        <v>0</v>
      </c>
      <c r="P19" s="54"/>
      <c r="Q19" s="40"/>
      <c r="R19" s="100">
        <f>'Proposed Rates'!O16</f>
        <v>0</v>
      </c>
    </row>
    <row r="20" spans="1:18" x14ac:dyDescent="0.2">
      <c r="A20" s="6"/>
      <c r="D20" s="143" t="s">
        <v>50</v>
      </c>
      <c r="F20" s="83"/>
      <c r="G20" s="83"/>
      <c r="H20" s="17"/>
      <c r="I20" s="83" t="s">
        <v>651</v>
      </c>
      <c r="J20" s="83" t="s">
        <v>651</v>
      </c>
      <c r="K20" s="17"/>
      <c r="L20" s="83" t="s">
        <v>651</v>
      </c>
      <c r="M20" s="83" t="s">
        <v>651</v>
      </c>
      <c r="O20" s="41">
        <f>'Proposed Rates'!I16</f>
        <v>21.7</v>
      </c>
      <c r="P20" s="55"/>
      <c r="Q20" s="41"/>
      <c r="R20" s="60">
        <f>'Proposed Rates'!V16</f>
        <v>26.61</v>
      </c>
    </row>
    <row r="21" spans="1:18" x14ac:dyDescent="0.2">
      <c r="A21" s="6"/>
      <c r="D21" s="143" t="s">
        <v>51</v>
      </c>
      <c r="F21" s="83"/>
      <c r="G21" s="83"/>
      <c r="H21" s="18"/>
      <c r="I21" s="83" t="s">
        <v>651</v>
      </c>
      <c r="J21" s="83" t="s">
        <v>651</v>
      </c>
      <c r="K21" s="18"/>
      <c r="L21" s="83" t="s">
        <v>701</v>
      </c>
      <c r="M21" s="83" t="s">
        <v>701</v>
      </c>
      <c r="O21" s="42" t="str">
        <f>'Proposed Rates'!E16</f>
        <v>SQ</v>
      </c>
      <c r="P21" s="56"/>
      <c r="Q21" s="42"/>
      <c r="R21" s="61" t="str">
        <f>'Proposed Rates'!M16</f>
        <v>SQ</v>
      </c>
    </row>
    <row r="22" spans="1:18" x14ac:dyDescent="0.2">
      <c r="A22" s="1"/>
      <c r="F22" s="5"/>
      <c r="G22" s="5"/>
      <c r="H22" s="5"/>
      <c r="I22" s="5"/>
      <c r="J22" s="5"/>
      <c r="K22" s="5"/>
      <c r="L22" s="5"/>
      <c r="M22" s="5"/>
      <c r="P22" s="49"/>
    </row>
    <row r="23" spans="1:18" x14ac:dyDescent="0.2">
      <c r="A23" s="6">
        <f>'Proposed Rates'!A17</f>
        <v>37500</v>
      </c>
      <c r="C23" s="20" t="str">
        <f>'Proposed Rates'!C17</f>
        <v>Structures &amp; Improvements</v>
      </c>
      <c r="F23" s="14"/>
      <c r="G23" s="14"/>
      <c r="H23" s="14"/>
      <c r="I23" s="14"/>
      <c r="J23" s="14"/>
      <c r="K23" s="14"/>
      <c r="L23" s="14"/>
      <c r="M23" s="14"/>
      <c r="O23" s="12"/>
      <c r="P23" s="52"/>
      <c r="Q23" s="12"/>
      <c r="R23" s="22"/>
    </row>
    <row r="24" spans="1:18" x14ac:dyDescent="0.2">
      <c r="A24" s="6"/>
      <c r="D24" s="143" t="s">
        <v>47</v>
      </c>
      <c r="F24" s="15"/>
      <c r="G24" s="15">
        <v>3.1</v>
      </c>
      <c r="H24" s="15"/>
      <c r="I24" s="262">
        <v>2.2000000000000002</v>
      </c>
      <c r="J24" s="262">
        <v>2.5</v>
      </c>
      <c r="K24" s="15"/>
      <c r="L24" s="15">
        <v>1.54</v>
      </c>
      <c r="M24" s="15">
        <v>1.62</v>
      </c>
      <c r="O24" s="39">
        <f>'Proposed Rates'!J17</f>
        <v>2.8000000000000001E-2</v>
      </c>
      <c r="P24" s="53"/>
      <c r="Q24" s="39"/>
      <c r="R24" s="58">
        <f>'Proposed Rates'!X17</f>
        <v>2.8999999999999998E-2</v>
      </c>
    </row>
    <row r="25" spans="1:18" x14ac:dyDescent="0.2">
      <c r="A25" s="6"/>
      <c r="D25" s="143" t="s">
        <v>79</v>
      </c>
      <c r="F25" s="16"/>
      <c r="G25" s="16"/>
      <c r="H25" s="16"/>
      <c r="I25" s="263"/>
      <c r="J25" s="263"/>
      <c r="K25" s="16"/>
      <c r="L25" s="27"/>
      <c r="M25" s="27"/>
      <c r="O25" s="40">
        <f>'Proposed Rates'!F17</f>
        <v>33</v>
      </c>
      <c r="P25" s="54"/>
      <c r="Q25" s="40"/>
      <c r="R25" s="59">
        <f>'Proposed Rates'!N17</f>
        <v>33</v>
      </c>
    </row>
    <row r="26" spans="1:18" x14ac:dyDescent="0.2">
      <c r="A26" s="6"/>
      <c r="D26" s="143" t="s">
        <v>48</v>
      </c>
      <c r="F26" s="15"/>
      <c r="G26" s="15">
        <v>14.4</v>
      </c>
      <c r="H26" s="15"/>
      <c r="I26" s="262">
        <v>27</v>
      </c>
      <c r="J26" s="262">
        <v>25.6</v>
      </c>
      <c r="K26" s="15"/>
      <c r="L26" s="15">
        <v>60</v>
      </c>
      <c r="M26" s="15">
        <v>60</v>
      </c>
      <c r="O26" s="39">
        <f>'Proposed Rates'!G17</f>
        <v>25.9</v>
      </c>
      <c r="P26" s="53"/>
      <c r="Q26" s="39"/>
      <c r="R26" s="58">
        <f>'Proposed Rates'!S17</f>
        <v>27.84390288172925</v>
      </c>
    </row>
    <row r="27" spans="1:18" x14ac:dyDescent="0.2">
      <c r="A27" s="6"/>
      <c r="D27" s="143" t="s">
        <v>49</v>
      </c>
      <c r="F27" s="18"/>
      <c r="G27" s="18">
        <v>0</v>
      </c>
      <c r="H27" s="16"/>
      <c r="I27" s="264">
        <v>0</v>
      </c>
      <c r="J27" s="264">
        <v>0</v>
      </c>
      <c r="K27" s="16"/>
      <c r="L27" s="16">
        <v>0</v>
      </c>
      <c r="M27" s="16">
        <v>0</v>
      </c>
      <c r="O27" s="99">
        <f>'Proposed Rates'!H17</f>
        <v>0</v>
      </c>
      <c r="P27" s="54"/>
      <c r="Q27" s="40"/>
      <c r="R27" s="100">
        <f>'Proposed Rates'!O17</f>
        <v>0</v>
      </c>
    </row>
    <row r="28" spans="1:18" x14ac:dyDescent="0.2">
      <c r="A28" s="6"/>
      <c r="D28" s="143" t="s">
        <v>50</v>
      </c>
      <c r="F28" s="17"/>
      <c r="G28" s="17">
        <v>55.6</v>
      </c>
      <c r="H28" s="17"/>
      <c r="I28" s="265"/>
      <c r="J28" s="265">
        <v>36</v>
      </c>
      <c r="K28" s="17"/>
      <c r="L28" s="84"/>
      <c r="M28" s="84"/>
      <c r="O28" s="41">
        <f>'Proposed Rates'!I17</f>
        <v>27.1</v>
      </c>
      <c r="P28" s="55"/>
      <c r="Q28" s="41"/>
      <c r="R28" s="60">
        <f>'Proposed Rates'!V17</f>
        <v>19.57</v>
      </c>
    </row>
    <row r="29" spans="1:18" x14ac:dyDescent="0.2">
      <c r="A29" s="6"/>
      <c r="D29" s="143" t="s">
        <v>51</v>
      </c>
      <c r="F29" s="18"/>
      <c r="G29" s="18"/>
      <c r="H29" s="18"/>
      <c r="I29" s="264"/>
      <c r="J29" s="264"/>
      <c r="K29" s="18"/>
      <c r="L29" s="84" t="s">
        <v>702</v>
      </c>
      <c r="M29" s="84" t="s">
        <v>703</v>
      </c>
      <c r="O29" s="42" t="str">
        <f>'Proposed Rates'!E17</f>
        <v>L0</v>
      </c>
      <c r="P29" s="56"/>
      <c r="Q29" s="42"/>
      <c r="R29" s="61" t="str">
        <f>'Proposed Rates'!M17</f>
        <v>L0</v>
      </c>
    </row>
    <row r="30" spans="1:18" x14ac:dyDescent="0.2">
      <c r="A30" s="6"/>
      <c r="F30" s="18"/>
      <c r="G30" s="18"/>
      <c r="H30" s="18"/>
      <c r="I30" s="264"/>
      <c r="J30" s="264"/>
      <c r="K30" s="18"/>
      <c r="L30" s="18"/>
      <c r="M30" s="18"/>
      <c r="O30" s="42"/>
      <c r="P30" s="56"/>
      <c r="Q30" s="42"/>
      <c r="R30" s="62"/>
    </row>
    <row r="31" spans="1:18" x14ac:dyDescent="0.2">
      <c r="A31" s="6">
        <f>'Proposed Rates'!A18</f>
        <v>37600</v>
      </c>
      <c r="C31" s="20" t="str">
        <f>'Proposed Rates'!C18</f>
        <v>Mains Steel</v>
      </c>
      <c r="F31" s="14"/>
      <c r="G31" s="14"/>
      <c r="H31" s="14"/>
      <c r="I31" s="266"/>
      <c r="J31" s="266"/>
      <c r="K31" s="14"/>
      <c r="L31" s="14"/>
      <c r="M31" s="14"/>
      <c r="O31" s="12"/>
      <c r="P31" s="52"/>
      <c r="Q31" s="12"/>
      <c r="R31" s="22"/>
    </row>
    <row r="32" spans="1:18" x14ac:dyDescent="0.2">
      <c r="A32" s="6"/>
      <c r="D32" s="143" t="s">
        <v>47</v>
      </c>
      <c r="F32" s="15"/>
      <c r="G32" s="15">
        <v>2.8</v>
      </c>
      <c r="H32" s="15"/>
      <c r="I32" s="262">
        <v>2.8</v>
      </c>
      <c r="J32" s="262">
        <v>3</v>
      </c>
      <c r="K32" s="15"/>
      <c r="L32" s="15">
        <v>1.96</v>
      </c>
      <c r="M32" s="15">
        <v>2.1</v>
      </c>
      <c r="O32" s="39">
        <f>'Proposed Rates'!J18</f>
        <v>2.1000000000000001E-2</v>
      </c>
      <c r="P32" s="53"/>
      <c r="Q32" s="39"/>
      <c r="R32" s="58">
        <f>'Proposed Rates'!X18</f>
        <v>2.4E-2</v>
      </c>
    </row>
    <row r="33" spans="1:18" x14ac:dyDescent="0.2">
      <c r="A33" s="6"/>
      <c r="D33" s="143" t="s">
        <v>79</v>
      </c>
      <c r="F33" s="16"/>
      <c r="G33" s="16"/>
      <c r="H33" s="16"/>
      <c r="I33" s="263"/>
      <c r="J33" s="263"/>
      <c r="K33" s="16"/>
      <c r="L33" s="16"/>
      <c r="M33" s="16"/>
      <c r="O33" s="40">
        <f>'Proposed Rates'!F18</f>
        <v>65</v>
      </c>
      <c r="P33" s="54"/>
      <c r="Q33" s="40"/>
      <c r="R33" s="59">
        <f>'Proposed Rates'!N18</f>
        <v>65</v>
      </c>
    </row>
    <row r="34" spans="1:18" x14ac:dyDescent="0.2">
      <c r="A34" s="6"/>
      <c r="D34" s="143" t="s">
        <v>48</v>
      </c>
      <c r="F34" s="15"/>
      <c r="G34" s="15">
        <v>23</v>
      </c>
      <c r="H34" s="15"/>
      <c r="I34" s="262">
        <v>26</v>
      </c>
      <c r="J34" s="262">
        <v>20.7</v>
      </c>
      <c r="K34" s="15"/>
      <c r="L34" s="15">
        <v>65</v>
      </c>
      <c r="M34" s="15">
        <v>65</v>
      </c>
      <c r="O34" s="39">
        <f>'Proposed Rates'!G18</f>
        <v>53.2</v>
      </c>
      <c r="P34" s="53"/>
      <c r="Q34" s="39"/>
      <c r="R34" s="58">
        <f>'Proposed Rates'!S18</f>
        <v>54.669563555170619</v>
      </c>
    </row>
    <row r="35" spans="1:18" x14ac:dyDescent="0.2">
      <c r="A35" s="6"/>
      <c r="D35" s="143" t="s">
        <v>49</v>
      </c>
      <c r="F35" s="16"/>
      <c r="G35" s="16">
        <v>-20</v>
      </c>
      <c r="H35" s="16"/>
      <c r="I35" s="263">
        <v>-20</v>
      </c>
      <c r="J35" s="263">
        <v>-20</v>
      </c>
      <c r="K35" s="16"/>
      <c r="L35" s="16">
        <v>-30</v>
      </c>
      <c r="M35" s="16">
        <v>-40</v>
      </c>
      <c r="O35" s="40">
        <f>'Proposed Rates'!H18</f>
        <v>-50</v>
      </c>
      <c r="P35" s="54"/>
      <c r="Q35" s="40"/>
      <c r="R35" s="59">
        <f>'Proposed Rates'!O18</f>
        <v>-60</v>
      </c>
    </row>
    <row r="36" spans="1:18" x14ac:dyDescent="0.2">
      <c r="A36" s="6"/>
      <c r="D36" s="143" t="s">
        <v>50</v>
      </c>
      <c r="F36" s="17"/>
      <c r="G36" s="17">
        <v>54.54</v>
      </c>
      <c r="H36" s="17"/>
      <c r="I36" s="265"/>
      <c r="J36" s="265">
        <v>57.3</v>
      </c>
      <c r="K36" s="17"/>
      <c r="L36" s="17"/>
      <c r="M36" s="17"/>
      <c r="O36" s="41">
        <f>'Proposed Rates'!I18</f>
        <v>37.5</v>
      </c>
      <c r="P36" s="55"/>
      <c r="Q36" s="41"/>
      <c r="R36" s="60">
        <f>'Proposed Rates'!V18</f>
        <v>26.14</v>
      </c>
    </row>
    <row r="37" spans="1:18" x14ac:dyDescent="0.2">
      <c r="A37" s="6"/>
      <c r="D37" s="143" t="s">
        <v>51</v>
      </c>
      <c r="F37" s="18"/>
      <c r="G37" s="18"/>
      <c r="H37" s="18"/>
      <c r="I37" s="264"/>
      <c r="J37" s="264"/>
      <c r="K37" s="18"/>
      <c r="L37" s="18" t="s">
        <v>25</v>
      </c>
      <c r="M37" s="18" t="s">
        <v>25</v>
      </c>
      <c r="O37" s="42" t="str">
        <f>'Proposed Rates'!E18</f>
        <v>R1.5</v>
      </c>
      <c r="P37" s="56"/>
      <c r="Q37" s="42"/>
      <c r="R37" s="61" t="str">
        <f>'Proposed Rates'!M18</f>
        <v>R1.5</v>
      </c>
    </row>
    <row r="38" spans="1:18" x14ac:dyDescent="0.2">
      <c r="A38" s="6"/>
      <c r="F38" s="18"/>
      <c r="G38" s="18"/>
      <c r="H38" s="18"/>
      <c r="I38" s="264"/>
      <c r="J38" s="264"/>
      <c r="K38" s="18"/>
      <c r="L38" s="18"/>
      <c r="M38" s="18"/>
      <c r="O38" s="42"/>
      <c r="P38" s="56"/>
      <c r="Q38" s="42"/>
      <c r="R38" s="62"/>
    </row>
    <row r="39" spans="1:18" x14ac:dyDescent="0.2">
      <c r="A39" s="6">
        <f>'Proposed Rates'!A19</f>
        <v>37602</v>
      </c>
      <c r="C39" s="20" t="str">
        <f>'Proposed Rates'!C19</f>
        <v>Mains Plastic</v>
      </c>
      <c r="F39" s="14"/>
      <c r="G39" s="14"/>
      <c r="H39" s="14"/>
      <c r="I39" s="266"/>
      <c r="J39" s="266"/>
      <c r="K39" s="14"/>
      <c r="L39" s="14"/>
      <c r="M39" s="14"/>
      <c r="O39" s="12"/>
      <c r="P39" s="52"/>
      <c r="Q39" s="12"/>
      <c r="R39" s="22"/>
    </row>
    <row r="40" spans="1:18" x14ac:dyDescent="0.2">
      <c r="A40" s="6"/>
      <c r="D40" s="143" t="s">
        <v>47</v>
      </c>
      <c r="F40" s="15"/>
      <c r="G40" s="15">
        <v>2.5</v>
      </c>
      <c r="H40" s="15"/>
      <c r="I40" s="15">
        <v>2.9</v>
      </c>
      <c r="J40" s="262">
        <v>3</v>
      </c>
      <c r="K40" s="15"/>
      <c r="L40" s="15"/>
      <c r="M40" s="15"/>
      <c r="O40" s="39">
        <f>'Proposed Rates'!J19</f>
        <v>1.6E-2</v>
      </c>
      <c r="P40" s="53"/>
      <c r="Q40" s="39"/>
      <c r="R40" s="58">
        <f>'Proposed Rates'!X19</f>
        <v>1.8000000000000002E-2</v>
      </c>
    </row>
    <row r="41" spans="1:18" x14ac:dyDescent="0.2">
      <c r="A41" s="6"/>
      <c r="D41" s="143" t="s">
        <v>79</v>
      </c>
      <c r="F41" s="16"/>
      <c r="G41" s="16"/>
      <c r="H41" s="16"/>
      <c r="I41" s="16"/>
      <c r="J41" s="263"/>
      <c r="K41" s="16"/>
      <c r="L41" s="16"/>
      <c r="M41" s="16"/>
      <c r="O41" s="40">
        <f>'Proposed Rates'!F19</f>
        <v>75</v>
      </c>
      <c r="P41" s="54"/>
      <c r="Q41" s="40"/>
      <c r="R41" s="59">
        <f>'Proposed Rates'!N19</f>
        <v>75</v>
      </c>
    </row>
    <row r="42" spans="1:18" x14ac:dyDescent="0.2">
      <c r="A42" s="6"/>
      <c r="D42" s="143" t="s">
        <v>48</v>
      </c>
      <c r="F42" s="15"/>
      <c r="G42" s="15">
        <v>37</v>
      </c>
      <c r="H42" s="15"/>
      <c r="I42" s="15">
        <v>32</v>
      </c>
      <c r="J42" s="262">
        <v>29.1</v>
      </c>
      <c r="K42" s="15"/>
      <c r="L42" s="15"/>
      <c r="M42" s="15"/>
      <c r="O42" s="39">
        <f>'Proposed Rates'!G19</f>
        <v>65.7</v>
      </c>
      <c r="P42" s="53"/>
      <c r="Q42" s="39"/>
      <c r="R42" s="58">
        <f>'Proposed Rates'!S19</f>
        <v>67.333982178474372</v>
      </c>
    </row>
    <row r="43" spans="1:18" x14ac:dyDescent="0.2">
      <c r="A43" s="6"/>
      <c r="D43" s="143" t="s">
        <v>49</v>
      </c>
      <c r="F43" s="16"/>
      <c r="G43" s="16">
        <v>-10</v>
      </c>
      <c r="H43" s="16"/>
      <c r="I43" s="16">
        <v>-20</v>
      </c>
      <c r="J43" s="263">
        <v>-20</v>
      </c>
      <c r="K43" s="16"/>
      <c r="L43" s="16"/>
      <c r="M43" s="16"/>
      <c r="O43" s="40">
        <f>'Proposed Rates'!H19</f>
        <v>-33</v>
      </c>
      <c r="P43" s="54"/>
      <c r="Q43" s="40"/>
      <c r="R43" s="59">
        <f>'Proposed Rates'!O19</f>
        <v>-40</v>
      </c>
    </row>
    <row r="44" spans="1:18" x14ac:dyDescent="0.2">
      <c r="A44" s="6"/>
      <c r="D44" s="143" t="s">
        <v>50</v>
      </c>
      <c r="F44" s="17"/>
      <c r="G44" s="17">
        <v>19.28</v>
      </c>
      <c r="H44" s="17"/>
      <c r="I44" s="17"/>
      <c r="J44" s="265">
        <v>42.64</v>
      </c>
      <c r="K44" s="17"/>
      <c r="L44" s="17"/>
      <c r="M44" s="17"/>
      <c r="O44" s="41">
        <f>'Proposed Rates'!I19</f>
        <v>30</v>
      </c>
      <c r="P44" s="55"/>
      <c r="Q44" s="41"/>
      <c r="R44" s="60">
        <f>'Proposed Rates'!V19</f>
        <v>18.52</v>
      </c>
    </row>
    <row r="45" spans="1:18" x14ac:dyDescent="0.2">
      <c r="A45" s="6"/>
      <c r="D45" s="143" t="s">
        <v>51</v>
      </c>
      <c r="F45" s="18"/>
      <c r="G45" s="18"/>
      <c r="H45" s="18"/>
      <c r="I45" s="18"/>
      <c r="J45" s="264"/>
      <c r="K45" s="18"/>
      <c r="L45" s="17"/>
      <c r="M45" s="17"/>
      <c r="O45" s="42" t="str">
        <f>'Proposed Rates'!E19</f>
        <v>R2</v>
      </c>
      <c r="P45" s="56"/>
      <c r="Q45" s="42"/>
      <c r="R45" s="61" t="str">
        <f>'Proposed Rates'!M19</f>
        <v>R2</v>
      </c>
    </row>
    <row r="46" spans="1:18" x14ac:dyDescent="0.2">
      <c r="A46" s="6"/>
      <c r="F46" s="18"/>
      <c r="G46" s="18"/>
      <c r="H46" s="18"/>
      <c r="I46" s="18"/>
      <c r="J46" s="264"/>
      <c r="K46" s="18"/>
      <c r="L46" s="18"/>
      <c r="M46" s="18"/>
      <c r="O46" s="42"/>
      <c r="P46" s="56"/>
      <c r="Q46" s="42"/>
      <c r="R46" s="62"/>
    </row>
    <row r="47" spans="1:18" x14ac:dyDescent="0.2">
      <c r="A47" s="6">
        <f>'Proposed Rates'!A21</f>
        <v>37800</v>
      </c>
      <c r="C47" s="20" t="str">
        <f>'Proposed Rates'!C21</f>
        <v>Meas &amp; Reg Station Eqp Gen</v>
      </c>
      <c r="F47" s="14"/>
      <c r="G47" s="14"/>
      <c r="H47" s="14"/>
      <c r="I47" s="14"/>
      <c r="J47" s="266"/>
      <c r="K47" s="14"/>
      <c r="L47" s="14"/>
      <c r="M47" s="14"/>
      <c r="O47" s="12"/>
      <c r="P47" s="52"/>
      <c r="Q47" s="12"/>
      <c r="R47" s="22"/>
    </row>
    <row r="48" spans="1:18" x14ac:dyDescent="0.2">
      <c r="A48" s="6"/>
      <c r="D48" s="143" t="s">
        <v>47</v>
      </c>
      <c r="F48" s="15"/>
      <c r="G48" s="15">
        <v>3.8</v>
      </c>
      <c r="H48" s="15"/>
      <c r="I48" s="83" t="s">
        <v>651</v>
      </c>
      <c r="J48" s="83" t="s">
        <v>651</v>
      </c>
      <c r="K48" s="15"/>
      <c r="L48" s="15">
        <v>1.7</v>
      </c>
      <c r="M48" s="15">
        <v>1.51</v>
      </c>
      <c r="O48" s="39">
        <f>'Proposed Rates'!J21</f>
        <v>2.7E-2</v>
      </c>
      <c r="P48" s="53"/>
      <c r="Q48" s="39"/>
      <c r="R48" s="58">
        <f>'Proposed Rates'!X21</f>
        <v>0.03</v>
      </c>
    </row>
    <row r="49" spans="1:18" x14ac:dyDescent="0.2">
      <c r="A49" s="6"/>
      <c r="D49" s="143" t="s">
        <v>79</v>
      </c>
      <c r="F49" s="16"/>
      <c r="G49" s="16"/>
      <c r="H49" s="16"/>
      <c r="I49" s="83" t="s">
        <v>651</v>
      </c>
      <c r="J49" s="83" t="s">
        <v>651</v>
      </c>
      <c r="K49" s="16"/>
      <c r="L49" s="16"/>
      <c r="M49" s="16"/>
      <c r="O49" s="40">
        <f>'Proposed Rates'!F21</f>
        <v>40</v>
      </c>
      <c r="P49" s="54"/>
      <c r="Q49" s="40"/>
      <c r="R49" s="59">
        <f>'Proposed Rates'!N21</f>
        <v>40</v>
      </c>
    </row>
    <row r="50" spans="1:18" x14ac:dyDescent="0.2">
      <c r="A50" s="6"/>
      <c r="D50" s="143" t="s">
        <v>48</v>
      </c>
      <c r="F50" s="15"/>
      <c r="G50" s="15">
        <v>19</v>
      </c>
      <c r="H50" s="15"/>
      <c r="I50" s="83" t="s">
        <v>651</v>
      </c>
      <c r="J50" s="83" t="s">
        <v>651</v>
      </c>
      <c r="K50" s="15"/>
      <c r="L50" s="15">
        <v>59</v>
      </c>
      <c r="M50" s="15">
        <v>55</v>
      </c>
      <c r="O50" s="39">
        <f>'Proposed Rates'!G21</f>
        <v>32.1</v>
      </c>
      <c r="P50" s="53"/>
      <c r="Q50" s="39"/>
      <c r="R50" s="58">
        <f>'Proposed Rates'!S21</f>
        <v>30.823834421347936</v>
      </c>
    </row>
    <row r="51" spans="1:18" x14ac:dyDescent="0.2">
      <c r="A51" s="6"/>
      <c r="D51" s="143" t="s">
        <v>49</v>
      </c>
      <c r="F51" s="16"/>
      <c r="G51" s="16">
        <v>-5</v>
      </c>
      <c r="H51" s="16"/>
      <c r="I51" s="83" t="s">
        <v>651</v>
      </c>
      <c r="J51" s="83" t="s">
        <v>651</v>
      </c>
      <c r="K51" s="16"/>
      <c r="L51" s="16">
        <v>-10</v>
      </c>
      <c r="M51" s="16">
        <v>-5</v>
      </c>
      <c r="O51" s="40">
        <f>'Proposed Rates'!H21</f>
        <v>-10</v>
      </c>
      <c r="P51" s="54"/>
      <c r="Q51" s="40"/>
      <c r="R51" s="59">
        <f>'Proposed Rates'!O21</f>
        <v>-20</v>
      </c>
    </row>
    <row r="52" spans="1:18" x14ac:dyDescent="0.2">
      <c r="A52" s="6"/>
      <c r="D52" s="143" t="s">
        <v>50</v>
      </c>
      <c r="F52" s="17"/>
      <c r="G52" s="17">
        <v>32.57</v>
      </c>
      <c r="H52" s="17"/>
      <c r="I52" s="83" t="s">
        <v>651</v>
      </c>
      <c r="J52" s="83" t="s">
        <v>651</v>
      </c>
      <c r="K52" s="17"/>
      <c r="L52" s="17"/>
      <c r="M52" s="17"/>
      <c r="O52" s="41">
        <f>'Proposed Rates'!I21</f>
        <v>22.9</v>
      </c>
      <c r="P52" s="55"/>
      <c r="Q52" s="41"/>
      <c r="R52" s="60">
        <f>'Proposed Rates'!V21</f>
        <v>28</v>
      </c>
    </row>
    <row r="53" spans="1:18" x14ac:dyDescent="0.2">
      <c r="A53" s="6"/>
      <c r="D53" s="143" t="s">
        <v>51</v>
      </c>
      <c r="F53" s="18"/>
      <c r="G53" s="18"/>
      <c r="H53" s="18"/>
      <c r="I53" s="83" t="s">
        <v>651</v>
      </c>
      <c r="J53" s="83" t="s">
        <v>651</v>
      </c>
      <c r="K53" s="18"/>
      <c r="L53" s="84" t="s">
        <v>704</v>
      </c>
      <c r="M53" s="84" t="s">
        <v>704</v>
      </c>
      <c r="O53" s="42" t="str">
        <f>'Proposed Rates'!E21</f>
        <v>R1.5</v>
      </c>
      <c r="P53" s="56"/>
      <c r="Q53" s="42"/>
      <c r="R53" s="61" t="str">
        <f>'Proposed Rates'!M21</f>
        <v>R1.5</v>
      </c>
    </row>
    <row r="54" spans="1:18" x14ac:dyDescent="0.2">
      <c r="A54" s="6"/>
      <c r="F54" s="18"/>
      <c r="G54" s="18"/>
      <c r="H54" s="18"/>
      <c r="I54" s="18"/>
      <c r="J54" s="264"/>
      <c r="K54" s="18"/>
      <c r="L54" s="18"/>
      <c r="M54" s="18"/>
      <c r="O54" s="42"/>
      <c r="P54" s="56"/>
      <c r="Q54" s="42"/>
      <c r="R54" s="62"/>
    </row>
    <row r="55" spans="1:18" x14ac:dyDescent="0.2">
      <c r="A55" s="6">
        <f>'Proposed Rates'!A22</f>
        <v>37900</v>
      </c>
      <c r="C55" s="20" t="str">
        <f>'Proposed Rates'!C22</f>
        <v>Meas &amp; Reg Station Eqp City</v>
      </c>
      <c r="F55" s="14"/>
      <c r="G55" s="14"/>
      <c r="H55" s="14"/>
      <c r="I55" s="14"/>
      <c r="J55" s="266"/>
      <c r="K55" s="14"/>
      <c r="L55" s="14"/>
      <c r="M55" s="14"/>
      <c r="O55" s="12"/>
      <c r="P55" s="52"/>
      <c r="Q55" s="12"/>
      <c r="R55" s="22"/>
    </row>
    <row r="56" spans="1:18" x14ac:dyDescent="0.2">
      <c r="A56" s="6"/>
      <c r="D56" s="143" t="s">
        <v>47</v>
      </c>
      <c r="F56" s="15"/>
      <c r="G56" s="15">
        <v>3.8</v>
      </c>
      <c r="H56" s="15"/>
      <c r="I56" s="15">
        <v>2.9</v>
      </c>
      <c r="J56" s="262">
        <v>3.3</v>
      </c>
      <c r="K56" s="15"/>
      <c r="L56" s="15">
        <v>2.79</v>
      </c>
      <c r="M56" s="15">
        <v>2.64</v>
      </c>
      <c r="O56" s="39">
        <f>'Proposed Rates'!J22</f>
        <v>2.1000000000000001E-2</v>
      </c>
      <c r="P56" s="53"/>
      <c r="Q56" s="39"/>
      <c r="R56" s="58">
        <f>'Proposed Rates'!X22</f>
        <v>2.2000000000000002E-2</v>
      </c>
    </row>
    <row r="57" spans="1:18" x14ac:dyDescent="0.2">
      <c r="A57" s="6"/>
      <c r="D57" s="143" t="s">
        <v>79</v>
      </c>
      <c r="F57" s="16"/>
      <c r="G57" s="16"/>
      <c r="H57" s="16"/>
      <c r="I57" s="16"/>
      <c r="J57" s="263"/>
      <c r="K57" s="16"/>
      <c r="L57" s="16"/>
      <c r="M57" s="16"/>
      <c r="O57" s="40">
        <f>'Proposed Rates'!F22</f>
        <v>50</v>
      </c>
      <c r="P57" s="54"/>
      <c r="Q57" s="40"/>
      <c r="R57" s="59">
        <f>'Proposed Rates'!N22</f>
        <v>52</v>
      </c>
    </row>
    <row r="58" spans="1:18" x14ac:dyDescent="0.2">
      <c r="A58" s="6"/>
      <c r="D58" s="143" t="s">
        <v>48</v>
      </c>
      <c r="F58" s="15"/>
      <c r="G58" s="15">
        <v>21</v>
      </c>
      <c r="H58" s="15"/>
      <c r="I58" s="15">
        <v>26</v>
      </c>
      <c r="J58" s="262">
        <v>17.3</v>
      </c>
      <c r="K58" s="15"/>
      <c r="L58" s="15">
        <v>41</v>
      </c>
      <c r="M58" s="15">
        <v>35</v>
      </c>
      <c r="O58" s="39">
        <f>'Proposed Rates'!G22</f>
        <v>45.5</v>
      </c>
      <c r="P58" s="53"/>
      <c r="Q58" s="39"/>
      <c r="R58" s="58">
        <f>'Proposed Rates'!S22</f>
        <v>45.90457784266907</v>
      </c>
    </row>
    <row r="59" spans="1:18" x14ac:dyDescent="0.2">
      <c r="A59" s="6"/>
      <c r="D59" s="143" t="s">
        <v>49</v>
      </c>
      <c r="F59" s="18"/>
      <c r="G59" s="16">
        <v>-5</v>
      </c>
      <c r="H59" s="16"/>
      <c r="I59" s="18">
        <v>-5</v>
      </c>
      <c r="J59" s="264">
        <v>0</v>
      </c>
      <c r="K59" s="16"/>
      <c r="L59" s="16">
        <v>-30</v>
      </c>
      <c r="M59" s="16">
        <v>-5</v>
      </c>
      <c r="O59" s="40">
        <f>'Proposed Rates'!H22</f>
        <v>-10</v>
      </c>
      <c r="P59" s="54"/>
      <c r="Q59" s="40"/>
      <c r="R59" s="59">
        <f>'Proposed Rates'!O22</f>
        <v>-20</v>
      </c>
    </row>
    <row r="60" spans="1:18" x14ac:dyDescent="0.2">
      <c r="A60" s="6"/>
      <c r="D60" s="143" t="s">
        <v>50</v>
      </c>
      <c r="F60" s="17"/>
      <c r="G60" s="17">
        <v>25.23</v>
      </c>
      <c r="H60" s="17"/>
      <c r="I60" s="17"/>
      <c r="J60" s="265">
        <v>42.64</v>
      </c>
      <c r="K60" s="17"/>
      <c r="L60" s="17"/>
      <c r="M60" s="17"/>
      <c r="O60" s="41">
        <f>'Proposed Rates'!I22</f>
        <v>13.3</v>
      </c>
      <c r="P60" s="55"/>
      <c r="Q60" s="41"/>
      <c r="R60" s="60">
        <f>'Proposed Rates'!V22</f>
        <v>16.78</v>
      </c>
    </row>
    <row r="61" spans="1:18" x14ac:dyDescent="0.2">
      <c r="A61" s="6"/>
      <c r="D61" s="143" t="s">
        <v>51</v>
      </c>
      <c r="F61" s="18"/>
      <c r="G61" s="18"/>
      <c r="H61" s="18"/>
      <c r="I61" s="18"/>
      <c r="J61" s="264"/>
      <c r="K61" s="18"/>
      <c r="L61" s="84" t="s">
        <v>705</v>
      </c>
      <c r="M61" s="84" t="s">
        <v>703</v>
      </c>
      <c r="O61" s="42" t="str">
        <f>'Proposed Rates'!E22</f>
        <v>R2.5</v>
      </c>
      <c r="P61" s="56"/>
      <c r="Q61" s="42"/>
      <c r="R61" s="61" t="str">
        <f>'Proposed Rates'!M22</f>
        <v>R2</v>
      </c>
    </row>
    <row r="62" spans="1:18" x14ac:dyDescent="0.2">
      <c r="A62" s="6"/>
      <c r="F62" s="18"/>
      <c r="G62" s="18"/>
      <c r="H62" s="18"/>
      <c r="I62" s="18"/>
      <c r="J62" s="264"/>
      <c r="K62" s="18"/>
      <c r="L62" s="18"/>
      <c r="M62" s="18"/>
      <c r="O62" s="42"/>
      <c r="P62" s="56"/>
      <c r="Q62" s="42"/>
      <c r="R62" s="62"/>
    </row>
    <row r="63" spans="1:18" x14ac:dyDescent="0.2">
      <c r="A63" s="6">
        <f>'Proposed Rates'!A23</f>
        <v>38000</v>
      </c>
      <c r="C63" s="20" t="str">
        <f>'Proposed Rates'!C23</f>
        <v>Services Steel</v>
      </c>
      <c r="F63" s="14"/>
      <c r="G63" s="14"/>
      <c r="H63" s="14"/>
      <c r="I63" s="14"/>
      <c r="J63" s="266"/>
      <c r="K63" s="14"/>
      <c r="L63" s="14"/>
      <c r="M63" s="14"/>
      <c r="O63" s="12"/>
      <c r="P63" s="52"/>
      <c r="Q63" s="12"/>
      <c r="R63" s="22"/>
    </row>
    <row r="64" spans="1:18" x14ac:dyDescent="0.2">
      <c r="A64" s="6"/>
      <c r="D64" s="143" t="s">
        <v>47</v>
      </c>
      <c r="F64" s="15"/>
      <c r="G64" s="15">
        <v>11.1</v>
      </c>
      <c r="H64" s="15"/>
      <c r="I64" s="15">
        <v>7.1</v>
      </c>
      <c r="J64" s="15">
        <v>7</v>
      </c>
      <c r="K64" s="15"/>
      <c r="L64" s="15">
        <v>3.57</v>
      </c>
      <c r="M64" s="15">
        <v>2.4700000000000002</v>
      </c>
      <c r="O64" s="39">
        <f>'Proposed Rates'!J23</f>
        <v>0.04</v>
      </c>
      <c r="P64" s="53"/>
      <c r="Q64" s="39"/>
      <c r="R64" s="58">
        <f>'Proposed Rates'!X23</f>
        <v>4.2999999999999997E-2</v>
      </c>
    </row>
    <row r="65" spans="1:18" x14ac:dyDescent="0.2">
      <c r="A65" s="6"/>
      <c r="D65" s="143" t="s">
        <v>79</v>
      </c>
      <c r="F65" s="16"/>
      <c r="G65" s="16"/>
      <c r="H65" s="16"/>
      <c r="I65" s="16"/>
      <c r="J65" s="16"/>
      <c r="K65" s="16"/>
      <c r="L65" s="16"/>
      <c r="M65" s="16"/>
      <c r="O65" s="40">
        <f>'Proposed Rates'!F23</f>
        <v>52</v>
      </c>
      <c r="P65" s="54"/>
      <c r="Q65" s="40"/>
      <c r="R65" s="59">
        <f>'Proposed Rates'!N23</f>
        <v>52</v>
      </c>
    </row>
    <row r="66" spans="1:18" x14ac:dyDescent="0.2">
      <c r="A66" s="6"/>
      <c r="D66" s="143" t="s">
        <v>48</v>
      </c>
      <c r="F66" s="15"/>
      <c r="G66" s="15">
        <v>12.3</v>
      </c>
      <c r="H66" s="15"/>
      <c r="I66" s="15">
        <v>11.8</v>
      </c>
      <c r="J66" s="15">
        <v>7.6</v>
      </c>
      <c r="K66" s="15"/>
      <c r="L66" s="15">
        <v>57</v>
      </c>
      <c r="M66" s="15">
        <v>57</v>
      </c>
      <c r="O66" s="39">
        <f>'Proposed Rates'!G23</f>
        <v>38.299999999999997</v>
      </c>
      <c r="P66" s="53"/>
      <c r="Q66" s="39"/>
      <c r="R66" s="58">
        <f>'Proposed Rates'!S23</f>
        <v>38.747125865709364</v>
      </c>
    </row>
    <row r="67" spans="1:18" x14ac:dyDescent="0.2">
      <c r="A67" s="6"/>
      <c r="D67" s="143" t="s">
        <v>49</v>
      </c>
      <c r="F67" s="16"/>
      <c r="G67" s="16">
        <v>-125</v>
      </c>
      <c r="H67" s="16"/>
      <c r="I67" s="16">
        <v>-80</v>
      </c>
      <c r="J67" s="16">
        <v>-80</v>
      </c>
      <c r="K67" s="16"/>
      <c r="L67" s="16">
        <v>-100</v>
      </c>
      <c r="M67" s="16">
        <v>-50</v>
      </c>
      <c r="O67" s="40">
        <f>'Proposed Rates'!H23</f>
        <v>-125</v>
      </c>
      <c r="P67" s="54"/>
      <c r="Q67" s="40"/>
      <c r="R67" s="59">
        <f>'Proposed Rates'!O23</f>
        <v>-130</v>
      </c>
    </row>
    <row r="68" spans="1:18" x14ac:dyDescent="0.2">
      <c r="A68" s="6"/>
      <c r="D68" s="143" t="s">
        <v>50</v>
      </c>
      <c r="F68" s="17"/>
      <c r="G68" s="17">
        <v>89.06</v>
      </c>
      <c r="H68" s="17"/>
      <c r="I68" s="17"/>
      <c r="J68" s="17">
        <v>126.57</v>
      </c>
      <c r="K68" s="17"/>
      <c r="L68" s="18"/>
      <c r="M68" s="18"/>
      <c r="O68" s="41">
        <f>'Proposed Rates'!I23</f>
        <v>72</v>
      </c>
      <c r="P68" s="55"/>
      <c r="Q68" s="41"/>
      <c r="R68" s="60">
        <f>'Proposed Rates'!V23</f>
        <v>64.77</v>
      </c>
    </row>
    <row r="69" spans="1:18" x14ac:dyDescent="0.2">
      <c r="A69" s="6"/>
      <c r="D69" s="143" t="s">
        <v>51</v>
      </c>
      <c r="F69" s="18"/>
      <c r="G69" s="18"/>
      <c r="H69" s="18"/>
      <c r="I69" s="18"/>
      <c r="J69" s="18"/>
      <c r="K69" s="18"/>
      <c r="O69" s="42" t="str">
        <f>'Proposed Rates'!E23</f>
        <v>R0.5</v>
      </c>
      <c r="P69" s="56"/>
      <c r="Q69" s="42"/>
      <c r="R69" s="61" t="str">
        <f>'Proposed Rates'!M23</f>
        <v>R0.5</v>
      </c>
    </row>
    <row r="70" spans="1:18" x14ac:dyDescent="0.2">
      <c r="A70" s="6"/>
      <c r="F70" s="18"/>
      <c r="G70" s="18"/>
      <c r="H70" s="18"/>
      <c r="I70" s="18"/>
      <c r="J70" s="18"/>
      <c r="K70" s="18"/>
      <c r="L70" s="18"/>
      <c r="M70" s="18"/>
      <c r="O70" s="42"/>
      <c r="P70" s="56"/>
      <c r="Q70" s="42"/>
      <c r="R70" s="62"/>
    </row>
    <row r="71" spans="1:18" x14ac:dyDescent="0.2">
      <c r="A71" s="6">
        <f>'Proposed Rates'!A24</f>
        <v>38002</v>
      </c>
      <c r="C71" s="20" t="str">
        <f>'Proposed Rates'!C24</f>
        <v>Services Plastic</v>
      </c>
      <c r="F71" s="14"/>
      <c r="G71" s="14"/>
      <c r="H71" s="14"/>
      <c r="I71" s="14"/>
      <c r="J71" s="14"/>
      <c r="K71" s="14"/>
      <c r="L71" s="14"/>
      <c r="M71" s="14"/>
      <c r="O71" s="12"/>
      <c r="P71" s="52"/>
      <c r="Q71" s="12"/>
      <c r="R71" s="22"/>
    </row>
    <row r="72" spans="1:18" x14ac:dyDescent="0.2">
      <c r="A72" s="6"/>
      <c r="D72" s="143" t="s">
        <v>47</v>
      </c>
      <c r="F72" s="15"/>
      <c r="G72" s="15">
        <v>3.4</v>
      </c>
      <c r="H72" s="15"/>
      <c r="I72" s="15">
        <v>3.8</v>
      </c>
      <c r="J72" s="15">
        <v>3.9</v>
      </c>
      <c r="K72" s="15"/>
      <c r="L72" s="15"/>
      <c r="M72" s="15"/>
      <c r="O72" s="39">
        <f>'Proposed Rates'!J24</f>
        <v>2.7E-2</v>
      </c>
      <c r="P72" s="53"/>
      <c r="Q72" s="39"/>
      <c r="R72" s="58">
        <f>'Proposed Rates'!X24</f>
        <v>3.1E-2</v>
      </c>
    </row>
    <row r="73" spans="1:18" x14ac:dyDescent="0.2">
      <c r="A73" s="6"/>
      <c r="D73" s="143" t="s">
        <v>79</v>
      </c>
      <c r="F73" s="16"/>
      <c r="G73" s="16"/>
      <c r="H73" s="16"/>
      <c r="I73" s="16"/>
      <c r="J73" s="16"/>
      <c r="K73" s="16"/>
      <c r="L73" s="16"/>
      <c r="M73" s="16"/>
      <c r="O73" s="40">
        <f>'Proposed Rates'!F24</f>
        <v>55</v>
      </c>
      <c r="P73" s="54"/>
      <c r="Q73" s="40"/>
      <c r="R73" s="59">
        <f>'Proposed Rates'!N24</f>
        <v>55</v>
      </c>
    </row>
    <row r="74" spans="1:18" x14ac:dyDescent="0.2">
      <c r="A74" s="6"/>
      <c r="D74" s="143" t="s">
        <v>48</v>
      </c>
      <c r="F74" s="15"/>
      <c r="G74" s="15">
        <v>26</v>
      </c>
      <c r="H74" s="15"/>
      <c r="I74" s="15">
        <v>27</v>
      </c>
      <c r="J74" s="15">
        <v>23.1</v>
      </c>
      <c r="K74" s="15"/>
      <c r="L74" s="15"/>
      <c r="M74" s="15"/>
      <c r="O74" s="39">
        <f>'Proposed Rates'!G24</f>
        <v>46</v>
      </c>
      <c r="P74" s="53"/>
      <c r="Q74" s="39"/>
      <c r="R74" s="58">
        <f>'Proposed Rates'!S24</f>
        <v>46.257022570121585</v>
      </c>
    </row>
    <row r="75" spans="1:18" x14ac:dyDescent="0.2">
      <c r="A75" s="6"/>
      <c r="D75" s="143" t="s">
        <v>49</v>
      </c>
      <c r="F75" s="16"/>
      <c r="G75" s="16">
        <v>-15</v>
      </c>
      <c r="H75" s="16"/>
      <c r="I75" s="16">
        <v>-35</v>
      </c>
      <c r="J75" s="16">
        <v>-30</v>
      </c>
      <c r="K75" s="16"/>
      <c r="L75" s="16"/>
      <c r="M75" s="16"/>
      <c r="O75" s="40">
        <f>'Proposed Rates'!H24</f>
        <v>-68</v>
      </c>
      <c r="P75" s="54"/>
      <c r="Q75" s="40"/>
      <c r="R75" s="59">
        <f>'Proposed Rates'!O24</f>
        <v>-75</v>
      </c>
    </row>
    <row r="76" spans="1:18" x14ac:dyDescent="0.2">
      <c r="A76" s="6"/>
      <c r="D76" s="143" t="s">
        <v>50</v>
      </c>
      <c r="F76" s="17"/>
      <c r="G76" s="17">
        <v>26.91</v>
      </c>
      <c r="H76" s="17"/>
      <c r="I76" s="17"/>
      <c r="J76" s="17">
        <v>39.380000000000003</v>
      </c>
      <c r="K76" s="17"/>
      <c r="L76" s="17"/>
      <c r="M76" s="17"/>
      <c r="O76" s="41">
        <f>'Proposed Rates'!I24</f>
        <v>44.8</v>
      </c>
      <c r="P76" s="55"/>
      <c r="Q76" s="41"/>
      <c r="R76" s="60">
        <f>'Proposed Rates'!V24</f>
        <v>31.89</v>
      </c>
    </row>
    <row r="77" spans="1:18" x14ac:dyDescent="0.2">
      <c r="A77" s="6"/>
      <c r="D77" s="143" t="s">
        <v>51</v>
      </c>
      <c r="F77" s="18"/>
      <c r="G77" s="18"/>
      <c r="H77" s="18"/>
      <c r="I77" s="18"/>
      <c r="J77" s="18"/>
      <c r="K77" s="18"/>
      <c r="L77" s="17"/>
      <c r="M77" s="17"/>
      <c r="O77" s="42" t="str">
        <f>'Proposed Rates'!E24</f>
        <v>R1.5</v>
      </c>
      <c r="P77" s="56"/>
      <c r="Q77" s="42"/>
      <c r="R77" s="61" t="str">
        <f>'Proposed Rates'!M24</f>
        <v>R2.5</v>
      </c>
    </row>
    <row r="78" spans="1:18" x14ac:dyDescent="0.2">
      <c r="A78" s="6"/>
      <c r="F78" s="18"/>
      <c r="G78" s="18"/>
      <c r="H78" s="18"/>
      <c r="I78" s="18"/>
      <c r="J78" s="18"/>
      <c r="K78" s="18"/>
      <c r="L78" s="18"/>
      <c r="M78" s="18"/>
      <c r="O78" s="42"/>
      <c r="P78" s="56"/>
      <c r="Q78" s="42"/>
      <c r="R78" s="62"/>
    </row>
    <row r="79" spans="1:18" x14ac:dyDescent="0.2">
      <c r="A79" s="6">
        <f>'Proposed Rates'!A25</f>
        <v>38100</v>
      </c>
      <c r="C79" s="20" t="str">
        <f>'Proposed Rates'!C25</f>
        <v>Meters</v>
      </c>
      <c r="F79" s="14"/>
      <c r="G79" s="14"/>
      <c r="H79" s="14"/>
      <c r="I79" s="14"/>
      <c r="J79" s="14"/>
      <c r="K79" s="14"/>
      <c r="L79" s="14"/>
      <c r="M79" s="14"/>
      <c r="O79" s="12"/>
      <c r="P79" s="52"/>
      <c r="Q79" s="12"/>
      <c r="R79" s="22"/>
    </row>
    <row r="80" spans="1:18" x14ac:dyDescent="0.2">
      <c r="A80" s="6"/>
      <c r="D80" s="143" t="s">
        <v>47</v>
      </c>
      <c r="F80" s="15"/>
      <c r="G80" s="15">
        <v>3.4</v>
      </c>
      <c r="H80" s="15"/>
      <c r="I80" s="15">
        <v>4.2</v>
      </c>
      <c r="J80" s="15">
        <v>4.5</v>
      </c>
      <c r="K80" s="15"/>
      <c r="L80" s="15">
        <v>2.04</v>
      </c>
      <c r="M80" s="15">
        <v>1.69</v>
      </c>
      <c r="O80" s="39">
        <f>'Proposed Rates'!J25</f>
        <v>0.05</v>
      </c>
      <c r="P80" s="53"/>
      <c r="Q80" s="39"/>
      <c r="R80" s="58">
        <f>'Proposed Rates'!X25</f>
        <v>4.7E-2</v>
      </c>
    </row>
    <row r="81" spans="1:18" x14ac:dyDescent="0.2">
      <c r="A81" s="6"/>
      <c r="D81" s="143" t="s">
        <v>79</v>
      </c>
      <c r="F81" s="16"/>
      <c r="G81" s="16"/>
      <c r="H81" s="16"/>
      <c r="I81" s="16"/>
      <c r="J81" s="16"/>
      <c r="K81" s="16"/>
      <c r="L81" s="16"/>
      <c r="M81" s="16"/>
      <c r="O81" s="40">
        <f>'Proposed Rates'!F25</f>
        <v>19</v>
      </c>
      <c r="P81" s="54"/>
      <c r="Q81" s="40"/>
      <c r="R81" s="59">
        <f>'Proposed Rates'!N25</f>
        <v>20</v>
      </c>
    </row>
    <row r="82" spans="1:18" x14ac:dyDescent="0.2">
      <c r="A82" s="6"/>
      <c r="D82" s="143" t="s">
        <v>48</v>
      </c>
      <c r="F82" s="15"/>
      <c r="G82" s="15">
        <v>17.8</v>
      </c>
      <c r="H82" s="15"/>
      <c r="I82" s="15">
        <v>14.5</v>
      </c>
      <c r="J82" s="15">
        <v>16.8</v>
      </c>
      <c r="K82" s="15"/>
      <c r="L82" s="15">
        <v>50</v>
      </c>
      <c r="M82" s="15">
        <v>50</v>
      </c>
      <c r="O82" s="39">
        <f>'Proposed Rates'!G25</f>
        <v>11.7</v>
      </c>
      <c r="P82" s="53"/>
      <c r="Q82" s="39"/>
      <c r="R82" s="58">
        <f>'Proposed Rates'!S25</f>
        <v>12.80616217522196</v>
      </c>
    </row>
    <row r="83" spans="1:18" x14ac:dyDescent="0.2">
      <c r="A83" s="6"/>
      <c r="D83" s="143" t="s">
        <v>49</v>
      </c>
      <c r="F83" s="18"/>
      <c r="G83" s="18">
        <v>0</v>
      </c>
      <c r="H83" s="16"/>
      <c r="I83" s="16">
        <v>0.2</v>
      </c>
      <c r="J83" s="16">
        <v>0.2</v>
      </c>
      <c r="K83" s="16"/>
      <c r="L83" s="16">
        <v>0.2</v>
      </c>
      <c r="M83" s="16">
        <v>5</v>
      </c>
      <c r="O83" s="40">
        <f>'Proposed Rates'!H25</f>
        <v>3</v>
      </c>
      <c r="P83" s="54"/>
      <c r="Q83" s="40"/>
      <c r="R83" s="59">
        <f>'Proposed Rates'!O25</f>
        <v>0</v>
      </c>
    </row>
    <row r="84" spans="1:18" x14ac:dyDescent="0.2">
      <c r="A84" s="6"/>
      <c r="D84" s="143" t="s">
        <v>50</v>
      </c>
      <c r="F84" s="17"/>
      <c r="G84" s="17">
        <v>39.49</v>
      </c>
      <c r="H84" s="17"/>
      <c r="I84" s="17"/>
      <c r="J84" s="17">
        <v>23.93</v>
      </c>
      <c r="K84" s="17"/>
      <c r="L84" s="17"/>
      <c r="M84" s="17"/>
      <c r="O84" s="41">
        <f>'Proposed Rates'!I25</f>
        <v>37.799999999999997</v>
      </c>
      <c r="P84" s="55"/>
      <c r="Q84" s="41"/>
      <c r="R84" s="60">
        <f>'Proposed Rates'!V25</f>
        <v>39.299999999999997</v>
      </c>
    </row>
    <row r="85" spans="1:18" x14ac:dyDescent="0.2">
      <c r="A85" s="6"/>
      <c r="D85" s="143" t="s">
        <v>51</v>
      </c>
      <c r="F85" s="18"/>
      <c r="G85" s="18"/>
      <c r="H85" s="18"/>
      <c r="I85" s="18"/>
      <c r="J85" s="18"/>
      <c r="K85" s="18"/>
      <c r="L85" s="18" t="s">
        <v>28</v>
      </c>
      <c r="M85" s="18" t="s">
        <v>28</v>
      </c>
      <c r="O85" s="42" t="str">
        <f>'Proposed Rates'!E25</f>
        <v>R2</v>
      </c>
      <c r="P85" s="56"/>
      <c r="Q85" s="42"/>
      <c r="R85" s="61" t="str">
        <f>'Proposed Rates'!M25</f>
        <v>R2</v>
      </c>
    </row>
    <row r="86" spans="1:18" x14ac:dyDescent="0.2">
      <c r="A86" s="6"/>
      <c r="F86" s="18"/>
      <c r="G86" s="18"/>
      <c r="H86" s="18"/>
      <c r="I86" s="18"/>
      <c r="J86" s="18"/>
      <c r="K86" s="18"/>
      <c r="L86" s="18"/>
      <c r="M86" s="18"/>
      <c r="O86" s="42"/>
      <c r="P86" s="56"/>
      <c r="Q86" s="42"/>
      <c r="R86" s="62"/>
    </row>
    <row r="87" spans="1:18" x14ac:dyDescent="0.2">
      <c r="A87" s="6">
        <f>'Proposed Rates'!A26</f>
        <v>38200</v>
      </c>
      <c r="C87" s="20" t="str">
        <f>'Proposed Rates'!C26</f>
        <v>Meter Installations</v>
      </c>
      <c r="F87" s="14"/>
      <c r="G87" s="14"/>
      <c r="H87" s="14"/>
      <c r="I87" s="14"/>
      <c r="J87" s="14"/>
      <c r="K87" s="14"/>
      <c r="L87" s="14"/>
      <c r="M87" s="14"/>
      <c r="O87" s="12"/>
      <c r="P87" s="52"/>
      <c r="Q87" s="12"/>
      <c r="R87" s="22"/>
    </row>
    <row r="88" spans="1:18" x14ac:dyDescent="0.2">
      <c r="A88" s="6"/>
      <c r="D88" s="143" t="s">
        <v>47</v>
      </c>
      <c r="F88" s="15"/>
      <c r="G88" s="15">
        <v>3</v>
      </c>
      <c r="H88" s="15"/>
      <c r="I88" s="15">
        <v>3.5</v>
      </c>
      <c r="J88" s="15">
        <v>4.5</v>
      </c>
      <c r="K88" s="15"/>
      <c r="L88" s="15">
        <v>1.86</v>
      </c>
      <c r="M88" s="15">
        <v>2.19</v>
      </c>
      <c r="O88" s="39">
        <f>'Proposed Rates'!J26</f>
        <v>2.1999999999999999E-2</v>
      </c>
      <c r="P88" s="53"/>
      <c r="Q88" s="39"/>
      <c r="R88" s="58">
        <f>'Proposed Rates'!X26</f>
        <v>2.7000000000000003E-2</v>
      </c>
    </row>
    <row r="89" spans="1:18" x14ac:dyDescent="0.2">
      <c r="A89" s="6"/>
      <c r="D89" s="143" t="s">
        <v>79</v>
      </c>
      <c r="F89" s="16"/>
      <c r="G89" s="16"/>
      <c r="H89" s="16"/>
      <c r="I89" s="16"/>
      <c r="J89" s="16"/>
      <c r="K89" s="16"/>
      <c r="L89" s="16"/>
      <c r="M89" s="16"/>
      <c r="O89" s="40">
        <f>'Proposed Rates'!F26</f>
        <v>44</v>
      </c>
      <c r="P89" s="54"/>
      <c r="Q89" s="40"/>
      <c r="R89" s="59">
        <f>'Proposed Rates'!N26</f>
        <v>45</v>
      </c>
    </row>
    <row r="90" spans="1:18" x14ac:dyDescent="0.2">
      <c r="A90" s="6"/>
      <c r="D90" s="143" t="s">
        <v>48</v>
      </c>
      <c r="F90" s="15"/>
      <c r="G90" s="15">
        <v>26</v>
      </c>
      <c r="H90" s="15"/>
      <c r="I90" s="15">
        <v>21</v>
      </c>
      <c r="J90" s="15">
        <v>17.600000000000001</v>
      </c>
      <c r="K90" s="15"/>
      <c r="L90" s="15">
        <v>50</v>
      </c>
      <c r="M90" s="15">
        <v>45</v>
      </c>
      <c r="O90" s="39">
        <f>'Proposed Rates'!G26</f>
        <v>35.6</v>
      </c>
      <c r="P90" s="53"/>
      <c r="Q90" s="39"/>
      <c r="R90" s="58">
        <f>'Proposed Rates'!S26</f>
        <v>37.422411158016857</v>
      </c>
    </row>
    <row r="91" spans="1:18" x14ac:dyDescent="0.2">
      <c r="A91" s="6"/>
      <c r="D91" s="143" t="s">
        <v>49</v>
      </c>
      <c r="F91" s="16"/>
      <c r="G91" s="16">
        <v>-5</v>
      </c>
      <c r="H91" s="16"/>
      <c r="I91" s="16">
        <v>-10</v>
      </c>
      <c r="J91" s="16">
        <v>-25</v>
      </c>
      <c r="K91" s="16"/>
      <c r="L91" s="18">
        <v>0</v>
      </c>
      <c r="M91" s="18">
        <v>0</v>
      </c>
      <c r="O91" s="40">
        <f>'Proposed Rates'!H26</f>
        <v>-25</v>
      </c>
      <c r="P91" s="54"/>
      <c r="Q91" s="40"/>
      <c r="R91" s="59">
        <f>'Proposed Rates'!O26</f>
        <v>-30</v>
      </c>
    </row>
    <row r="92" spans="1:18" x14ac:dyDescent="0.2">
      <c r="A92" s="6"/>
      <c r="D92" s="143" t="s">
        <v>50</v>
      </c>
      <c r="F92" s="17"/>
      <c r="G92" s="17">
        <v>26.9</v>
      </c>
      <c r="H92" s="17"/>
      <c r="I92" s="17"/>
      <c r="J92" s="17">
        <v>46.2</v>
      </c>
      <c r="K92" s="17"/>
      <c r="L92" s="17"/>
      <c r="M92" s="17"/>
      <c r="O92" s="41">
        <f>'Proposed Rates'!I26</f>
        <v>46.2</v>
      </c>
      <c r="P92" s="55"/>
      <c r="Q92" s="41"/>
      <c r="R92" s="60">
        <f>'Proposed Rates'!V26</f>
        <v>30.34</v>
      </c>
    </row>
    <row r="93" spans="1:18" x14ac:dyDescent="0.2">
      <c r="A93" s="6"/>
      <c r="D93" s="143" t="s">
        <v>51</v>
      </c>
      <c r="F93" s="18"/>
      <c r="G93" s="18"/>
      <c r="H93" s="18"/>
      <c r="I93" s="18"/>
      <c r="J93" s="18"/>
      <c r="K93" s="18"/>
      <c r="L93" s="18" t="s">
        <v>28</v>
      </c>
      <c r="M93" s="18" t="s">
        <v>28</v>
      </c>
      <c r="O93" s="42" t="str">
        <f>'Proposed Rates'!E26</f>
        <v>R1</v>
      </c>
      <c r="P93" s="56"/>
      <c r="Q93" s="42"/>
      <c r="R93" s="61" t="str">
        <f>'Proposed Rates'!M26</f>
        <v>R1.5</v>
      </c>
    </row>
    <row r="94" spans="1:18" x14ac:dyDescent="0.2">
      <c r="A94" s="6"/>
      <c r="F94" s="18"/>
      <c r="G94" s="18"/>
      <c r="H94" s="18"/>
      <c r="I94" s="18"/>
      <c r="J94" s="18"/>
      <c r="K94" s="18"/>
      <c r="L94" s="18"/>
      <c r="M94" s="18"/>
      <c r="O94" s="42"/>
      <c r="P94" s="56"/>
      <c r="Q94" s="42"/>
      <c r="R94" s="62"/>
    </row>
    <row r="95" spans="1:18" x14ac:dyDescent="0.2">
      <c r="A95" s="6">
        <f>'Proposed Rates'!A27</f>
        <v>38300</v>
      </c>
      <c r="C95" s="20" t="str">
        <f>'Proposed Rates'!C27</f>
        <v>House Regulators</v>
      </c>
      <c r="F95" s="14"/>
      <c r="G95" s="14"/>
      <c r="H95" s="14"/>
      <c r="I95" s="14"/>
      <c r="J95" s="14"/>
      <c r="K95" s="14"/>
      <c r="L95" s="14"/>
      <c r="M95" s="14"/>
      <c r="O95" s="12"/>
      <c r="P95" s="52"/>
      <c r="Q95" s="12"/>
      <c r="R95" s="22"/>
    </row>
    <row r="96" spans="1:18" x14ac:dyDescent="0.2">
      <c r="A96" s="6"/>
      <c r="D96" s="143" t="s">
        <v>47</v>
      </c>
      <c r="F96" s="15"/>
      <c r="G96" s="15">
        <v>3.4</v>
      </c>
      <c r="H96" s="15"/>
      <c r="I96" s="15">
        <v>4.4000000000000004</v>
      </c>
      <c r="J96" s="15">
        <v>5</v>
      </c>
      <c r="K96" s="15"/>
      <c r="L96" s="15">
        <v>2.09</v>
      </c>
      <c r="M96" s="15">
        <v>1.99</v>
      </c>
      <c r="O96" s="39">
        <f>'Proposed Rates'!J27</f>
        <v>1.7999999999999999E-2</v>
      </c>
      <c r="P96" s="53"/>
      <c r="Q96" s="39"/>
      <c r="R96" s="58">
        <f>'Proposed Rates'!X27</f>
        <v>2.1000000000000001E-2</v>
      </c>
    </row>
    <row r="97" spans="1:18" x14ac:dyDescent="0.2">
      <c r="A97" s="6"/>
      <c r="D97" s="143" t="s">
        <v>79</v>
      </c>
      <c r="F97" s="16"/>
      <c r="G97" s="16"/>
      <c r="H97" s="16"/>
      <c r="I97" s="16"/>
      <c r="J97" s="16"/>
      <c r="K97" s="16"/>
      <c r="L97" s="16"/>
      <c r="M97" s="16"/>
      <c r="O97" s="40">
        <f>'Proposed Rates'!F27</f>
        <v>42</v>
      </c>
      <c r="P97" s="54"/>
      <c r="Q97" s="40"/>
      <c r="R97" s="59">
        <f>'Proposed Rates'!N27</f>
        <v>42</v>
      </c>
    </row>
    <row r="98" spans="1:18" x14ac:dyDescent="0.2">
      <c r="A98" s="6"/>
      <c r="D98" s="143" t="s">
        <v>48</v>
      </c>
      <c r="F98" s="15"/>
      <c r="G98" s="15">
        <v>18</v>
      </c>
      <c r="H98" s="15"/>
      <c r="I98" s="15">
        <v>11.7</v>
      </c>
      <c r="J98" s="15">
        <v>10.9</v>
      </c>
      <c r="K98" s="15"/>
      <c r="L98" s="15">
        <v>50</v>
      </c>
      <c r="M98" s="15">
        <v>45</v>
      </c>
      <c r="O98" s="39">
        <f>'Proposed Rates'!G27</f>
        <v>28.9</v>
      </c>
      <c r="P98" s="53"/>
      <c r="Q98" s="39"/>
      <c r="R98" s="58">
        <f>'Proposed Rates'!S27</f>
        <v>28.141857448609773</v>
      </c>
    </row>
    <row r="99" spans="1:18" x14ac:dyDescent="0.2">
      <c r="A99" s="6"/>
      <c r="D99" s="143" t="s">
        <v>49</v>
      </c>
      <c r="F99" s="18"/>
      <c r="G99" s="18">
        <v>0</v>
      </c>
      <c r="H99" s="16"/>
      <c r="I99" s="18">
        <v>0</v>
      </c>
      <c r="J99" s="18">
        <v>0</v>
      </c>
      <c r="K99" s="16"/>
      <c r="L99" s="18">
        <v>0</v>
      </c>
      <c r="M99" s="18">
        <v>0</v>
      </c>
      <c r="O99" s="99">
        <f>'Proposed Rates'!H27</f>
        <v>0</v>
      </c>
      <c r="P99" s="54"/>
      <c r="Q99" s="40"/>
      <c r="R99" s="100">
        <f>'Proposed Rates'!O27</f>
        <v>0</v>
      </c>
    </row>
    <row r="100" spans="1:18" x14ac:dyDescent="0.2">
      <c r="A100" s="6"/>
      <c r="D100" s="143" t="s">
        <v>50</v>
      </c>
      <c r="F100" s="17"/>
      <c r="G100" s="17">
        <v>39.29</v>
      </c>
      <c r="H100" s="17"/>
      <c r="I100" s="17"/>
      <c r="J100" s="17">
        <v>45.98</v>
      </c>
      <c r="K100" s="17"/>
      <c r="L100" s="17"/>
      <c r="M100" s="17"/>
      <c r="O100" s="41">
        <f>'Proposed Rates'!I27</f>
        <v>47.7</v>
      </c>
      <c r="P100" s="55"/>
      <c r="Q100" s="41"/>
      <c r="R100" s="60">
        <f>'Proposed Rates'!V27</f>
        <v>42.16</v>
      </c>
    </row>
    <row r="101" spans="1:18" x14ac:dyDescent="0.2">
      <c r="A101" s="6"/>
      <c r="D101" s="143" t="s">
        <v>51</v>
      </c>
      <c r="F101" s="18"/>
      <c r="G101" s="18"/>
      <c r="H101" s="18"/>
      <c r="I101" s="18"/>
      <c r="J101" s="18"/>
      <c r="K101" s="18"/>
      <c r="L101" s="18" t="s">
        <v>25</v>
      </c>
      <c r="M101" s="18" t="s">
        <v>25</v>
      </c>
      <c r="O101" s="42" t="str">
        <f>'Proposed Rates'!E27</f>
        <v>S1</v>
      </c>
      <c r="P101" s="56"/>
      <c r="Q101" s="42"/>
      <c r="R101" s="61" t="str">
        <f>'Proposed Rates'!M27</f>
        <v>S1.5</v>
      </c>
    </row>
    <row r="102" spans="1:18" x14ac:dyDescent="0.2">
      <c r="A102" s="6"/>
      <c r="F102" s="18"/>
      <c r="G102" s="18"/>
      <c r="H102" s="18"/>
      <c r="I102" s="18"/>
      <c r="J102" s="18"/>
      <c r="K102" s="18"/>
      <c r="L102" s="18"/>
      <c r="M102" s="18"/>
      <c r="O102" s="42"/>
      <c r="P102" s="56"/>
      <c r="Q102" s="42"/>
      <c r="R102" s="62"/>
    </row>
    <row r="103" spans="1:18" x14ac:dyDescent="0.2">
      <c r="A103" s="6">
        <f>'Proposed Rates'!A28</f>
        <v>38400</v>
      </c>
      <c r="C103" s="20" t="str">
        <f>'Proposed Rates'!C28</f>
        <v>House Regulator Installs</v>
      </c>
      <c r="F103" s="14"/>
      <c r="G103" s="14"/>
      <c r="H103" s="14"/>
      <c r="I103" s="14"/>
      <c r="J103" s="14"/>
      <c r="K103" s="14"/>
      <c r="L103" s="14"/>
      <c r="M103" s="14"/>
      <c r="O103" s="12"/>
      <c r="P103" s="52"/>
      <c r="Q103" s="12"/>
      <c r="R103" s="22"/>
    </row>
    <row r="104" spans="1:18" x14ac:dyDescent="0.2">
      <c r="A104" s="6"/>
      <c r="D104" s="143" t="s">
        <v>47</v>
      </c>
      <c r="F104" s="15"/>
      <c r="G104" s="15">
        <v>3</v>
      </c>
      <c r="H104" s="15"/>
      <c r="I104" s="15">
        <v>3.7</v>
      </c>
      <c r="J104" s="15">
        <v>3.2</v>
      </c>
      <c r="K104" s="15"/>
      <c r="L104" s="83" t="s">
        <v>651</v>
      </c>
      <c r="M104" s="83" t="s">
        <v>651</v>
      </c>
      <c r="O104" s="39">
        <f>'Proposed Rates'!J28</f>
        <v>1.9E-2</v>
      </c>
      <c r="P104" s="53"/>
      <c r="Q104" s="39"/>
      <c r="R104" s="58">
        <f>'Proposed Rates'!X28</f>
        <v>2.4E-2</v>
      </c>
    </row>
    <row r="105" spans="1:18" x14ac:dyDescent="0.2">
      <c r="A105" s="6"/>
      <c r="D105" s="143" t="s">
        <v>79</v>
      </c>
      <c r="F105" s="16"/>
      <c r="G105" s="16"/>
      <c r="H105" s="16"/>
      <c r="I105" s="16"/>
      <c r="J105" s="16"/>
      <c r="K105" s="16"/>
      <c r="L105" s="83" t="s">
        <v>651</v>
      </c>
      <c r="M105" s="83" t="s">
        <v>651</v>
      </c>
      <c r="O105" s="40">
        <f>'Proposed Rates'!F28</f>
        <v>47</v>
      </c>
      <c r="P105" s="54"/>
      <c r="Q105" s="40"/>
      <c r="R105" s="59">
        <f>'Proposed Rates'!N28</f>
        <v>47</v>
      </c>
    </row>
    <row r="106" spans="1:18" x14ac:dyDescent="0.2">
      <c r="A106" s="6"/>
      <c r="D106" s="143" t="s">
        <v>48</v>
      </c>
      <c r="F106" s="15"/>
      <c r="G106" s="15">
        <v>24</v>
      </c>
      <c r="H106" s="15"/>
      <c r="I106" s="15">
        <v>20</v>
      </c>
      <c r="J106" s="15">
        <v>16.399999999999999</v>
      </c>
      <c r="K106" s="15"/>
      <c r="L106" s="83" t="s">
        <v>651</v>
      </c>
      <c r="M106" s="83" t="s">
        <v>651</v>
      </c>
      <c r="O106" s="39">
        <f>'Proposed Rates'!G28</f>
        <v>37.299999999999997</v>
      </c>
      <c r="P106" s="53"/>
      <c r="Q106" s="39"/>
      <c r="R106" s="58">
        <f>'Proposed Rates'!S28</f>
        <v>37.147776723231274</v>
      </c>
    </row>
    <row r="107" spans="1:18" x14ac:dyDescent="0.2">
      <c r="A107" s="6"/>
      <c r="D107" s="143" t="s">
        <v>49</v>
      </c>
      <c r="F107" s="16"/>
      <c r="G107" s="16">
        <v>-5</v>
      </c>
      <c r="H107" s="16"/>
      <c r="I107" s="16">
        <v>-10</v>
      </c>
      <c r="J107" s="18">
        <v>0</v>
      </c>
      <c r="K107" s="16"/>
      <c r="L107" s="83" t="s">
        <v>651</v>
      </c>
      <c r="M107" s="83" t="s">
        <v>651</v>
      </c>
      <c r="O107" s="40">
        <f>'Proposed Rates'!H28</f>
        <v>-25</v>
      </c>
      <c r="P107" s="54"/>
      <c r="Q107" s="40"/>
      <c r="R107" s="59">
        <f>'Proposed Rates'!O28</f>
        <v>-30</v>
      </c>
    </row>
    <row r="108" spans="1:18" x14ac:dyDescent="0.2">
      <c r="A108" s="6"/>
      <c r="D108" s="143" t="s">
        <v>50</v>
      </c>
      <c r="F108" s="17"/>
      <c r="G108" s="17">
        <v>32.1</v>
      </c>
      <c r="H108" s="17"/>
      <c r="I108" s="17"/>
      <c r="J108" s="17">
        <v>47.72</v>
      </c>
      <c r="K108" s="17"/>
      <c r="L108" s="83" t="s">
        <v>651</v>
      </c>
      <c r="M108" s="83" t="s">
        <v>651</v>
      </c>
      <c r="O108" s="41">
        <f>'Proposed Rates'!I28</f>
        <v>55.7</v>
      </c>
      <c r="P108" s="55"/>
      <c r="Q108" s="41"/>
      <c r="R108" s="60">
        <f>'Proposed Rates'!V28</f>
        <v>40.29</v>
      </c>
    </row>
    <row r="109" spans="1:18" x14ac:dyDescent="0.2">
      <c r="A109" s="6"/>
      <c r="D109" s="143" t="s">
        <v>51</v>
      </c>
      <c r="F109" s="18"/>
      <c r="G109" s="18"/>
      <c r="H109" s="18"/>
      <c r="I109" s="18"/>
      <c r="J109" s="18"/>
      <c r="K109" s="18"/>
      <c r="L109" s="83" t="s">
        <v>651</v>
      </c>
      <c r="M109" s="83" t="s">
        <v>651</v>
      </c>
      <c r="O109" s="42" t="str">
        <f>'Proposed Rates'!E28</f>
        <v>R1</v>
      </c>
      <c r="P109" s="56"/>
      <c r="Q109" s="42"/>
      <c r="R109" s="61" t="str">
        <f>'Proposed Rates'!M28</f>
        <v>R1.5</v>
      </c>
    </row>
    <row r="110" spans="1:18" x14ac:dyDescent="0.2">
      <c r="A110" s="6"/>
      <c r="F110" s="14"/>
      <c r="G110" s="14"/>
      <c r="H110" s="14"/>
      <c r="I110" s="14"/>
      <c r="J110" s="14"/>
      <c r="K110" s="14"/>
      <c r="L110" s="14"/>
      <c r="M110" s="14"/>
      <c r="O110" s="12"/>
      <c r="P110" s="52"/>
      <c r="Q110" s="12"/>
      <c r="R110" s="62"/>
    </row>
    <row r="111" spans="1:18" x14ac:dyDescent="0.2">
      <c r="A111" s="6">
        <f>'Proposed Rates'!A29</f>
        <v>38500</v>
      </c>
      <c r="C111" s="20" t="str">
        <f>'Proposed Rates'!C29</f>
        <v>Meas &amp; Reg Station Eqp Ind</v>
      </c>
      <c r="F111" s="14"/>
      <c r="G111" s="14"/>
      <c r="H111" s="14"/>
      <c r="I111" s="14"/>
      <c r="J111" s="14"/>
      <c r="K111" s="14"/>
      <c r="L111" s="14"/>
      <c r="M111" s="14"/>
      <c r="O111" s="12"/>
      <c r="P111" s="52"/>
      <c r="Q111" s="12"/>
      <c r="R111" s="22"/>
    </row>
    <row r="112" spans="1:18" x14ac:dyDescent="0.2">
      <c r="A112" s="6"/>
      <c r="D112" s="143" t="s">
        <v>47</v>
      </c>
      <c r="F112" s="15"/>
      <c r="G112" s="15">
        <v>7.8</v>
      </c>
      <c r="H112" s="15"/>
      <c r="I112" s="15">
        <v>3.2</v>
      </c>
      <c r="J112" s="15">
        <v>3.4</v>
      </c>
      <c r="K112" s="15"/>
      <c r="L112" s="83" t="s">
        <v>651</v>
      </c>
      <c r="M112" s="83" t="s">
        <v>651</v>
      </c>
      <c r="O112" s="39">
        <f>'Proposed Rates'!J29</f>
        <v>2.3E-2</v>
      </c>
      <c r="P112" s="53"/>
      <c r="Q112" s="39"/>
      <c r="R112" s="58">
        <f>'Proposed Rates'!X29</f>
        <v>2.2000000000000002E-2</v>
      </c>
    </row>
    <row r="113" spans="1:18" x14ac:dyDescent="0.2">
      <c r="A113" s="6"/>
      <c r="D113" s="143" t="s">
        <v>79</v>
      </c>
      <c r="F113" s="16"/>
      <c r="G113" s="16"/>
      <c r="H113" s="16"/>
      <c r="I113" s="16"/>
      <c r="J113" s="16"/>
      <c r="K113" s="16"/>
      <c r="L113" s="83" t="s">
        <v>651</v>
      </c>
      <c r="M113" s="83" t="s">
        <v>651</v>
      </c>
      <c r="O113" s="40">
        <f>'Proposed Rates'!F29</f>
        <v>37</v>
      </c>
      <c r="P113" s="54"/>
      <c r="Q113" s="40"/>
      <c r="R113" s="59">
        <f>'Proposed Rates'!N29</f>
        <v>39</v>
      </c>
    </row>
    <row r="114" spans="1:18" x14ac:dyDescent="0.2">
      <c r="A114" s="6"/>
      <c r="D114" s="143" t="s">
        <v>48</v>
      </c>
      <c r="F114" s="15"/>
      <c r="G114" s="15">
        <v>10</v>
      </c>
      <c r="H114" s="15"/>
      <c r="I114" s="15">
        <v>21</v>
      </c>
      <c r="J114" s="15">
        <v>16.8</v>
      </c>
      <c r="K114" s="15"/>
      <c r="L114" s="83" t="s">
        <v>651</v>
      </c>
      <c r="M114" s="83" t="s">
        <v>651</v>
      </c>
      <c r="O114" s="39">
        <f>'Proposed Rates'!G29</f>
        <v>20</v>
      </c>
      <c r="P114" s="53"/>
      <c r="Q114" s="39"/>
      <c r="R114" s="58">
        <f>'Proposed Rates'!S29</f>
        <v>23.493268546577429</v>
      </c>
    </row>
    <row r="115" spans="1:18" x14ac:dyDescent="0.2">
      <c r="A115" s="6"/>
      <c r="D115" s="143" t="s">
        <v>49</v>
      </c>
      <c r="F115" s="18"/>
      <c r="G115" s="18">
        <v>0</v>
      </c>
      <c r="H115" s="16"/>
      <c r="I115" s="18">
        <v>0</v>
      </c>
      <c r="J115" s="18">
        <v>0</v>
      </c>
      <c r="K115" s="16"/>
      <c r="L115" s="83" t="s">
        <v>651</v>
      </c>
      <c r="M115" s="83" t="s">
        <v>651</v>
      </c>
      <c r="O115" s="40">
        <f>'Proposed Rates'!H29</f>
        <v>-2</v>
      </c>
      <c r="P115" s="54"/>
      <c r="Q115" s="40"/>
      <c r="R115" s="59">
        <f>'Proposed Rates'!O29</f>
        <v>0</v>
      </c>
    </row>
    <row r="116" spans="1:18" x14ac:dyDescent="0.2">
      <c r="A116" s="6"/>
      <c r="D116" s="143" t="s">
        <v>50</v>
      </c>
      <c r="F116" s="17"/>
      <c r="G116" s="17">
        <v>21.96</v>
      </c>
      <c r="H116" s="17"/>
      <c r="I116" s="17"/>
      <c r="J116" s="17">
        <v>43.55</v>
      </c>
      <c r="K116" s="17"/>
      <c r="L116" s="83" t="s">
        <v>651</v>
      </c>
      <c r="M116" s="83" t="s">
        <v>651</v>
      </c>
      <c r="O116" s="41">
        <f>'Proposed Rates'!I29</f>
        <v>56.9</v>
      </c>
      <c r="P116" s="55"/>
      <c r="Q116" s="41"/>
      <c r="R116" s="60">
        <f>'Proposed Rates'!V29</f>
        <v>47.95</v>
      </c>
    </row>
    <row r="117" spans="1:18" x14ac:dyDescent="0.2">
      <c r="A117" s="6"/>
      <c r="D117" s="143" t="s">
        <v>51</v>
      </c>
      <c r="F117" s="18"/>
      <c r="G117" s="18"/>
      <c r="H117" s="18"/>
      <c r="I117" s="18"/>
      <c r="J117" s="18"/>
      <c r="K117" s="18"/>
      <c r="L117" s="83" t="s">
        <v>651</v>
      </c>
      <c r="M117" s="83" t="s">
        <v>651</v>
      </c>
      <c r="O117" s="42" t="str">
        <f>'Proposed Rates'!E29</f>
        <v>R3</v>
      </c>
      <c r="P117" s="56"/>
      <c r="Q117" s="42"/>
      <c r="R117" s="61" t="str">
        <f>'Proposed Rates'!M29</f>
        <v>R2.5</v>
      </c>
    </row>
    <row r="118" spans="1:18" x14ac:dyDescent="0.2">
      <c r="A118" s="6"/>
      <c r="F118" s="14"/>
      <c r="G118" s="14"/>
      <c r="H118" s="14"/>
      <c r="I118" s="14"/>
      <c r="J118" s="14"/>
      <c r="K118" s="14"/>
      <c r="L118" s="14"/>
      <c r="M118" s="14"/>
      <c r="O118" s="12"/>
      <c r="P118" s="52"/>
      <c r="Q118" s="12"/>
      <c r="R118" s="62"/>
    </row>
    <row r="119" spans="1:18" x14ac:dyDescent="0.2">
      <c r="A119" s="6">
        <f>'Proposed Rates'!A30</f>
        <v>38600</v>
      </c>
      <c r="C119" s="20" t="str">
        <f>'Proposed Rates'!C30</f>
        <v>Other Property Cust Premise</v>
      </c>
      <c r="F119" s="14"/>
      <c r="G119" s="14"/>
      <c r="H119" s="14"/>
      <c r="I119" s="14"/>
      <c r="J119" s="14"/>
      <c r="K119" s="14"/>
      <c r="L119" s="14"/>
      <c r="M119" s="14"/>
      <c r="O119" s="12"/>
      <c r="P119" s="52"/>
      <c r="Q119" s="12"/>
      <c r="R119" s="22"/>
    </row>
    <row r="120" spans="1:18" x14ac:dyDescent="0.2">
      <c r="A120" s="6"/>
      <c r="D120" s="143" t="s">
        <v>47</v>
      </c>
      <c r="F120" s="83" t="s">
        <v>651</v>
      </c>
      <c r="G120" s="83" t="s">
        <v>651</v>
      </c>
      <c r="H120" s="15"/>
      <c r="I120" s="83" t="s">
        <v>651</v>
      </c>
      <c r="J120" s="83" t="s">
        <v>651</v>
      </c>
      <c r="K120" s="15"/>
      <c r="L120" s="83" t="s">
        <v>651</v>
      </c>
      <c r="M120" s="83" t="s">
        <v>651</v>
      </c>
      <c r="O120" s="39">
        <f>'Proposed Rates'!J30</f>
        <v>6.7000000000000004E-2</v>
      </c>
      <c r="P120" s="53"/>
      <c r="Q120" s="39"/>
      <c r="R120" s="58">
        <f>'Proposed Rates'!X30</f>
        <v>6.7000000000000004E-2</v>
      </c>
    </row>
    <row r="121" spans="1:18" x14ac:dyDescent="0.2">
      <c r="A121" s="6"/>
      <c r="D121" s="143" t="s">
        <v>79</v>
      </c>
      <c r="F121" s="83" t="s">
        <v>651</v>
      </c>
      <c r="G121" s="83" t="s">
        <v>651</v>
      </c>
      <c r="H121" s="16"/>
      <c r="I121" s="83" t="s">
        <v>651</v>
      </c>
      <c r="J121" s="83" t="s">
        <v>651</v>
      </c>
      <c r="K121" s="16"/>
      <c r="L121" s="83" t="s">
        <v>651</v>
      </c>
      <c r="M121" s="83" t="s">
        <v>651</v>
      </c>
      <c r="O121" s="40">
        <f>'Proposed Rates'!F30</f>
        <v>15</v>
      </c>
      <c r="P121" s="54"/>
      <c r="Q121" s="40"/>
      <c r="R121" s="59">
        <f>'Proposed Rates'!N30</f>
        <v>15</v>
      </c>
    </row>
    <row r="122" spans="1:18" x14ac:dyDescent="0.2">
      <c r="A122" s="6"/>
      <c r="D122" s="143" t="s">
        <v>48</v>
      </c>
      <c r="F122" s="83" t="s">
        <v>651</v>
      </c>
      <c r="G122" s="83" t="s">
        <v>651</v>
      </c>
      <c r="H122" s="15"/>
      <c r="I122" s="83" t="s">
        <v>651</v>
      </c>
      <c r="J122" s="83" t="s">
        <v>651</v>
      </c>
      <c r="K122" s="15"/>
      <c r="L122" s="83" t="s">
        <v>651</v>
      </c>
      <c r="M122" s="83" t="s">
        <v>651</v>
      </c>
      <c r="O122" s="39">
        <f>'Proposed Rates'!G30</f>
        <v>15</v>
      </c>
      <c r="P122" s="53"/>
      <c r="Q122" s="39"/>
      <c r="R122" s="58">
        <f>'Proposed Rates'!S30</f>
        <v>15</v>
      </c>
    </row>
    <row r="123" spans="1:18" x14ac:dyDescent="0.2">
      <c r="A123" s="6"/>
      <c r="D123" s="143" t="s">
        <v>49</v>
      </c>
      <c r="F123" s="83" t="s">
        <v>651</v>
      </c>
      <c r="G123" s="83" t="s">
        <v>651</v>
      </c>
      <c r="H123" s="16"/>
      <c r="I123" s="83" t="s">
        <v>651</v>
      </c>
      <c r="J123" s="83" t="s">
        <v>651</v>
      </c>
      <c r="K123" s="16"/>
      <c r="L123" s="83" t="s">
        <v>651</v>
      </c>
      <c r="M123" s="83" t="s">
        <v>651</v>
      </c>
      <c r="O123" s="99">
        <f>'Proposed Rates'!H30</f>
        <v>0</v>
      </c>
      <c r="P123" s="54"/>
      <c r="Q123" s="40"/>
      <c r="R123" s="100">
        <f>'Proposed Rates'!O30</f>
        <v>0</v>
      </c>
    </row>
    <row r="124" spans="1:18" x14ac:dyDescent="0.2">
      <c r="A124" s="6"/>
      <c r="D124" s="143" t="s">
        <v>50</v>
      </c>
      <c r="F124" s="83" t="s">
        <v>651</v>
      </c>
      <c r="G124" s="83" t="s">
        <v>651</v>
      </c>
      <c r="H124" s="17"/>
      <c r="I124" s="83" t="s">
        <v>651</v>
      </c>
      <c r="J124" s="83" t="s">
        <v>651</v>
      </c>
      <c r="K124" s="17"/>
      <c r="L124" s="83" t="s">
        <v>651</v>
      </c>
      <c r="M124" s="83" t="s">
        <v>651</v>
      </c>
      <c r="O124" s="99">
        <f>'Proposed Rates'!I30</f>
        <v>0</v>
      </c>
      <c r="P124" s="54"/>
      <c r="Q124" s="40"/>
      <c r="R124" s="100">
        <f>'Proposed Rates'!V30</f>
        <v>0</v>
      </c>
    </row>
    <row r="125" spans="1:18" x14ac:dyDescent="0.2">
      <c r="A125" s="6"/>
      <c r="D125" s="143" t="s">
        <v>51</v>
      </c>
      <c r="F125" s="83" t="s">
        <v>651</v>
      </c>
      <c r="G125" s="83" t="s">
        <v>651</v>
      </c>
      <c r="H125" s="18"/>
      <c r="I125" s="83" t="s">
        <v>651</v>
      </c>
      <c r="J125" s="83" t="s">
        <v>651</v>
      </c>
      <c r="K125" s="18"/>
      <c r="L125" s="83" t="s">
        <v>651</v>
      </c>
      <c r="M125" s="83" t="s">
        <v>651</v>
      </c>
      <c r="O125" s="42" t="str">
        <f>'Proposed Rates'!E30</f>
        <v>R1</v>
      </c>
      <c r="P125" s="56"/>
      <c r="Q125" s="42"/>
      <c r="R125" s="61" t="str">
        <f>'Proposed Rates'!M30</f>
        <v>R1</v>
      </c>
    </row>
    <row r="126" spans="1:18" x14ac:dyDescent="0.2">
      <c r="A126" s="6"/>
      <c r="F126" s="14"/>
      <c r="G126" s="14"/>
      <c r="H126" s="14"/>
      <c r="I126" s="14"/>
      <c r="J126" s="14"/>
      <c r="K126" s="14"/>
      <c r="L126" s="14"/>
      <c r="M126" s="14"/>
      <c r="O126" s="12"/>
      <c r="P126" s="52"/>
      <c r="Q126" s="12"/>
      <c r="R126" s="62"/>
    </row>
    <row r="127" spans="1:18" x14ac:dyDescent="0.2">
      <c r="A127" s="6">
        <f>'Proposed Rates'!A31</f>
        <v>38700</v>
      </c>
      <c r="C127" s="20" t="str">
        <f>'Proposed Rates'!C31</f>
        <v>Other Equipment</v>
      </c>
      <c r="F127" s="14"/>
      <c r="G127" s="14"/>
      <c r="H127" s="14"/>
      <c r="I127" s="14"/>
      <c r="J127" s="14"/>
      <c r="K127" s="14"/>
      <c r="L127" s="14"/>
      <c r="M127" s="14"/>
      <c r="O127" s="12"/>
      <c r="P127" s="52"/>
      <c r="Q127" s="12"/>
      <c r="R127" s="22"/>
    </row>
    <row r="128" spans="1:18" x14ac:dyDescent="0.2">
      <c r="A128" s="6"/>
      <c r="D128" s="143" t="s">
        <v>47</v>
      </c>
      <c r="F128" s="15"/>
      <c r="G128" s="15">
        <v>4.7</v>
      </c>
      <c r="H128" s="15"/>
      <c r="I128" s="15">
        <v>2.9</v>
      </c>
      <c r="J128" s="15">
        <v>4.5</v>
      </c>
      <c r="K128" s="15"/>
      <c r="L128" s="83" t="s">
        <v>651</v>
      </c>
      <c r="M128" s="83" t="s">
        <v>651</v>
      </c>
      <c r="O128" s="39">
        <f>'Proposed Rates'!J31</f>
        <v>0.03</v>
      </c>
      <c r="P128" s="53"/>
      <c r="Q128" s="39"/>
      <c r="R128" s="58">
        <f>'Proposed Rates'!X31</f>
        <v>0.03</v>
      </c>
    </row>
    <row r="129" spans="1:18" x14ac:dyDescent="0.2">
      <c r="A129" s="6"/>
      <c r="D129" s="143" t="s">
        <v>79</v>
      </c>
      <c r="F129" s="16"/>
      <c r="G129" s="16"/>
      <c r="H129" s="16"/>
      <c r="I129" s="16"/>
      <c r="J129" s="16"/>
      <c r="K129" s="16"/>
      <c r="L129" s="83" t="s">
        <v>651</v>
      </c>
      <c r="M129" s="83" t="s">
        <v>651</v>
      </c>
      <c r="O129" s="40">
        <f>'Proposed Rates'!F31</f>
        <v>24</v>
      </c>
      <c r="P129" s="54"/>
      <c r="Q129" s="40"/>
      <c r="R129" s="59">
        <f>'Proposed Rates'!N31</f>
        <v>27</v>
      </c>
    </row>
    <row r="130" spans="1:18" x14ac:dyDescent="0.2">
      <c r="A130" s="6"/>
      <c r="D130" s="143" t="s">
        <v>48</v>
      </c>
      <c r="F130" s="15"/>
      <c r="G130" s="15">
        <v>17.600000000000001</v>
      </c>
      <c r="H130" s="15"/>
      <c r="I130" s="15">
        <v>10.4</v>
      </c>
      <c r="J130" s="15">
        <v>14.8</v>
      </c>
      <c r="K130" s="15"/>
      <c r="L130" s="83" t="s">
        <v>651</v>
      </c>
      <c r="M130" s="83" t="s">
        <v>651</v>
      </c>
      <c r="O130" s="39">
        <f>'Proposed Rates'!G31</f>
        <v>17.100000000000001</v>
      </c>
      <c r="P130" s="53"/>
      <c r="Q130" s="39"/>
      <c r="R130" s="58">
        <f>'Proposed Rates'!S31</f>
        <v>19.25358481757295</v>
      </c>
    </row>
    <row r="131" spans="1:18" x14ac:dyDescent="0.2">
      <c r="A131" s="6"/>
      <c r="D131" s="143" t="s">
        <v>49</v>
      </c>
      <c r="F131" s="18"/>
      <c r="G131" s="18">
        <v>0</v>
      </c>
      <c r="H131" s="16"/>
      <c r="I131" s="18">
        <v>0</v>
      </c>
      <c r="J131" s="18">
        <v>0</v>
      </c>
      <c r="K131" s="16"/>
      <c r="L131" s="83" t="s">
        <v>651</v>
      </c>
      <c r="M131" s="83" t="s">
        <v>651</v>
      </c>
      <c r="O131" s="99">
        <f>'Proposed Rates'!H31</f>
        <v>0</v>
      </c>
      <c r="P131" s="54"/>
      <c r="Q131" s="40"/>
      <c r="R131" s="100">
        <f>'Proposed Rates'!O31</f>
        <v>0</v>
      </c>
    </row>
    <row r="132" spans="1:18" x14ac:dyDescent="0.2">
      <c r="A132" s="6"/>
      <c r="D132" s="143" t="s">
        <v>50</v>
      </c>
      <c r="F132" s="17"/>
      <c r="G132" s="17">
        <v>17.54</v>
      </c>
      <c r="H132" s="17"/>
      <c r="I132" s="17"/>
      <c r="J132" s="17">
        <v>32.93</v>
      </c>
      <c r="K132" s="17"/>
      <c r="L132" s="83" t="s">
        <v>651</v>
      </c>
      <c r="M132" s="83" t="s">
        <v>651</v>
      </c>
      <c r="O132" s="41">
        <f>'Proposed Rates'!I31</f>
        <v>48.3</v>
      </c>
      <c r="P132" s="55"/>
      <c r="Q132" s="41"/>
      <c r="R132" s="60">
        <f>'Proposed Rates'!V31</f>
        <v>42.22</v>
      </c>
    </row>
    <row r="133" spans="1:18" x14ac:dyDescent="0.2">
      <c r="A133" s="6"/>
      <c r="D133" s="143" t="s">
        <v>51</v>
      </c>
      <c r="F133" s="18"/>
      <c r="G133" s="18"/>
      <c r="H133" s="18"/>
      <c r="I133" s="18"/>
      <c r="J133" s="18"/>
      <c r="K133" s="18"/>
      <c r="L133" s="83" t="s">
        <v>651</v>
      </c>
      <c r="M133" s="83" t="s">
        <v>651</v>
      </c>
      <c r="O133" s="42" t="str">
        <f>'Proposed Rates'!E31</f>
        <v>L2</v>
      </c>
      <c r="P133" s="56"/>
      <c r="Q133" s="42"/>
      <c r="R133" s="61" t="str">
        <f>'Proposed Rates'!M31</f>
        <v>L1.5</v>
      </c>
    </row>
    <row r="134" spans="1:18" x14ac:dyDescent="0.2">
      <c r="A134" s="1"/>
      <c r="F134" s="18"/>
      <c r="G134" s="18"/>
      <c r="H134" s="18"/>
      <c r="I134" s="18"/>
      <c r="J134" s="18"/>
      <c r="K134" s="18"/>
      <c r="L134" s="18"/>
      <c r="M134" s="18"/>
      <c r="O134" s="42"/>
      <c r="P134" s="56"/>
      <c r="Q134" s="42"/>
      <c r="R134" s="62"/>
    </row>
    <row r="135" spans="1:18" x14ac:dyDescent="0.2">
      <c r="A135" s="1"/>
      <c r="C135" s="25" t="str">
        <f>'Proposed Rates'!C36</f>
        <v>Transportation Equipment</v>
      </c>
      <c r="D135" s="25"/>
      <c r="F135" s="18"/>
      <c r="G135" s="18"/>
      <c r="H135" s="18"/>
      <c r="I135" s="18"/>
      <c r="J135" s="18"/>
      <c r="K135" s="18"/>
      <c r="L135" s="18"/>
      <c r="M135" s="18"/>
      <c r="O135" s="42"/>
      <c r="P135" s="56"/>
      <c r="Q135" s="42"/>
      <c r="R135" s="62"/>
    </row>
    <row r="136" spans="1:18" x14ac:dyDescent="0.2">
      <c r="A136" s="1"/>
      <c r="F136" s="18"/>
      <c r="G136" s="18"/>
      <c r="H136" s="18"/>
      <c r="I136" s="18"/>
      <c r="J136" s="18"/>
      <c r="K136" s="18"/>
      <c r="L136" s="18"/>
      <c r="M136" s="18"/>
      <c r="O136" s="42"/>
      <c r="P136" s="56"/>
      <c r="Q136" s="42"/>
      <c r="R136" s="62"/>
    </row>
    <row r="137" spans="1:18" x14ac:dyDescent="0.2">
      <c r="A137" s="6">
        <v>39200</v>
      </c>
      <c r="C137" s="20" t="s">
        <v>706</v>
      </c>
      <c r="F137" s="16"/>
      <c r="G137" s="16"/>
      <c r="H137" s="14"/>
      <c r="I137" s="16"/>
      <c r="J137" s="16"/>
      <c r="K137" s="14"/>
      <c r="L137" s="16"/>
      <c r="M137" s="16"/>
      <c r="O137" s="41"/>
      <c r="P137" s="55"/>
      <c r="Q137" s="41"/>
      <c r="R137" s="22"/>
    </row>
    <row r="138" spans="1:18" x14ac:dyDescent="0.2">
      <c r="A138" s="1"/>
      <c r="D138" s="143" t="s">
        <v>47</v>
      </c>
      <c r="F138" s="83" t="s">
        <v>651</v>
      </c>
      <c r="G138" s="83" t="s">
        <v>651</v>
      </c>
      <c r="H138" s="15"/>
      <c r="I138" s="83">
        <v>2.7</v>
      </c>
      <c r="J138" s="83">
        <v>7.5</v>
      </c>
      <c r="K138" s="15"/>
      <c r="L138" s="83">
        <v>9</v>
      </c>
      <c r="M138" s="83">
        <v>9</v>
      </c>
      <c r="O138" s="39"/>
      <c r="P138" s="53"/>
      <c r="Q138" s="39"/>
      <c r="R138" s="58">
        <f>'Proposed Rates'!X30</f>
        <v>6.7000000000000004E-2</v>
      </c>
    </row>
    <row r="139" spans="1:18" x14ac:dyDescent="0.2">
      <c r="A139" s="1"/>
      <c r="D139" s="143" t="s">
        <v>79</v>
      </c>
      <c r="F139" s="83" t="s">
        <v>651</v>
      </c>
      <c r="G139" s="83" t="s">
        <v>651</v>
      </c>
      <c r="H139" s="16"/>
      <c r="I139" s="83"/>
      <c r="J139" s="83"/>
      <c r="K139" s="16"/>
      <c r="L139" s="83"/>
      <c r="M139" s="83"/>
      <c r="O139" s="40"/>
      <c r="P139" s="54"/>
      <c r="Q139" s="40"/>
      <c r="R139" s="59">
        <f>'Proposed Rates'!N30</f>
        <v>15</v>
      </c>
    </row>
    <row r="140" spans="1:18" x14ac:dyDescent="0.2">
      <c r="A140" s="1"/>
      <c r="D140" s="143" t="s">
        <v>48</v>
      </c>
      <c r="F140" s="83" t="s">
        <v>651</v>
      </c>
      <c r="G140" s="83" t="s">
        <v>651</v>
      </c>
      <c r="H140" s="15"/>
      <c r="I140" s="83">
        <v>7.2</v>
      </c>
      <c r="J140" s="83">
        <v>6.3</v>
      </c>
      <c r="K140" s="15"/>
      <c r="L140" s="83">
        <v>10</v>
      </c>
      <c r="M140" s="83">
        <v>10</v>
      </c>
      <c r="O140" s="39"/>
      <c r="P140" s="53"/>
      <c r="Q140" s="39"/>
      <c r="R140" s="58">
        <f>'Proposed Rates'!S30</f>
        <v>15</v>
      </c>
    </row>
    <row r="141" spans="1:18" x14ac:dyDescent="0.2">
      <c r="A141" s="1"/>
      <c r="D141" s="143" t="s">
        <v>49</v>
      </c>
      <c r="F141" s="83" t="s">
        <v>651</v>
      </c>
      <c r="G141" s="83" t="s">
        <v>651</v>
      </c>
      <c r="H141" s="16"/>
      <c r="I141" s="83">
        <v>0</v>
      </c>
      <c r="J141" s="83">
        <v>10</v>
      </c>
      <c r="K141" s="16"/>
      <c r="L141" s="83">
        <v>10</v>
      </c>
      <c r="M141" s="83">
        <v>10</v>
      </c>
      <c r="O141" s="40"/>
      <c r="P141" s="54"/>
      <c r="Q141" s="40"/>
      <c r="R141" s="59">
        <f>'Proposed Rates'!O30</f>
        <v>0</v>
      </c>
    </row>
    <row r="142" spans="1:18" x14ac:dyDescent="0.2">
      <c r="A142" s="1"/>
      <c r="D142" s="143" t="s">
        <v>50</v>
      </c>
      <c r="F142" s="83" t="s">
        <v>651</v>
      </c>
      <c r="G142" s="83" t="s">
        <v>651</v>
      </c>
      <c r="H142" s="17"/>
      <c r="I142" s="83"/>
      <c r="J142" s="83">
        <v>42.75</v>
      </c>
      <c r="K142" s="17"/>
      <c r="L142" s="83"/>
      <c r="M142" s="83"/>
      <c r="O142" s="41"/>
      <c r="P142" s="55"/>
      <c r="Q142" s="41"/>
      <c r="R142" s="60">
        <f>'Proposed Rates'!V30</f>
        <v>0</v>
      </c>
    </row>
    <row r="143" spans="1:18" x14ac:dyDescent="0.2">
      <c r="A143" s="1"/>
      <c r="D143" s="143" t="s">
        <v>51</v>
      </c>
      <c r="F143" s="83" t="s">
        <v>651</v>
      </c>
      <c r="G143" s="83" t="s">
        <v>651</v>
      </c>
      <c r="H143" s="18"/>
      <c r="I143" s="83"/>
      <c r="J143" s="83"/>
      <c r="K143" s="18"/>
      <c r="L143" s="18" t="s">
        <v>652</v>
      </c>
      <c r="M143" s="18" t="s">
        <v>652</v>
      </c>
      <c r="O143" s="42"/>
      <c r="P143" s="56"/>
      <c r="Q143" s="42"/>
      <c r="R143" s="61" t="str">
        <f>'Proposed Rates'!M30</f>
        <v>R1</v>
      </c>
    </row>
    <row r="144" spans="1:18" x14ac:dyDescent="0.2">
      <c r="A144" s="1"/>
      <c r="F144" s="18"/>
      <c r="G144" s="18"/>
      <c r="H144" s="18"/>
      <c r="I144" s="18"/>
      <c r="J144" s="18"/>
      <c r="K144" s="18"/>
      <c r="L144" s="18"/>
      <c r="M144" s="18"/>
      <c r="O144" s="42"/>
      <c r="P144" s="56"/>
      <c r="Q144" s="42"/>
      <c r="R144" s="62"/>
    </row>
    <row r="145" spans="1:18" x14ac:dyDescent="0.2">
      <c r="A145" s="6">
        <f>'Proposed Rates'!A38</f>
        <v>39201</v>
      </c>
      <c r="C145" s="20" t="str">
        <f>'Proposed Rates'!C38</f>
        <v>Vehicles up to 1/2 Tons</v>
      </c>
      <c r="F145" s="16"/>
      <c r="G145" s="16"/>
      <c r="H145" s="14"/>
      <c r="I145" s="16"/>
      <c r="J145" s="16"/>
      <c r="K145" s="14"/>
      <c r="L145" s="16"/>
      <c r="M145" s="16"/>
      <c r="O145" s="41"/>
      <c r="P145" s="55"/>
      <c r="Q145" s="41"/>
      <c r="R145" s="22"/>
    </row>
    <row r="146" spans="1:18" x14ac:dyDescent="0.2">
      <c r="A146" s="1"/>
      <c r="D146" s="143" t="s">
        <v>47</v>
      </c>
      <c r="F146" s="15"/>
      <c r="G146" s="15">
        <v>13.1</v>
      </c>
      <c r="H146" s="15"/>
      <c r="I146" s="83" t="s">
        <v>651</v>
      </c>
      <c r="J146" s="83" t="s">
        <v>651</v>
      </c>
      <c r="K146" s="15"/>
      <c r="L146" s="83" t="s">
        <v>651</v>
      </c>
      <c r="M146" s="83" t="s">
        <v>651</v>
      </c>
      <c r="O146" s="39">
        <f>'Proposed Rates'!J38</f>
        <v>7.0000000000000007E-2</v>
      </c>
      <c r="P146" s="53"/>
      <c r="Q146" s="39"/>
      <c r="R146" s="58">
        <f>'Proposed Rates'!X38</f>
        <v>0.10099999999999999</v>
      </c>
    </row>
    <row r="147" spans="1:18" x14ac:dyDescent="0.2">
      <c r="A147" s="1"/>
      <c r="D147" s="143" t="s">
        <v>79</v>
      </c>
      <c r="F147" s="16"/>
      <c r="G147" s="16"/>
      <c r="H147" s="16"/>
      <c r="I147" s="83" t="s">
        <v>651</v>
      </c>
      <c r="J147" s="83" t="s">
        <v>651</v>
      </c>
      <c r="K147" s="16"/>
      <c r="L147" s="83" t="s">
        <v>651</v>
      </c>
      <c r="M147" s="83" t="s">
        <v>651</v>
      </c>
      <c r="O147" s="40">
        <f>'Proposed Rates'!F38</f>
        <v>9</v>
      </c>
      <c r="P147" s="54"/>
      <c r="Q147" s="40"/>
      <c r="R147" s="59">
        <f>'Proposed Rates'!N38</f>
        <v>8</v>
      </c>
    </row>
    <row r="148" spans="1:18" x14ac:dyDescent="0.2">
      <c r="A148" s="1"/>
      <c r="D148" s="143" t="s">
        <v>48</v>
      </c>
      <c r="F148" s="15"/>
      <c r="G148" s="15">
        <v>4.2</v>
      </c>
      <c r="H148" s="15"/>
      <c r="I148" s="83" t="s">
        <v>651</v>
      </c>
      <c r="J148" s="83" t="s">
        <v>651</v>
      </c>
      <c r="K148" s="15"/>
      <c r="L148" s="83" t="s">
        <v>651</v>
      </c>
      <c r="M148" s="83" t="s">
        <v>651</v>
      </c>
      <c r="O148" s="39">
        <f>'Proposed Rates'!G38</f>
        <v>5.6</v>
      </c>
      <c r="P148" s="53"/>
      <c r="Q148" s="39"/>
      <c r="R148" s="58">
        <f>'Proposed Rates'!S38</f>
        <v>5.3913796326334404</v>
      </c>
    </row>
    <row r="149" spans="1:18" x14ac:dyDescent="0.2">
      <c r="A149" s="1"/>
      <c r="D149" s="143" t="s">
        <v>49</v>
      </c>
      <c r="F149" s="16"/>
      <c r="G149" s="16">
        <v>10</v>
      </c>
      <c r="H149" s="16"/>
      <c r="I149" s="83" t="s">
        <v>651</v>
      </c>
      <c r="J149" s="83" t="s">
        <v>651</v>
      </c>
      <c r="K149" s="16"/>
      <c r="L149" s="83" t="s">
        <v>651</v>
      </c>
      <c r="M149" s="83" t="s">
        <v>651</v>
      </c>
      <c r="O149" s="40">
        <f>'Proposed Rates'!H38</f>
        <v>11</v>
      </c>
      <c r="P149" s="54"/>
      <c r="Q149" s="40"/>
      <c r="R149" s="59">
        <f>'Proposed Rates'!O38</f>
        <v>11</v>
      </c>
    </row>
    <row r="150" spans="1:18" x14ac:dyDescent="0.2">
      <c r="A150" s="1"/>
      <c r="D150" s="143" t="s">
        <v>50</v>
      </c>
      <c r="F150" s="17"/>
      <c r="G150" s="17">
        <v>35.119999999999997</v>
      </c>
      <c r="H150" s="17"/>
      <c r="I150" s="83" t="s">
        <v>651</v>
      </c>
      <c r="J150" s="83" t="s">
        <v>651</v>
      </c>
      <c r="K150" s="17"/>
      <c r="L150" s="83" t="s">
        <v>651</v>
      </c>
      <c r="M150" s="83" t="s">
        <v>651</v>
      </c>
      <c r="O150" s="41">
        <f>'Proposed Rates'!I38</f>
        <v>49.6</v>
      </c>
      <c r="P150" s="55"/>
      <c r="Q150" s="41"/>
      <c r="R150" s="60">
        <f>'Proposed Rates'!V38</f>
        <v>34.69</v>
      </c>
    </row>
    <row r="151" spans="1:18" x14ac:dyDescent="0.2">
      <c r="A151" s="1"/>
      <c r="D151" s="143" t="s">
        <v>51</v>
      </c>
      <c r="F151" s="18"/>
      <c r="G151" s="18"/>
      <c r="H151" s="18"/>
      <c r="I151" s="83" t="s">
        <v>651</v>
      </c>
      <c r="J151" s="83" t="s">
        <v>651</v>
      </c>
      <c r="K151" s="18"/>
      <c r="L151" s="83" t="s">
        <v>651</v>
      </c>
      <c r="M151" s="83" t="s">
        <v>651</v>
      </c>
      <c r="O151" s="42" t="str">
        <f>'Proposed Rates'!E38</f>
        <v>L2.5</v>
      </c>
      <c r="P151" s="56"/>
      <c r="Q151" s="42"/>
      <c r="R151" s="61" t="str">
        <f>'Proposed Rates'!M38</f>
        <v>L2.5</v>
      </c>
    </row>
    <row r="152" spans="1:18" x14ac:dyDescent="0.2">
      <c r="A152" s="1"/>
      <c r="F152" s="19"/>
      <c r="G152" s="19"/>
      <c r="H152" s="14"/>
      <c r="I152" s="19"/>
      <c r="J152" s="19"/>
      <c r="K152" s="14"/>
      <c r="L152" s="19"/>
      <c r="M152" s="19"/>
      <c r="O152" s="42"/>
      <c r="P152" s="56"/>
      <c r="Q152" s="42"/>
      <c r="R152" s="62"/>
    </row>
    <row r="153" spans="1:18" x14ac:dyDescent="0.2">
      <c r="A153" s="6">
        <f>'Proposed Rates'!A39</f>
        <v>39202</v>
      </c>
      <c r="C153" s="20" t="str">
        <f>'Proposed Rates'!C39</f>
        <v>Vehicles from 1/2 - 1 Tons</v>
      </c>
      <c r="F153" s="16"/>
      <c r="G153" s="16"/>
      <c r="H153" s="14"/>
      <c r="I153" s="16"/>
      <c r="J153" s="16"/>
      <c r="K153" s="14"/>
      <c r="L153" s="16"/>
      <c r="M153" s="16"/>
      <c r="O153" s="41"/>
      <c r="P153" s="55"/>
      <c r="Q153" s="41"/>
      <c r="R153" s="22"/>
    </row>
    <row r="154" spans="1:18" x14ac:dyDescent="0.2">
      <c r="A154" s="1"/>
      <c r="D154" s="143" t="s">
        <v>47</v>
      </c>
      <c r="F154" s="15"/>
      <c r="G154" s="15">
        <v>8.6</v>
      </c>
      <c r="H154" s="15"/>
      <c r="I154" s="83" t="s">
        <v>651</v>
      </c>
      <c r="J154" s="83" t="s">
        <v>651</v>
      </c>
      <c r="K154" s="15"/>
      <c r="L154" s="83" t="s">
        <v>651</v>
      </c>
      <c r="M154" s="83" t="s">
        <v>651</v>
      </c>
      <c r="O154" s="39">
        <f>'Proposed Rates'!J39</f>
        <v>5.6000000000000001E-2</v>
      </c>
      <c r="P154" s="53"/>
      <c r="Q154" s="39"/>
      <c r="R154" s="58">
        <f>'Proposed Rates'!X39</f>
        <v>7.0999999999999994E-2</v>
      </c>
    </row>
    <row r="155" spans="1:18" x14ac:dyDescent="0.2">
      <c r="A155" s="1"/>
      <c r="D155" s="143" t="s">
        <v>79</v>
      </c>
      <c r="F155" s="16"/>
      <c r="G155" s="16"/>
      <c r="H155" s="16"/>
      <c r="I155" s="83" t="s">
        <v>651</v>
      </c>
      <c r="J155" s="83" t="s">
        <v>651</v>
      </c>
      <c r="K155" s="16"/>
      <c r="L155" s="83" t="s">
        <v>651</v>
      </c>
      <c r="M155" s="83" t="s">
        <v>651</v>
      </c>
      <c r="O155" s="40">
        <f>'Proposed Rates'!F39</f>
        <v>10</v>
      </c>
      <c r="P155" s="54"/>
      <c r="Q155" s="40"/>
      <c r="R155" s="59">
        <f>'Proposed Rates'!N39</f>
        <v>10</v>
      </c>
    </row>
    <row r="156" spans="1:18" x14ac:dyDescent="0.2">
      <c r="A156" s="1"/>
      <c r="D156" s="143" t="s">
        <v>48</v>
      </c>
      <c r="F156" s="15"/>
      <c r="G156" s="15">
        <v>6.9</v>
      </c>
      <c r="H156" s="15"/>
      <c r="I156" s="83" t="s">
        <v>651</v>
      </c>
      <c r="J156" s="83" t="s">
        <v>651</v>
      </c>
      <c r="K156" s="15"/>
      <c r="L156" s="83" t="s">
        <v>651</v>
      </c>
      <c r="M156" s="83" t="s">
        <v>651</v>
      </c>
      <c r="O156" s="39">
        <f>'Proposed Rates'!G39</f>
        <v>6.2</v>
      </c>
      <c r="P156" s="53"/>
      <c r="Q156" s="39"/>
      <c r="R156" s="58">
        <f>'Proposed Rates'!S39</f>
        <v>4.8959083213442938</v>
      </c>
    </row>
    <row r="157" spans="1:18" x14ac:dyDescent="0.2">
      <c r="A157" s="1"/>
      <c r="D157" s="143" t="s">
        <v>49</v>
      </c>
      <c r="F157" s="16"/>
      <c r="G157" s="16">
        <v>10</v>
      </c>
      <c r="H157" s="16"/>
      <c r="I157" s="83" t="s">
        <v>651</v>
      </c>
      <c r="J157" s="83" t="s">
        <v>651</v>
      </c>
      <c r="K157" s="16"/>
      <c r="L157" s="83" t="s">
        <v>651</v>
      </c>
      <c r="M157" s="83" t="s">
        <v>651</v>
      </c>
      <c r="O157" s="40">
        <f>'Proposed Rates'!H39</f>
        <v>11</v>
      </c>
      <c r="P157" s="54"/>
      <c r="Q157" s="40"/>
      <c r="R157" s="59">
        <f>'Proposed Rates'!O39</f>
        <v>11</v>
      </c>
    </row>
    <row r="158" spans="1:18" x14ac:dyDescent="0.2">
      <c r="A158" s="1"/>
      <c r="D158" s="143" t="s">
        <v>50</v>
      </c>
      <c r="F158" s="17"/>
      <c r="G158" s="17">
        <v>30.93</v>
      </c>
      <c r="H158" s="17"/>
      <c r="I158" s="83" t="s">
        <v>651</v>
      </c>
      <c r="J158" s="83" t="s">
        <v>651</v>
      </c>
      <c r="K158" s="17"/>
      <c r="L158" s="83" t="s">
        <v>651</v>
      </c>
      <c r="M158" s="83" t="s">
        <v>651</v>
      </c>
      <c r="O158" s="41">
        <f>'Proposed Rates'!I39</f>
        <v>54.6</v>
      </c>
      <c r="P158" s="55"/>
      <c r="Q158" s="41"/>
      <c r="R158" s="60">
        <f>'Proposed Rates'!V39</f>
        <v>54.12</v>
      </c>
    </row>
    <row r="159" spans="1:18" x14ac:dyDescent="0.2">
      <c r="A159" s="1"/>
      <c r="D159" s="143" t="s">
        <v>51</v>
      </c>
      <c r="F159" s="18"/>
      <c r="G159" s="18"/>
      <c r="H159" s="18"/>
      <c r="I159" s="83" t="s">
        <v>651</v>
      </c>
      <c r="J159" s="83" t="s">
        <v>651</v>
      </c>
      <c r="K159" s="18"/>
      <c r="L159" s="83" t="s">
        <v>651</v>
      </c>
      <c r="M159" s="83" t="s">
        <v>651</v>
      </c>
      <c r="O159" s="42" t="str">
        <f>'Proposed Rates'!E39</f>
        <v>L3</v>
      </c>
      <c r="P159" s="56"/>
      <c r="Q159" s="42"/>
      <c r="R159" s="61" t="str">
        <f>'Proposed Rates'!M39</f>
        <v>L3</v>
      </c>
    </row>
    <row r="160" spans="1:18" x14ac:dyDescent="0.2">
      <c r="A160" s="1"/>
      <c r="F160" s="19"/>
      <c r="G160" s="19"/>
      <c r="H160" s="14"/>
      <c r="I160" s="19"/>
      <c r="J160" s="19"/>
      <c r="K160" s="14"/>
      <c r="L160" s="19"/>
      <c r="M160" s="19"/>
      <c r="O160" s="42"/>
      <c r="P160" s="56"/>
      <c r="Q160" s="42"/>
      <c r="R160" s="62"/>
    </row>
    <row r="161" spans="1:18" x14ac:dyDescent="0.2">
      <c r="A161" s="6">
        <f>'Proposed Rates'!A40</f>
        <v>39204</v>
      </c>
      <c r="C161" s="20" t="str">
        <f>'Proposed Rates'!C40</f>
        <v>Trailers &amp; Other</v>
      </c>
      <c r="F161" s="16"/>
      <c r="G161" s="16"/>
      <c r="H161" s="14"/>
      <c r="I161" s="16"/>
      <c r="J161" s="16"/>
      <c r="K161" s="14"/>
      <c r="L161" s="16"/>
      <c r="M161" s="16"/>
      <c r="O161" s="41"/>
      <c r="P161" s="55"/>
      <c r="Q161" s="41"/>
      <c r="R161" s="22"/>
    </row>
    <row r="162" spans="1:18" x14ac:dyDescent="0.2">
      <c r="A162" s="1"/>
      <c r="D162" s="143" t="s">
        <v>47</v>
      </c>
      <c r="F162" s="83" t="s">
        <v>651</v>
      </c>
      <c r="G162" s="83" t="s">
        <v>651</v>
      </c>
      <c r="H162" s="15"/>
      <c r="I162" s="83" t="s">
        <v>651</v>
      </c>
      <c r="J162" s="83" t="s">
        <v>651</v>
      </c>
      <c r="K162" s="15"/>
      <c r="L162" s="83" t="s">
        <v>651</v>
      </c>
      <c r="M162" s="83" t="s">
        <v>651</v>
      </c>
      <c r="O162" s="39">
        <f>'Proposed Rates'!J40</f>
        <v>2.9000000000000001E-2</v>
      </c>
      <c r="P162" s="53"/>
      <c r="Q162" s="39"/>
      <c r="R162" s="58">
        <f>'Proposed Rates'!X40</f>
        <v>2.4E-2</v>
      </c>
    </row>
    <row r="163" spans="1:18" x14ac:dyDescent="0.2">
      <c r="A163" s="1"/>
      <c r="D163" s="143" t="s">
        <v>79</v>
      </c>
      <c r="F163" s="83" t="s">
        <v>651</v>
      </c>
      <c r="G163" s="83" t="s">
        <v>651</v>
      </c>
      <c r="H163" s="16"/>
      <c r="I163" s="83" t="s">
        <v>651</v>
      </c>
      <c r="J163" s="83" t="s">
        <v>651</v>
      </c>
      <c r="K163" s="16"/>
      <c r="L163" s="83" t="s">
        <v>651</v>
      </c>
      <c r="M163" s="83" t="s">
        <v>651</v>
      </c>
      <c r="O163" s="40">
        <f>'Proposed Rates'!F40</f>
        <v>27</v>
      </c>
      <c r="P163" s="54"/>
      <c r="Q163" s="40"/>
      <c r="R163" s="59">
        <f>'Proposed Rates'!N40</f>
        <v>30</v>
      </c>
    </row>
    <row r="164" spans="1:18" x14ac:dyDescent="0.2">
      <c r="A164" s="1"/>
      <c r="D164" s="143" t="s">
        <v>48</v>
      </c>
      <c r="F164" s="83" t="s">
        <v>651</v>
      </c>
      <c r="G164" s="83" t="s">
        <v>651</v>
      </c>
      <c r="H164" s="15"/>
      <c r="I164" s="83" t="s">
        <v>651</v>
      </c>
      <c r="J164" s="83" t="s">
        <v>651</v>
      </c>
      <c r="K164" s="15"/>
      <c r="L164" s="83" t="s">
        <v>651</v>
      </c>
      <c r="M164" s="83" t="s">
        <v>651</v>
      </c>
      <c r="O164" s="39">
        <f>'Proposed Rates'!G40</f>
        <v>22.6</v>
      </c>
      <c r="P164" s="53"/>
      <c r="Q164" s="39"/>
      <c r="R164" s="58">
        <f>'Proposed Rates'!S40</f>
        <v>25.152054599291752</v>
      </c>
    </row>
    <row r="165" spans="1:18" x14ac:dyDescent="0.2">
      <c r="A165" s="1"/>
      <c r="D165" s="143" t="s">
        <v>49</v>
      </c>
      <c r="F165" s="83" t="s">
        <v>651</v>
      </c>
      <c r="G165" s="83" t="s">
        <v>651</v>
      </c>
      <c r="H165" s="16"/>
      <c r="I165" s="83" t="s">
        <v>651</v>
      </c>
      <c r="J165" s="83" t="s">
        <v>651</v>
      </c>
      <c r="K165" s="16"/>
      <c r="L165" s="83" t="s">
        <v>651</v>
      </c>
      <c r="M165" s="83" t="s">
        <v>651</v>
      </c>
      <c r="O165" s="40">
        <f>'Proposed Rates'!H40</f>
        <v>15</v>
      </c>
      <c r="P165" s="54"/>
      <c r="Q165" s="40"/>
      <c r="R165" s="59">
        <f>'Proposed Rates'!O40</f>
        <v>20</v>
      </c>
    </row>
    <row r="166" spans="1:18" x14ac:dyDescent="0.2">
      <c r="A166" s="1"/>
      <c r="D166" s="143" t="s">
        <v>50</v>
      </c>
      <c r="F166" s="83" t="s">
        <v>651</v>
      </c>
      <c r="G166" s="83" t="s">
        <v>651</v>
      </c>
      <c r="H166" s="17"/>
      <c r="I166" s="83" t="s">
        <v>651</v>
      </c>
      <c r="J166" s="83" t="s">
        <v>651</v>
      </c>
      <c r="K166" s="17"/>
      <c r="L166" s="83" t="s">
        <v>651</v>
      </c>
      <c r="M166" s="83" t="s">
        <v>651</v>
      </c>
      <c r="O166" s="41">
        <f>'Proposed Rates'!I40</f>
        <v>19.7</v>
      </c>
      <c r="P166" s="55"/>
      <c r="Q166" s="41"/>
      <c r="R166" s="100">
        <f>'Proposed Rates'!V40</f>
        <v>19.920000000000002</v>
      </c>
    </row>
    <row r="167" spans="1:18" x14ac:dyDescent="0.2">
      <c r="A167" s="1"/>
      <c r="D167" s="143" t="s">
        <v>51</v>
      </c>
      <c r="F167" s="83" t="s">
        <v>651</v>
      </c>
      <c r="G167" s="83" t="s">
        <v>651</v>
      </c>
      <c r="H167" s="18"/>
      <c r="I167" s="83" t="s">
        <v>651</v>
      </c>
      <c r="J167" s="83" t="s">
        <v>651</v>
      </c>
      <c r="K167" s="18"/>
      <c r="L167" s="83" t="s">
        <v>651</v>
      </c>
      <c r="M167" s="83" t="s">
        <v>651</v>
      </c>
      <c r="O167" s="42" t="str">
        <f>'Proposed Rates'!E40</f>
        <v>R2</v>
      </c>
      <c r="P167" s="56"/>
      <c r="Q167" s="42"/>
      <c r="R167" s="61" t="str">
        <f>'Proposed Rates'!M40</f>
        <v>R1.5</v>
      </c>
    </row>
    <row r="168" spans="1:18" x14ac:dyDescent="0.2">
      <c r="A168" s="1"/>
      <c r="F168" s="19"/>
      <c r="G168" s="19"/>
      <c r="H168" s="14"/>
      <c r="I168" s="16"/>
      <c r="J168" s="16"/>
      <c r="K168" s="14"/>
      <c r="L168" s="16"/>
      <c r="M168" s="16"/>
      <c r="O168" s="42"/>
      <c r="P168" s="56"/>
      <c r="Q168" s="42"/>
      <c r="R168" s="62"/>
    </row>
    <row r="169" spans="1:18" x14ac:dyDescent="0.2">
      <c r="A169" s="6">
        <f>'Proposed Rates'!A41</f>
        <v>39205</v>
      </c>
      <c r="C169" s="20" t="str">
        <f>'Proposed Rates'!C41</f>
        <v>Vehicles over 1 Ton</v>
      </c>
      <c r="F169" s="16"/>
      <c r="G169" s="16"/>
      <c r="H169" s="14"/>
      <c r="I169" s="16"/>
      <c r="J169" s="16"/>
      <c r="K169" s="14"/>
      <c r="L169" s="16"/>
      <c r="M169" s="16"/>
      <c r="O169" s="41"/>
      <c r="P169" s="55"/>
      <c r="Q169" s="41"/>
      <c r="R169" s="22"/>
    </row>
    <row r="170" spans="1:18" x14ac:dyDescent="0.2">
      <c r="A170" s="1"/>
      <c r="D170" s="143" t="s">
        <v>47</v>
      </c>
      <c r="F170" s="15"/>
      <c r="G170" s="15">
        <v>5.2</v>
      </c>
      <c r="H170" s="15"/>
      <c r="I170" s="83" t="s">
        <v>651</v>
      </c>
      <c r="J170" s="83" t="s">
        <v>651</v>
      </c>
      <c r="K170" s="15"/>
      <c r="L170" s="83" t="s">
        <v>651</v>
      </c>
      <c r="M170" s="83" t="s">
        <v>651</v>
      </c>
      <c r="O170" s="39">
        <f>'Proposed Rates'!J41</f>
        <v>6.6000000000000003E-2</v>
      </c>
      <c r="P170" s="53"/>
      <c r="Q170" s="39"/>
      <c r="R170" s="58">
        <f>'Proposed Rates'!X41</f>
        <v>5.5999999999999994E-2</v>
      </c>
    </row>
    <row r="171" spans="1:18" x14ac:dyDescent="0.2">
      <c r="A171" s="1"/>
      <c r="D171" s="143" t="s">
        <v>79</v>
      </c>
      <c r="F171" s="16"/>
      <c r="G171" s="16"/>
      <c r="H171" s="16"/>
      <c r="I171" s="83" t="s">
        <v>651</v>
      </c>
      <c r="J171" s="83" t="s">
        <v>651</v>
      </c>
      <c r="K171" s="16"/>
      <c r="L171" s="83" t="s">
        <v>651</v>
      </c>
      <c r="M171" s="83" t="s">
        <v>651</v>
      </c>
      <c r="O171" s="40">
        <f>'Proposed Rates'!F41</f>
        <v>12</v>
      </c>
      <c r="P171" s="54"/>
      <c r="Q171" s="40"/>
      <c r="R171" s="59">
        <f>'Proposed Rates'!N41</f>
        <v>13</v>
      </c>
    </row>
    <row r="172" spans="1:18" x14ac:dyDescent="0.2">
      <c r="A172" s="1"/>
      <c r="D172" s="143" t="s">
        <v>48</v>
      </c>
      <c r="F172" s="15"/>
      <c r="G172" s="15">
        <v>8.5</v>
      </c>
      <c r="H172" s="15"/>
      <c r="I172" s="83" t="s">
        <v>651</v>
      </c>
      <c r="J172" s="83" t="s">
        <v>651</v>
      </c>
      <c r="K172" s="15"/>
      <c r="L172" s="83" t="s">
        <v>651</v>
      </c>
      <c r="M172" s="83" t="s">
        <v>651</v>
      </c>
      <c r="O172" s="39">
        <f>'Proposed Rates'!G41</f>
        <v>6.6</v>
      </c>
      <c r="P172" s="53"/>
      <c r="Q172" s="39"/>
      <c r="R172" s="58">
        <f>'Proposed Rates'!S41</f>
        <v>6.9471357509861367</v>
      </c>
    </row>
    <row r="173" spans="1:18" x14ac:dyDescent="0.2">
      <c r="A173" s="1"/>
      <c r="D173" s="143" t="s">
        <v>49</v>
      </c>
      <c r="F173" s="18"/>
      <c r="G173" s="18">
        <v>0</v>
      </c>
      <c r="H173" s="16"/>
      <c r="I173" s="83" t="s">
        <v>651</v>
      </c>
      <c r="J173" s="83" t="s">
        <v>651</v>
      </c>
      <c r="K173" s="16"/>
      <c r="L173" s="83" t="s">
        <v>651</v>
      </c>
      <c r="M173" s="83" t="s">
        <v>651</v>
      </c>
      <c r="O173" s="40">
        <f>'Proposed Rates'!H41</f>
        <v>4</v>
      </c>
      <c r="P173" s="54"/>
      <c r="Q173" s="40"/>
      <c r="R173" s="59">
        <f>'Proposed Rates'!O41</f>
        <v>7</v>
      </c>
    </row>
    <row r="174" spans="1:18" x14ac:dyDescent="0.2">
      <c r="A174" s="1"/>
      <c r="D174" s="143" t="s">
        <v>50</v>
      </c>
      <c r="F174" s="17"/>
      <c r="G174" s="17">
        <v>56.13</v>
      </c>
      <c r="H174" s="17"/>
      <c r="I174" s="83" t="s">
        <v>651</v>
      </c>
      <c r="J174" s="83" t="s">
        <v>651</v>
      </c>
      <c r="K174" s="17"/>
      <c r="L174" s="83" t="s">
        <v>651</v>
      </c>
      <c r="M174" s="83" t="s">
        <v>651</v>
      </c>
      <c r="O174" s="41">
        <f>'Proposed Rates'!I41</f>
        <v>52.6</v>
      </c>
      <c r="P174" s="55"/>
      <c r="Q174" s="41"/>
      <c r="R174" s="60">
        <f>'Proposed Rates'!V41</f>
        <v>54.43</v>
      </c>
    </row>
    <row r="175" spans="1:18" x14ac:dyDescent="0.2">
      <c r="A175" s="1"/>
      <c r="D175" s="143" t="s">
        <v>51</v>
      </c>
      <c r="F175" s="18"/>
      <c r="G175" s="18"/>
      <c r="H175" s="18"/>
      <c r="I175" s="83" t="s">
        <v>651</v>
      </c>
      <c r="J175" s="83" t="s">
        <v>651</v>
      </c>
      <c r="K175" s="18"/>
      <c r="L175" s="83" t="s">
        <v>651</v>
      </c>
      <c r="M175" s="83" t="s">
        <v>651</v>
      </c>
      <c r="O175" s="42" t="str">
        <f>'Proposed Rates'!E41</f>
        <v>L2</v>
      </c>
      <c r="P175" s="56"/>
      <c r="Q175" s="42"/>
      <c r="R175" s="61" t="str">
        <f>'Proposed Rates'!M41</f>
        <v>L2</v>
      </c>
    </row>
    <row r="176" spans="1:18" x14ac:dyDescent="0.2">
      <c r="A176" s="1"/>
      <c r="F176" s="19"/>
      <c r="G176" s="19"/>
      <c r="H176" s="14"/>
      <c r="I176" s="16"/>
      <c r="J176" s="16"/>
      <c r="K176" s="14"/>
      <c r="L176" s="16"/>
      <c r="M176" s="16"/>
      <c r="O176" s="42"/>
      <c r="P176" s="56"/>
      <c r="Q176" s="42"/>
      <c r="R176" s="62"/>
    </row>
    <row r="177" spans="1:18" x14ac:dyDescent="0.2">
      <c r="A177" s="6">
        <f>'Proposed Rates'!A42</f>
        <v>0</v>
      </c>
      <c r="C177" s="20">
        <f>'Proposed Rates'!C42</f>
        <v>0</v>
      </c>
      <c r="F177" s="16"/>
      <c r="G177" s="16"/>
      <c r="H177" s="14"/>
      <c r="I177" s="16"/>
      <c r="J177" s="16"/>
      <c r="K177" s="14"/>
      <c r="L177" s="16"/>
      <c r="M177" s="16"/>
      <c r="O177" s="41"/>
      <c r="P177" s="55"/>
      <c r="Q177" s="41"/>
      <c r="R177" s="22"/>
    </row>
    <row r="178" spans="1:18" x14ac:dyDescent="0.2">
      <c r="A178" s="1"/>
      <c r="D178" s="143" t="s">
        <v>47</v>
      </c>
      <c r="F178" s="83" t="s">
        <v>651</v>
      </c>
      <c r="G178" s="85">
        <v>8.1999999999999993</v>
      </c>
      <c r="H178" s="15"/>
      <c r="I178" s="83" t="s">
        <v>651</v>
      </c>
      <c r="J178" s="83" t="s">
        <v>651</v>
      </c>
      <c r="K178" s="15"/>
      <c r="L178" s="83" t="s">
        <v>651</v>
      </c>
      <c r="M178" s="83" t="s">
        <v>651</v>
      </c>
      <c r="O178" s="39">
        <f>'Proposed Rates'!J42</f>
        <v>0</v>
      </c>
      <c r="P178" s="53"/>
      <c r="Q178" s="39"/>
      <c r="R178" s="58">
        <f>'Proposed Rates'!X42</f>
        <v>0</v>
      </c>
    </row>
    <row r="179" spans="1:18" x14ac:dyDescent="0.2">
      <c r="A179" s="1"/>
      <c r="D179" s="143" t="s">
        <v>79</v>
      </c>
      <c r="F179" s="83" t="s">
        <v>651</v>
      </c>
      <c r="G179" s="85"/>
      <c r="H179" s="16"/>
      <c r="I179" s="83" t="s">
        <v>651</v>
      </c>
      <c r="J179" s="83" t="s">
        <v>651</v>
      </c>
      <c r="K179" s="16"/>
      <c r="L179" s="83" t="s">
        <v>651</v>
      </c>
      <c r="M179" s="83" t="s">
        <v>651</v>
      </c>
      <c r="O179" s="40">
        <f>'Proposed Rates'!F42</f>
        <v>0</v>
      </c>
      <c r="P179" s="54"/>
      <c r="Q179" s="40"/>
      <c r="R179" s="59">
        <f>'Proposed Rates'!N42</f>
        <v>0</v>
      </c>
    </row>
    <row r="180" spans="1:18" x14ac:dyDescent="0.2">
      <c r="A180" s="1"/>
      <c r="D180" s="143" t="s">
        <v>48</v>
      </c>
      <c r="F180" s="83" t="s">
        <v>651</v>
      </c>
      <c r="G180" s="85">
        <v>11</v>
      </c>
      <c r="H180" s="15"/>
      <c r="I180" s="83" t="s">
        <v>651</v>
      </c>
      <c r="J180" s="83" t="s">
        <v>651</v>
      </c>
      <c r="K180" s="15"/>
      <c r="L180" s="83" t="s">
        <v>651</v>
      </c>
      <c r="M180" s="83" t="s">
        <v>651</v>
      </c>
      <c r="O180" s="39">
        <f>'Proposed Rates'!G42</f>
        <v>0</v>
      </c>
      <c r="P180" s="53"/>
      <c r="Q180" s="39"/>
      <c r="R180" s="58">
        <f>'Proposed Rates'!S42</f>
        <v>0</v>
      </c>
    </row>
    <row r="181" spans="1:18" x14ac:dyDescent="0.2">
      <c r="A181" s="1"/>
      <c r="D181" s="143" t="s">
        <v>49</v>
      </c>
      <c r="F181" s="83" t="s">
        <v>651</v>
      </c>
      <c r="G181" s="85">
        <v>10</v>
      </c>
      <c r="H181" s="16"/>
      <c r="I181" s="83" t="s">
        <v>651</v>
      </c>
      <c r="J181" s="83" t="s">
        <v>651</v>
      </c>
      <c r="K181" s="16"/>
      <c r="L181" s="83" t="s">
        <v>651</v>
      </c>
      <c r="M181" s="83" t="s">
        <v>651</v>
      </c>
      <c r="O181" s="40">
        <f>'Proposed Rates'!H42</f>
        <v>0</v>
      </c>
      <c r="P181" s="54"/>
      <c r="Q181" s="40"/>
      <c r="R181" s="59">
        <f>'Proposed Rates'!O42</f>
        <v>0</v>
      </c>
    </row>
    <row r="182" spans="1:18" x14ac:dyDescent="0.2">
      <c r="A182" s="1"/>
      <c r="D182" s="143" t="s">
        <v>50</v>
      </c>
      <c r="F182" s="83" t="s">
        <v>651</v>
      </c>
      <c r="G182" s="98">
        <v>0</v>
      </c>
      <c r="H182" s="17"/>
      <c r="I182" s="83" t="s">
        <v>651</v>
      </c>
      <c r="J182" s="83" t="s">
        <v>651</v>
      </c>
      <c r="K182" s="17"/>
      <c r="L182" s="83" t="s">
        <v>651</v>
      </c>
      <c r="M182" s="83" t="s">
        <v>651</v>
      </c>
      <c r="O182" s="41">
        <f>'Proposed Rates'!I42</f>
        <v>0</v>
      </c>
      <c r="P182" s="55"/>
      <c r="Q182" s="41"/>
      <c r="R182" s="60">
        <f>'Proposed Rates'!V42</f>
        <v>0</v>
      </c>
    </row>
    <row r="183" spans="1:18" x14ac:dyDescent="0.2">
      <c r="A183" s="1"/>
      <c r="D183" s="143" t="s">
        <v>51</v>
      </c>
      <c r="F183" s="83" t="s">
        <v>651</v>
      </c>
      <c r="G183" s="85"/>
      <c r="H183" s="18"/>
      <c r="I183" s="83" t="s">
        <v>651</v>
      </c>
      <c r="J183" s="83" t="s">
        <v>651</v>
      </c>
      <c r="K183" s="18"/>
      <c r="L183" s="83" t="s">
        <v>651</v>
      </c>
      <c r="M183" s="83" t="s">
        <v>651</v>
      </c>
      <c r="O183" s="42">
        <f>'Proposed Rates'!E42</f>
        <v>0</v>
      </c>
      <c r="P183" s="56"/>
      <c r="Q183" s="42"/>
      <c r="R183" s="61">
        <f>'Proposed Rates'!M42</f>
        <v>0</v>
      </c>
    </row>
    <row r="184" spans="1:18" x14ac:dyDescent="0.2">
      <c r="A184" s="1"/>
      <c r="F184" s="19"/>
      <c r="G184" s="19"/>
      <c r="H184" s="14"/>
      <c r="I184" s="16"/>
      <c r="J184" s="16"/>
      <c r="K184" s="14"/>
      <c r="L184" s="16"/>
      <c r="M184" s="16"/>
      <c r="O184" s="42"/>
      <c r="P184" s="56"/>
      <c r="Q184" s="42"/>
      <c r="R184" s="62"/>
    </row>
    <row r="185" spans="1:18" x14ac:dyDescent="0.2">
      <c r="A185" s="1"/>
      <c r="F185" s="19"/>
      <c r="G185" s="19"/>
      <c r="H185" s="14"/>
      <c r="I185" s="16"/>
      <c r="J185" s="16"/>
      <c r="K185" s="14"/>
      <c r="L185" s="16"/>
      <c r="M185" s="16"/>
      <c r="O185" s="42"/>
      <c r="P185" s="56"/>
      <c r="Q185" s="42"/>
      <c r="R185" s="62"/>
    </row>
    <row r="186" spans="1:18" x14ac:dyDescent="0.2">
      <c r="A186" s="1"/>
      <c r="C186" s="25">
        <f>'Proposed Rates'!C44</f>
        <v>0</v>
      </c>
      <c r="D186" s="25"/>
      <c r="F186" s="19"/>
      <c r="G186" s="19"/>
      <c r="H186" s="14"/>
      <c r="I186" s="16"/>
      <c r="J186" s="16"/>
      <c r="K186" s="14"/>
      <c r="L186" s="16"/>
      <c r="M186" s="16"/>
      <c r="O186" s="42"/>
      <c r="P186" s="56"/>
      <c r="Q186" s="42"/>
      <c r="R186" s="62"/>
    </row>
    <row r="187" spans="1:18" x14ac:dyDescent="0.2">
      <c r="A187" s="1"/>
      <c r="F187" s="19"/>
      <c r="G187" s="19"/>
      <c r="H187" s="14"/>
      <c r="I187" s="16"/>
      <c r="J187" s="16"/>
      <c r="K187" s="14"/>
      <c r="L187" s="16"/>
      <c r="M187" s="16"/>
      <c r="O187" s="42"/>
      <c r="P187" s="56"/>
      <c r="Q187" s="42"/>
      <c r="R187" s="62"/>
    </row>
    <row r="188" spans="1:18" x14ac:dyDescent="0.2">
      <c r="A188" s="6">
        <f>'Proposed Rates'!A46</f>
        <v>30200</v>
      </c>
      <c r="C188" s="20" t="str">
        <f>'Proposed Rates'!C46</f>
        <v>Franchise &amp; Consents</v>
      </c>
      <c r="F188" s="14"/>
      <c r="G188" s="14"/>
      <c r="H188" s="14"/>
      <c r="I188" s="14"/>
      <c r="J188" s="14"/>
      <c r="K188" s="14"/>
      <c r="L188" s="14"/>
      <c r="M188" s="14"/>
      <c r="O188" s="12"/>
      <c r="P188" s="52"/>
      <c r="Q188" s="12"/>
      <c r="R188" s="22"/>
    </row>
    <row r="189" spans="1:18" x14ac:dyDescent="0.2">
      <c r="A189" s="6"/>
      <c r="D189" s="143" t="s">
        <v>47</v>
      </c>
      <c r="F189" s="83" t="s">
        <v>651</v>
      </c>
      <c r="G189" s="83" t="s">
        <v>651</v>
      </c>
      <c r="H189" s="15"/>
      <c r="I189" s="83" t="s">
        <v>651</v>
      </c>
      <c r="J189" s="83" t="s">
        <v>651</v>
      </c>
      <c r="K189" s="15"/>
      <c r="L189" s="83" t="s">
        <v>651</v>
      </c>
      <c r="M189" s="83" t="s">
        <v>651</v>
      </c>
      <c r="O189" s="102">
        <f>'Proposed Rates'!J46</f>
        <v>0.04</v>
      </c>
      <c r="P189" s="53"/>
      <c r="Q189" s="39"/>
      <c r="R189" s="103">
        <f>'Proposed Rates'!X46</f>
        <v>0.04</v>
      </c>
    </row>
    <row r="190" spans="1:18" x14ac:dyDescent="0.2">
      <c r="A190" s="6"/>
      <c r="D190" s="143" t="s">
        <v>79</v>
      </c>
      <c r="F190" s="83" t="s">
        <v>651</v>
      </c>
      <c r="G190" s="83" t="s">
        <v>651</v>
      </c>
      <c r="H190" s="16"/>
      <c r="I190" s="83" t="s">
        <v>651</v>
      </c>
      <c r="J190" s="83" t="s">
        <v>651</v>
      </c>
      <c r="K190" s="16"/>
      <c r="L190" s="83" t="s">
        <v>651</v>
      </c>
      <c r="M190" s="83" t="s">
        <v>651</v>
      </c>
      <c r="O190" s="40">
        <f>'Proposed Rates'!F46</f>
        <v>25</v>
      </c>
      <c r="P190" s="54"/>
      <c r="Q190" s="40"/>
      <c r="R190" s="59">
        <v>0</v>
      </c>
    </row>
    <row r="191" spans="1:18" ht="12.75" customHeight="1" x14ac:dyDescent="0.2">
      <c r="A191" s="6"/>
      <c r="D191" s="143" t="s">
        <v>48</v>
      </c>
      <c r="F191" s="83" t="s">
        <v>651</v>
      </c>
      <c r="G191" s="83" t="s">
        <v>651</v>
      </c>
      <c r="H191" s="15"/>
      <c r="I191" s="83" t="s">
        <v>651</v>
      </c>
      <c r="J191" s="83" t="s">
        <v>651</v>
      </c>
      <c r="K191" s="15"/>
      <c r="L191" s="83" t="s">
        <v>651</v>
      </c>
      <c r="M191" s="83" t="s">
        <v>651</v>
      </c>
      <c r="O191" s="397">
        <f>'Proposed Rates'!G46</f>
        <v>25</v>
      </c>
      <c r="P191" s="53"/>
      <c r="Q191" s="39"/>
      <c r="R191" s="396">
        <f>'Proposed Rates'!N46</f>
        <v>25</v>
      </c>
    </row>
    <row r="192" spans="1:18" x14ac:dyDescent="0.2">
      <c r="A192" s="6"/>
      <c r="D192" s="143" t="s">
        <v>49</v>
      </c>
      <c r="F192" s="83" t="s">
        <v>651</v>
      </c>
      <c r="G192" s="83" t="s">
        <v>651</v>
      </c>
      <c r="H192" s="16"/>
      <c r="I192" s="83" t="s">
        <v>651</v>
      </c>
      <c r="J192" s="83" t="s">
        <v>651</v>
      </c>
      <c r="K192" s="16"/>
      <c r="L192" s="83" t="s">
        <v>651</v>
      </c>
      <c r="M192" s="83" t="s">
        <v>651</v>
      </c>
      <c r="O192" s="397"/>
      <c r="P192" s="54"/>
      <c r="Q192" s="40"/>
      <c r="R192" s="396"/>
    </row>
    <row r="193" spans="1:18" x14ac:dyDescent="0.2">
      <c r="A193" s="6"/>
      <c r="D193" s="143" t="s">
        <v>50</v>
      </c>
      <c r="F193" s="83" t="s">
        <v>651</v>
      </c>
      <c r="G193" s="83" t="s">
        <v>651</v>
      </c>
      <c r="H193" s="17"/>
      <c r="I193" s="83" t="s">
        <v>651</v>
      </c>
      <c r="J193" s="83" t="s">
        <v>651</v>
      </c>
      <c r="K193" s="17"/>
      <c r="L193" s="83" t="s">
        <v>651</v>
      </c>
      <c r="M193" s="83" t="s">
        <v>651</v>
      </c>
      <c r="O193" s="41">
        <f>'Proposed Rates'!I46</f>
        <v>0</v>
      </c>
      <c r="P193" s="55"/>
      <c r="Q193" s="41"/>
      <c r="R193" s="60">
        <f>'Proposed Rates'!V46</f>
        <v>0</v>
      </c>
    </row>
    <row r="194" spans="1:18" x14ac:dyDescent="0.2">
      <c r="A194" s="6"/>
      <c r="D194" s="143" t="s">
        <v>51</v>
      </c>
      <c r="F194" s="83" t="s">
        <v>651</v>
      </c>
      <c r="G194" s="83" t="s">
        <v>651</v>
      </c>
      <c r="H194" s="18"/>
      <c r="I194" s="83" t="s">
        <v>651</v>
      </c>
      <c r="J194" s="83" t="s">
        <v>651</v>
      </c>
      <c r="K194" s="18"/>
      <c r="L194" s="83" t="s">
        <v>651</v>
      </c>
      <c r="M194" s="83" t="s">
        <v>651</v>
      </c>
      <c r="O194" s="42" t="str">
        <f>'Proposed Rates'!E46</f>
        <v>SQ</v>
      </c>
      <c r="P194" s="56"/>
      <c r="Q194" s="42"/>
      <c r="R194" s="101" t="str">
        <f>'Proposed Rates'!M46</f>
        <v>SQ</v>
      </c>
    </row>
    <row r="195" spans="1:18" x14ac:dyDescent="0.2">
      <c r="A195" s="6"/>
      <c r="F195" s="18"/>
      <c r="G195" s="18"/>
      <c r="H195" s="18"/>
      <c r="I195" s="18"/>
      <c r="J195" s="18"/>
      <c r="K195" s="18"/>
      <c r="L195" s="18"/>
      <c r="M195" s="18"/>
      <c r="O195" s="42"/>
      <c r="P195" s="56"/>
      <c r="Q195" s="42"/>
      <c r="R195" s="62"/>
    </row>
    <row r="196" spans="1:18" x14ac:dyDescent="0.2">
      <c r="A196" s="6">
        <f>'Proposed Rates'!A47</f>
        <v>30300</v>
      </c>
      <c r="C196" s="20" t="str">
        <f>'Proposed Rates'!C47</f>
        <v>Misc Intangible Plant</v>
      </c>
      <c r="F196" s="14"/>
      <c r="G196" s="14"/>
      <c r="H196" s="14"/>
      <c r="I196" s="14"/>
      <c r="J196" s="14"/>
      <c r="K196" s="14"/>
      <c r="L196" s="14"/>
      <c r="M196" s="14"/>
      <c r="O196" s="12"/>
      <c r="P196" s="52"/>
      <c r="Q196" s="12"/>
      <c r="R196" s="22"/>
    </row>
    <row r="197" spans="1:18" x14ac:dyDescent="0.2">
      <c r="A197" s="6"/>
      <c r="D197" s="143" t="s">
        <v>47</v>
      </c>
      <c r="F197" s="83" t="s">
        <v>651</v>
      </c>
      <c r="G197" s="83" t="s">
        <v>651</v>
      </c>
      <c r="H197" s="15"/>
      <c r="I197" s="83" t="s">
        <v>651</v>
      </c>
      <c r="J197" s="83" t="s">
        <v>651</v>
      </c>
      <c r="K197" s="15"/>
      <c r="L197" s="83" t="s">
        <v>651</v>
      </c>
      <c r="M197" s="83" t="s">
        <v>651</v>
      </c>
      <c r="O197" s="39">
        <f>'Proposed Rates'!J47</f>
        <v>0.04</v>
      </c>
      <c r="P197" s="53"/>
      <c r="Q197" s="39"/>
      <c r="R197" s="58">
        <f>'Proposed Rates'!X47</f>
        <v>0</v>
      </c>
    </row>
    <row r="198" spans="1:18" x14ac:dyDescent="0.2">
      <c r="A198" s="6"/>
      <c r="D198" s="143" t="s">
        <v>79</v>
      </c>
      <c r="F198" s="83" t="s">
        <v>651</v>
      </c>
      <c r="G198" s="83" t="s">
        <v>651</v>
      </c>
      <c r="H198" s="16"/>
      <c r="I198" s="83" t="s">
        <v>651</v>
      </c>
      <c r="J198" s="83" t="s">
        <v>651</v>
      </c>
      <c r="K198" s="16"/>
      <c r="L198" s="83" t="s">
        <v>651</v>
      </c>
      <c r="M198" s="83" t="s">
        <v>651</v>
      </c>
      <c r="O198" s="40">
        <f>'Proposed Rates'!F47</f>
        <v>25</v>
      </c>
      <c r="P198" s="54"/>
      <c r="Q198" s="40"/>
      <c r="R198" s="86">
        <v>0</v>
      </c>
    </row>
    <row r="199" spans="1:18" ht="12.75" customHeight="1" x14ac:dyDescent="0.2">
      <c r="A199" s="6"/>
      <c r="D199" s="143" t="s">
        <v>48</v>
      </c>
      <c r="F199" s="83" t="s">
        <v>651</v>
      </c>
      <c r="G199" s="83" t="s">
        <v>651</v>
      </c>
      <c r="H199" s="15"/>
      <c r="I199" s="83" t="s">
        <v>651</v>
      </c>
      <c r="J199" s="83" t="s">
        <v>651</v>
      </c>
      <c r="K199" s="15"/>
      <c r="L199" s="83" t="s">
        <v>651</v>
      </c>
      <c r="M199" s="83" t="s">
        <v>651</v>
      </c>
      <c r="O199" s="398">
        <f>'Proposed Rates'!G47</f>
        <v>0.5</v>
      </c>
      <c r="P199" s="53"/>
      <c r="Q199" s="39"/>
      <c r="R199" s="396">
        <f>'Proposed Rates'!N47</f>
        <v>25</v>
      </c>
    </row>
    <row r="200" spans="1:18" x14ac:dyDescent="0.2">
      <c r="A200" s="6"/>
      <c r="D200" s="143" t="s">
        <v>49</v>
      </c>
      <c r="F200" s="83" t="s">
        <v>651</v>
      </c>
      <c r="G200" s="83" t="s">
        <v>651</v>
      </c>
      <c r="H200" s="16"/>
      <c r="I200" s="83" t="s">
        <v>651</v>
      </c>
      <c r="J200" s="83" t="s">
        <v>651</v>
      </c>
      <c r="K200" s="16"/>
      <c r="L200" s="83" t="s">
        <v>651</v>
      </c>
      <c r="M200" s="83" t="s">
        <v>651</v>
      </c>
      <c r="O200" s="398"/>
      <c r="P200" s="54"/>
      <c r="Q200" s="40"/>
      <c r="R200" s="396"/>
    </row>
    <row r="201" spans="1:18" x14ac:dyDescent="0.2">
      <c r="A201" s="6"/>
      <c r="D201" s="143" t="s">
        <v>50</v>
      </c>
      <c r="F201" s="83" t="s">
        <v>651</v>
      </c>
      <c r="G201" s="83" t="s">
        <v>651</v>
      </c>
      <c r="H201" s="17"/>
      <c r="I201" s="83" t="s">
        <v>651</v>
      </c>
      <c r="J201" s="83" t="s">
        <v>651</v>
      </c>
      <c r="K201" s="17"/>
      <c r="L201" s="83" t="s">
        <v>651</v>
      </c>
      <c r="M201" s="83" t="s">
        <v>651</v>
      </c>
      <c r="O201" s="41">
        <f>'Proposed Rates'!I47</f>
        <v>101.9</v>
      </c>
      <c r="P201" s="55"/>
      <c r="Q201" s="41"/>
      <c r="R201" s="60">
        <f>'Proposed Rates'!V47</f>
        <v>100</v>
      </c>
    </row>
    <row r="202" spans="1:18" x14ac:dyDescent="0.2">
      <c r="A202" s="6"/>
      <c r="D202" s="143" t="s">
        <v>51</v>
      </c>
      <c r="F202" s="83" t="s">
        <v>651</v>
      </c>
      <c r="G202" s="83" t="s">
        <v>651</v>
      </c>
      <c r="H202" s="18"/>
      <c r="I202" s="83" t="s">
        <v>651</v>
      </c>
      <c r="J202" s="83" t="s">
        <v>651</v>
      </c>
      <c r="K202" s="18"/>
      <c r="L202" s="83" t="s">
        <v>651</v>
      </c>
      <c r="M202" s="83" t="s">
        <v>651</v>
      </c>
      <c r="O202" s="42" t="str">
        <f>'Proposed Rates'!E47</f>
        <v>SQ</v>
      </c>
      <c r="P202" s="56"/>
      <c r="Q202" s="42"/>
      <c r="R202" s="101" t="str">
        <f>'Proposed Rates'!M47</f>
        <v>SQ</v>
      </c>
    </row>
    <row r="203" spans="1:18" x14ac:dyDescent="0.2">
      <c r="A203" s="6"/>
      <c r="F203" s="18"/>
      <c r="G203" s="18"/>
      <c r="H203" s="18"/>
      <c r="I203" s="18"/>
      <c r="J203" s="18"/>
      <c r="K203" s="18"/>
      <c r="L203" s="18"/>
      <c r="M203" s="18"/>
      <c r="O203" s="42"/>
      <c r="P203" s="56"/>
      <c r="Q203" s="42"/>
      <c r="R203" s="62"/>
    </row>
    <row r="204" spans="1:18" x14ac:dyDescent="0.2">
      <c r="A204" s="6">
        <f>'Proposed Rates'!A48</f>
        <v>30301</v>
      </c>
      <c r="C204" s="20" t="str">
        <f>'Proposed Rates'!C48</f>
        <v>Custom Intangible Plant</v>
      </c>
      <c r="F204" s="14"/>
      <c r="G204" s="14"/>
      <c r="H204" s="14"/>
      <c r="I204" s="14"/>
      <c r="J204" s="14"/>
      <c r="K204" s="14"/>
      <c r="L204" s="14"/>
      <c r="M204" s="14"/>
      <c r="O204" s="12"/>
      <c r="P204" s="52"/>
      <c r="Q204" s="12"/>
      <c r="R204" s="22"/>
    </row>
    <row r="205" spans="1:18" x14ac:dyDescent="0.2">
      <c r="A205" s="6"/>
      <c r="D205" s="143" t="s">
        <v>47</v>
      </c>
      <c r="F205" s="83" t="s">
        <v>651</v>
      </c>
      <c r="G205" s="83" t="s">
        <v>651</v>
      </c>
      <c r="H205" s="15"/>
      <c r="I205" s="83" t="s">
        <v>651</v>
      </c>
      <c r="J205" s="83" t="s">
        <v>651</v>
      </c>
      <c r="K205" s="15"/>
      <c r="L205" s="83" t="s">
        <v>651</v>
      </c>
      <c r="M205" s="83" t="s">
        <v>651</v>
      </c>
      <c r="O205" s="39">
        <f>'Proposed Rates'!J48</f>
        <v>6.6000000000000003E-2</v>
      </c>
      <c r="P205" s="53"/>
      <c r="Q205" s="39"/>
      <c r="R205" s="58">
        <f>'Proposed Rates'!X48</f>
        <v>6.6000000000000003E-2</v>
      </c>
    </row>
    <row r="206" spans="1:18" x14ac:dyDescent="0.2">
      <c r="A206" s="6"/>
      <c r="D206" s="143" t="s">
        <v>79</v>
      </c>
      <c r="F206" s="83" t="s">
        <v>651</v>
      </c>
      <c r="G206" s="83" t="s">
        <v>651</v>
      </c>
      <c r="H206" s="16"/>
      <c r="I206" s="83" t="s">
        <v>651</v>
      </c>
      <c r="J206" s="83" t="s">
        <v>651</v>
      </c>
      <c r="K206" s="16"/>
      <c r="L206" s="83" t="s">
        <v>651</v>
      </c>
      <c r="M206" s="83" t="s">
        <v>651</v>
      </c>
      <c r="O206" s="40">
        <f>'Proposed Rates'!F48</f>
        <v>15</v>
      </c>
      <c r="P206" s="54"/>
      <c r="Q206" s="40"/>
      <c r="R206" s="86">
        <v>0</v>
      </c>
    </row>
    <row r="207" spans="1:18" ht="12.75" customHeight="1" x14ac:dyDescent="0.2">
      <c r="A207" s="6"/>
      <c r="D207" s="143" t="s">
        <v>48</v>
      </c>
      <c r="F207" s="83" t="s">
        <v>651</v>
      </c>
      <c r="G207" s="83" t="s">
        <v>651</v>
      </c>
      <c r="H207" s="15"/>
      <c r="I207" s="83" t="s">
        <v>651</v>
      </c>
      <c r="J207" s="83" t="s">
        <v>651</v>
      </c>
      <c r="K207" s="15"/>
      <c r="L207" s="83" t="s">
        <v>651</v>
      </c>
      <c r="M207" s="83" t="s">
        <v>651</v>
      </c>
      <c r="O207" s="398">
        <f>'Proposed Rates'!G48</f>
        <v>9.6999999999999993</v>
      </c>
      <c r="P207" s="53"/>
      <c r="Q207" s="39"/>
      <c r="R207" s="396">
        <f>'Proposed Rates'!N48</f>
        <v>15</v>
      </c>
    </row>
    <row r="208" spans="1:18" x14ac:dyDescent="0.2">
      <c r="A208" s="6"/>
      <c r="D208" s="143" t="s">
        <v>49</v>
      </c>
      <c r="F208" s="83" t="s">
        <v>651</v>
      </c>
      <c r="G208" s="83" t="s">
        <v>651</v>
      </c>
      <c r="H208" s="16"/>
      <c r="I208" s="83" t="s">
        <v>651</v>
      </c>
      <c r="J208" s="83" t="s">
        <v>651</v>
      </c>
      <c r="K208" s="16"/>
      <c r="L208" s="83" t="s">
        <v>651</v>
      </c>
      <c r="M208" s="83" t="s">
        <v>651</v>
      </c>
      <c r="O208" s="398"/>
      <c r="P208" s="54"/>
      <c r="Q208" s="40"/>
      <c r="R208" s="396"/>
    </row>
    <row r="209" spans="1:18" x14ac:dyDescent="0.2">
      <c r="A209" s="6"/>
      <c r="D209" s="143" t="s">
        <v>50</v>
      </c>
      <c r="F209" s="83" t="s">
        <v>651</v>
      </c>
      <c r="G209" s="83" t="s">
        <v>651</v>
      </c>
      <c r="H209" s="17"/>
      <c r="I209" s="83" t="s">
        <v>651</v>
      </c>
      <c r="J209" s="83" t="s">
        <v>651</v>
      </c>
      <c r="K209" s="17"/>
      <c r="L209" s="83" t="s">
        <v>651</v>
      </c>
      <c r="M209" s="83" t="s">
        <v>651</v>
      </c>
      <c r="O209" s="41">
        <f>'Proposed Rates'!I48</f>
        <v>36.5</v>
      </c>
      <c r="P209" s="55"/>
      <c r="Q209" s="41"/>
      <c r="R209" s="60">
        <f>'Proposed Rates'!V48</f>
        <v>30.06</v>
      </c>
    </row>
    <row r="210" spans="1:18" x14ac:dyDescent="0.2">
      <c r="A210" s="6"/>
      <c r="D210" s="143" t="s">
        <v>51</v>
      </c>
      <c r="F210" s="83" t="s">
        <v>651</v>
      </c>
      <c r="G210" s="83" t="s">
        <v>651</v>
      </c>
      <c r="H210" s="18"/>
      <c r="I210" s="83" t="s">
        <v>651</v>
      </c>
      <c r="J210" s="83" t="s">
        <v>651</v>
      </c>
      <c r="K210" s="18"/>
      <c r="L210" s="83" t="s">
        <v>651</v>
      </c>
      <c r="M210" s="83" t="s">
        <v>651</v>
      </c>
      <c r="O210" s="42" t="str">
        <f>'Proposed Rates'!E48</f>
        <v>SQ</v>
      </c>
      <c r="P210" s="56"/>
      <c r="Q210" s="42"/>
      <c r="R210" s="101" t="str">
        <f>'Proposed Rates'!M48</f>
        <v>SQ</v>
      </c>
    </row>
    <row r="211" spans="1:18" x14ac:dyDescent="0.2">
      <c r="A211" s="6"/>
      <c r="F211" s="18"/>
      <c r="G211" s="18"/>
      <c r="H211" s="18"/>
      <c r="I211" s="18"/>
      <c r="J211" s="18"/>
      <c r="K211" s="18"/>
      <c r="L211" s="18"/>
      <c r="M211" s="18"/>
      <c r="O211" s="42"/>
      <c r="P211" s="56"/>
      <c r="Q211" s="42"/>
      <c r="R211" s="62"/>
    </row>
    <row r="212" spans="1:18" x14ac:dyDescent="0.2">
      <c r="A212" s="6">
        <f>'Proposed Rates'!A49</f>
        <v>39000</v>
      </c>
      <c r="C212" s="20" t="str">
        <f>'Proposed Rates'!C49</f>
        <v>Structures &amp; Improvements</v>
      </c>
      <c r="F212" s="14"/>
      <c r="G212" s="14"/>
      <c r="H212" s="14"/>
      <c r="I212" s="14"/>
      <c r="J212" s="14"/>
      <c r="K212" s="14"/>
      <c r="L212" s="14"/>
      <c r="M212" s="14"/>
      <c r="O212" s="12"/>
      <c r="P212" s="52"/>
      <c r="Q212" s="12"/>
      <c r="R212" s="22"/>
    </row>
    <row r="213" spans="1:18" x14ac:dyDescent="0.2">
      <c r="A213" s="6"/>
      <c r="D213" s="143" t="s">
        <v>47</v>
      </c>
      <c r="F213" s="83" t="s">
        <v>651</v>
      </c>
      <c r="G213" s="83" t="s">
        <v>651</v>
      </c>
      <c r="H213" s="15"/>
      <c r="I213" s="83" t="s">
        <v>651</v>
      </c>
      <c r="J213" s="83" t="s">
        <v>651</v>
      </c>
      <c r="K213" s="15"/>
      <c r="L213" s="83" t="s">
        <v>651</v>
      </c>
      <c r="M213" s="83" t="s">
        <v>651</v>
      </c>
      <c r="O213" s="39">
        <f>'Proposed Rates'!J49</f>
        <v>2.4E-2</v>
      </c>
      <c r="P213" s="53"/>
      <c r="Q213" s="39"/>
      <c r="R213" s="58">
        <f>'Proposed Rates'!X49</f>
        <v>4.0999999999999995E-2</v>
      </c>
    </row>
    <row r="214" spans="1:18" x14ac:dyDescent="0.2">
      <c r="A214" s="6"/>
      <c r="D214" s="143" t="s">
        <v>79</v>
      </c>
      <c r="F214" s="83" t="s">
        <v>651</v>
      </c>
      <c r="G214" s="83" t="s">
        <v>651</v>
      </c>
      <c r="H214" s="16"/>
      <c r="I214" s="83" t="s">
        <v>651</v>
      </c>
      <c r="J214" s="83" t="s">
        <v>651</v>
      </c>
      <c r="K214" s="16"/>
      <c r="L214" s="83" t="s">
        <v>651</v>
      </c>
      <c r="M214" s="83" t="s">
        <v>651</v>
      </c>
      <c r="O214" s="40">
        <f>'Proposed Rates'!F49</f>
        <v>25</v>
      </c>
      <c r="P214" s="54"/>
      <c r="Q214" s="40"/>
      <c r="R214" s="86">
        <v>0</v>
      </c>
    </row>
    <row r="215" spans="1:18" ht="12.75" customHeight="1" x14ac:dyDescent="0.2">
      <c r="A215" s="6"/>
      <c r="D215" s="143" t="s">
        <v>48</v>
      </c>
      <c r="F215" s="83" t="s">
        <v>651</v>
      </c>
      <c r="G215" s="83" t="s">
        <v>651</v>
      </c>
      <c r="H215" s="15"/>
      <c r="I215" s="83" t="s">
        <v>651</v>
      </c>
      <c r="J215" s="83" t="s">
        <v>651</v>
      </c>
      <c r="K215" s="15"/>
      <c r="L215" s="83" t="s">
        <v>651</v>
      </c>
      <c r="M215" s="83" t="s">
        <v>651</v>
      </c>
      <c r="O215" s="398">
        <f>'Proposed Rates'!G49</f>
        <v>20.9</v>
      </c>
      <c r="P215" s="53"/>
      <c r="Q215" s="39"/>
      <c r="R215" s="396">
        <f>'Proposed Rates'!N49</f>
        <v>25</v>
      </c>
    </row>
    <row r="216" spans="1:18" x14ac:dyDescent="0.2">
      <c r="A216" s="6"/>
      <c r="D216" s="143" t="s">
        <v>49</v>
      </c>
      <c r="F216" s="83" t="s">
        <v>651</v>
      </c>
      <c r="G216" s="83" t="s">
        <v>651</v>
      </c>
      <c r="H216" s="16"/>
      <c r="I216" s="83" t="s">
        <v>651</v>
      </c>
      <c r="J216" s="83" t="s">
        <v>651</v>
      </c>
      <c r="K216" s="16"/>
      <c r="L216" s="83" t="s">
        <v>651</v>
      </c>
      <c r="M216" s="83" t="s">
        <v>651</v>
      </c>
      <c r="O216" s="398"/>
      <c r="P216" s="54"/>
      <c r="Q216" s="40"/>
      <c r="R216" s="396"/>
    </row>
    <row r="217" spans="1:18" x14ac:dyDescent="0.2">
      <c r="A217" s="6"/>
      <c r="D217" s="143" t="s">
        <v>50</v>
      </c>
      <c r="F217" s="83" t="s">
        <v>651</v>
      </c>
      <c r="G217" s="83" t="s">
        <v>651</v>
      </c>
      <c r="H217" s="17"/>
      <c r="I217" s="83" t="s">
        <v>651</v>
      </c>
      <c r="J217" s="83" t="s">
        <v>651</v>
      </c>
      <c r="K217" s="17"/>
      <c r="L217" s="83" t="s">
        <v>651</v>
      </c>
      <c r="M217" s="83" t="s">
        <v>651</v>
      </c>
      <c r="O217" s="41">
        <f>'Proposed Rates'!I49</f>
        <v>50.4</v>
      </c>
      <c r="P217" s="55"/>
      <c r="Q217" s="41"/>
      <c r="R217" s="60">
        <f>'Proposed Rates'!V49</f>
        <v>6.87</v>
      </c>
    </row>
    <row r="218" spans="1:18" x14ac:dyDescent="0.2">
      <c r="A218" s="6"/>
      <c r="D218" s="143" t="s">
        <v>51</v>
      </c>
      <c r="F218" s="83" t="s">
        <v>651</v>
      </c>
      <c r="G218" s="83" t="s">
        <v>651</v>
      </c>
      <c r="H218" s="18"/>
      <c r="I218" s="83" t="s">
        <v>651</v>
      </c>
      <c r="J218" s="83" t="s">
        <v>651</v>
      </c>
      <c r="K218" s="18"/>
      <c r="L218" s="83" t="s">
        <v>651</v>
      </c>
      <c r="M218" s="83" t="s">
        <v>651</v>
      </c>
      <c r="O218" s="42" t="str">
        <f>'Proposed Rates'!E49</f>
        <v>L0</v>
      </c>
      <c r="P218" s="56"/>
      <c r="Q218" s="42"/>
      <c r="R218" s="101" t="str">
        <f>'Proposed Rates'!M49</f>
        <v>L0</v>
      </c>
    </row>
    <row r="219" spans="1:18" x14ac:dyDescent="0.2">
      <c r="A219" s="6"/>
      <c r="F219" s="18"/>
      <c r="G219" s="18"/>
      <c r="H219" s="18"/>
      <c r="I219" s="18"/>
      <c r="J219" s="18"/>
      <c r="K219" s="18"/>
      <c r="L219" s="18"/>
      <c r="M219" s="18"/>
      <c r="O219" s="42"/>
      <c r="P219" s="56"/>
      <c r="Q219" s="42"/>
      <c r="R219" s="62"/>
    </row>
    <row r="220" spans="1:18" x14ac:dyDescent="0.2">
      <c r="A220" s="6">
        <f>'Proposed Rates'!A50</f>
        <v>39100</v>
      </c>
      <c r="C220" s="20" t="str">
        <f>'Proposed Rates'!C50</f>
        <v>Office Furniture</v>
      </c>
      <c r="F220" s="16"/>
      <c r="G220" s="16"/>
      <c r="H220" s="14"/>
      <c r="I220" s="16"/>
      <c r="J220" s="16"/>
      <c r="K220" s="14"/>
      <c r="L220" s="16"/>
      <c r="M220" s="16"/>
      <c r="O220" s="39"/>
      <c r="P220" s="53"/>
      <c r="Q220" s="39"/>
      <c r="R220" s="22"/>
    </row>
    <row r="221" spans="1:18" x14ac:dyDescent="0.2">
      <c r="A221" s="1"/>
      <c r="D221" s="143" t="s">
        <v>47</v>
      </c>
      <c r="F221" s="15"/>
      <c r="G221" s="15">
        <v>2.6</v>
      </c>
      <c r="H221" s="15"/>
      <c r="I221" s="15">
        <v>2.5</v>
      </c>
      <c r="J221" s="15">
        <v>2.5</v>
      </c>
      <c r="K221" s="15"/>
      <c r="L221" s="15">
        <v>3.49</v>
      </c>
      <c r="M221" s="15">
        <v>4.1100000000000003</v>
      </c>
      <c r="O221" s="39">
        <f>'Proposed Rates'!J50</f>
        <v>5.8999999999999997E-2</v>
      </c>
      <c r="P221" s="53"/>
      <c r="Q221" s="39"/>
      <c r="R221" s="58">
        <f>'Proposed Rates'!X50</f>
        <v>6.3E-2</v>
      </c>
    </row>
    <row r="222" spans="1:18" x14ac:dyDescent="0.2">
      <c r="A222" s="1"/>
      <c r="D222" s="143" t="s">
        <v>79</v>
      </c>
      <c r="F222" s="16"/>
      <c r="G222" s="16"/>
      <c r="H222" s="16"/>
      <c r="I222" s="16"/>
      <c r="J222" s="16"/>
      <c r="K222" s="16"/>
      <c r="L222" s="16"/>
      <c r="M222" s="16"/>
      <c r="O222" s="40">
        <f>'Proposed Rates'!F50</f>
        <v>17</v>
      </c>
      <c r="P222" s="54"/>
      <c r="Q222" s="40"/>
      <c r="R222" s="59">
        <f>'Proposed Rates'!N50</f>
        <v>17</v>
      </c>
    </row>
    <row r="223" spans="1:18" x14ac:dyDescent="0.2">
      <c r="A223" s="1"/>
      <c r="D223" s="143" t="s">
        <v>48</v>
      </c>
      <c r="F223" s="15"/>
      <c r="G223" s="15">
        <v>30</v>
      </c>
      <c r="H223" s="15"/>
      <c r="I223" s="15">
        <v>27</v>
      </c>
      <c r="J223" s="15">
        <v>22.7</v>
      </c>
      <c r="K223" s="15"/>
      <c r="L223" s="15">
        <v>31</v>
      </c>
      <c r="M223" s="15">
        <v>25</v>
      </c>
      <c r="O223" s="39">
        <f>'Proposed Rates'!G50</f>
        <v>14.5</v>
      </c>
      <c r="P223" s="53"/>
      <c r="Q223" s="39"/>
      <c r="R223" s="58">
        <f>'Proposed Rates'!S50</f>
        <v>6.8131428149096056</v>
      </c>
    </row>
    <row r="224" spans="1:18" x14ac:dyDescent="0.2">
      <c r="A224" s="1"/>
      <c r="D224" s="143" t="s">
        <v>49</v>
      </c>
      <c r="F224" s="18"/>
      <c r="G224" s="18">
        <v>0</v>
      </c>
      <c r="H224" s="16"/>
      <c r="I224" s="18">
        <v>0</v>
      </c>
      <c r="J224" s="18">
        <v>0</v>
      </c>
      <c r="K224" s="16"/>
      <c r="L224" s="16">
        <v>-10</v>
      </c>
      <c r="M224" s="16">
        <v>-10</v>
      </c>
      <c r="O224" s="99">
        <f>'Proposed Rates'!H50</f>
        <v>0</v>
      </c>
      <c r="P224" s="54"/>
      <c r="Q224" s="40"/>
      <c r="R224" s="100">
        <f>'Proposed Rates'!O50</f>
        <v>0</v>
      </c>
    </row>
    <row r="225" spans="1:18" x14ac:dyDescent="0.2">
      <c r="A225" s="1"/>
      <c r="D225" s="143" t="s">
        <v>50</v>
      </c>
      <c r="F225" s="17"/>
      <c r="G225" s="17">
        <v>20.67</v>
      </c>
      <c r="H225" s="17"/>
      <c r="I225" s="17"/>
      <c r="J225" s="17">
        <v>43.25</v>
      </c>
      <c r="K225" s="17"/>
      <c r="L225" s="17"/>
      <c r="M225" s="17"/>
      <c r="O225" s="41">
        <f>'Proposed Rates'!I50</f>
        <v>22.9</v>
      </c>
      <c r="P225" s="55"/>
      <c r="Q225" s="41"/>
      <c r="R225" s="60">
        <f>'Proposed Rates'!V50</f>
        <v>57.05</v>
      </c>
    </row>
    <row r="226" spans="1:18" x14ac:dyDescent="0.2">
      <c r="A226" s="1"/>
      <c r="D226" s="143" t="s">
        <v>51</v>
      </c>
      <c r="F226" s="18"/>
      <c r="G226" s="18"/>
      <c r="H226" s="18"/>
      <c r="I226" s="18"/>
      <c r="J226" s="18"/>
      <c r="K226" s="18"/>
      <c r="L226" s="18" t="s">
        <v>61</v>
      </c>
      <c r="M226" s="18" t="s">
        <v>707</v>
      </c>
      <c r="O226" s="42" t="str">
        <f>'Proposed Rates'!E50</f>
        <v>SQ</v>
      </c>
      <c r="P226" s="56"/>
      <c r="Q226" s="42"/>
      <c r="R226" s="61" t="str">
        <f>'Proposed Rates'!M50</f>
        <v>SQ</v>
      </c>
    </row>
    <row r="227" spans="1:18" x14ac:dyDescent="0.2">
      <c r="A227" s="6"/>
      <c r="F227" s="18"/>
      <c r="G227" s="18"/>
      <c r="H227" s="18"/>
      <c r="I227" s="18"/>
      <c r="J227" s="18"/>
      <c r="K227" s="18"/>
      <c r="L227" s="18"/>
      <c r="M227" s="18"/>
      <c r="O227" s="42"/>
      <c r="P227" s="56"/>
      <c r="Q227" s="42"/>
      <c r="R227" s="62"/>
    </row>
    <row r="228" spans="1:18" x14ac:dyDescent="0.2">
      <c r="A228" s="6">
        <f>'Proposed Rates'!A51</f>
        <v>39101</v>
      </c>
      <c r="C228" s="20" t="str">
        <f>'Proposed Rates'!C51</f>
        <v>Computer Equipment</v>
      </c>
      <c r="F228" s="14"/>
      <c r="G228" s="14"/>
      <c r="H228" s="14"/>
      <c r="I228" s="14"/>
      <c r="J228" s="14"/>
      <c r="K228" s="14"/>
      <c r="L228" s="14"/>
      <c r="M228" s="14"/>
      <c r="O228" s="12"/>
      <c r="P228" s="52"/>
      <c r="Q228" s="12"/>
      <c r="R228" s="22"/>
    </row>
    <row r="229" spans="1:18" x14ac:dyDescent="0.2">
      <c r="A229" s="6"/>
      <c r="D229" s="143" t="s">
        <v>47</v>
      </c>
      <c r="F229" s="15"/>
      <c r="G229" s="15">
        <v>4.8</v>
      </c>
      <c r="H229" s="15"/>
      <c r="I229" s="15">
        <v>4.3</v>
      </c>
      <c r="J229" s="15">
        <v>5.3</v>
      </c>
      <c r="K229" s="15"/>
      <c r="L229" s="15">
        <v>5</v>
      </c>
      <c r="M229" s="15">
        <v>4.75</v>
      </c>
      <c r="O229" s="39">
        <f>'Proposed Rates'!J51</f>
        <v>0.111</v>
      </c>
      <c r="P229" s="53"/>
      <c r="Q229" s="39"/>
      <c r="R229" s="58">
        <f>'Proposed Rates'!X51</f>
        <v>0</v>
      </c>
    </row>
    <row r="230" spans="1:18" x14ac:dyDescent="0.2">
      <c r="A230" s="6"/>
      <c r="D230" s="143" t="s">
        <v>79</v>
      </c>
      <c r="F230" s="16"/>
      <c r="G230" s="16"/>
      <c r="H230" s="16"/>
      <c r="I230" s="16"/>
      <c r="J230" s="16"/>
      <c r="K230" s="16"/>
      <c r="L230" s="16"/>
      <c r="M230" s="16"/>
      <c r="O230" s="40">
        <f>'Proposed Rates'!F51</f>
        <v>9</v>
      </c>
      <c r="P230" s="54"/>
      <c r="Q230" s="40"/>
      <c r="R230" s="59">
        <f>'Proposed Rates'!N51</f>
        <v>9</v>
      </c>
    </row>
    <row r="231" spans="1:18" x14ac:dyDescent="0.2">
      <c r="A231" s="6"/>
      <c r="D231" s="143" t="s">
        <v>48</v>
      </c>
      <c r="F231" s="15"/>
      <c r="G231" s="15">
        <v>14.7</v>
      </c>
      <c r="H231" s="15"/>
      <c r="I231" s="15">
        <v>98.8</v>
      </c>
      <c r="J231" s="15">
        <v>3.6</v>
      </c>
      <c r="K231" s="15"/>
      <c r="L231" s="15">
        <v>20</v>
      </c>
      <c r="M231" s="15">
        <v>20</v>
      </c>
      <c r="O231" s="39">
        <f>'Proposed Rates'!G51</f>
        <v>5.2</v>
      </c>
      <c r="P231" s="53"/>
      <c r="Q231" s="39"/>
      <c r="R231" s="58">
        <f>'Proposed Rates'!S51</f>
        <v>4.8612938925527258</v>
      </c>
    </row>
    <row r="232" spans="1:18" x14ac:dyDescent="0.2">
      <c r="A232" s="6"/>
      <c r="D232" s="143" t="s">
        <v>49</v>
      </c>
      <c r="F232" s="18"/>
      <c r="G232" s="18">
        <v>0</v>
      </c>
      <c r="H232" s="16"/>
      <c r="I232" s="18">
        <v>0</v>
      </c>
      <c r="J232" s="18">
        <v>0</v>
      </c>
      <c r="K232" s="16"/>
      <c r="L232" s="18">
        <v>5</v>
      </c>
      <c r="M232" s="18">
        <v>0</v>
      </c>
      <c r="O232" s="99">
        <f>'Proposed Rates'!H51</f>
        <v>0</v>
      </c>
      <c r="P232" s="54"/>
      <c r="Q232" s="40"/>
      <c r="R232" s="100">
        <f>'Proposed Rates'!O51</f>
        <v>0</v>
      </c>
    </row>
    <row r="233" spans="1:18" x14ac:dyDescent="0.2">
      <c r="A233" s="6"/>
      <c r="D233" s="143" t="s">
        <v>50</v>
      </c>
      <c r="F233" s="17"/>
      <c r="G233" s="17">
        <v>28.82</v>
      </c>
      <c r="H233" s="17"/>
      <c r="I233" s="17"/>
      <c r="J233" s="17">
        <v>80.92</v>
      </c>
      <c r="K233" s="17"/>
      <c r="L233" s="17"/>
      <c r="M233" s="17"/>
      <c r="O233" s="41">
        <f>'Proposed Rates'!I51</f>
        <v>86.8</v>
      </c>
      <c r="P233" s="55"/>
      <c r="Q233" s="41"/>
      <c r="R233" s="60">
        <f>'Proposed Rates'!V51</f>
        <v>60.51</v>
      </c>
    </row>
    <row r="234" spans="1:18" x14ac:dyDescent="0.2">
      <c r="A234" s="6"/>
      <c r="D234" s="143" t="s">
        <v>51</v>
      </c>
      <c r="F234" s="18"/>
      <c r="G234" s="18"/>
      <c r="H234" s="18"/>
      <c r="I234" s="18"/>
      <c r="J234" s="18"/>
      <c r="K234" s="18"/>
      <c r="L234" s="18" t="s">
        <v>652</v>
      </c>
      <c r="M234" s="18" t="s">
        <v>652</v>
      </c>
      <c r="O234" s="42" t="str">
        <f>'Proposed Rates'!E51</f>
        <v>SQ</v>
      </c>
      <c r="P234" s="56"/>
      <c r="Q234" s="42"/>
      <c r="R234" s="61" t="str">
        <f>'Proposed Rates'!M51</f>
        <v>SQ</v>
      </c>
    </row>
    <row r="235" spans="1:18" x14ac:dyDescent="0.2">
      <c r="A235" s="6"/>
      <c r="F235" s="18"/>
      <c r="G235" s="18"/>
      <c r="H235" s="18"/>
      <c r="I235" s="18"/>
      <c r="J235" s="18"/>
      <c r="K235" s="18"/>
      <c r="L235" s="18"/>
      <c r="M235" s="18"/>
      <c r="O235" s="42"/>
      <c r="P235" s="56"/>
      <c r="Q235" s="42"/>
      <c r="R235" s="62"/>
    </row>
    <row r="236" spans="1:18" x14ac:dyDescent="0.2">
      <c r="A236" s="6">
        <f>'Proposed Rates'!A52</f>
        <v>39102</v>
      </c>
      <c r="C236" s="20" t="str">
        <f>'Proposed Rates'!C52</f>
        <v>Office Equipment</v>
      </c>
      <c r="F236" s="14"/>
      <c r="G236" s="14"/>
      <c r="H236" s="14"/>
      <c r="I236" s="14"/>
      <c r="J236" s="14"/>
      <c r="K236" s="14"/>
      <c r="L236" s="14"/>
      <c r="M236" s="14"/>
      <c r="O236" s="12"/>
      <c r="P236" s="52"/>
      <c r="Q236" s="12"/>
      <c r="R236" s="22"/>
    </row>
    <row r="237" spans="1:18" x14ac:dyDescent="0.2">
      <c r="A237" s="6"/>
      <c r="D237" s="143" t="s">
        <v>47</v>
      </c>
      <c r="F237" s="15"/>
      <c r="G237" s="15">
        <v>11.1</v>
      </c>
      <c r="H237" s="15"/>
      <c r="I237" s="15">
        <v>16.7</v>
      </c>
      <c r="J237" s="15">
        <v>7.6</v>
      </c>
      <c r="K237" s="15"/>
      <c r="L237" s="15">
        <v>5</v>
      </c>
      <c r="M237" s="15">
        <v>4.75</v>
      </c>
      <c r="O237" s="39">
        <f>'Proposed Rates'!J52</f>
        <v>6.7000000000000004E-2</v>
      </c>
      <c r="P237" s="53"/>
      <c r="Q237" s="39"/>
      <c r="R237" s="58">
        <f>'Proposed Rates'!X52</f>
        <v>6.2E-2</v>
      </c>
    </row>
    <row r="238" spans="1:18" x14ac:dyDescent="0.2">
      <c r="A238" s="6"/>
      <c r="D238" s="143" t="s">
        <v>79</v>
      </c>
      <c r="F238" s="16"/>
      <c r="G238" s="16"/>
      <c r="H238" s="16"/>
      <c r="I238" s="16"/>
      <c r="J238" s="16"/>
      <c r="K238" s="16"/>
      <c r="L238" s="16"/>
      <c r="M238" s="16"/>
      <c r="O238" s="40">
        <f>'Proposed Rates'!F52</f>
        <v>15</v>
      </c>
      <c r="P238" s="54"/>
      <c r="Q238" s="40"/>
      <c r="R238" s="59">
        <f>'Proposed Rates'!N52</f>
        <v>15</v>
      </c>
    </row>
    <row r="239" spans="1:18" x14ac:dyDescent="0.2">
      <c r="A239" s="6"/>
      <c r="D239" s="143" t="s">
        <v>48</v>
      </c>
      <c r="F239" s="15"/>
      <c r="G239" s="15">
        <v>4.7</v>
      </c>
      <c r="H239" s="15"/>
      <c r="I239" s="15">
        <v>2.6</v>
      </c>
      <c r="J239" s="15">
        <v>7.1</v>
      </c>
      <c r="K239" s="15"/>
      <c r="L239" s="15">
        <v>20</v>
      </c>
      <c r="M239" s="15">
        <v>20</v>
      </c>
      <c r="O239" s="39">
        <f>'Proposed Rates'!G52</f>
        <v>13.1</v>
      </c>
      <c r="P239" s="53"/>
      <c r="Q239" s="39"/>
      <c r="R239" s="58">
        <f>'Proposed Rates'!S52</f>
        <v>5.0181124467066933</v>
      </c>
    </row>
    <row r="240" spans="1:18" x14ac:dyDescent="0.2">
      <c r="A240" s="6"/>
      <c r="D240" s="143" t="s">
        <v>49</v>
      </c>
      <c r="F240" s="18"/>
      <c r="G240" s="18">
        <v>0</v>
      </c>
      <c r="H240" s="16"/>
      <c r="I240" s="18">
        <v>0</v>
      </c>
      <c r="J240" s="18">
        <v>0</v>
      </c>
      <c r="K240" s="16"/>
      <c r="L240" s="18">
        <v>5</v>
      </c>
      <c r="M240" s="18">
        <v>0</v>
      </c>
      <c r="O240" s="99">
        <f>'Proposed Rates'!H52</f>
        <v>0</v>
      </c>
      <c r="P240" s="54"/>
      <c r="Q240" s="40"/>
      <c r="R240" s="100">
        <f>'Proposed Rates'!O52</f>
        <v>0</v>
      </c>
    </row>
    <row r="241" spans="1:18" x14ac:dyDescent="0.2">
      <c r="A241" s="6"/>
      <c r="D241" s="143" t="s">
        <v>50</v>
      </c>
      <c r="F241" s="17"/>
      <c r="G241" s="17">
        <v>47.95</v>
      </c>
      <c r="H241" s="17"/>
      <c r="I241" s="17"/>
      <c r="J241" s="17">
        <v>46.13</v>
      </c>
      <c r="K241" s="17"/>
      <c r="L241" s="17"/>
      <c r="M241" s="17"/>
      <c r="O241" s="41">
        <f>'Proposed Rates'!I52</f>
        <v>52</v>
      </c>
      <c r="P241" s="55"/>
      <c r="Q241" s="41"/>
      <c r="R241" s="60">
        <f>'Proposed Rates'!V52</f>
        <v>69.099999999999994</v>
      </c>
    </row>
    <row r="242" spans="1:18" x14ac:dyDescent="0.2">
      <c r="A242" s="6"/>
      <c r="D242" s="143" t="s">
        <v>51</v>
      </c>
      <c r="F242" s="18"/>
      <c r="G242" s="18"/>
      <c r="H242" s="18"/>
      <c r="I242" s="18"/>
      <c r="J242" s="18"/>
      <c r="K242" s="18"/>
      <c r="L242" s="18" t="s">
        <v>652</v>
      </c>
      <c r="M242" s="18" t="s">
        <v>652</v>
      </c>
      <c r="O242" s="42" t="str">
        <f>'Proposed Rates'!E52</f>
        <v>SQ</v>
      </c>
      <c r="P242" s="56"/>
      <c r="Q242" s="42"/>
      <c r="R242" s="61" t="str">
        <f>'Proposed Rates'!M52</f>
        <v>SQ</v>
      </c>
    </row>
    <row r="243" spans="1:18" x14ac:dyDescent="0.2">
      <c r="A243" s="6"/>
      <c r="F243" s="18"/>
      <c r="G243" s="18"/>
      <c r="H243" s="18"/>
      <c r="I243" s="18"/>
      <c r="J243" s="18"/>
      <c r="K243" s="18"/>
      <c r="L243" s="18"/>
      <c r="M243" s="18"/>
      <c r="O243" s="42"/>
      <c r="P243" s="56"/>
      <c r="Q243" s="42"/>
      <c r="R243" s="62"/>
    </row>
    <row r="244" spans="1:18" x14ac:dyDescent="0.2">
      <c r="A244" s="6">
        <f>'Proposed Rates'!A53</f>
        <v>39300</v>
      </c>
      <c r="C244" s="20" t="str">
        <f>'Proposed Rates'!C53</f>
        <v>Stores Equipment</v>
      </c>
      <c r="F244" s="14"/>
      <c r="G244" s="14"/>
      <c r="H244" s="14"/>
      <c r="I244" s="14"/>
      <c r="J244" s="14"/>
      <c r="K244" s="14"/>
      <c r="L244" s="14"/>
      <c r="M244" s="14"/>
      <c r="O244" s="12"/>
      <c r="P244" s="52"/>
      <c r="Q244" s="12"/>
      <c r="R244" s="22"/>
    </row>
    <row r="245" spans="1:18" x14ac:dyDescent="0.2">
      <c r="A245" s="6"/>
      <c r="D245" s="143" t="s">
        <v>47</v>
      </c>
      <c r="F245" s="15"/>
      <c r="G245" s="15">
        <v>7.3</v>
      </c>
      <c r="H245" s="15"/>
      <c r="I245" s="15">
        <v>1.9</v>
      </c>
      <c r="J245" s="15">
        <v>8.3000000000000007</v>
      </c>
      <c r="K245" s="15"/>
      <c r="L245" s="15">
        <v>5</v>
      </c>
      <c r="M245" s="15">
        <v>4.75</v>
      </c>
      <c r="O245" s="39">
        <f>'Proposed Rates'!J53</f>
        <v>4.2000000000000003E-2</v>
      </c>
      <c r="P245" s="53"/>
      <c r="Q245" s="39"/>
      <c r="R245" s="58">
        <f>'Proposed Rates'!X53</f>
        <v>4.2999999999999997E-2</v>
      </c>
    </row>
    <row r="246" spans="1:18" x14ac:dyDescent="0.2">
      <c r="A246" s="6"/>
      <c r="D246" s="143" t="s">
        <v>79</v>
      </c>
      <c r="F246" s="16"/>
      <c r="G246" s="16"/>
      <c r="H246" s="16"/>
      <c r="I246" s="16"/>
      <c r="J246" s="16"/>
      <c r="K246" s="16"/>
      <c r="L246" s="16"/>
      <c r="M246" s="16"/>
      <c r="O246" s="40">
        <f>'Proposed Rates'!F53</f>
        <v>24</v>
      </c>
      <c r="P246" s="54"/>
      <c r="Q246" s="40"/>
      <c r="R246" s="59">
        <f>'Proposed Rates'!N53</f>
        <v>24</v>
      </c>
    </row>
    <row r="247" spans="1:18" x14ac:dyDescent="0.2">
      <c r="A247" s="6"/>
      <c r="D247" s="143" t="s">
        <v>48</v>
      </c>
      <c r="F247" s="15"/>
      <c r="G247" s="15">
        <v>9.1999999999999993</v>
      </c>
      <c r="H247" s="15"/>
      <c r="I247" s="15">
        <v>8.1999999999999993</v>
      </c>
      <c r="J247" s="15">
        <v>8.1999999999999993</v>
      </c>
      <c r="K247" s="15"/>
      <c r="L247" s="15">
        <v>20</v>
      </c>
      <c r="M247" s="15">
        <v>20</v>
      </c>
      <c r="O247" s="39">
        <f>'Proposed Rates'!G53</f>
        <v>18.5</v>
      </c>
      <c r="P247" s="53"/>
      <c r="Q247" s="39"/>
      <c r="R247" s="58">
        <f>'Proposed Rates'!S53</f>
        <v>11.5</v>
      </c>
    </row>
    <row r="248" spans="1:18" x14ac:dyDescent="0.2">
      <c r="A248" s="6"/>
      <c r="D248" s="143" t="s">
        <v>49</v>
      </c>
      <c r="F248" s="18"/>
      <c r="G248" s="18">
        <v>0</v>
      </c>
      <c r="H248" s="16"/>
      <c r="I248" s="18">
        <v>0</v>
      </c>
      <c r="J248" s="18">
        <v>0</v>
      </c>
      <c r="K248" s="16"/>
      <c r="L248" s="18">
        <v>5</v>
      </c>
      <c r="M248" s="18">
        <v>0</v>
      </c>
      <c r="O248" s="99">
        <f>'Proposed Rates'!H53</f>
        <v>0</v>
      </c>
      <c r="P248" s="54"/>
      <c r="Q248" s="40"/>
      <c r="R248" s="100">
        <f>'Proposed Rates'!O53</f>
        <v>0</v>
      </c>
    </row>
    <row r="249" spans="1:18" x14ac:dyDescent="0.2">
      <c r="A249" s="6"/>
      <c r="D249" s="143" t="s">
        <v>50</v>
      </c>
      <c r="F249" s="17"/>
      <c r="G249" s="17">
        <v>32.69</v>
      </c>
      <c r="H249" s="17"/>
      <c r="I249" s="17"/>
      <c r="J249" s="17">
        <v>31.94</v>
      </c>
      <c r="K249" s="17"/>
      <c r="L249" s="17"/>
      <c r="M249" s="17"/>
      <c r="O249" s="41">
        <f>'Proposed Rates'!I53</f>
        <v>33.5</v>
      </c>
      <c r="P249" s="55"/>
      <c r="Q249" s="41"/>
      <c r="R249" s="60">
        <f>'Proposed Rates'!V53</f>
        <v>50.42</v>
      </c>
    </row>
    <row r="250" spans="1:18" x14ac:dyDescent="0.2">
      <c r="A250" s="6"/>
      <c r="D250" s="143" t="s">
        <v>51</v>
      </c>
      <c r="F250" s="18"/>
      <c r="G250" s="18"/>
      <c r="H250" s="18"/>
      <c r="I250" s="18"/>
      <c r="J250" s="18"/>
      <c r="K250" s="18"/>
      <c r="L250" s="18" t="s">
        <v>652</v>
      </c>
      <c r="M250" s="18" t="s">
        <v>652</v>
      </c>
      <c r="O250" s="42" t="str">
        <f>'Proposed Rates'!E53</f>
        <v>SQ</v>
      </c>
      <c r="P250" s="56"/>
      <c r="Q250" s="42"/>
      <c r="R250" s="61" t="str">
        <f>'Proposed Rates'!M53</f>
        <v>SQ</v>
      </c>
    </row>
    <row r="251" spans="1:18" x14ac:dyDescent="0.2">
      <c r="A251" s="6"/>
      <c r="F251" s="18"/>
      <c r="G251" s="18"/>
      <c r="H251" s="18"/>
      <c r="I251" s="18"/>
      <c r="J251" s="18"/>
      <c r="K251" s="18"/>
      <c r="L251" s="18"/>
      <c r="M251" s="18"/>
      <c r="O251" s="42"/>
      <c r="P251" s="56"/>
      <c r="Q251" s="42"/>
      <c r="R251" s="62"/>
    </row>
    <row r="252" spans="1:18" x14ac:dyDescent="0.2">
      <c r="A252" s="6">
        <f>'Proposed Rates'!A54</f>
        <v>39400</v>
      </c>
      <c r="C252" s="20" t="str">
        <f>'Proposed Rates'!C54</f>
        <v>Tools, Shop &amp; Garage Equip</v>
      </c>
      <c r="F252" s="14"/>
      <c r="G252" s="14"/>
      <c r="H252" s="14"/>
      <c r="I252" s="14"/>
      <c r="J252" s="14"/>
      <c r="K252" s="14"/>
      <c r="L252" s="14"/>
      <c r="M252" s="14"/>
      <c r="O252" s="12"/>
      <c r="P252" s="52"/>
      <c r="Q252" s="12"/>
      <c r="R252" s="22"/>
    </row>
    <row r="253" spans="1:18" x14ac:dyDescent="0.2">
      <c r="A253" s="6"/>
      <c r="D253" s="143" t="s">
        <v>47</v>
      </c>
      <c r="F253" s="15"/>
      <c r="G253" s="15">
        <v>4</v>
      </c>
      <c r="H253" s="15"/>
      <c r="I253" s="15">
        <v>3.6</v>
      </c>
      <c r="J253" s="15">
        <v>4</v>
      </c>
      <c r="K253" s="15"/>
      <c r="L253" s="83">
        <v>3.33</v>
      </c>
      <c r="M253" s="83">
        <v>3.17</v>
      </c>
      <c r="O253" s="39">
        <f>'Proposed Rates'!J54</f>
        <v>5.6000000000000001E-2</v>
      </c>
      <c r="P253" s="53"/>
      <c r="Q253" s="39"/>
      <c r="R253" s="58">
        <f>'Proposed Rates'!X54</f>
        <v>4.9000000000000002E-2</v>
      </c>
    </row>
    <row r="254" spans="1:18" x14ac:dyDescent="0.2">
      <c r="A254" s="6"/>
      <c r="D254" s="143" t="s">
        <v>79</v>
      </c>
      <c r="F254" s="16"/>
      <c r="G254" s="16"/>
      <c r="H254" s="16"/>
      <c r="I254" s="16"/>
      <c r="J254" s="16"/>
      <c r="K254" s="16"/>
      <c r="L254" s="83"/>
      <c r="M254" s="83"/>
      <c r="O254" s="40">
        <f>'Proposed Rates'!F54</f>
        <v>18</v>
      </c>
      <c r="P254" s="54"/>
      <c r="Q254" s="40"/>
      <c r="R254" s="59">
        <f>'Proposed Rates'!N54</f>
        <v>18</v>
      </c>
    </row>
    <row r="255" spans="1:18" x14ac:dyDescent="0.2">
      <c r="A255" s="6"/>
      <c r="D255" s="143" t="s">
        <v>48</v>
      </c>
      <c r="F255" s="15"/>
      <c r="G255" s="15">
        <v>18</v>
      </c>
      <c r="H255" s="15"/>
      <c r="I255" s="15">
        <v>6.9</v>
      </c>
      <c r="J255" s="15">
        <v>12</v>
      </c>
      <c r="K255" s="15"/>
      <c r="L255" s="83">
        <v>30</v>
      </c>
      <c r="M255" s="83">
        <v>30</v>
      </c>
      <c r="O255" s="39">
        <f>'Proposed Rates'!G54</f>
        <v>11.4</v>
      </c>
      <c r="P255" s="53"/>
      <c r="Q255" s="39"/>
      <c r="R255" s="58">
        <f>'Proposed Rates'!S54</f>
        <v>9.9824180096380797</v>
      </c>
    </row>
    <row r="256" spans="1:18" x14ac:dyDescent="0.2">
      <c r="A256" s="6"/>
      <c r="D256" s="143" t="s">
        <v>49</v>
      </c>
      <c r="F256" s="18"/>
      <c r="G256" s="18">
        <v>0</v>
      </c>
      <c r="H256" s="16"/>
      <c r="I256" s="18">
        <v>0</v>
      </c>
      <c r="J256" s="18">
        <v>0</v>
      </c>
      <c r="K256" s="16"/>
      <c r="L256" s="18">
        <v>0</v>
      </c>
      <c r="M256" s="83">
        <v>5</v>
      </c>
      <c r="O256" s="99">
        <f>'Proposed Rates'!H54</f>
        <v>0</v>
      </c>
      <c r="P256" s="54"/>
      <c r="Q256" s="40"/>
      <c r="R256" s="100">
        <f>'Proposed Rates'!O54</f>
        <v>0</v>
      </c>
    </row>
    <row r="257" spans="1:18" x14ac:dyDescent="0.2">
      <c r="A257" s="6"/>
      <c r="D257" s="143" t="s">
        <v>50</v>
      </c>
      <c r="F257" s="17"/>
      <c r="G257" s="17">
        <v>28.58</v>
      </c>
      <c r="H257" s="17"/>
      <c r="I257" s="17"/>
      <c r="J257" s="17">
        <v>51.99</v>
      </c>
      <c r="K257" s="17"/>
      <c r="L257" s="83"/>
      <c r="M257" s="83"/>
      <c r="O257" s="41">
        <f>'Proposed Rates'!I54</f>
        <v>45.9</v>
      </c>
      <c r="P257" s="55"/>
      <c r="Q257" s="41"/>
      <c r="R257" s="60">
        <f>'Proposed Rates'!V54</f>
        <v>51.19</v>
      </c>
    </row>
    <row r="258" spans="1:18" x14ac:dyDescent="0.2">
      <c r="A258" s="6"/>
      <c r="D258" s="143" t="s">
        <v>51</v>
      </c>
      <c r="F258" s="18"/>
      <c r="G258" s="18"/>
      <c r="H258" s="18"/>
      <c r="I258" s="18"/>
      <c r="J258" s="18"/>
      <c r="K258" s="18"/>
      <c r="L258" s="18" t="s">
        <v>652</v>
      </c>
      <c r="M258" s="18" t="s">
        <v>652</v>
      </c>
      <c r="O258" s="42" t="str">
        <f>'Proposed Rates'!E54</f>
        <v>SQ</v>
      </c>
      <c r="P258" s="56"/>
      <c r="Q258" s="42"/>
      <c r="R258" s="61" t="str">
        <f>'Proposed Rates'!M54</f>
        <v>SQ</v>
      </c>
    </row>
    <row r="259" spans="1:18" x14ac:dyDescent="0.2">
      <c r="A259" s="6"/>
      <c r="F259" s="18"/>
      <c r="G259" s="18"/>
      <c r="H259" s="18"/>
      <c r="I259" s="18"/>
      <c r="J259" s="18"/>
      <c r="K259" s="18"/>
      <c r="L259" s="18"/>
      <c r="M259" s="18"/>
      <c r="O259" s="42"/>
      <c r="P259" s="56"/>
      <c r="Q259" s="42"/>
      <c r="R259" s="62"/>
    </row>
    <row r="260" spans="1:18" x14ac:dyDescent="0.2">
      <c r="A260" s="6">
        <f>'Proposed Rates'!A55</f>
        <v>39401</v>
      </c>
      <c r="C260" s="20" t="str">
        <f>'Proposed Rates'!C55</f>
        <v>CNC Station Equipment</v>
      </c>
      <c r="F260" s="14"/>
      <c r="G260" s="14"/>
      <c r="H260" s="14"/>
      <c r="I260" s="14"/>
      <c r="J260" s="14"/>
      <c r="K260" s="14"/>
      <c r="L260" s="14"/>
      <c r="M260" s="14"/>
      <c r="O260" s="12"/>
      <c r="P260" s="52"/>
      <c r="Q260" s="12"/>
      <c r="R260" s="22"/>
    </row>
    <row r="261" spans="1:18" x14ac:dyDescent="0.2">
      <c r="A261" s="6"/>
      <c r="D261" s="143" t="s">
        <v>47</v>
      </c>
      <c r="F261" s="15"/>
      <c r="G261" s="15">
        <v>7.2</v>
      </c>
      <c r="H261" s="15"/>
      <c r="I261" s="15">
        <v>6.7</v>
      </c>
      <c r="J261" s="15">
        <v>6.7</v>
      </c>
      <c r="K261" s="15"/>
      <c r="L261" s="15">
        <v>4</v>
      </c>
      <c r="M261" s="15">
        <v>3.8</v>
      </c>
      <c r="O261" s="39">
        <f>'Proposed Rates'!J55</f>
        <v>0.05</v>
      </c>
      <c r="P261" s="53"/>
      <c r="Q261" s="39"/>
      <c r="R261" s="58">
        <f>'Proposed Rates'!X55</f>
        <v>5.0999999999999997E-2</v>
      </c>
    </row>
    <row r="262" spans="1:18" x14ac:dyDescent="0.2">
      <c r="A262" s="6"/>
      <c r="D262" s="143" t="s">
        <v>79</v>
      </c>
      <c r="F262" s="16"/>
      <c r="G262" s="16"/>
      <c r="H262" s="16"/>
      <c r="I262" s="16"/>
      <c r="J262" s="16"/>
      <c r="K262" s="16"/>
      <c r="L262" s="16"/>
      <c r="M262" s="16"/>
      <c r="O262" s="40">
        <f>'Proposed Rates'!F55</f>
        <v>20</v>
      </c>
      <c r="P262" s="54"/>
      <c r="Q262" s="40"/>
      <c r="R262" s="59">
        <f>'Proposed Rates'!N55</f>
        <v>20</v>
      </c>
    </row>
    <row r="263" spans="1:18" x14ac:dyDescent="0.2">
      <c r="A263" s="6"/>
      <c r="D263" s="143" t="s">
        <v>48</v>
      </c>
      <c r="F263" s="15"/>
      <c r="G263" s="15">
        <v>6.6</v>
      </c>
      <c r="H263" s="15"/>
      <c r="I263" s="15">
        <v>8.5</v>
      </c>
      <c r="J263" s="15">
        <v>6</v>
      </c>
      <c r="K263" s="15"/>
      <c r="L263" s="15">
        <v>25</v>
      </c>
      <c r="M263" s="15">
        <v>25</v>
      </c>
      <c r="O263" s="39">
        <f>'Proposed Rates'!G55</f>
        <v>16.399999999999999</v>
      </c>
      <c r="P263" s="53"/>
      <c r="Q263" s="39"/>
      <c r="R263" s="58">
        <f>'Proposed Rates'!S55</f>
        <v>13.935983084532676</v>
      </c>
    </row>
    <row r="264" spans="1:18" x14ac:dyDescent="0.2">
      <c r="A264" s="6"/>
      <c r="D264" s="143" t="s">
        <v>49</v>
      </c>
      <c r="F264" s="18"/>
      <c r="G264" s="18">
        <v>0</v>
      </c>
      <c r="H264" s="16"/>
      <c r="I264" s="18">
        <v>0</v>
      </c>
      <c r="J264" s="18">
        <v>0</v>
      </c>
      <c r="K264" s="16"/>
      <c r="L264" s="18">
        <v>0</v>
      </c>
      <c r="M264" s="18">
        <v>5</v>
      </c>
      <c r="O264" s="99">
        <f>'Proposed Rates'!H55</f>
        <v>0</v>
      </c>
      <c r="P264" s="54"/>
      <c r="Q264" s="40"/>
      <c r="R264" s="100">
        <f>'Proposed Rates'!O55</f>
        <v>0</v>
      </c>
    </row>
    <row r="265" spans="1:18" x14ac:dyDescent="0.2">
      <c r="A265" s="6"/>
      <c r="D265" s="143" t="s">
        <v>50</v>
      </c>
      <c r="F265" s="17"/>
      <c r="G265" s="17">
        <v>52.45</v>
      </c>
      <c r="H265" s="17"/>
      <c r="I265" s="17"/>
      <c r="J265" s="17">
        <v>59.8</v>
      </c>
      <c r="K265" s="17"/>
      <c r="L265" s="18" t="s">
        <v>652</v>
      </c>
      <c r="M265" s="18" t="s">
        <v>652</v>
      </c>
      <c r="O265" s="41">
        <f>'Proposed Rates'!I55</f>
        <v>17</v>
      </c>
      <c r="P265" s="55"/>
      <c r="Q265" s="41"/>
      <c r="R265" s="60">
        <f>'Proposed Rates'!V55</f>
        <v>29.55</v>
      </c>
    </row>
    <row r="266" spans="1:18" x14ac:dyDescent="0.2">
      <c r="A266" s="6"/>
      <c r="D266" s="143" t="s">
        <v>51</v>
      </c>
      <c r="F266" s="18"/>
      <c r="G266" s="18"/>
      <c r="H266" s="18"/>
      <c r="I266" s="18"/>
      <c r="J266" s="18"/>
      <c r="K266" s="18"/>
      <c r="L266" s="17"/>
      <c r="M266" s="17"/>
      <c r="O266" s="42" t="str">
        <f>'Proposed Rates'!E55</f>
        <v>SQ</v>
      </c>
      <c r="P266" s="56"/>
      <c r="Q266" s="42"/>
      <c r="R266" s="61" t="str">
        <f>'Proposed Rates'!M55</f>
        <v>SQ</v>
      </c>
    </row>
    <row r="267" spans="1:18" x14ac:dyDescent="0.2">
      <c r="A267" s="6"/>
      <c r="F267" s="18"/>
      <c r="G267" s="18"/>
      <c r="H267" s="18"/>
      <c r="I267" s="18"/>
      <c r="J267" s="18"/>
      <c r="K267" s="18"/>
      <c r="L267" s="18"/>
      <c r="M267" s="18"/>
      <c r="O267" s="42"/>
      <c r="P267" s="56"/>
      <c r="Q267" s="42"/>
      <c r="R267" s="62"/>
    </row>
    <row r="268" spans="1:18" x14ac:dyDescent="0.2">
      <c r="A268" s="6">
        <f>'Proposed Rates'!A57</f>
        <v>39600</v>
      </c>
      <c r="C268" s="20" t="str">
        <f>'Proposed Rates'!C57</f>
        <v>Power Operated Equipment</v>
      </c>
      <c r="F268" s="14"/>
      <c r="G268" s="14"/>
      <c r="H268" s="14"/>
      <c r="I268" s="14"/>
      <c r="J268" s="14"/>
      <c r="K268" s="14"/>
      <c r="L268" s="14"/>
      <c r="M268" s="14"/>
      <c r="O268" s="12"/>
      <c r="P268" s="52"/>
      <c r="Q268" s="12"/>
      <c r="R268" s="22"/>
    </row>
    <row r="269" spans="1:18" x14ac:dyDescent="0.2">
      <c r="A269" s="6"/>
      <c r="D269" s="143" t="s">
        <v>47</v>
      </c>
      <c r="F269" s="83"/>
      <c r="G269" s="83">
        <v>5</v>
      </c>
      <c r="H269" s="15"/>
      <c r="I269" s="15">
        <v>4</v>
      </c>
      <c r="J269" s="15">
        <v>4</v>
      </c>
      <c r="K269" s="15"/>
      <c r="L269" s="83">
        <v>10</v>
      </c>
      <c r="M269" s="83">
        <v>9.5</v>
      </c>
      <c r="O269" s="39">
        <f>'Proposed Rates'!J57</f>
        <v>2.7E-2</v>
      </c>
      <c r="P269" s="53"/>
      <c r="Q269" s="39"/>
      <c r="R269" s="58">
        <f>'Proposed Rates'!X57</f>
        <v>3.7000000000000005E-2</v>
      </c>
    </row>
    <row r="270" spans="1:18" x14ac:dyDescent="0.2">
      <c r="A270" s="6"/>
      <c r="D270" s="143" t="s">
        <v>79</v>
      </c>
      <c r="F270" s="16"/>
      <c r="G270" s="16"/>
      <c r="H270" s="16"/>
      <c r="I270" s="16"/>
      <c r="J270" s="16"/>
      <c r="K270" s="16"/>
      <c r="L270" s="83"/>
      <c r="M270" s="83"/>
      <c r="O270" s="40">
        <f>'Proposed Rates'!F57</f>
        <v>18</v>
      </c>
      <c r="P270" s="54"/>
      <c r="Q270" s="40"/>
      <c r="R270" s="59">
        <f>'Proposed Rates'!N57</f>
        <v>18</v>
      </c>
    </row>
    <row r="271" spans="1:18" x14ac:dyDescent="0.2">
      <c r="A271" s="6"/>
      <c r="D271" s="143" t="s">
        <v>48</v>
      </c>
      <c r="F271" s="18"/>
      <c r="G271" s="18">
        <v>20</v>
      </c>
      <c r="H271" s="15"/>
      <c r="I271" s="15">
        <v>4.5999999999999996</v>
      </c>
      <c r="J271" s="15">
        <v>4.9000000000000004</v>
      </c>
      <c r="K271" s="15"/>
      <c r="L271" s="83">
        <v>10</v>
      </c>
      <c r="M271" s="83">
        <v>10</v>
      </c>
      <c r="O271" s="39">
        <f>'Proposed Rates'!G57</f>
        <v>11.2</v>
      </c>
      <c r="P271" s="53"/>
      <c r="Q271" s="39"/>
      <c r="R271" s="58">
        <f>'Proposed Rates'!S57</f>
        <v>11.50286458051837</v>
      </c>
    </row>
    <row r="272" spans="1:18" x14ac:dyDescent="0.2">
      <c r="A272" s="6"/>
      <c r="D272" s="143" t="s">
        <v>49</v>
      </c>
      <c r="F272" s="18"/>
      <c r="G272" s="18">
        <v>0</v>
      </c>
      <c r="H272" s="16"/>
      <c r="I272" s="18">
        <v>0</v>
      </c>
      <c r="J272" s="18">
        <v>0</v>
      </c>
      <c r="K272" s="16"/>
      <c r="L272" s="18">
        <v>0</v>
      </c>
      <c r="M272" s="83">
        <v>5</v>
      </c>
      <c r="O272" s="99">
        <f>'Proposed Rates'!H57</f>
        <v>10</v>
      </c>
      <c r="P272" s="54"/>
      <c r="Q272" s="40"/>
      <c r="R272" s="100">
        <f>'Proposed Rates'!O57</f>
        <v>10</v>
      </c>
    </row>
    <row r="273" spans="1:18" x14ac:dyDescent="0.2">
      <c r="A273" s="6"/>
      <c r="D273" s="143" t="s">
        <v>50</v>
      </c>
      <c r="F273" s="83"/>
      <c r="G273" s="83" t="s">
        <v>651</v>
      </c>
      <c r="H273" s="17"/>
      <c r="I273" s="17"/>
      <c r="J273" s="17">
        <v>80.39</v>
      </c>
      <c r="K273" s="17"/>
      <c r="L273" s="83"/>
      <c r="M273" s="83"/>
      <c r="O273" s="41">
        <f>'Proposed Rates'!I57</f>
        <v>60.1</v>
      </c>
      <c r="P273" s="55"/>
      <c r="Q273" s="41"/>
      <c r="R273" s="60">
        <f>'Proposed Rates'!V57</f>
        <v>47.5</v>
      </c>
    </row>
    <row r="274" spans="1:18" x14ac:dyDescent="0.2">
      <c r="A274" s="6"/>
      <c r="D274" s="143" t="s">
        <v>51</v>
      </c>
      <c r="F274" s="18"/>
      <c r="G274" s="18"/>
      <c r="H274" s="18"/>
      <c r="I274" s="18"/>
      <c r="J274" s="18"/>
      <c r="K274" s="18"/>
      <c r="L274" s="18" t="s">
        <v>652</v>
      </c>
      <c r="M274" s="18" t="s">
        <v>652</v>
      </c>
      <c r="O274" s="42" t="str">
        <f>'Proposed Rates'!E57</f>
        <v>L1.5</v>
      </c>
      <c r="P274" s="56"/>
      <c r="Q274" s="42"/>
      <c r="R274" s="61" t="str">
        <f>'Proposed Rates'!M57</f>
        <v>L1.5</v>
      </c>
    </row>
    <row r="275" spans="1:18" x14ac:dyDescent="0.2">
      <c r="A275" s="6"/>
      <c r="F275" s="14"/>
      <c r="G275" s="14"/>
      <c r="H275" s="14"/>
      <c r="I275" s="14"/>
      <c r="J275" s="14"/>
      <c r="K275" s="14"/>
      <c r="L275" s="14"/>
      <c r="M275" s="14"/>
      <c r="O275" s="12"/>
      <c r="P275" s="52"/>
      <c r="Q275" s="12"/>
      <c r="R275" s="62"/>
    </row>
    <row r="276" spans="1:18" x14ac:dyDescent="0.2">
      <c r="A276" s="6">
        <f>'Proposed Rates'!A58</f>
        <v>39700</v>
      </c>
      <c r="C276" s="20" t="str">
        <f>'Proposed Rates'!C58</f>
        <v>Communication Equipment</v>
      </c>
      <c r="F276" s="14"/>
      <c r="G276" s="14"/>
      <c r="H276" s="14"/>
      <c r="I276" s="14"/>
      <c r="J276" s="14"/>
      <c r="K276" s="14"/>
      <c r="L276" s="14"/>
      <c r="M276" s="14"/>
      <c r="O276" s="12"/>
      <c r="P276" s="52"/>
      <c r="Q276" s="12"/>
      <c r="R276" s="22"/>
    </row>
    <row r="277" spans="1:18" x14ac:dyDescent="0.2">
      <c r="A277" s="6"/>
      <c r="D277" s="143" t="s">
        <v>47</v>
      </c>
      <c r="F277" s="15"/>
      <c r="G277" s="15">
        <v>6.8</v>
      </c>
      <c r="H277" s="15"/>
      <c r="I277" s="83" t="s">
        <v>651</v>
      </c>
      <c r="J277" s="83" t="s">
        <v>651</v>
      </c>
      <c r="K277" s="15"/>
      <c r="L277" s="83">
        <v>9</v>
      </c>
      <c r="M277" s="83">
        <v>9</v>
      </c>
      <c r="O277" s="39">
        <f>'Proposed Rates'!J58</f>
        <v>7.6999999999999999E-2</v>
      </c>
      <c r="P277" s="53"/>
      <c r="Q277" s="39"/>
      <c r="R277" s="58">
        <f>'Proposed Rates'!X58</f>
        <v>0</v>
      </c>
    </row>
    <row r="278" spans="1:18" x14ac:dyDescent="0.2">
      <c r="A278" s="6"/>
      <c r="D278" s="143" t="s">
        <v>79</v>
      </c>
      <c r="F278" s="16"/>
      <c r="G278" s="16"/>
      <c r="H278" s="16"/>
      <c r="I278" s="83" t="s">
        <v>651</v>
      </c>
      <c r="J278" s="83" t="s">
        <v>651</v>
      </c>
      <c r="K278" s="16"/>
      <c r="L278" s="83"/>
      <c r="M278" s="83"/>
      <c r="O278" s="40">
        <f>'Proposed Rates'!F58</f>
        <v>13</v>
      </c>
      <c r="P278" s="54"/>
      <c r="Q278" s="40"/>
      <c r="R278" s="59">
        <f>'Proposed Rates'!N58</f>
        <v>13</v>
      </c>
    </row>
    <row r="279" spans="1:18" x14ac:dyDescent="0.2">
      <c r="A279" s="6"/>
      <c r="D279" s="143" t="s">
        <v>48</v>
      </c>
      <c r="F279" s="15"/>
      <c r="G279" s="15">
        <v>8.4</v>
      </c>
      <c r="H279" s="15"/>
      <c r="I279" s="83" t="s">
        <v>651</v>
      </c>
      <c r="J279" s="83" t="s">
        <v>651</v>
      </c>
      <c r="K279" s="15"/>
      <c r="L279" s="83">
        <v>10</v>
      </c>
      <c r="M279" s="83">
        <v>10</v>
      </c>
      <c r="O279" s="39">
        <f>'Proposed Rates'!G58</f>
        <v>4.7</v>
      </c>
      <c r="P279" s="53"/>
      <c r="Q279" s="39"/>
      <c r="R279" s="58">
        <f>'Proposed Rates'!S58</f>
        <v>1.6712045651452556</v>
      </c>
    </row>
    <row r="280" spans="1:18" x14ac:dyDescent="0.2">
      <c r="A280" s="6"/>
      <c r="D280" s="143" t="s">
        <v>49</v>
      </c>
      <c r="F280" s="16"/>
      <c r="G280" s="16">
        <v>5</v>
      </c>
      <c r="H280" s="16"/>
      <c r="I280" s="83" t="s">
        <v>651</v>
      </c>
      <c r="J280" s="83" t="s">
        <v>651</v>
      </c>
      <c r="K280" s="16"/>
      <c r="L280" s="83">
        <v>10</v>
      </c>
      <c r="M280" s="83">
        <v>5</v>
      </c>
      <c r="O280" s="40">
        <f>'Proposed Rates'!H58</f>
        <v>0</v>
      </c>
      <c r="P280" s="54"/>
      <c r="Q280" s="40"/>
      <c r="R280" s="59">
        <f>'Proposed Rates'!O58</f>
        <v>0</v>
      </c>
    </row>
    <row r="281" spans="1:18" x14ac:dyDescent="0.2">
      <c r="A281" s="6"/>
      <c r="D281" s="143" t="s">
        <v>50</v>
      </c>
      <c r="F281" s="17"/>
      <c r="G281" s="17">
        <v>37.93</v>
      </c>
      <c r="H281" s="17"/>
      <c r="I281" s="83" t="s">
        <v>651</v>
      </c>
      <c r="J281" s="83" t="s">
        <v>651</v>
      </c>
      <c r="K281" s="17"/>
      <c r="L281" s="83"/>
      <c r="M281" s="83"/>
      <c r="O281" s="41">
        <f>'Proposed Rates'!I58</f>
        <v>81.400000000000006</v>
      </c>
      <c r="P281" s="55"/>
      <c r="Q281" s="41"/>
      <c r="R281" s="60">
        <f>'Proposed Rates'!V58</f>
        <v>99.55</v>
      </c>
    </row>
    <row r="282" spans="1:18" x14ac:dyDescent="0.2">
      <c r="A282" s="6"/>
      <c r="D282" s="143" t="s">
        <v>51</v>
      </c>
      <c r="F282" s="18"/>
      <c r="G282" s="18"/>
      <c r="H282" s="18"/>
      <c r="I282" s="83" t="s">
        <v>651</v>
      </c>
      <c r="J282" s="83" t="s">
        <v>651</v>
      </c>
      <c r="K282" s="18"/>
      <c r="L282" s="18" t="s">
        <v>652</v>
      </c>
      <c r="M282" s="18" t="s">
        <v>652</v>
      </c>
      <c r="O282" s="42" t="str">
        <f>'Proposed Rates'!E58</f>
        <v>SQ</v>
      </c>
      <c r="P282" s="56"/>
      <c r="Q282" s="42"/>
      <c r="R282" s="61" t="str">
        <f>'Proposed Rates'!M58</f>
        <v>SQ</v>
      </c>
    </row>
    <row r="283" spans="1:18" x14ac:dyDescent="0.2">
      <c r="A283" s="6"/>
      <c r="F283" s="14"/>
      <c r="G283" s="14"/>
      <c r="H283" s="14"/>
      <c r="I283" s="14"/>
      <c r="J283" s="14"/>
      <c r="K283" s="14"/>
      <c r="L283" s="14"/>
      <c r="M283" s="14"/>
      <c r="O283" s="12"/>
      <c r="P283" s="52"/>
      <c r="Q283" s="12"/>
      <c r="R283" s="62"/>
    </row>
    <row r="284" spans="1:18" x14ac:dyDescent="0.2">
      <c r="A284" s="6">
        <f>'Proposed Rates'!A59</f>
        <v>39800</v>
      </c>
      <c r="C284" s="20" t="str">
        <f>'Proposed Rates'!C59</f>
        <v>Miscellaneous Equipment</v>
      </c>
      <c r="F284" s="14"/>
      <c r="G284" s="14"/>
      <c r="H284" s="14"/>
      <c r="I284" s="14"/>
      <c r="J284" s="14"/>
      <c r="K284" s="14"/>
      <c r="L284" s="14"/>
      <c r="M284" s="14"/>
      <c r="O284" s="12"/>
      <c r="P284" s="52"/>
      <c r="Q284" s="12"/>
      <c r="R284" s="22"/>
    </row>
    <row r="285" spans="1:18" x14ac:dyDescent="0.2">
      <c r="A285" s="6"/>
      <c r="D285" s="143" t="s">
        <v>47</v>
      </c>
      <c r="F285" s="15"/>
      <c r="G285" s="15">
        <v>9.1999999999999993</v>
      </c>
      <c r="H285" s="15"/>
      <c r="I285" s="15">
        <v>6.9</v>
      </c>
      <c r="J285" s="15">
        <v>8.3000000000000007</v>
      </c>
      <c r="K285" s="15"/>
      <c r="L285" s="83">
        <v>6.67</v>
      </c>
      <c r="M285" s="83">
        <v>6.67</v>
      </c>
      <c r="O285" s="39">
        <f>'Proposed Rates'!J59</f>
        <v>0.05</v>
      </c>
      <c r="P285" s="53"/>
      <c r="Q285" s="39"/>
      <c r="R285" s="58">
        <f>'Proposed Rates'!X59</f>
        <v>4.4999999999999998E-2</v>
      </c>
    </row>
    <row r="286" spans="1:18" x14ac:dyDescent="0.2">
      <c r="A286" s="6"/>
      <c r="D286" s="143" t="s">
        <v>79</v>
      </c>
      <c r="F286" s="16"/>
      <c r="G286" s="16"/>
      <c r="H286" s="16"/>
      <c r="I286" s="16"/>
      <c r="J286" s="16"/>
      <c r="K286" s="16"/>
      <c r="L286" s="83"/>
      <c r="M286" s="83"/>
      <c r="O286" s="40">
        <f>'Proposed Rates'!F59</f>
        <v>20</v>
      </c>
      <c r="P286" s="54"/>
      <c r="Q286" s="40"/>
      <c r="R286" s="59">
        <f>'Proposed Rates'!N59</f>
        <v>20</v>
      </c>
    </row>
    <row r="287" spans="1:18" x14ac:dyDescent="0.2">
      <c r="A287" s="6"/>
      <c r="D287" s="143" t="s">
        <v>48</v>
      </c>
      <c r="F287" s="15"/>
      <c r="G287" s="15">
        <v>8.8000000000000007</v>
      </c>
      <c r="H287" s="15"/>
      <c r="I287" s="15">
        <v>6.2</v>
      </c>
      <c r="J287" s="15">
        <v>1</v>
      </c>
      <c r="K287" s="15"/>
      <c r="L287" s="83">
        <v>15</v>
      </c>
      <c r="M287" s="83">
        <v>15</v>
      </c>
      <c r="O287" s="39">
        <f>'Proposed Rates'!G59</f>
        <v>16.8</v>
      </c>
      <c r="P287" s="53"/>
      <c r="Q287" s="39"/>
      <c r="R287" s="58">
        <f>'Proposed Rates'!S59</f>
        <v>16.508388916867876</v>
      </c>
    </row>
    <row r="288" spans="1:18" x14ac:dyDescent="0.2">
      <c r="A288" s="6"/>
      <c r="D288" s="143" t="s">
        <v>49</v>
      </c>
      <c r="F288" s="18"/>
      <c r="G288" s="18">
        <v>0</v>
      </c>
      <c r="H288" s="16"/>
      <c r="I288" s="18">
        <v>0</v>
      </c>
      <c r="J288" s="18">
        <v>0</v>
      </c>
      <c r="K288" s="16"/>
      <c r="L288" s="18">
        <v>0</v>
      </c>
      <c r="M288" s="18">
        <v>0</v>
      </c>
      <c r="O288" s="99">
        <f>'Proposed Rates'!H59</f>
        <v>0</v>
      </c>
      <c r="P288" s="54"/>
      <c r="Q288" s="40"/>
      <c r="R288" s="100">
        <f>'Proposed Rates'!O59</f>
        <v>0</v>
      </c>
    </row>
    <row r="289" spans="1:18" x14ac:dyDescent="0.2">
      <c r="A289" s="6"/>
      <c r="D289" s="143" t="s">
        <v>50</v>
      </c>
      <c r="F289" s="17"/>
      <c r="G289" s="17">
        <v>19.07</v>
      </c>
      <c r="H289" s="17"/>
      <c r="I289" s="17"/>
      <c r="J289" s="17">
        <v>91.7</v>
      </c>
      <c r="K289" s="17"/>
      <c r="L289" s="83"/>
      <c r="M289" s="83"/>
      <c r="O289" s="41">
        <f>'Proposed Rates'!I59</f>
        <v>-10.8</v>
      </c>
      <c r="P289" s="55"/>
      <c r="Q289" s="41"/>
      <c r="R289" s="60">
        <f>'Proposed Rates'!V59</f>
        <v>25.57</v>
      </c>
    </row>
    <row r="290" spans="1:18" x14ac:dyDescent="0.2">
      <c r="A290" s="6"/>
      <c r="D290" s="143" t="s">
        <v>51</v>
      </c>
      <c r="F290" s="18"/>
      <c r="G290" s="18"/>
      <c r="H290" s="18"/>
      <c r="I290" s="18"/>
      <c r="J290" s="18"/>
      <c r="K290" s="18"/>
      <c r="L290" s="18" t="s">
        <v>652</v>
      </c>
      <c r="M290" s="18" t="s">
        <v>652</v>
      </c>
      <c r="O290" s="42" t="str">
        <f>'Proposed Rates'!E59</f>
        <v>SQ</v>
      </c>
      <c r="P290" s="56"/>
      <c r="Q290" s="42"/>
      <c r="R290" s="61" t="str">
        <f>'Proposed Rates'!M59</f>
        <v>SQ</v>
      </c>
    </row>
    <row r="291" spans="1:18" x14ac:dyDescent="0.2">
      <c r="A291" s="6"/>
      <c r="F291" s="14"/>
      <c r="G291" s="14"/>
      <c r="H291" s="14"/>
      <c r="I291" s="14"/>
      <c r="J291" s="14"/>
      <c r="K291" s="14"/>
      <c r="L291" s="14"/>
      <c r="M291" s="14"/>
      <c r="O291" s="12"/>
      <c r="P291" s="52"/>
      <c r="Q291" s="12"/>
      <c r="R291" s="62"/>
    </row>
    <row r="292" spans="1:18" x14ac:dyDescent="0.2">
      <c r="A292" s="271">
        <f>'Proposed Rates'!A60</f>
        <v>0</v>
      </c>
      <c r="C292" s="272">
        <f>'Proposed Rates'!C60</f>
        <v>0</v>
      </c>
      <c r="F292" s="14"/>
      <c r="G292" s="14"/>
      <c r="H292" s="14"/>
      <c r="I292" s="14"/>
      <c r="J292" s="14"/>
      <c r="K292" s="14"/>
      <c r="L292" s="14"/>
      <c r="M292" s="14"/>
      <c r="O292" s="12"/>
      <c r="P292" s="52"/>
      <c r="Q292" s="12"/>
      <c r="R292" s="22"/>
    </row>
    <row r="293" spans="1:18" x14ac:dyDescent="0.2">
      <c r="A293" s="6"/>
      <c r="D293" s="143" t="s">
        <v>47</v>
      </c>
      <c r="F293" s="15"/>
      <c r="G293" s="15">
        <v>6</v>
      </c>
      <c r="H293" s="15"/>
      <c r="I293" s="15">
        <v>6.7</v>
      </c>
      <c r="J293" s="15">
        <v>6.7</v>
      </c>
      <c r="K293" s="15"/>
      <c r="L293" s="83">
        <v>5</v>
      </c>
      <c r="M293" s="83">
        <v>5</v>
      </c>
      <c r="O293" s="39">
        <f>'Proposed Rates'!J60</f>
        <v>0</v>
      </c>
      <c r="P293" s="53"/>
      <c r="Q293" s="39"/>
      <c r="R293" s="58">
        <f>'Proposed Rates'!X60</f>
        <v>0</v>
      </c>
    </row>
    <row r="294" spans="1:18" x14ac:dyDescent="0.2">
      <c r="A294" s="6"/>
      <c r="D294" s="143" t="s">
        <v>79</v>
      </c>
      <c r="F294" s="16"/>
      <c r="G294" s="16"/>
      <c r="H294" s="16"/>
      <c r="I294" s="16"/>
      <c r="J294" s="16"/>
      <c r="K294" s="16"/>
      <c r="L294" s="83"/>
      <c r="M294" s="83"/>
      <c r="O294" s="40">
        <f>'Proposed Rates'!F60</f>
        <v>0</v>
      </c>
      <c r="P294" s="54"/>
      <c r="Q294" s="40"/>
      <c r="R294" s="59">
        <f>'Proposed Rates'!N60</f>
        <v>0</v>
      </c>
    </row>
    <row r="295" spans="1:18" x14ac:dyDescent="0.2">
      <c r="A295" s="6"/>
      <c r="D295" s="143" t="s">
        <v>48</v>
      </c>
      <c r="F295" s="15"/>
      <c r="G295" s="15">
        <v>14.4</v>
      </c>
      <c r="H295" s="15"/>
      <c r="I295" s="18">
        <v>11.3</v>
      </c>
      <c r="J295" s="15">
        <v>10</v>
      </c>
      <c r="K295" s="15"/>
      <c r="L295" s="83">
        <v>20</v>
      </c>
      <c r="M295" s="83">
        <v>20</v>
      </c>
      <c r="O295" s="39">
        <f>'Proposed Rates'!G60</f>
        <v>0</v>
      </c>
      <c r="P295" s="53"/>
      <c r="Q295" s="39"/>
      <c r="R295" s="58">
        <f>'Proposed Rates'!S60</f>
        <v>0</v>
      </c>
    </row>
    <row r="296" spans="1:18" x14ac:dyDescent="0.2">
      <c r="A296" s="6"/>
      <c r="D296" s="143" t="s">
        <v>49</v>
      </c>
      <c r="F296" s="16"/>
      <c r="G296" s="18">
        <v>0</v>
      </c>
      <c r="H296" s="16"/>
      <c r="I296" s="18">
        <v>0</v>
      </c>
      <c r="J296" s="18">
        <v>0</v>
      </c>
      <c r="K296" s="16"/>
      <c r="L296" s="18">
        <v>0</v>
      </c>
      <c r="M296" s="18">
        <v>0</v>
      </c>
      <c r="O296" s="268">
        <f>'Proposed Rates'!H60</f>
        <v>0</v>
      </c>
      <c r="P296" s="54"/>
      <c r="Q296" s="40"/>
      <c r="R296" s="269">
        <f>'Proposed Rates'!O60</f>
        <v>0</v>
      </c>
    </row>
    <row r="297" spans="1:18" x14ac:dyDescent="0.2">
      <c r="A297" s="6"/>
      <c r="D297" s="143" t="s">
        <v>50</v>
      </c>
      <c r="F297" s="17"/>
      <c r="G297" s="17">
        <v>13.59</v>
      </c>
      <c r="H297" s="17"/>
      <c r="I297" s="17"/>
      <c r="J297" s="17">
        <v>33</v>
      </c>
      <c r="K297" s="17"/>
      <c r="L297" s="83"/>
      <c r="M297" s="83"/>
      <c r="O297" s="41">
        <f>'Proposed Rates'!I60</f>
        <v>0</v>
      </c>
      <c r="P297" s="55"/>
      <c r="Q297" s="41"/>
      <c r="R297" s="60">
        <f>'Proposed Rates'!V60</f>
        <v>0</v>
      </c>
    </row>
    <row r="298" spans="1:18" x14ac:dyDescent="0.2">
      <c r="A298" s="6"/>
      <c r="D298" s="143" t="s">
        <v>51</v>
      </c>
      <c r="F298" s="18"/>
      <c r="G298" s="18"/>
      <c r="H298" s="18"/>
      <c r="I298" s="18"/>
      <c r="J298" s="18"/>
      <c r="K298" s="18"/>
      <c r="L298" s="18" t="s">
        <v>652</v>
      </c>
      <c r="M298" s="18" t="s">
        <v>652</v>
      </c>
      <c r="O298" s="42">
        <f>'Proposed Rates'!E60</f>
        <v>0</v>
      </c>
      <c r="P298" s="56"/>
      <c r="Q298" s="42"/>
      <c r="R298" s="270">
        <f>'Proposed Rates'!M60</f>
        <v>0</v>
      </c>
    </row>
    <row r="302" spans="1:18" x14ac:dyDescent="0.2">
      <c r="H302" s="143" t="s">
        <v>658</v>
      </c>
      <c r="I302" s="143">
        <v>386226</v>
      </c>
      <c r="J302" s="104">
        <v>3.4000000000000002E-2</v>
      </c>
    </row>
  </sheetData>
  <mergeCells count="8">
    <mergeCell ref="R191:R192"/>
    <mergeCell ref="O191:O192"/>
    <mergeCell ref="O215:O216"/>
    <mergeCell ref="R215:R216"/>
    <mergeCell ref="R207:R208"/>
    <mergeCell ref="O207:O208"/>
    <mergeCell ref="R199:R200"/>
    <mergeCell ref="O199:O200"/>
  </mergeCells>
  <phoneticPr fontId="0" type="noConversion"/>
  <printOptions horizontalCentered="1"/>
  <pageMargins left="0.75" right="0.75" top="0.75" bottom="0.75" header="0" footer="0"/>
  <pageSetup scale="69" fitToHeight="5" orientation="portrait" blackAndWhite="1" r:id="rId1"/>
  <headerFooter alignWithMargins="0"/>
  <rowBreaks count="4" manualBreakCount="4">
    <brk id="78" max="14" man="1"/>
    <brk id="133" max="14" man="1"/>
    <brk id="194" max="14" man="1"/>
    <brk id="258" max="14" man="1"/>
  </rowBreaks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7"/>
  </sheetPr>
  <dimension ref="A1:AA498"/>
  <sheetViews>
    <sheetView workbookViewId="0">
      <pane xSplit="4" ySplit="3" topLeftCell="O91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RowHeight="12.75" x14ac:dyDescent="0.2"/>
  <cols>
    <col min="1" max="1" width="10.42578125" style="119" customWidth="1"/>
    <col min="2" max="2" width="8.140625" style="119" bestFit="1" customWidth="1"/>
    <col min="3" max="3" width="9.140625" style="119" bestFit="1" customWidth="1"/>
    <col min="4" max="4" width="34" style="119" customWidth="1"/>
    <col min="5" max="5" width="31.5703125" style="119" customWidth="1"/>
    <col min="6" max="6" width="15" style="143" bestFit="1" customWidth="1"/>
    <col min="7" max="7" width="14.5703125" style="143" bestFit="1" customWidth="1"/>
    <col min="8" max="8" width="12.7109375" style="143" bestFit="1" customWidth="1"/>
    <col min="9" max="9" width="14.7109375" style="143" bestFit="1" customWidth="1"/>
    <col min="10" max="10" width="15" style="143" bestFit="1" customWidth="1"/>
    <col min="11" max="11" width="16.28515625" style="143" bestFit="1" customWidth="1"/>
    <col min="12" max="12" width="12.140625" style="143" bestFit="1" customWidth="1"/>
    <col min="13" max="13" width="14.42578125" style="143" bestFit="1" customWidth="1"/>
    <col min="14" max="14" width="12.5703125" style="143" bestFit="1" customWidth="1"/>
    <col min="15" max="15" width="11.85546875" style="143" bestFit="1" customWidth="1"/>
    <col min="16" max="17" width="14.28515625" style="143" bestFit="1" customWidth="1"/>
    <col min="18" max="18" width="12.7109375" style="143" customWidth="1"/>
    <col min="19" max="19" width="14.42578125" style="143" bestFit="1" customWidth="1"/>
    <col min="20" max="20" width="14.5703125" style="143" bestFit="1" customWidth="1"/>
    <col min="21" max="21" width="12.140625" style="143" bestFit="1" customWidth="1"/>
    <col min="22" max="22" width="11.7109375" style="119" bestFit="1" customWidth="1"/>
    <col min="23" max="24" width="8.85546875" style="143"/>
    <col min="25" max="25" width="13.85546875" style="143" bestFit="1" customWidth="1"/>
    <col min="26" max="26" width="7.42578125" style="143" customWidth="1"/>
    <col min="27" max="27" width="5.28515625" style="143" customWidth="1"/>
    <col min="28" max="252" width="8.85546875" style="143"/>
    <col min="253" max="253" width="10.42578125" style="143" customWidth="1"/>
    <col min="254" max="254" width="8.140625" style="143" bestFit="1" customWidth="1"/>
    <col min="255" max="255" width="9.140625" style="143" bestFit="1" customWidth="1"/>
    <col min="256" max="256" width="32.5703125" style="143" bestFit="1" customWidth="1"/>
    <col min="257" max="257" width="31.5703125" style="143" customWidth="1"/>
    <col min="258" max="258" width="13.7109375" style="143" bestFit="1" customWidth="1"/>
    <col min="259" max="259" width="12.140625" style="143" bestFit="1" customWidth="1"/>
    <col min="260" max="260" width="12.7109375" style="143" bestFit="1" customWidth="1"/>
    <col min="261" max="261" width="12.7109375" style="143" customWidth="1"/>
    <col min="262" max="262" width="13.7109375" style="143" bestFit="1" customWidth="1"/>
    <col min="263" max="263" width="14" style="143" bestFit="1" customWidth="1"/>
    <col min="264" max="264" width="12.140625" style="143" bestFit="1" customWidth="1"/>
    <col min="265" max="265" width="14.42578125" style="143" bestFit="1" customWidth="1"/>
    <col min="266" max="266" width="12.140625" style="143" bestFit="1" customWidth="1"/>
    <col min="267" max="267" width="12.7109375" style="143" bestFit="1" customWidth="1"/>
    <col min="268" max="268" width="12.7109375" style="143" customWidth="1"/>
    <col min="269" max="269" width="13.7109375" style="143" bestFit="1" customWidth="1"/>
    <col min="270" max="270" width="12.7109375" style="143" customWidth="1"/>
    <col min="271" max="271" width="14.42578125" style="143" bestFit="1" customWidth="1"/>
    <col min="272" max="272" width="13.7109375" style="143" bestFit="1" customWidth="1"/>
    <col min="273" max="273" width="12.140625" style="143" bestFit="1" customWidth="1"/>
    <col min="274" max="274" width="11.7109375" style="143" bestFit="1" customWidth="1"/>
    <col min="275" max="276" width="10.85546875" style="143" bestFit="1" customWidth="1"/>
    <col min="277" max="277" width="8.42578125" style="143" bestFit="1" customWidth="1"/>
    <col min="278" max="278" width="10.85546875" style="143" bestFit="1" customWidth="1"/>
    <col min="279" max="279" width="11" style="143" bestFit="1" customWidth="1"/>
    <col min="280" max="508" width="8.85546875" style="143"/>
    <col min="509" max="509" width="10.42578125" style="143" customWidth="1"/>
    <col min="510" max="510" width="8.140625" style="143" bestFit="1" customWidth="1"/>
    <col min="511" max="511" width="9.140625" style="143" bestFit="1" customWidth="1"/>
    <col min="512" max="512" width="32.5703125" style="143" bestFit="1" customWidth="1"/>
    <col min="513" max="513" width="31.5703125" style="143" customWidth="1"/>
    <col min="514" max="514" width="13.7109375" style="143" bestFit="1" customWidth="1"/>
    <col min="515" max="515" width="12.140625" style="143" bestFit="1" customWidth="1"/>
    <col min="516" max="516" width="12.7109375" style="143" bestFit="1" customWidth="1"/>
    <col min="517" max="517" width="12.7109375" style="143" customWidth="1"/>
    <col min="518" max="518" width="13.7109375" style="143" bestFit="1" customWidth="1"/>
    <col min="519" max="519" width="14" style="143" bestFit="1" customWidth="1"/>
    <col min="520" max="520" width="12.140625" style="143" bestFit="1" customWidth="1"/>
    <col min="521" max="521" width="14.42578125" style="143" bestFit="1" customWidth="1"/>
    <col min="522" max="522" width="12.140625" style="143" bestFit="1" customWidth="1"/>
    <col min="523" max="523" width="12.7109375" style="143" bestFit="1" customWidth="1"/>
    <col min="524" max="524" width="12.7109375" style="143" customWidth="1"/>
    <col min="525" max="525" width="13.7109375" style="143" bestFit="1" customWidth="1"/>
    <col min="526" max="526" width="12.7109375" style="143" customWidth="1"/>
    <col min="527" max="527" width="14.42578125" style="143" bestFit="1" customWidth="1"/>
    <col min="528" max="528" width="13.7109375" style="143" bestFit="1" customWidth="1"/>
    <col min="529" max="529" width="12.140625" style="143" bestFit="1" customWidth="1"/>
    <col min="530" max="530" width="11.7109375" style="143" bestFit="1" customWidth="1"/>
    <col min="531" max="532" width="10.85546875" style="143" bestFit="1" customWidth="1"/>
    <col min="533" max="533" width="8.42578125" style="143" bestFit="1" customWidth="1"/>
    <col min="534" max="534" width="10.85546875" style="143" bestFit="1" customWidth="1"/>
    <col min="535" max="535" width="11" style="143" bestFit="1" customWidth="1"/>
    <col min="536" max="764" width="8.85546875" style="143"/>
    <col min="765" max="765" width="10.42578125" style="143" customWidth="1"/>
    <col min="766" max="766" width="8.140625" style="143" bestFit="1" customWidth="1"/>
    <col min="767" max="767" width="9.140625" style="143" bestFit="1" customWidth="1"/>
    <col min="768" max="768" width="32.5703125" style="143" bestFit="1" customWidth="1"/>
    <col min="769" max="769" width="31.5703125" style="143" customWidth="1"/>
    <col min="770" max="770" width="13.7109375" style="143" bestFit="1" customWidth="1"/>
    <col min="771" max="771" width="12.140625" style="143" bestFit="1" customWidth="1"/>
    <col min="772" max="772" width="12.7109375" style="143" bestFit="1" customWidth="1"/>
    <col min="773" max="773" width="12.7109375" style="143" customWidth="1"/>
    <col min="774" max="774" width="13.7109375" style="143" bestFit="1" customWidth="1"/>
    <col min="775" max="775" width="14" style="143" bestFit="1" customWidth="1"/>
    <col min="776" max="776" width="12.140625" style="143" bestFit="1" customWidth="1"/>
    <col min="777" max="777" width="14.42578125" style="143" bestFit="1" customWidth="1"/>
    <col min="778" max="778" width="12.140625" style="143" bestFit="1" customWidth="1"/>
    <col min="779" max="779" width="12.7109375" style="143" bestFit="1" customWidth="1"/>
    <col min="780" max="780" width="12.7109375" style="143" customWidth="1"/>
    <col min="781" max="781" width="13.7109375" style="143" bestFit="1" customWidth="1"/>
    <col min="782" max="782" width="12.7109375" style="143" customWidth="1"/>
    <col min="783" max="783" width="14.42578125" style="143" bestFit="1" customWidth="1"/>
    <col min="784" max="784" width="13.7109375" style="143" bestFit="1" customWidth="1"/>
    <col min="785" max="785" width="12.140625" style="143" bestFit="1" customWidth="1"/>
    <col min="786" max="786" width="11.7109375" style="143" bestFit="1" customWidth="1"/>
    <col min="787" max="788" width="10.85546875" style="143" bestFit="1" customWidth="1"/>
    <col min="789" max="789" width="8.42578125" style="143" bestFit="1" customWidth="1"/>
    <col min="790" max="790" width="10.85546875" style="143" bestFit="1" customWidth="1"/>
    <col min="791" max="791" width="11" style="143" bestFit="1" customWidth="1"/>
    <col min="792" max="1020" width="8.85546875" style="143"/>
    <col min="1021" max="1021" width="10.42578125" style="143" customWidth="1"/>
    <col min="1022" max="1022" width="8.140625" style="143" bestFit="1" customWidth="1"/>
    <col min="1023" max="1023" width="9.140625" style="143" bestFit="1" customWidth="1"/>
    <col min="1024" max="1024" width="32.5703125" style="143" bestFit="1" customWidth="1"/>
    <col min="1025" max="1025" width="31.5703125" style="143" customWidth="1"/>
    <col min="1026" max="1026" width="13.7109375" style="143" bestFit="1" customWidth="1"/>
    <col min="1027" max="1027" width="12.140625" style="143" bestFit="1" customWidth="1"/>
    <col min="1028" max="1028" width="12.7109375" style="143" bestFit="1" customWidth="1"/>
    <col min="1029" max="1029" width="12.7109375" style="143" customWidth="1"/>
    <col min="1030" max="1030" width="13.7109375" style="143" bestFit="1" customWidth="1"/>
    <col min="1031" max="1031" width="14" style="143" bestFit="1" customWidth="1"/>
    <col min="1032" max="1032" width="12.140625" style="143" bestFit="1" customWidth="1"/>
    <col min="1033" max="1033" width="14.42578125" style="143" bestFit="1" customWidth="1"/>
    <col min="1034" max="1034" width="12.140625" style="143" bestFit="1" customWidth="1"/>
    <col min="1035" max="1035" width="12.7109375" style="143" bestFit="1" customWidth="1"/>
    <col min="1036" max="1036" width="12.7109375" style="143" customWidth="1"/>
    <col min="1037" max="1037" width="13.7109375" style="143" bestFit="1" customWidth="1"/>
    <col min="1038" max="1038" width="12.7109375" style="143" customWidth="1"/>
    <col min="1039" max="1039" width="14.42578125" style="143" bestFit="1" customWidth="1"/>
    <col min="1040" max="1040" width="13.7109375" style="143" bestFit="1" customWidth="1"/>
    <col min="1041" max="1041" width="12.140625" style="143" bestFit="1" customWidth="1"/>
    <col min="1042" max="1042" width="11.7109375" style="143" bestFit="1" customWidth="1"/>
    <col min="1043" max="1044" width="10.85546875" style="143" bestFit="1" customWidth="1"/>
    <col min="1045" max="1045" width="8.42578125" style="143" bestFit="1" customWidth="1"/>
    <col min="1046" max="1046" width="10.85546875" style="143" bestFit="1" customWidth="1"/>
    <col min="1047" max="1047" width="11" style="143" bestFit="1" customWidth="1"/>
    <col min="1048" max="1276" width="8.85546875" style="143"/>
    <col min="1277" max="1277" width="10.42578125" style="143" customWidth="1"/>
    <col min="1278" max="1278" width="8.140625" style="143" bestFit="1" customWidth="1"/>
    <col min="1279" max="1279" width="9.140625" style="143" bestFit="1" customWidth="1"/>
    <col min="1280" max="1280" width="32.5703125" style="143" bestFit="1" customWidth="1"/>
    <col min="1281" max="1281" width="31.5703125" style="143" customWidth="1"/>
    <col min="1282" max="1282" width="13.7109375" style="143" bestFit="1" customWidth="1"/>
    <col min="1283" max="1283" width="12.140625" style="143" bestFit="1" customWidth="1"/>
    <col min="1284" max="1284" width="12.7109375" style="143" bestFit="1" customWidth="1"/>
    <col min="1285" max="1285" width="12.7109375" style="143" customWidth="1"/>
    <col min="1286" max="1286" width="13.7109375" style="143" bestFit="1" customWidth="1"/>
    <col min="1287" max="1287" width="14" style="143" bestFit="1" customWidth="1"/>
    <col min="1288" max="1288" width="12.140625" style="143" bestFit="1" customWidth="1"/>
    <col min="1289" max="1289" width="14.42578125" style="143" bestFit="1" customWidth="1"/>
    <col min="1290" max="1290" width="12.140625" style="143" bestFit="1" customWidth="1"/>
    <col min="1291" max="1291" width="12.7109375" style="143" bestFit="1" customWidth="1"/>
    <col min="1292" max="1292" width="12.7109375" style="143" customWidth="1"/>
    <col min="1293" max="1293" width="13.7109375" style="143" bestFit="1" customWidth="1"/>
    <col min="1294" max="1294" width="12.7109375" style="143" customWidth="1"/>
    <col min="1295" max="1295" width="14.42578125" style="143" bestFit="1" customWidth="1"/>
    <col min="1296" max="1296" width="13.7109375" style="143" bestFit="1" customWidth="1"/>
    <col min="1297" max="1297" width="12.140625" style="143" bestFit="1" customWidth="1"/>
    <col min="1298" max="1298" width="11.7109375" style="143" bestFit="1" customWidth="1"/>
    <col min="1299" max="1300" width="10.85546875" style="143" bestFit="1" customWidth="1"/>
    <col min="1301" max="1301" width="8.42578125" style="143" bestFit="1" customWidth="1"/>
    <col min="1302" max="1302" width="10.85546875" style="143" bestFit="1" customWidth="1"/>
    <col min="1303" max="1303" width="11" style="143" bestFit="1" customWidth="1"/>
    <col min="1304" max="1532" width="8.85546875" style="143"/>
    <col min="1533" max="1533" width="10.42578125" style="143" customWidth="1"/>
    <col min="1534" max="1534" width="8.140625" style="143" bestFit="1" customWidth="1"/>
    <col min="1535" max="1535" width="9.140625" style="143" bestFit="1" customWidth="1"/>
    <col min="1536" max="1536" width="32.5703125" style="143" bestFit="1" customWidth="1"/>
    <col min="1537" max="1537" width="31.5703125" style="143" customWidth="1"/>
    <col min="1538" max="1538" width="13.7109375" style="143" bestFit="1" customWidth="1"/>
    <col min="1539" max="1539" width="12.140625" style="143" bestFit="1" customWidth="1"/>
    <col min="1540" max="1540" width="12.7109375" style="143" bestFit="1" customWidth="1"/>
    <col min="1541" max="1541" width="12.7109375" style="143" customWidth="1"/>
    <col min="1542" max="1542" width="13.7109375" style="143" bestFit="1" customWidth="1"/>
    <col min="1543" max="1543" width="14" style="143" bestFit="1" customWidth="1"/>
    <col min="1544" max="1544" width="12.140625" style="143" bestFit="1" customWidth="1"/>
    <col min="1545" max="1545" width="14.42578125" style="143" bestFit="1" customWidth="1"/>
    <col min="1546" max="1546" width="12.140625" style="143" bestFit="1" customWidth="1"/>
    <col min="1547" max="1547" width="12.7109375" style="143" bestFit="1" customWidth="1"/>
    <col min="1548" max="1548" width="12.7109375" style="143" customWidth="1"/>
    <col min="1549" max="1549" width="13.7109375" style="143" bestFit="1" customWidth="1"/>
    <col min="1550" max="1550" width="12.7109375" style="143" customWidth="1"/>
    <col min="1551" max="1551" width="14.42578125" style="143" bestFit="1" customWidth="1"/>
    <col min="1552" max="1552" width="13.7109375" style="143" bestFit="1" customWidth="1"/>
    <col min="1553" max="1553" width="12.140625" style="143" bestFit="1" customWidth="1"/>
    <col min="1554" max="1554" width="11.7109375" style="143" bestFit="1" customWidth="1"/>
    <col min="1555" max="1556" width="10.85546875" style="143" bestFit="1" customWidth="1"/>
    <col min="1557" max="1557" width="8.42578125" style="143" bestFit="1" customWidth="1"/>
    <col min="1558" max="1558" width="10.85546875" style="143" bestFit="1" customWidth="1"/>
    <col min="1559" max="1559" width="11" style="143" bestFit="1" customWidth="1"/>
    <col min="1560" max="1788" width="8.85546875" style="143"/>
    <col min="1789" max="1789" width="10.42578125" style="143" customWidth="1"/>
    <col min="1790" max="1790" width="8.140625" style="143" bestFit="1" customWidth="1"/>
    <col min="1791" max="1791" width="9.140625" style="143" bestFit="1" customWidth="1"/>
    <col min="1792" max="1792" width="32.5703125" style="143" bestFit="1" customWidth="1"/>
    <col min="1793" max="1793" width="31.5703125" style="143" customWidth="1"/>
    <col min="1794" max="1794" width="13.7109375" style="143" bestFit="1" customWidth="1"/>
    <col min="1795" max="1795" width="12.140625" style="143" bestFit="1" customWidth="1"/>
    <col min="1796" max="1796" width="12.7109375" style="143" bestFit="1" customWidth="1"/>
    <col min="1797" max="1797" width="12.7109375" style="143" customWidth="1"/>
    <col min="1798" max="1798" width="13.7109375" style="143" bestFit="1" customWidth="1"/>
    <col min="1799" max="1799" width="14" style="143" bestFit="1" customWidth="1"/>
    <col min="1800" max="1800" width="12.140625" style="143" bestFit="1" customWidth="1"/>
    <col min="1801" max="1801" width="14.42578125" style="143" bestFit="1" customWidth="1"/>
    <col min="1802" max="1802" width="12.140625" style="143" bestFit="1" customWidth="1"/>
    <col min="1803" max="1803" width="12.7109375" style="143" bestFit="1" customWidth="1"/>
    <col min="1804" max="1804" width="12.7109375" style="143" customWidth="1"/>
    <col min="1805" max="1805" width="13.7109375" style="143" bestFit="1" customWidth="1"/>
    <col min="1806" max="1806" width="12.7109375" style="143" customWidth="1"/>
    <col min="1807" max="1807" width="14.42578125" style="143" bestFit="1" customWidth="1"/>
    <col min="1808" max="1808" width="13.7109375" style="143" bestFit="1" customWidth="1"/>
    <col min="1809" max="1809" width="12.140625" style="143" bestFit="1" customWidth="1"/>
    <col min="1810" max="1810" width="11.7109375" style="143" bestFit="1" customWidth="1"/>
    <col min="1811" max="1812" width="10.85546875" style="143" bestFit="1" customWidth="1"/>
    <col min="1813" max="1813" width="8.42578125" style="143" bestFit="1" customWidth="1"/>
    <col min="1814" max="1814" width="10.85546875" style="143" bestFit="1" customWidth="1"/>
    <col min="1815" max="1815" width="11" style="143" bestFit="1" customWidth="1"/>
    <col min="1816" max="2044" width="8.85546875" style="143"/>
    <col min="2045" max="2045" width="10.42578125" style="143" customWidth="1"/>
    <col min="2046" max="2046" width="8.140625" style="143" bestFit="1" customWidth="1"/>
    <col min="2047" max="2047" width="9.140625" style="143" bestFit="1" customWidth="1"/>
    <col min="2048" max="2048" width="32.5703125" style="143" bestFit="1" customWidth="1"/>
    <col min="2049" max="2049" width="31.5703125" style="143" customWidth="1"/>
    <col min="2050" max="2050" width="13.7109375" style="143" bestFit="1" customWidth="1"/>
    <col min="2051" max="2051" width="12.140625" style="143" bestFit="1" customWidth="1"/>
    <col min="2052" max="2052" width="12.7109375" style="143" bestFit="1" customWidth="1"/>
    <col min="2053" max="2053" width="12.7109375" style="143" customWidth="1"/>
    <col min="2054" max="2054" width="13.7109375" style="143" bestFit="1" customWidth="1"/>
    <col min="2055" max="2055" width="14" style="143" bestFit="1" customWidth="1"/>
    <col min="2056" max="2056" width="12.140625" style="143" bestFit="1" customWidth="1"/>
    <col min="2057" max="2057" width="14.42578125" style="143" bestFit="1" customWidth="1"/>
    <col min="2058" max="2058" width="12.140625" style="143" bestFit="1" customWidth="1"/>
    <col min="2059" max="2059" width="12.7109375" style="143" bestFit="1" customWidth="1"/>
    <col min="2060" max="2060" width="12.7109375" style="143" customWidth="1"/>
    <col min="2061" max="2061" width="13.7109375" style="143" bestFit="1" customWidth="1"/>
    <col min="2062" max="2062" width="12.7109375" style="143" customWidth="1"/>
    <col min="2063" max="2063" width="14.42578125" style="143" bestFit="1" customWidth="1"/>
    <col min="2064" max="2064" width="13.7109375" style="143" bestFit="1" customWidth="1"/>
    <col min="2065" max="2065" width="12.140625" style="143" bestFit="1" customWidth="1"/>
    <col min="2066" max="2066" width="11.7109375" style="143" bestFit="1" customWidth="1"/>
    <col min="2067" max="2068" width="10.85546875" style="143" bestFit="1" customWidth="1"/>
    <col min="2069" max="2069" width="8.42578125" style="143" bestFit="1" customWidth="1"/>
    <col min="2070" max="2070" width="10.85546875" style="143" bestFit="1" customWidth="1"/>
    <col min="2071" max="2071" width="11" style="143" bestFit="1" customWidth="1"/>
    <col min="2072" max="2300" width="8.85546875" style="143"/>
    <col min="2301" max="2301" width="10.42578125" style="143" customWidth="1"/>
    <col min="2302" max="2302" width="8.140625" style="143" bestFit="1" customWidth="1"/>
    <col min="2303" max="2303" width="9.140625" style="143" bestFit="1" customWidth="1"/>
    <col min="2304" max="2304" width="32.5703125" style="143" bestFit="1" customWidth="1"/>
    <col min="2305" max="2305" width="31.5703125" style="143" customWidth="1"/>
    <col min="2306" max="2306" width="13.7109375" style="143" bestFit="1" customWidth="1"/>
    <col min="2307" max="2307" width="12.140625" style="143" bestFit="1" customWidth="1"/>
    <col min="2308" max="2308" width="12.7109375" style="143" bestFit="1" customWidth="1"/>
    <col min="2309" max="2309" width="12.7109375" style="143" customWidth="1"/>
    <col min="2310" max="2310" width="13.7109375" style="143" bestFit="1" customWidth="1"/>
    <col min="2311" max="2311" width="14" style="143" bestFit="1" customWidth="1"/>
    <col min="2312" max="2312" width="12.140625" style="143" bestFit="1" customWidth="1"/>
    <col min="2313" max="2313" width="14.42578125" style="143" bestFit="1" customWidth="1"/>
    <col min="2314" max="2314" width="12.140625" style="143" bestFit="1" customWidth="1"/>
    <col min="2315" max="2315" width="12.7109375" style="143" bestFit="1" customWidth="1"/>
    <col min="2316" max="2316" width="12.7109375" style="143" customWidth="1"/>
    <col min="2317" max="2317" width="13.7109375" style="143" bestFit="1" customWidth="1"/>
    <col min="2318" max="2318" width="12.7109375" style="143" customWidth="1"/>
    <col min="2319" max="2319" width="14.42578125" style="143" bestFit="1" customWidth="1"/>
    <col min="2320" max="2320" width="13.7109375" style="143" bestFit="1" customWidth="1"/>
    <col min="2321" max="2321" width="12.140625" style="143" bestFit="1" customWidth="1"/>
    <col min="2322" max="2322" width="11.7109375" style="143" bestFit="1" customWidth="1"/>
    <col min="2323" max="2324" width="10.85546875" style="143" bestFit="1" customWidth="1"/>
    <col min="2325" max="2325" width="8.42578125" style="143" bestFit="1" customWidth="1"/>
    <col min="2326" max="2326" width="10.85546875" style="143" bestFit="1" customWidth="1"/>
    <col min="2327" max="2327" width="11" style="143" bestFit="1" customWidth="1"/>
    <col min="2328" max="2556" width="8.85546875" style="143"/>
    <col min="2557" max="2557" width="10.42578125" style="143" customWidth="1"/>
    <col min="2558" max="2558" width="8.140625" style="143" bestFit="1" customWidth="1"/>
    <col min="2559" max="2559" width="9.140625" style="143" bestFit="1" customWidth="1"/>
    <col min="2560" max="2560" width="32.5703125" style="143" bestFit="1" customWidth="1"/>
    <col min="2561" max="2561" width="31.5703125" style="143" customWidth="1"/>
    <col min="2562" max="2562" width="13.7109375" style="143" bestFit="1" customWidth="1"/>
    <col min="2563" max="2563" width="12.140625" style="143" bestFit="1" customWidth="1"/>
    <col min="2564" max="2564" width="12.7109375" style="143" bestFit="1" customWidth="1"/>
    <col min="2565" max="2565" width="12.7109375" style="143" customWidth="1"/>
    <col min="2566" max="2566" width="13.7109375" style="143" bestFit="1" customWidth="1"/>
    <col min="2567" max="2567" width="14" style="143" bestFit="1" customWidth="1"/>
    <col min="2568" max="2568" width="12.140625" style="143" bestFit="1" customWidth="1"/>
    <col min="2569" max="2569" width="14.42578125" style="143" bestFit="1" customWidth="1"/>
    <col min="2570" max="2570" width="12.140625" style="143" bestFit="1" customWidth="1"/>
    <col min="2571" max="2571" width="12.7109375" style="143" bestFit="1" customWidth="1"/>
    <col min="2572" max="2572" width="12.7109375" style="143" customWidth="1"/>
    <col min="2573" max="2573" width="13.7109375" style="143" bestFit="1" customWidth="1"/>
    <col min="2574" max="2574" width="12.7109375" style="143" customWidth="1"/>
    <col min="2575" max="2575" width="14.42578125" style="143" bestFit="1" customWidth="1"/>
    <col min="2576" max="2576" width="13.7109375" style="143" bestFit="1" customWidth="1"/>
    <col min="2577" max="2577" width="12.140625" style="143" bestFit="1" customWidth="1"/>
    <col min="2578" max="2578" width="11.7109375" style="143" bestFit="1" customWidth="1"/>
    <col min="2579" max="2580" width="10.85546875" style="143" bestFit="1" customWidth="1"/>
    <col min="2581" max="2581" width="8.42578125" style="143" bestFit="1" customWidth="1"/>
    <col min="2582" max="2582" width="10.85546875" style="143" bestFit="1" customWidth="1"/>
    <col min="2583" max="2583" width="11" style="143" bestFit="1" customWidth="1"/>
    <col min="2584" max="2812" width="8.85546875" style="143"/>
    <col min="2813" max="2813" width="10.42578125" style="143" customWidth="1"/>
    <col min="2814" max="2814" width="8.140625" style="143" bestFit="1" customWidth="1"/>
    <col min="2815" max="2815" width="9.140625" style="143" bestFit="1" customWidth="1"/>
    <col min="2816" max="2816" width="32.5703125" style="143" bestFit="1" customWidth="1"/>
    <col min="2817" max="2817" width="31.5703125" style="143" customWidth="1"/>
    <col min="2818" max="2818" width="13.7109375" style="143" bestFit="1" customWidth="1"/>
    <col min="2819" max="2819" width="12.140625" style="143" bestFit="1" customWidth="1"/>
    <col min="2820" max="2820" width="12.7109375" style="143" bestFit="1" customWidth="1"/>
    <col min="2821" max="2821" width="12.7109375" style="143" customWidth="1"/>
    <col min="2822" max="2822" width="13.7109375" style="143" bestFit="1" customWidth="1"/>
    <col min="2823" max="2823" width="14" style="143" bestFit="1" customWidth="1"/>
    <col min="2824" max="2824" width="12.140625" style="143" bestFit="1" customWidth="1"/>
    <col min="2825" max="2825" width="14.42578125" style="143" bestFit="1" customWidth="1"/>
    <col min="2826" max="2826" width="12.140625" style="143" bestFit="1" customWidth="1"/>
    <col min="2827" max="2827" width="12.7109375" style="143" bestFit="1" customWidth="1"/>
    <col min="2828" max="2828" width="12.7109375" style="143" customWidth="1"/>
    <col min="2829" max="2829" width="13.7109375" style="143" bestFit="1" customWidth="1"/>
    <col min="2830" max="2830" width="12.7109375" style="143" customWidth="1"/>
    <col min="2831" max="2831" width="14.42578125" style="143" bestFit="1" customWidth="1"/>
    <col min="2832" max="2832" width="13.7109375" style="143" bestFit="1" customWidth="1"/>
    <col min="2833" max="2833" width="12.140625" style="143" bestFit="1" customWidth="1"/>
    <col min="2834" max="2834" width="11.7109375" style="143" bestFit="1" customWidth="1"/>
    <col min="2835" max="2836" width="10.85546875" style="143" bestFit="1" customWidth="1"/>
    <col min="2837" max="2837" width="8.42578125" style="143" bestFit="1" customWidth="1"/>
    <col min="2838" max="2838" width="10.85546875" style="143" bestFit="1" customWidth="1"/>
    <col min="2839" max="2839" width="11" style="143" bestFit="1" customWidth="1"/>
    <col min="2840" max="3068" width="8.85546875" style="143"/>
    <col min="3069" max="3069" width="10.42578125" style="143" customWidth="1"/>
    <col min="3070" max="3070" width="8.140625" style="143" bestFit="1" customWidth="1"/>
    <col min="3071" max="3071" width="9.140625" style="143" bestFit="1" customWidth="1"/>
    <col min="3072" max="3072" width="32.5703125" style="143" bestFit="1" customWidth="1"/>
    <col min="3073" max="3073" width="31.5703125" style="143" customWidth="1"/>
    <col min="3074" max="3074" width="13.7109375" style="143" bestFit="1" customWidth="1"/>
    <col min="3075" max="3075" width="12.140625" style="143" bestFit="1" customWidth="1"/>
    <col min="3076" max="3076" width="12.7109375" style="143" bestFit="1" customWidth="1"/>
    <col min="3077" max="3077" width="12.7109375" style="143" customWidth="1"/>
    <col min="3078" max="3078" width="13.7109375" style="143" bestFit="1" customWidth="1"/>
    <col min="3079" max="3079" width="14" style="143" bestFit="1" customWidth="1"/>
    <col min="3080" max="3080" width="12.140625" style="143" bestFit="1" customWidth="1"/>
    <col min="3081" max="3081" width="14.42578125" style="143" bestFit="1" customWidth="1"/>
    <col min="3082" max="3082" width="12.140625" style="143" bestFit="1" customWidth="1"/>
    <col min="3083" max="3083" width="12.7109375" style="143" bestFit="1" customWidth="1"/>
    <col min="3084" max="3084" width="12.7109375" style="143" customWidth="1"/>
    <col min="3085" max="3085" width="13.7109375" style="143" bestFit="1" customWidth="1"/>
    <col min="3086" max="3086" width="12.7109375" style="143" customWidth="1"/>
    <col min="3087" max="3087" width="14.42578125" style="143" bestFit="1" customWidth="1"/>
    <col min="3088" max="3088" width="13.7109375" style="143" bestFit="1" customWidth="1"/>
    <col min="3089" max="3089" width="12.140625" style="143" bestFit="1" customWidth="1"/>
    <col min="3090" max="3090" width="11.7109375" style="143" bestFit="1" customWidth="1"/>
    <col min="3091" max="3092" width="10.85546875" style="143" bestFit="1" customWidth="1"/>
    <col min="3093" max="3093" width="8.42578125" style="143" bestFit="1" customWidth="1"/>
    <col min="3094" max="3094" width="10.85546875" style="143" bestFit="1" customWidth="1"/>
    <col min="3095" max="3095" width="11" style="143" bestFit="1" customWidth="1"/>
    <col min="3096" max="3324" width="8.85546875" style="143"/>
    <col min="3325" max="3325" width="10.42578125" style="143" customWidth="1"/>
    <col min="3326" max="3326" width="8.140625" style="143" bestFit="1" customWidth="1"/>
    <col min="3327" max="3327" width="9.140625" style="143" bestFit="1" customWidth="1"/>
    <col min="3328" max="3328" width="32.5703125" style="143" bestFit="1" customWidth="1"/>
    <col min="3329" max="3329" width="31.5703125" style="143" customWidth="1"/>
    <col min="3330" max="3330" width="13.7109375" style="143" bestFit="1" customWidth="1"/>
    <col min="3331" max="3331" width="12.140625" style="143" bestFit="1" customWidth="1"/>
    <col min="3332" max="3332" width="12.7109375" style="143" bestFit="1" customWidth="1"/>
    <col min="3333" max="3333" width="12.7109375" style="143" customWidth="1"/>
    <col min="3334" max="3334" width="13.7109375" style="143" bestFit="1" customWidth="1"/>
    <col min="3335" max="3335" width="14" style="143" bestFit="1" customWidth="1"/>
    <col min="3336" max="3336" width="12.140625" style="143" bestFit="1" customWidth="1"/>
    <col min="3337" max="3337" width="14.42578125" style="143" bestFit="1" customWidth="1"/>
    <col min="3338" max="3338" width="12.140625" style="143" bestFit="1" customWidth="1"/>
    <col min="3339" max="3339" width="12.7109375" style="143" bestFit="1" customWidth="1"/>
    <col min="3340" max="3340" width="12.7109375" style="143" customWidth="1"/>
    <col min="3341" max="3341" width="13.7109375" style="143" bestFit="1" customWidth="1"/>
    <col min="3342" max="3342" width="12.7109375" style="143" customWidth="1"/>
    <col min="3343" max="3343" width="14.42578125" style="143" bestFit="1" customWidth="1"/>
    <col min="3344" max="3344" width="13.7109375" style="143" bestFit="1" customWidth="1"/>
    <col min="3345" max="3345" width="12.140625" style="143" bestFit="1" customWidth="1"/>
    <col min="3346" max="3346" width="11.7109375" style="143" bestFit="1" customWidth="1"/>
    <col min="3347" max="3348" width="10.85546875" style="143" bestFit="1" customWidth="1"/>
    <col min="3349" max="3349" width="8.42578125" style="143" bestFit="1" customWidth="1"/>
    <col min="3350" max="3350" width="10.85546875" style="143" bestFit="1" customWidth="1"/>
    <col min="3351" max="3351" width="11" style="143" bestFit="1" customWidth="1"/>
    <col min="3352" max="3580" width="8.85546875" style="143"/>
    <col min="3581" max="3581" width="10.42578125" style="143" customWidth="1"/>
    <col min="3582" max="3582" width="8.140625" style="143" bestFit="1" customWidth="1"/>
    <col min="3583" max="3583" width="9.140625" style="143" bestFit="1" customWidth="1"/>
    <col min="3584" max="3584" width="32.5703125" style="143" bestFit="1" customWidth="1"/>
    <col min="3585" max="3585" width="31.5703125" style="143" customWidth="1"/>
    <col min="3586" max="3586" width="13.7109375" style="143" bestFit="1" customWidth="1"/>
    <col min="3587" max="3587" width="12.140625" style="143" bestFit="1" customWidth="1"/>
    <col min="3588" max="3588" width="12.7109375" style="143" bestFit="1" customWidth="1"/>
    <col min="3589" max="3589" width="12.7109375" style="143" customWidth="1"/>
    <col min="3590" max="3590" width="13.7109375" style="143" bestFit="1" customWidth="1"/>
    <col min="3591" max="3591" width="14" style="143" bestFit="1" customWidth="1"/>
    <col min="3592" max="3592" width="12.140625" style="143" bestFit="1" customWidth="1"/>
    <col min="3593" max="3593" width="14.42578125" style="143" bestFit="1" customWidth="1"/>
    <col min="3594" max="3594" width="12.140625" style="143" bestFit="1" customWidth="1"/>
    <col min="3595" max="3595" width="12.7109375" style="143" bestFit="1" customWidth="1"/>
    <col min="3596" max="3596" width="12.7109375" style="143" customWidth="1"/>
    <col min="3597" max="3597" width="13.7109375" style="143" bestFit="1" customWidth="1"/>
    <col min="3598" max="3598" width="12.7109375" style="143" customWidth="1"/>
    <col min="3599" max="3599" width="14.42578125" style="143" bestFit="1" customWidth="1"/>
    <col min="3600" max="3600" width="13.7109375" style="143" bestFit="1" customWidth="1"/>
    <col min="3601" max="3601" width="12.140625" style="143" bestFit="1" customWidth="1"/>
    <col min="3602" max="3602" width="11.7109375" style="143" bestFit="1" customWidth="1"/>
    <col min="3603" max="3604" width="10.85546875" style="143" bestFit="1" customWidth="1"/>
    <col min="3605" max="3605" width="8.42578125" style="143" bestFit="1" customWidth="1"/>
    <col min="3606" max="3606" width="10.85546875" style="143" bestFit="1" customWidth="1"/>
    <col min="3607" max="3607" width="11" style="143" bestFit="1" customWidth="1"/>
    <col min="3608" max="3836" width="8.85546875" style="143"/>
    <col min="3837" max="3837" width="10.42578125" style="143" customWidth="1"/>
    <col min="3838" max="3838" width="8.140625" style="143" bestFit="1" customWidth="1"/>
    <col min="3839" max="3839" width="9.140625" style="143" bestFit="1" customWidth="1"/>
    <col min="3840" max="3840" width="32.5703125" style="143" bestFit="1" customWidth="1"/>
    <col min="3841" max="3841" width="31.5703125" style="143" customWidth="1"/>
    <col min="3842" max="3842" width="13.7109375" style="143" bestFit="1" customWidth="1"/>
    <col min="3843" max="3843" width="12.140625" style="143" bestFit="1" customWidth="1"/>
    <col min="3844" max="3844" width="12.7109375" style="143" bestFit="1" customWidth="1"/>
    <col min="3845" max="3845" width="12.7109375" style="143" customWidth="1"/>
    <col min="3846" max="3846" width="13.7109375" style="143" bestFit="1" customWidth="1"/>
    <col min="3847" max="3847" width="14" style="143" bestFit="1" customWidth="1"/>
    <col min="3848" max="3848" width="12.140625" style="143" bestFit="1" customWidth="1"/>
    <col min="3849" max="3849" width="14.42578125" style="143" bestFit="1" customWidth="1"/>
    <col min="3850" max="3850" width="12.140625" style="143" bestFit="1" customWidth="1"/>
    <col min="3851" max="3851" width="12.7109375" style="143" bestFit="1" customWidth="1"/>
    <col min="3852" max="3852" width="12.7109375" style="143" customWidth="1"/>
    <col min="3853" max="3853" width="13.7109375" style="143" bestFit="1" customWidth="1"/>
    <col min="3854" max="3854" width="12.7109375" style="143" customWidth="1"/>
    <col min="3855" max="3855" width="14.42578125" style="143" bestFit="1" customWidth="1"/>
    <col min="3856" max="3856" width="13.7109375" style="143" bestFit="1" customWidth="1"/>
    <col min="3857" max="3857" width="12.140625" style="143" bestFit="1" customWidth="1"/>
    <col min="3858" max="3858" width="11.7109375" style="143" bestFit="1" customWidth="1"/>
    <col min="3859" max="3860" width="10.85546875" style="143" bestFit="1" customWidth="1"/>
    <col min="3861" max="3861" width="8.42578125" style="143" bestFit="1" customWidth="1"/>
    <col min="3862" max="3862" width="10.85546875" style="143" bestFit="1" customWidth="1"/>
    <col min="3863" max="3863" width="11" style="143" bestFit="1" customWidth="1"/>
    <col min="3864" max="4092" width="8.85546875" style="143"/>
    <col min="4093" max="4093" width="10.42578125" style="143" customWidth="1"/>
    <col min="4094" max="4094" width="8.140625" style="143" bestFit="1" customWidth="1"/>
    <col min="4095" max="4095" width="9.140625" style="143" bestFit="1" customWidth="1"/>
    <col min="4096" max="4096" width="32.5703125" style="143" bestFit="1" customWidth="1"/>
    <col min="4097" max="4097" width="31.5703125" style="143" customWidth="1"/>
    <col min="4098" max="4098" width="13.7109375" style="143" bestFit="1" customWidth="1"/>
    <col min="4099" max="4099" width="12.140625" style="143" bestFit="1" customWidth="1"/>
    <col min="4100" max="4100" width="12.7109375" style="143" bestFit="1" customWidth="1"/>
    <col min="4101" max="4101" width="12.7109375" style="143" customWidth="1"/>
    <col min="4102" max="4102" width="13.7109375" style="143" bestFit="1" customWidth="1"/>
    <col min="4103" max="4103" width="14" style="143" bestFit="1" customWidth="1"/>
    <col min="4104" max="4104" width="12.140625" style="143" bestFit="1" customWidth="1"/>
    <col min="4105" max="4105" width="14.42578125" style="143" bestFit="1" customWidth="1"/>
    <col min="4106" max="4106" width="12.140625" style="143" bestFit="1" customWidth="1"/>
    <col min="4107" max="4107" width="12.7109375" style="143" bestFit="1" customWidth="1"/>
    <col min="4108" max="4108" width="12.7109375" style="143" customWidth="1"/>
    <col min="4109" max="4109" width="13.7109375" style="143" bestFit="1" customWidth="1"/>
    <col min="4110" max="4110" width="12.7109375" style="143" customWidth="1"/>
    <col min="4111" max="4111" width="14.42578125" style="143" bestFit="1" customWidth="1"/>
    <col min="4112" max="4112" width="13.7109375" style="143" bestFit="1" customWidth="1"/>
    <col min="4113" max="4113" width="12.140625" style="143" bestFit="1" customWidth="1"/>
    <col min="4114" max="4114" width="11.7109375" style="143" bestFit="1" customWidth="1"/>
    <col min="4115" max="4116" width="10.85546875" style="143" bestFit="1" customWidth="1"/>
    <col min="4117" max="4117" width="8.42578125" style="143" bestFit="1" customWidth="1"/>
    <col min="4118" max="4118" width="10.85546875" style="143" bestFit="1" customWidth="1"/>
    <col min="4119" max="4119" width="11" style="143" bestFit="1" customWidth="1"/>
    <col min="4120" max="4348" width="8.85546875" style="143"/>
    <col min="4349" max="4349" width="10.42578125" style="143" customWidth="1"/>
    <col min="4350" max="4350" width="8.140625" style="143" bestFit="1" customWidth="1"/>
    <col min="4351" max="4351" width="9.140625" style="143" bestFit="1" customWidth="1"/>
    <col min="4352" max="4352" width="32.5703125" style="143" bestFit="1" customWidth="1"/>
    <col min="4353" max="4353" width="31.5703125" style="143" customWidth="1"/>
    <col min="4354" max="4354" width="13.7109375" style="143" bestFit="1" customWidth="1"/>
    <col min="4355" max="4355" width="12.140625" style="143" bestFit="1" customWidth="1"/>
    <col min="4356" max="4356" width="12.7109375" style="143" bestFit="1" customWidth="1"/>
    <col min="4357" max="4357" width="12.7109375" style="143" customWidth="1"/>
    <col min="4358" max="4358" width="13.7109375" style="143" bestFit="1" customWidth="1"/>
    <col min="4359" max="4359" width="14" style="143" bestFit="1" customWidth="1"/>
    <col min="4360" max="4360" width="12.140625" style="143" bestFit="1" customWidth="1"/>
    <col min="4361" max="4361" width="14.42578125" style="143" bestFit="1" customWidth="1"/>
    <col min="4362" max="4362" width="12.140625" style="143" bestFit="1" customWidth="1"/>
    <col min="4363" max="4363" width="12.7109375" style="143" bestFit="1" customWidth="1"/>
    <col min="4364" max="4364" width="12.7109375" style="143" customWidth="1"/>
    <col min="4365" max="4365" width="13.7109375" style="143" bestFit="1" customWidth="1"/>
    <col min="4366" max="4366" width="12.7109375" style="143" customWidth="1"/>
    <col min="4367" max="4367" width="14.42578125" style="143" bestFit="1" customWidth="1"/>
    <col min="4368" max="4368" width="13.7109375" style="143" bestFit="1" customWidth="1"/>
    <col min="4369" max="4369" width="12.140625" style="143" bestFit="1" customWidth="1"/>
    <col min="4370" max="4370" width="11.7109375" style="143" bestFit="1" customWidth="1"/>
    <col min="4371" max="4372" width="10.85546875" style="143" bestFit="1" customWidth="1"/>
    <col min="4373" max="4373" width="8.42578125" style="143" bestFit="1" customWidth="1"/>
    <col min="4374" max="4374" width="10.85546875" style="143" bestFit="1" customWidth="1"/>
    <col min="4375" max="4375" width="11" style="143" bestFit="1" customWidth="1"/>
    <col min="4376" max="4604" width="8.85546875" style="143"/>
    <col min="4605" max="4605" width="10.42578125" style="143" customWidth="1"/>
    <col min="4606" max="4606" width="8.140625" style="143" bestFit="1" customWidth="1"/>
    <col min="4607" max="4607" width="9.140625" style="143" bestFit="1" customWidth="1"/>
    <col min="4608" max="4608" width="32.5703125" style="143" bestFit="1" customWidth="1"/>
    <col min="4609" max="4609" width="31.5703125" style="143" customWidth="1"/>
    <col min="4610" max="4610" width="13.7109375" style="143" bestFit="1" customWidth="1"/>
    <col min="4611" max="4611" width="12.140625" style="143" bestFit="1" customWidth="1"/>
    <col min="4612" max="4612" width="12.7109375" style="143" bestFit="1" customWidth="1"/>
    <col min="4613" max="4613" width="12.7109375" style="143" customWidth="1"/>
    <col min="4614" max="4614" width="13.7109375" style="143" bestFit="1" customWidth="1"/>
    <col min="4615" max="4615" width="14" style="143" bestFit="1" customWidth="1"/>
    <col min="4616" max="4616" width="12.140625" style="143" bestFit="1" customWidth="1"/>
    <col min="4617" max="4617" width="14.42578125" style="143" bestFit="1" customWidth="1"/>
    <col min="4618" max="4618" width="12.140625" style="143" bestFit="1" customWidth="1"/>
    <col min="4619" max="4619" width="12.7109375" style="143" bestFit="1" customWidth="1"/>
    <col min="4620" max="4620" width="12.7109375" style="143" customWidth="1"/>
    <col min="4621" max="4621" width="13.7109375" style="143" bestFit="1" customWidth="1"/>
    <col min="4622" max="4622" width="12.7109375" style="143" customWidth="1"/>
    <col min="4623" max="4623" width="14.42578125" style="143" bestFit="1" customWidth="1"/>
    <col min="4624" max="4624" width="13.7109375" style="143" bestFit="1" customWidth="1"/>
    <col min="4625" max="4625" width="12.140625" style="143" bestFit="1" customWidth="1"/>
    <col min="4626" max="4626" width="11.7109375" style="143" bestFit="1" customWidth="1"/>
    <col min="4627" max="4628" width="10.85546875" style="143" bestFit="1" customWidth="1"/>
    <col min="4629" max="4629" width="8.42578125" style="143" bestFit="1" customWidth="1"/>
    <col min="4630" max="4630" width="10.85546875" style="143" bestFit="1" customWidth="1"/>
    <col min="4631" max="4631" width="11" style="143" bestFit="1" customWidth="1"/>
    <col min="4632" max="4860" width="8.85546875" style="143"/>
    <col min="4861" max="4861" width="10.42578125" style="143" customWidth="1"/>
    <col min="4862" max="4862" width="8.140625" style="143" bestFit="1" customWidth="1"/>
    <col min="4863" max="4863" width="9.140625" style="143" bestFit="1" customWidth="1"/>
    <col min="4864" max="4864" width="32.5703125" style="143" bestFit="1" customWidth="1"/>
    <col min="4865" max="4865" width="31.5703125" style="143" customWidth="1"/>
    <col min="4866" max="4866" width="13.7109375" style="143" bestFit="1" customWidth="1"/>
    <col min="4867" max="4867" width="12.140625" style="143" bestFit="1" customWidth="1"/>
    <col min="4868" max="4868" width="12.7109375" style="143" bestFit="1" customWidth="1"/>
    <col min="4869" max="4869" width="12.7109375" style="143" customWidth="1"/>
    <col min="4870" max="4870" width="13.7109375" style="143" bestFit="1" customWidth="1"/>
    <col min="4871" max="4871" width="14" style="143" bestFit="1" customWidth="1"/>
    <col min="4872" max="4872" width="12.140625" style="143" bestFit="1" customWidth="1"/>
    <col min="4873" max="4873" width="14.42578125" style="143" bestFit="1" customWidth="1"/>
    <col min="4874" max="4874" width="12.140625" style="143" bestFit="1" customWidth="1"/>
    <col min="4875" max="4875" width="12.7109375" style="143" bestFit="1" customWidth="1"/>
    <col min="4876" max="4876" width="12.7109375" style="143" customWidth="1"/>
    <col min="4877" max="4877" width="13.7109375" style="143" bestFit="1" customWidth="1"/>
    <col min="4878" max="4878" width="12.7109375" style="143" customWidth="1"/>
    <col min="4879" max="4879" width="14.42578125" style="143" bestFit="1" customWidth="1"/>
    <col min="4880" max="4880" width="13.7109375" style="143" bestFit="1" customWidth="1"/>
    <col min="4881" max="4881" width="12.140625" style="143" bestFit="1" customWidth="1"/>
    <col min="4882" max="4882" width="11.7109375" style="143" bestFit="1" customWidth="1"/>
    <col min="4883" max="4884" width="10.85546875" style="143" bestFit="1" customWidth="1"/>
    <col min="4885" max="4885" width="8.42578125" style="143" bestFit="1" customWidth="1"/>
    <col min="4886" max="4886" width="10.85546875" style="143" bestFit="1" customWidth="1"/>
    <col min="4887" max="4887" width="11" style="143" bestFit="1" customWidth="1"/>
    <col min="4888" max="5116" width="8.85546875" style="143"/>
    <col min="5117" max="5117" width="10.42578125" style="143" customWidth="1"/>
    <col min="5118" max="5118" width="8.140625" style="143" bestFit="1" customWidth="1"/>
    <col min="5119" max="5119" width="9.140625" style="143" bestFit="1" customWidth="1"/>
    <col min="5120" max="5120" width="32.5703125" style="143" bestFit="1" customWidth="1"/>
    <col min="5121" max="5121" width="31.5703125" style="143" customWidth="1"/>
    <col min="5122" max="5122" width="13.7109375" style="143" bestFit="1" customWidth="1"/>
    <col min="5123" max="5123" width="12.140625" style="143" bestFit="1" customWidth="1"/>
    <col min="5124" max="5124" width="12.7109375" style="143" bestFit="1" customWidth="1"/>
    <col min="5125" max="5125" width="12.7109375" style="143" customWidth="1"/>
    <col min="5126" max="5126" width="13.7109375" style="143" bestFit="1" customWidth="1"/>
    <col min="5127" max="5127" width="14" style="143" bestFit="1" customWidth="1"/>
    <col min="5128" max="5128" width="12.140625" style="143" bestFit="1" customWidth="1"/>
    <col min="5129" max="5129" width="14.42578125" style="143" bestFit="1" customWidth="1"/>
    <col min="5130" max="5130" width="12.140625" style="143" bestFit="1" customWidth="1"/>
    <col min="5131" max="5131" width="12.7109375" style="143" bestFit="1" customWidth="1"/>
    <col min="5132" max="5132" width="12.7109375" style="143" customWidth="1"/>
    <col min="5133" max="5133" width="13.7109375" style="143" bestFit="1" customWidth="1"/>
    <col min="5134" max="5134" width="12.7109375" style="143" customWidth="1"/>
    <col min="5135" max="5135" width="14.42578125" style="143" bestFit="1" customWidth="1"/>
    <col min="5136" max="5136" width="13.7109375" style="143" bestFit="1" customWidth="1"/>
    <col min="5137" max="5137" width="12.140625" style="143" bestFit="1" customWidth="1"/>
    <col min="5138" max="5138" width="11.7109375" style="143" bestFit="1" customWidth="1"/>
    <col min="5139" max="5140" width="10.85546875" style="143" bestFit="1" customWidth="1"/>
    <col min="5141" max="5141" width="8.42578125" style="143" bestFit="1" customWidth="1"/>
    <col min="5142" max="5142" width="10.85546875" style="143" bestFit="1" customWidth="1"/>
    <col min="5143" max="5143" width="11" style="143" bestFit="1" customWidth="1"/>
    <col min="5144" max="5372" width="8.85546875" style="143"/>
    <col min="5373" max="5373" width="10.42578125" style="143" customWidth="1"/>
    <col min="5374" max="5374" width="8.140625" style="143" bestFit="1" customWidth="1"/>
    <col min="5375" max="5375" width="9.140625" style="143" bestFit="1" customWidth="1"/>
    <col min="5376" max="5376" width="32.5703125" style="143" bestFit="1" customWidth="1"/>
    <col min="5377" max="5377" width="31.5703125" style="143" customWidth="1"/>
    <col min="5378" max="5378" width="13.7109375" style="143" bestFit="1" customWidth="1"/>
    <col min="5379" max="5379" width="12.140625" style="143" bestFit="1" customWidth="1"/>
    <col min="5380" max="5380" width="12.7109375" style="143" bestFit="1" customWidth="1"/>
    <col min="5381" max="5381" width="12.7109375" style="143" customWidth="1"/>
    <col min="5382" max="5382" width="13.7109375" style="143" bestFit="1" customWidth="1"/>
    <col min="5383" max="5383" width="14" style="143" bestFit="1" customWidth="1"/>
    <col min="5384" max="5384" width="12.140625" style="143" bestFit="1" customWidth="1"/>
    <col min="5385" max="5385" width="14.42578125" style="143" bestFit="1" customWidth="1"/>
    <col min="5386" max="5386" width="12.140625" style="143" bestFit="1" customWidth="1"/>
    <col min="5387" max="5387" width="12.7109375" style="143" bestFit="1" customWidth="1"/>
    <col min="5388" max="5388" width="12.7109375" style="143" customWidth="1"/>
    <col min="5389" max="5389" width="13.7109375" style="143" bestFit="1" customWidth="1"/>
    <col min="5390" max="5390" width="12.7109375" style="143" customWidth="1"/>
    <col min="5391" max="5391" width="14.42578125" style="143" bestFit="1" customWidth="1"/>
    <col min="5392" max="5392" width="13.7109375" style="143" bestFit="1" customWidth="1"/>
    <col min="5393" max="5393" width="12.140625" style="143" bestFit="1" customWidth="1"/>
    <col min="5394" max="5394" width="11.7109375" style="143" bestFit="1" customWidth="1"/>
    <col min="5395" max="5396" width="10.85546875" style="143" bestFit="1" customWidth="1"/>
    <col min="5397" max="5397" width="8.42578125" style="143" bestFit="1" customWidth="1"/>
    <col min="5398" max="5398" width="10.85546875" style="143" bestFit="1" customWidth="1"/>
    <col min="5399" max="5399" width="11" style="143" bestFit="1" customWidth="1"/>
    <col min="5400" max="5628" width="8.85546875" style="143"/>
    <col min="5629" max="5629" width="10.42578125" style="143" customWidth="1"/>
    <col min="5630" max="5630" width="8.140625" style="143" bestFit="1" customWidth="1"/>
    <col min="5631" max="5631" width="9.140625" style="143" bestFit="1" customWidth="1"/>
    <col min="5632" max="5632" width="32.5703125" style="143" bestFit="1" customWidth="1"/>
    <col min="5633" max="5633" width="31.5703125" style="143" customWidth="1"/>
    <col min="5634" max="5634" width="13.7109375" style="143" bestFit="1" customWidth="1"/>
    <col min="5635" max="5635" width="12.140625" style="143" bestFit="1" customWidth="1"/>
    <col min="5636" max="5636" width="12.7109375" style="143" bestFit="1" customWidth="1"/>
    <col min="5637" max="5637" width="12.7109375" style="143" customWidth="1"/>
    <col min="5638" max="5638" width="13.7109375" style="143" bestFit="1" customWidth="1"/>
    <col min="5639" max="5639" width="14" style="143" bestFit="1" customWidth="1"/>
    <col min="5640" max="5640" width="12.140625" style="143" bestFit="1" customWidth="1"/>
    <col min="5641" max="5641" width="14.42578125" style="143" bestFit="1" customWidth="1"/>
    <col min="5642" max="5642" width="12.140625" style="143" bestFit="1" customWidth="1"/>
    <col min="5643" max="5643" width="12.7109375" style="143" bestFit="1" customWidth="1"/>
    <col min="5644" max="5644" width="12.7109375" style="143" customWidth="1"/>
    <col min="5645" max="5645" width="13.7109375" style="143" bestFit="1" customWidth="1"/>
    <col min="5646" max="5646" width="12.7109375" style="143" customWidth="1"/>
    <col min="5647" max="5647" width="14.42578125" style="143" bestFit="1" customWidth="1"/>
    <col min="5648" max="5648" width="13.7109375" style="143" bestFit="1" customWidth="1"/>
    <col min="5649" max="5649" width="12.140625" style="143" bestFit="1" customWidth="1"/>
    <col min="5650" max="5650" width="11.7109375" style="143" bestFit="1" customWidth="1"/>
    <col min="5651" max="5652" width="10.85546875" style="143" bestFit="1" customWidth="1"/>
    <col min="5653" max="5653" width="8.42578125" style="143" bestFit="1" customWidth="1"/>
    <col min="5654" max="5654" width="10.85546875" style="143" bestFit="1" customWidth="1"/>
    <col min="5655" max="5655" width="11" style="143" bestFit="1" customWidth="1"/>
    <col min="5656" max="5884" width="8.85546875" style="143"/>
    <col min="5885" max="5885" width="10.42578125" style="143" customWidth="1"/>
    <col min="5886" max="5886" width="8.140625" style="143" bestFit="1" customWidth="1"/>
    <col min="5887" max="5887" width="9.140625" style="143" bestFit="1" customWidth="1"/>
    <col min="5888" max="5888" width="32.5703125" style="143" bestFit="1" customWidth="1"/>
    <col min="5889" max="5889" width="31.5703125" style="143" customWidth="1"/>
    <col min="5890" max="5890" width="13.7109375" style="143" bestFit="1" customWidth="1"/>
    <col min="5891" max="5891" width="12.140625" style="143" bestFit="1" customWidth="1"/>
    <col min="5892" max="5892" width="12.7109375" style="143" bestFit="1" customWidth="1"/>
    <col min="5893" max="5893" width="12.7109375" style="143" customWidth="1"/>
    <col min="5894" max="5894" width="13.7109375" style="143" bestFit="1" customWidth="1"/>
    <col min="5895" max="5895" width="14" style="143" bestFit="1" customWidth="1"/>
    <col min="5896" max="5896" width="12.140625" style="143" bestFit="1" customWidth="1"/>
    <col min="5897" max="5897" width="14.42578125" style="143" bestFit="1" customWidth="1"/>
    <col min="5898" max="5898" width="12.140625" style="143" bestFit="1" customWidth="1"/>
    <col min="5899" max="5899" width="12.7109375" style="143" bestFit="1" customWidth="1"/>
    <col min="5900" max="5900" width="12.7109375" style="143" customWidth="1"/>
    <col min="5901" max="5901" width="13.7109375" style="143" bestFit="1" customWidth="1"/>
    <col min="5902" max="5902" width="12.7109375" style="143" customWidth="1"/>
    <col min="5903" max="5903" width="14.42578125" style="143" bestFit="1" customWidth="1"/>
    <col min="5904" max="5904" width="13.7109375" style="143" bestFit="1" customWidth="1"/>
    <col min="5905" max="5905" width="12.140625" style="143" bestFit="1" customWidth="1"/>
    <col min="5906" max="5906" width="11.7109375" style="143" bestFit="1" customWidth="1"/>
    <col min="5907" max="5908" width="10.85546875" style="143" bestFit="1" customWidth="1"/>
    <col min="5909" max="5909" width="8.42578125" style="143" bestFit="1" customWidth="1"/>
    <col min="5910" max="5910" width="10.85546875" style="143" bestFit="1" customWidth="1"/>
    <col min="5911" max="5911" width="11" style="143" bestFit="1" customWidth="1"/>
    <col min="5912" max="6140" width="8.85546875" style="143"/>
    <col min="6141" max="6141" width="10.42578125" style="143" customWidth="1"/>
    <col min="6142" max="6142" width="8.140625" style="143" bestFit="1" customWidth="1"/>
    <col min="6143" max="6143" width="9.140625" style="143" bestFit="1" customWidth="1"/>
    <col min="6144" max="6144" width="32.5703125" style="143" bestFit="1" customWidth="1"/>
    <col min="6145" max="6145" width="31.5703125" style="143" customWidth="1"/>
    <col min="6146" max="6146" width="13.7109375" style="143" bestFit="1" customWidth="1"/>
    <col min="6147" max="6147" width="12.140625" style="143" bestFit="1" customWidth="1"/>
    <col min="6148" max="6148" width="12.7109375" style="143" bestFit="1" customWidth="1"/>
    <col min="6149" max="6149" width="12.7109375" style="143" customWidth="1"/>
    <col min="6150" max="6150" width="13.7109375" style="143" bestFit="1" customWidth="1"/>
    <col min="6151" max="6151" width="14" style="143" bestFit="1" customWidth="1"/>
    <col min="6152" max="6152" width="12.140625" style="143" bestFit="1" customWidth="1"/>
    <col min="6153" max="6153" width="14.42578125" style="143" bestFit="1" customWidth="1"/>
    <col min="6154" max="6154" width="12.140625" style="143" bestFit="1" customWidth="1"/>
    <col min="6155" max="6155" width="12.7109375" style="143" bestFit="1" customWidth="1"/>
    <col min="6156" max="6156" width="12.7109375" style="143" customWidth="1"/>
    <col min="6157" max="6157" width="13.7109375" style="143" bestFit="1" customWidth="1"/>
    <col min="6158" max="6158" width="12.7109375" style="143" customWidth="1"/>
    <col min="6159" max="6159" width="14.42578125" style="143" bestFit="1" customWidth="1"/>
    <col min="6160" max="6160" width="13.7109375" style="143" bestFit="1" customWidth="1"/>
    <col min="6161" max="6161" width="12.140625" style="143" bestFit="1" customWidth="1"/>
    <col min="6162" max="6162" width="11.7109375" style="143" bestFit="1" customWidth="1"/>
    <col min="6163" max="6164" width="10.85546875" style="143" bestFit="1" customWidth="1"/>
    <col min="6165" max="6165" width="8.42578125" style="143" bestFit="1" customWidth="1"/>
    <col min="6166" max="6166" width="10.85546875" style="143" bestFit="1" customWidth="1"/>
    <col min="6167" max="6167" width="11" style="143" bestFit="1" customWidth="1"/>
    <col min="6168" max="6396" width="8.85546875" style="143"/>
    <col min="6397" max="6397" width="10.42578125" style="143" customWidth="1"/>
    <col min="6398" max="6398" width="8.140625" style="143" bestFit="1" customWidth="1"/>
    <col min="6399" max="6399" width="9.140625" style="143" bestFit="1" customWidth="1"/>
    <col min="6400" max="6400" width="32.5703125" style="143" bestFit="1" customWidth="1"/>
    <col min="6401" max="6401" width="31.5703125" style="143" customWidth="1"/>
    <col min="6402" max="6402" width="13.7109375" style="143" bestFit="1" customWidth="1"/>
    <col min="6403" max="6403" width="12.140625" style="143" bestFit="1" customWidth="1"/>
    <col min="6404" max="6404" width="12.7109375" style="143" bestFit="1" customWidth="1"/>
    <col min="6405" max="6405" width="12.7109375" style="143" customWidth="1"/>
    <col min="6406" max="6406" width="13.7109375" style="143" bestFit="1" customWidth="1"/>
    <col min="6407" max="6407" width="14" style="143" bestFit="1" customWidth="1"/>
    <col min="6408" max="6408" width="12.140625" style="143" bestFit="1" customWidth="1"/>
    <col min="6409" max="6409" width="14.42578125" style="143" bestFit="1" customWidth="1"/>
    <col min="6410" max="6410" width="12.140625" style="143" bestFit="1" customWidth="1"/>
    <col min="6411" max="6411" width="12.7109375" style="143" bestFit="1" customWidth="1"/>
    <col min="6412" max="6412" width="12.7109375" style="143" customWidth="1"/>
    <col min="6413" max="6413" width="13.7109375" style="143" bestFit="1" customWidth="1"/>
    <col min="6414" max="6414" width="12.7109375" style="143" customWidth="1"/>
    <col min="6415" max="6415" width="14.42578125" style="143" bestFit="1" customWidth="1"/>
    <col min="6416" max="6416" width="13.7109375" style="143" bestFit="1" customWidth="1"/>
    <col min="6417" max="6417" width="12.140625" style="143" bestFit="1" customWidth="1"/>
    <col min="6418" max="6418" width="11.7109375" style="143" bestFit="1" customWidth="1"/>
    <col min="6419" max="6420" width="10.85546875" style="143" bestFit="1" customWidth="1"/>
    <col min="6421" max="6421" width="8.42578125" style="143" bestFit="1" customWidth="1"/>
    <col min="6422" max="6422" width="10.85546875" style="143" bestFit="1" customWidth="1"/>
    <col min="6423" max="6423" width="11" style="143" bestFit="1" customWidth="1"/>
    <col min="6424" max="6652" width="8.85546875" style="143"/>
    <col min="6653" max="6653" width="10.42578125" style="143" customWidth="1"/>
    <col min="6654" max="6654" width="8.140625" style="143" bestFit="1" customWidth="1"/>
    <col min="6655" max="6655" width="9.140625" style="143" bestFit="1" customWidth="1"/>
    <col min="6656" max="6656" width="32.5703125" style="143" bestFit="1" customWidth="1"/>
    <col min="6657" max="6657" width="31.5703125" style="143" customWidth="1"/>
    <col min="6658" max="6658" width="13.7109375" style="143" bestFit="1" customWidth="1"/>
    <col min="6659" max="6659" width="12.140625" style="143" bestFit="1" customWidth="1"/>
    <col min="6660" max="6660" width="12.7109375" style="143" bestFit="1" customWidth="1"/>
    <col min="6661" max="6661" width="12.7109375" style="143" customWidth="1"/>
    <col min="6662" max="6662" width="13.7109375" style="143" bestFit="1" customWidth="1"/>
    <col min="6663" max="6663" width="14" style="143" bestFit="1" customWidth="1"/>
    <col min="6664" max="6664" width="12.140625" style="143" bestFit="1" customWidth="1"/>
    <col min="6665" max="6665" width="14.42578125" style="143" bestFit="1" customWidth="1"/>
    <col min="6666" max="6666" width="12.140625" style="143" bestFit="1" customWidth="1"/>
    <col min="6667" max="6667" width="12.7109375" style="143" bestFit="1" customWidth="1"/>
    <col min="6668" max="6668" width="12.7109375" style="143" customWidth="1"/>
    <col min="6669" max="6669" width="13.7109375" style="143" bestFit="1" customWidth="1"/>
    <col min="6670" max="6670" width="12.7109375" style="143" customWidth="1"/>
    <col min="6671" max="6671" width="14.42578125" style="143" bestFit="1" customWidth="1"/>
    <col min="6672" max="6672" width="13.7109375" style="143" bestFit="1" customWidth="1"/>
    <col min="6673" max="6673" width="12.140625" style="143" bestFit="1" customWidth="1"/>
    <col min="6674" max="6674" width="11.7109375" style="143" bestFit="1" customWidth="1"/>
    <col min="6675" max="6676" width="10.85546875" style="143" bestFit="1" customWidth="1"/>
    <col min="6677" max="6677" width="8.42578125" style="143" bestFit="1" customWidth="1"/>
    <col min="6678" max="6678" width="10.85546875" style="143" bestFit="1" customWidth="1"/>
    <col min="6679" max="6679" width="11" style="143" bestFit="1" customWidth="1"/>
    <col min="6680" max="6908" width="8.85546875" style="143"/>
    <col min="6909" max="6909" width="10.42578125" style="143" customWidth="1"/>
    <col min="6910" max="6910" width="8.140625" style="143" bestFit="1" customWidth="1"/>
    <col min="6911" max="6911" width="9.140625" style="143" bestFit="1" customWidth="1"/>
    <col min="6912" max="6912" width="32.5703125" style="143" bestFit="1" customWidth="1"/>
    <col min="6913" max="6913" width="31.5703125" style="143" customWidth="1"/>
    <col min="6914" max="6914" width="13.7109375" style="143" bestFit="1" customWidth="1"/>
    <col min="6915" max="6915" width="12.140625" style="143" bestFit="1" customWidth="1"/>
    <col min="6916" max="6916" width="12.7109375" style="143" bestFit="1" customWidth="1"/>
    <col min="6917" max="6917" width="12.7109375" style="143" customWidth="1"/>
    <col min="6918" max="6918" width="13.7109375" style="143" bestFit="1" customWidth="1"/>
    <col min="6919" max="6919" width="14" style="143" bestFit="1" customWidth="1"/>
    <col min="6920" max="6920" width="12.140625" style="143" bestFit="1" customWidth="1"/>
    <col min="6921" max="6921" width="14.42578125" style="143" bestFit="1" customWidth="1"/>
    <col min="6922" max="6922" width="12.140625" style="143" bestFit="1" customWidth="1"/>
    <col min="6923" max="6923" width="12.7109375" style="143" bestFit="1" customWidth="1"/>
    <col min="6924" max="6924" width="12.7109375" style="143" customWidth="1"/>
    <col min="6925" max="6925" width="13.7109375" style="143" bestFit="1" customWidth="1"/>
    <col min="6926" max="6926" width="12.7109375" style="143" customWidth="1"/>
    <col min="6927" max="6927" width="14.42578125" style="143" bestFit="1" customWidth="1"/>
    <col min="6928" max="6928" width="13.7109375" style="143" bestFit="1" customWidth="1"/>
    <col min="6929" max="6929" width="12.140625" style="143" bestFit="1" customWidth="1"/>
    <col min="6930" max="6930" width="11.7109375" style="143" bestFit="1" customWidth="1"/>
    <col min="6931" max="6932" width="10.85546875" style="143" bestFit="1" customWidth="1"/>
    <col min="6933" max="6933" width="8.42578125" style="143" bestFit="1" customWidth="1"/>
    <col min="6934" max="6934" width="10.85546875" style="143" bestFit="1" customWidth="1"/>
    <col min="6935" max="6935" width="11" style="143" bestFit="1" customWidth="1"/>
    <col min="6936" max="7164" width="8.85546875" style="143"/>
    <col min="7165" max="7165" width="10.42578125" style="143" customWidth="1"/>
    <col min="7166" max="7166" width="8.140625" style="143" bestFit="1" customWidth="1"/>
    <col min="7167" max="7167" width="9.140625" style="143" bestFit="1" customWidth="1"/>
    <col min="7168" max="7168" width="32.5703125" style="143" bestFit="1" customWidth="1"/>
    <col min="7169" max="7169" width="31.5703125" style="143" customWidth="1"/>
    <col min="7170" max="7170" width="13.7109375" style="143" bestFit="1" customWidth="1"/>
    <col min="7171" max="7171" width="12.140625" style="143" bestFit="1" customWidth="1"/>
    <col min="7172" max="7172" width="12.7109375" style="143" bestFit="1" customWidth="1"/>
    <col min="7173" max="7173" width="12.7109375" style="143" customWidth="1"/>
    <col min="7174" max="7174" width="13.7109375" style="143" bestFit="1" customWidth="1"/>
    <col min="7175" max="7175" width="14" style="143" bestFit="1" customWidth="1"/>
    <col min="7176" max="7176" width="12.140625" style="143" bestFit="1" customWidth="1"/>
    <col min="7177" max="7177" width="14.42578125" style="143" bestFit="1" customWidth="1"/>
    <col min="7178" max="7178" width="12.140625" style="143" bestFit="1" customWidth="1"/>
    <col min="7179" max="7179" width="12.7109375" style="143" bestFit="1" customWidth="1"/>
    <col min="7180" max="7180" width="12.7109375" style="143" customWidth="1"/>
    <col min="7181" max="7181" width="13.7109375" style="143" bestFit="1" customWidth="1"/>
    <col min="7182" max="7182" width="12.7109375" style="143" customWidth="1"/>
    <col min="7183" max="7183" width="14.42578125" style="143" bestFit="1" customWidth="1"/>
    <col min="7184" max="7184" width="13.7109375" style="143" bestFit="1" customWidth="1"/>
    <col min="7185" max="7185" width="12.140625" style="143" bestFit="1" customWidth="1"/>
    <col min="7186" max="7186" width="11.7109375" style="143" bestFit="1" customWidth="1"/>
    <col min="7187" max="7188" width="10.85546875" style="143" bestFit="1" customWidth="1"/>
    <col min="7189" max="7189" width="8.42578125" style="143" bestFit="1" customWidth="1"/>
    <col min="7190" max="7190" width="10.85546875" style="143" bestFit="1" customWidth="1"/>
    <col min="7191" max="7191" width="11" style="143" bestFit="1" customWidth="1"/>
    <col min="7192" max="7420" width="8.85546875" style="143"/>
    <col min="7421" max="7421" width="10.42578125" style="143" customWidth="1"/>
    <col min="7422" max="7422" width="8.140625" style="143" bestFit="1" customWidth="1"/>
    <col min="7423" max="7423" width="9.140625" style="143" bestFit="1" customWidth="1"/>
    <col min="7424" max="7424" width="32.5703125" style="143" bestFit="1" customWidth="1"/>
    <col min="7425" max="7425" width="31.5703125" style="143" customWidth="1"/>
    <col min="7426" max="7426" width="13.7109375" style="143" bestFit="1" customWidth="1"/>
    <col min="7427" max="7427" width="12.140625" style="143" bestFit="1" customWidth="1"/>
    <col min="7428" max="7428" width="12.7109375" style="143" bestFit="1" customWidth="1"/>
    <col min="7429" max="7429" width="12.7109375" style="143" customWidth="1"/>
    <col min="7430" max="7430" width="13.7109375" style="143" bestFit="1" customWidth="1"/>
    <col min="7431" max="7431" width="14" style="143" bestFit="1" customWidth="1"/>
    <col min="7432" max="7432" width="12.140625" style="143" bestFit="1" customWidth="1"/>
    <col min="7433" max="7433" width="14.42578125" style="143" bestFit="1" customWidth="1"/>
    <col min="7434" max="7434" width="12.140625" style="143" bestFit="1" customWidth="1"/>
    <col min="7435" max="7435" width="12.7109375" style="143" bestFit="1" customWidth="1"/>
    <col min="7436" max="7436" width="12.7109375" style="143" customWidth="1"/>
    <col min="7437" max="7437" width="13.7109375" style="143" bestFit="1" customWidth="1"/>
    <col min="7438" max="7438" width="12.7109375" style="143" customWidth="1"/>
    <col min="7439" max="7439" width="14.42578125" style="143" bestFit="1" customWidth="1"/>
    <col min="7440" max="7440" width="13.7109375" style="143" bestFit="1" customWidth="1"/>
    <col min="7441" max="7441" width="12.140625" style="143" bestFit="1" customWidth="1"/>
    <col min="7442" max="7442" width="11.7109375" style="143" bestFit="1" customWidth="1"/>
    <col min="7443" max="7444" width="10.85546875" style="143" bestFit="1" customWidth="1"/>
    <col min="7445" max="7445" width="8.42578125" style="143" bestFit="1" customWidth="1"/>
    <col min="7446" max="7446" width="10.85546875" style="143" bestFit="1" customWidth="1"/>
    <col min="7447" max="7447" width="11" style="143" bestFit="1" customWidth="1"/>
    <col min="7448" max="7676" width="8.85546875" style="143"/>
    <col min="7677" max="7677" width="10.42578125" style="143" customWidth="1"/>
    <col min="7678" max="7678" width="8.140625" style="143" bestFit="1" customWidth="1"/>
    <col min="7679" max="7679" width="9.140625" style="143" bestFit="1" customWidth="1"/>
    <col min="7680" max="7680" width="32.5703125" style="143" bestFit="1" customWidth="1"/>
    <col min="7681" max="7681" width="31.5703125" style="143" customWidth="1"/>
    <col min="7682" max="7682" width="13.7109375" style="143" bestFit="1" customWidth="1"/>
    <col min="7683" max="7683" width="12.140625" style="143" bestFit="1" customWidth="1"/>
    <col min="7684" max="7684" width="12.7109375" style="143" bestFit="1" customWidth="1"/>
    <col min="7685" max="7685" width="12.7109375" style="143" customWidth="1"/>
    <col min="7686" max="7686" width="13.7109375" style="143" bestFit="1" customWidth="1"/>
    <col min="7687" max="7687" width="14" style="143" bestFit="1" customWidth="1"/>
    <col min="7688" max="7688" width="12.140625" style="143" bestFit="1" customWidth="1"/>
    <col min="7689" max="7689" width="14.42578125" style="143" bestFit="1" customWidth="1"/>
    <col min="7690" max="7690" width="12.140625" style="143" bestFit="1" customWidth="1"/>
    <col min="7691" max="7691" width="12.7109375" style="143" bestFit="1" customWidth="1"/>
    <col min="7692" max="7692" width="12.7109375" style="143" customWidth="1"/>
    <col min="7693" max="7693" width="13.7109375" style="143" bestFit="1" customWidth="1"/>
    <col min="7694" max="7694" width="12.7109375" style="143" customWidth="1"/>
    <col min="7695" max="7695" width="14.42578125" style="143" bestFit="1" customWidth="1"/>
    <col min="7696" max="7696" width="13.7109375" style="143" bestFit="1" customWidth="1"/>
    <col min="7697" max="7697" width="12.140625" style="143" bestFit="1" customWidth="1"/>
    <col min="7698" max="7698" width="11.7109375" style="143" bestFit="1" customWidth="1"/>
    <col min="7699" max="7700" width="10.85546875" style="143" bestFit="1" customWidth="1"/>
    <col min="7701" max="7701" width="8.42578125" style="143" bestFit="1" customWidth="1"/>
    <col min="7702" max="7702" width="10.85546875" style="143" bestFit="1" customWidth="1"/>
    <col min="7703" max="7703" width="11" style="143" bestFit="1" customWidth="1"/>
    <col min="7704" max="7932" width="8.85546875" style="143"/>
    <col min="7933" max="7933" width="10.42578125" style="143" customWidth="1"/>
    <col min="7934" max="7934" width="8.140625" style="143" bestFit="1" customWidth="1"/>
    <col min="7935" max="7935" width="9.140625" style="143" bestFit="1" customWidth="1"/>
    <col min="7936" max="7936" width="32.5703125" style="143" bestFit="1" customWidth="1"/>
    <col min="7937" max="7937" width="31.5703125" style="143" customWidth="1"/>
    <col min="7938" max="7938" width="13.7109375" style="143" bestFit="1" customWidth="1"/>
    <col min="7939" max="7939" width="12.140625" style="143" bestFit="1" customWidth="1"/>
    <col min="7940" max="7940" width="12.7109375" style="143" bestFit="1" customWidth="1"/>
    <col min="7941" max="7941" width="12.7109375" style="143" customWidth="1"/>
    <col min="7942" max="7942" width="13.7109375" style="143" bestFit="1" customWidth="1"/>
    <col min="7943" max="7943" width="14" style="143" bestFit="1" customWidth="1"/>
    <col min="7944" max="7944" width="12.140625" style="143" bestFit="1" customWidth="1"/>
    <col min="7945" max="7945" width="14.42578125" style="143" bestFit="1" customWidth="1"/>
    <col min="7946" max="7946" width="12.140625" style="143" bestFit="1" customWidth="1"/>
    <col min="7947" max="7947" width="12.7109375" style="143" bestFit="1" customWidth="1"/>
    <col min="7948" max="7948" width="12.7109375" style="143" customWidth="1"/>
    <col min="7949" max="7949" width="13.7109375" style="143" bestFit="1" customWidth="1"/>
    <col min="7950" max="7950" width="12.7109375" style="143" customWidth="1"/>
    <col min="7951" max="7951" width="14.42578125" style="143" bestFit="1" customWidth="1"/>
    <col min="7952" max="7952" width="13.7109375" style="143" bestFit="1" customWidth="1"/>
    <col min="7953" max="7953" width="12.140625" style="143" bestFit="1" customWidth="1"/>
    <col min="7954" max="7954" width="11.7109375" style="143" bestFit="1" customWidth="1"/>
    <col min="7955" max="7956" width="10.85546875" style="143" bestFit="1" customWidth="1"/>
    <col min="7957" max="7957" width="8.42578125" style="143" bestFit="1" customWidth="1"/>
    <col min="7958" max="7958" width="10.85546875" style="143" bestFit="1" customWidth="1"/>
    <col min="7959" max="7959" width="11" style="143" bestFit="1" customWidth="1"/>
    <col min="7960" max="8188" width="8.85546875" style="143"/>
    <col min="8189" max="8189" width="10.42578125" style="143" customWidth="1"/>
    <col min="8190" max="8190" width="8.140625" style="143" bestFit="1" customWidth="1"/>
    <col min="8191" max="8191" width="9.140625" style="143" bestFit="1" customWidth="1"/>
    <col min="8192" max="8192" width="32.5703125" style="143" bestFit="1" customWidth="1"/>
    <col min="8193" max="8193" width="31.5703125" style="143" customWidth="1"/>
    <col min="8194" max="8194" width="13.7109375" style="143" bestFit="1" customWidth="1"/>
    <col min="8195" max="8195" width="12.140625" style="143" bestFit="1" customWidth="1"/>
    <col min="8196" max="8196" width="12.7109375" style="143" bestFit="1" customWidth="1"/>
    <col min="8197" max="8197" width="12.7109375" style="143" customWidth="1"/>
    <col min="8198" max="8198" width="13.7109375" style="143" bestFit="1" customWidth="1"/>
    <col min="8199" max="8199" width="14" style="143" bestFit="1" customWidth="1"/>
    <col min="8200" max="8200" width="12.140625" style="143" bestFit="1" customWidth="1"/>
    <col min="8201" max="8201" width="14.42578125" style="143" bestFit="1" customWidth="1"/>
    <col min="8202" max="8202" width="12.140625" style="143" bestFit="1" customWidth="1"/>
    <col min="8203" max="8203" width="12.7109375" style="143" bestFit="1" customWidth="1"/>
    <col min="8204" max="8204" width="12.7109375" style="143" customWidth="1"/>
    <col min="8205" max="8205" width="13.7109375" style="143" bestFit="1" customWidth="1"/>
    <col min="8206" max="8206" width="12.7109375" style="143" customWidth="1"/>
    <col min="8207" max="8207" width="14.42578125" style="143" bestFit="1" customWidth="1"/>
    <col min="8208" max="8208" width="13.7109375" style="143" bestFit="1" customWidth="1"/>
    <col min="8209" max="8209" width="12.140625" style="143" bestFit="1" customWidth="1"/>
    <col min="8210" max="8210" width="11.7109375" style="143" bestFit="1" customWidth="1"/>
    <col min="8211" max="8212" width="10.85546875" style="143" bestFit="1" customWidth="1"/>
    <col min="8213" max="8213" width="8.42578125" style="143" bestFit="1" customWidth="1"/>
    <col min="8214" max="8214" width="10.85546875" style="143" bestFit="1" customWidth="1"/>
    <col min="8215" max="8215" width="11" style="143" bestFit="1" customWidth="1"/>
    <col min="8216" max="8444" width="8.85546875" style="143"/>
    <col min="8445" max="8445" width="10.42578125" style="143" customWidth="1"/>
    <col min="8446" max="8446" width="8.140625" style="143" bestFit="1" customWidth="1"/>
    <col min="8447" max="8447" width="9.140625" style="143" bestFit="1" customWidth="1"/>
    <col min="8448" max="8448" width="32.5703125" style="143" bestFit="1" customWidth="1"/>
    <col min="8449" max="8449" width="31.5703125" style="143" customWidth="1"/>
    <col min="8450" max="8450" width="13.7109375" style="143" bestFit="1" customWidth="1"/>
    <col min="8451" max="8451" width="12.140625" style="143" bestFit="1" customWidth="1"/>
    <col min="8452" max="8452" width="12.7109375" style="143" bestFit="1" customWidth="1"/>
    <col min="8453" max="8453" width="12.7109375" style="143" customWidth="1"/>
    <col min="8454" max="8454" width="13.7109375" style="143" bestFit="1" customWidth="1"/>
    <col min="8455" max="8455" width="14" style="143" bestFit="1" customWidth="1"/>
    <col min="8456" max="8456" width="12.140625" style="143" bestFit="1" customWidth="1"/>
    <col min="8457" max="8457" width="14.42578125" style="143" bestFit="1" customWidth="1"/>
    <col min="8458" max="8458" width="12.140625" style="143" bestFit="1" customWidth="1"/>
    <col min="8459" max="8459" width="12.7109375" style="143" bestFit="1" customWidth="1"/>
    <col min="8460" max="8460" width="12.7109375" style="143" customWidth="1"/>
    <col min="8461" max="8461" width="13.7109375" style="143" bestFit="1" customWidth="1"/>
    <col min="8462" max="8462" width="12.7109375" style="143" customWidth="1"/>
    <col min="8463" max="8463" width="14.42578125" style="143" bestFit="1" customWidth="1"/>
    <col min="8464" max="8464" width="13.7109375" style="143" bestFit="1" customWidth="1"/>
    <col min="8465" max="8465" width="12.140625" style="143" bestFit="1" customWidth="1"/>
    <col min="8466" max="8466" width="11.7109375" style="143" bestFit="1" customWidth="1"/>
    <col min="8467" max="8468" width="10.85546875" style="143" bestFit="1" customWidth="1"/>
    <col min="8469" max="8469" width="8.42578125" style="143" bestFit="1" customWidth="1"/>
    <col min="8470" max="8470" width="10.85546875" style="143" bestFit="1" customWidth="1"/>
    <col min="8471" max="8471" width="11" style="143" bestFit="1" customWidth="1"/>
    <col min="8472" max="8700" width="8.85546875" style="143"/>
    <col min="8701" max="8701" width="10.42578125" style="143" customWidth="1"/>
    <col min="8702" max="8702" width="8.140625" style="143" bestFit="1" customWidth="1"/>
    <col min="8703" max="8703" width="9.140625" style="143" bestFit="1" customWidth="1"/>
    <col min="8704" max="8704" width="32.5703125" style="143" bestFit="1" customWidth="1"/>
    <col min="8705" max="8705" width="31.5703125" style="143" customWidth="1"/>
    <col min="8706" max="8706" width="13.7109375" style="143" bestFit="1" customWidth="1"/>
    <col min="8707" max="8707" width="12.140625" style="143" bestFit="1" customWidth="1"/>
    <col min="8708" max="8708" width="12.7109375" style="143" bestFit="1" customWidth="1"/>
    <col min="8709" max="8709" width="12.7109375" style="143" customWidth="1"/>
    <col min="8710" max="8710" width="13.7109375" style="143" bestFit="1" customWidth="1"/>
    <col min="8711" max="8711" width="14" style="143" bestFit="1" customWidth="1"/>
    <col min="8712" max="8712" width="12.140625" style="143" bestFit="1" customWidth="1"/>
    <col min="8713" max="8713" width="14.42578125" style="143" bestFit="1" customWidth="1"/>
    <col min="8714" max="8714" width="12.140625" style="143" bestFit="1" customWidth="1"/>
    <col min="8715" max="8715" width="12.7109375" style="143" bestFit="1" customWidth="1"/>
    <col min="8716" max="8716" width="12.7109375" style="143" customWidth="1"/>
    <col min="8717" max="8717" width="13.7109375" style="143" bestFit="1" customWidth="1"/>
    <col min="8718" max="8718" width="12.7109375" style="143" customWidth="1"/>
    <col min="8719" max="8719" width="14.42578125" style="143" bestFit="1" customWidth="1"/>
    <col min="8720" max="8720" width="13.7109375" style="143" bestFit="1" customWidth="1"/>
    <col min="8721" max="8721" width="12.140625" style="143" bestFit="1" customWidth="1"/>
    <col min="8722" max="8722" width="11.7109375" style="143" bestFit="1" customWidth="1"/>
    <col min="8723" max="8724" width="10.85546875" style="143" bestFit="1" customWidth="1"/>
    <col min="8725" max="8725" width="8.42578125" style="143" bestFit="1" customWidth="1"/>
    <col min="8726" max="8726" width="10.85546875" style="143" bestFit="1" customWidth="1"/>
    <col min="8727" max="8727" width="11" style="143" bestFit="1" customWidth="1"/>
    <col min="8728" max="8956" width="8.85546875" style="143"/>
    <col min="8957" max="8957" width="10.42578125" style="143" customWidth="1"/>
    <col min="8958" max="8958" width="8.140625" style="143" bestFit="1" customWidth="1"/>
    <col min="8959" max="8959" width="9.140625" style="143" bestFit="1" customWidth="1"/>
    <col min="8960" max="8960" width="32.5703125" style="143" bestFit="1" customWidth="1"/>
    <col min="8961" max="8961" width="31.5703125" style="143" customWidth="1"/>
    <col min="8962" max="8962" width="13.7109375" style="143" bestFit="1" customWidth="1"/>
    <col min="8963" max="8963" width="12.140625" style="143" bestFit="1" customWidth="1"/>
    <col min="8964" max="8964" width="12.7109375" style="143" bestFit="1" customWidth="1"/>
    <col min="8965" max="8965" width="12.7109375" style="143" customWidth="1"/>
    <col min="8966" max="8966" width="13.7109375" style="143" bestFit="1" customWidth="1"/>
    <col min="8967" max="8967" width="14" style="143" bestFit="1" customWidth="1"/>
    <col min="8968" max="8968" width="12.140625" style="143" bestFit="1" customWidth="1"/>
    <col min="8969" max="8969" width="14.42578125" style="143" bestFit="1" customWidth="1"/>
    <col min="8970" max="8970" width="12.140625" style="143" bestFit="1" customWidth="1"/>
    <col min="8971" max="8971" width="12.7109375" style="143" bestFit="1" customWidth="1"/>
    <col min="8972" max="8972" width="12.7109375" style="143" customWidth="1"/>
    <col min="8973" max="8973" width="13.7109375" style="143" bestFit="1" customWidth="1"/>
    <col min="8974" max="8974" width="12.7109375" style="143" customWidth="1"/>
    <col min="8975" max="8975" width="14.42578125" style="143" bestFit="1" customWidth="1"/>
    <col min="8976" max="8976" width="13.7109375" style="143" bestFit="1" customWidth="1"/>
    <col min="8977" max="8977" width="12.140625" style="143" bestFit="1" customWidth="1"/>
    <col min="8978" max="8978" width="11.7109375" style="143" bestFit="1" customWidth="1"/>
    <col min="8979" max="8980" width="10.85546875" style="143" bestFit="1" customWidth="1"/>
    <col min="8981" max="8981" width="8.42578125" style="143" bestFit="1" customWidth="1"/>
    <col min="8982" max="8982" width="10.85546875" style="143" bestFit="1" customWidth="1"/>
    <col min="8983" max="8983" width="11" style="143" bestFit="1" customWidth="1"/>
    <col min="8984" max="9212" width="8.85546875" style="143"/>
    <col min="9213" max="9213" width="10.42578125" style="143" customWidth="1"/>
    <col min="9214" max="9214" width="8.140625" style="143" bestFit="1" customWidth="1"/>
    <col min="9215" max="9215" width="9.140625" style="143" bestFit="1" customWidth="1"/>
    <col min="9216" max="9216" width="32.5703125" style="143" bestFit="1" customWidth="1"/>
    <col min="9217" max="9217" width="31.5703125" style="143" customWidth="1"/>
    <col min="9218" max="9218" width="13.7109375" style="143" bestFit="1" customWidth="1"/>
    <col min="9219" max="9219" width="12.140625" style="143" bestFit="1" customWidth="1"/>
    <col min="9220" max="9220" width="12.7109375" style="143" bestFit="1" customWidth="1"/>
    <col min="9221" max="9221" width="12.7109375" style="143" customWidth="1"/>
    <col min="9222" max="9222" width="13.7109375" style="143" bestFit="1" customWidth="1"/>
    <col min="9223" max="9223" width="14" style="143" bestFit="1" customWidth="1"/>
    <col min="9224" max="9224" width="12.140625" style="143" bestFit="1" customWidth="1"/>
    <col min="9225" max="9225" width="14.42578125" style="143" bestFit="1" customWidth="1"/>
    <col min="9226" max="9226" width="12.140625" style="143" bestFit="1" customWidth="1"/>
    <col min="9227" max="9227" width="12.7109375" style="143" bestFit="1" customWidth="1"/>
    <col min="9228" max="9228" width="12.7109375" style="143" customWidth="1"/>
    <col min="9229" max="9229" width="13.7109375" style="143" bestFit="1" customWidth="1"/>
    <col min="9230" max="9230" width="12.7109375" style="143" customWidth="1"/>
    <col min="9231" max="9231" width="14.42578125" style="143" bestFit="1" customWidth="1"/>
    <col min="9232" max="9232" width="13.7109375" style="143" bestFit="1" customWidth="1"/>
    <col min="9233" max="9233" width="12.140625" style="143" bestFit="1" customWidth="1"/>
    <col min="9234" max="9234" width="11.7109375" style="143" bestFit="1" customWidth="1"/>
    <col min="9235" max="9236" width="10.85546875" style="143" bestFit="1" customWidth="1"/>
    <col min="9237" max="9237" width="8.42578125" style="143" bestFit="1" customWidth="1"/>
    <col min="9238" max="9238" width="10.85546875" style="143" bestFit="1" customWidth="1"/>
    <col min="9239" max="9239" width="11" style="143" bestFit="1" customWidth="1"/>
    <col min="9240" max="9468" width="8.85546875" style="143"/>
    <col min="9469" max="9469" width="10.42578125" style="143" customWidth="1"/>
    <col min="9470" max="9470" width="8.140625" style="143" bestFit="1" customWidth="1"/>
    <col min="9471" max="9471" width="9.140625" style="143" bestFit="1" customWidth="1"/>
    <col min="9472" max="9472" width="32.5703125" style="143" bestFit="1" customWidth="1"/>
    <col min="9473" max="9473" width="31.5703125" style="143" customWidth="1"/>
    <col min="9474" max="9474" width="13.7109375" style="143" bestFit="1" customWidth="1"/>
    <col min="9475" max="9475" width="12.140625" style="143" bestFit="1" customWidth="1"/>
    <col min="9476" max="9476" width="12.7109375" style="143" bestFit="1" customWidth="1"/>
    <col min="9477" max="9477" width="12.7109375" style="143" customWidth="1"/>
    <col min="9478" max="9478" width="13.7109375" style="143" bestFit="1" customWidth="1"/>
    <col min="9479" max="9479" width="14" style="143" bestFit="1" customWidth="1"/>
    <col min="9480" max="9480" width="12.140625" style="143" bestFit="1" customWidth="1"/>
    <col min="9481" max="9481" width="14.42578125" style="143" bestFit="1" customWidth="1"/>
    <col min="9482" max="9482" width="12.140625" style="143" bestFit="1" customWidth="1"/>
    <col min="9483" max="9483" width="12.7109375" style="143" bestFit="1" customWidth="1"/>
    <col min="9484" max="9484" width="12.7109375" style="143" customWidth="1"/>
    <col min="9485" max="9485" width="13.7109375" style="143" bestFit="1" customWidth="1"/>
    <col min="9486" max="9486" width="12.7109375" style="143" customWidth="1"/>
    <col min="9487" max="9487" width="14.42578125" style="143" bestFit="1" customWidth="1"/>
    <col min="9488" max="9488" width="13.7109375" style="143" bestFit="1" customWidth="1"/>
    <col min="9489" max="9489" width="12.140625" style="143" bestFit="1" customWidth="1"/>
    <col min="9490" max="9490" width="11.7109375" style="143" bestFit="1" customWidth="1"/>
    <col min="9491" max="9492" width="10.85546875" style="143" bestFit="1" customWidth="1"/>
    <col min="9493" max="9493" width="8.42578125" style="143" bestFit="1" customWidth="1"/>
    <col min="9494" max="9494" width="10.85546875" style="143" bestFit="1" customWidth="1"/>
    <col min="9495" max="9495" width="11" style="143" bestFit="1" customWidth="1"/>
    <col min="9496" max="9724" width="8.85546875" style="143"/>
    <col min="9725" max="9725" width="10.42578125" style="143" customWidth="1"/>
    <col min="9726" max="9726" width="8.140625" style="143" bestFit="1" customWidth="1"/>
    <col min="9727" max="9727" width="9.140625" style="143" bestFit="1" customWidth="1"/>
    <col min="9728" max="9728" width="32.5703125" style="143" bestFit="1" customWidth="1"/>
    <col min="9729" max="9729" width="31.5703125" style="143" customWidth="1"/>
    <col min="9730" max="9730" width="13.7109375" style="143" bestFit="1" customWidth="1"/>
    <col min="9731" max="9731" width="12.140625" style="143" bestFit="1" customWidth="1"/>
    <col min="9732" max="9732" width="12.7109375" style="143" bestFit="1" customWidth="1"/>
    <col min="9733" max="9733" width="12.7109375" style="143" customWidth="1"/>
    <col min="9734" max="9734" width="13.7109375" style="143" bestFit="1" customWidth="1"/>
    <col min="9735" max="9735" width="14" style="143" bestFit="1" customWidth="1"/>
    <col min="9736" max="9736" width="12.140625" style="143" bestFit="1" customWidth="1"/>
    <col min="9737" max="9737" width="14.42578125" style="143" bestFit="1" customWidth="1"/>
    <col min="9738" max="9738" width="12.140625" style="143" bestFit="1" customWidth="1"/>
    <col min="9739" max="9739" width="12.7109375" style="143" bestFit="1" customWidth="1"/>
    <col min="9740" max="9740" width="12.7109375" style="143" customWidth="1"/>
    <col min="9741" max="9741" width="13.7109375" style="143" bestFit="1" customWidth="1"/>
    <col min="9742" max="9742" width="12.7109375" style="143" customWidth="1"/>
    <col min="9743" max="9743" width="14.42578125" style="143" bestFit="1" customWidth="1"/>
    <col min="9744" max="9744" width="13.7109375" style="143" bestFit="1" customWidth="1"/>
    <col min="9745" max="9745" width="12.140625" style="143" bestFit="1" customWidth="1"/>
    <col min="9746" max="9746" width="11.7109375" style="143" bestFit="1" customWidth="1"/>
    <col min="9747" max="9748" width="10.85546875" style="143" bestFit="1" customWidth="1"/>
    <col min="9749" max="9749" width="8.42578125" style="143" bestFit="1" customWidth="1"/>
    <col min="9750" max="9750" width="10.85546875" style="143" bestFit="1" customWidth="1"/>
    <col min="9751" max="9751" width="11" style="143" bestFit="1" customWidth="1"/>
    <col min="9752" max="9980" width="8.85546875" style="143"/>
    <col min="9981" max="9981" width="10.42578125" style="143" customWidth="1"/>
    <col min="9982" max="9982" width="8.140625" style="143" bestFit="1" customWidth="1"/>
    <col min="9983" max="9983" width="9.140625" style="143" bestFit="1" customWidth="1"/>
    <col min="9984" max="9984" width="32.5703125" style="143" bestFit="1" customWidth="1"/>
    <col min="9985" max="9985" width="31.5703125" style="143" customWidth="1"/>
    <col min="9986" max="9986" width="13.7109375" style="143" bestFit="1" customWidth="1"/>
    <col min="9987" max="9987" width="12.140625" style="143" bestFit="1" customWidth="1"/>
    <col min="9988" max="9988" width="12.7109375" style="143" bestFit="1" customWidth="1"/>
    <col min="9989" max="9989" width="12.7109375" style="143" customWidth="1"/>
    <col min="9990" max="9990" width="13.7109375" style="143" bestFit="1" customWidth="1"/>
    <col min="9991" max="9991" width="14" style="143" bestFit="1" customWidth="1"/>
    <col min="9992" max="9992" width="12.140625" style="143" bestFit="1" customWidth="1"/>
    <col min="9993" max="9993" width="14.42578125" style="143" bestFit="1" customWidth="1"/>
    <col min="9994" max="9994" width="12.140625" style="143" bestFit="1" customWidth="1"/>
    <col min="9995" max="9995" width="12.7109375" style="143" bestFit="1" customWidth="1"/>
    <col min="9996" max="9996" width="12.7109375" style="143" customWidth="1"/>
    <col min="9997" max="9997" width="13.7109375" style="143" bestFit="1" customWidth="1"/>
    <col min="9998" max="9998" width="12.7109375" style="143" customWidth="1"/>
    <col min="9999" max="9999" width="14.42578125" style="143" bestFit="1" customWidth="1"/>
    <col min="10000" max="10000" width="13.7109375" style="143" bestFit="1" customWidth="1"/>
    <col min="10001" max="10001" width="12.140625" style="143" bestFit="1" customWidth="1"/>
    <col min="10002" max="10002" width="11.7109375" style="143" bestFit="1" customWidth="1"/>
    <col min="10003" max="10004" width="10.85546875" style="143" bestFit="1" customWidth="1"/>
    <col min="10005" max="10005" width="8.42578125" style="143" bestFit="1" customWidth="1"/>
    <col min="10006" max="10006" width="10.85546875" style="143" bestFit="1" customWidth="1"/>
    <col min="10007" max="10007" width="11" style="143" bestFit="1" customWidth="1"/>
    <col min="10008" max="10236" width="8.85546875" style="143"/>
    <col min="10237" max="10237" width="10.42578125" style="143" customWidth="1"/>
    <col min="10238" max="10238" width="8.140625" style="143" bestFit="1" customWidth="1"/>
    <col min="10239" max="10239" width="9.140625" style="143" bestFit="1" customWidth="1"/>
    <col min="10240" max="10240" width="32.5703125" style="143" bestFit="1" customWidth="1"/>
    <col min="10241" max="10241" width="31.5703125" style="143" customWidth="1"/>
    <col min="10242" max="10242" width="13.7109375" style="143" bestFit="1" customWidth="1"/>
    <col min="10243" max="10243" width="12.140625" style="143" bestFit="1" customWidth="1"/>
    <col min="10244" max="10244" width="12.7109375" style="143" bestFit="1" customWidth="1"/>
    <col min="10245" max="10245" width="12.7109375" style="143" customWidth="1"/>
    <col min="10246" max="10246" width="13.7109375" style="143" bestFit="1" customWidth="1"/>
    <col min="10247" max="10247" width="14" style="143" bestFit="1" customWidth="1"/>
    <col min="10248" max="10248" width="12.140625" style="143" bestFit="1" customWidth="1"/>
    <col min="10249" max="10249" width="14.42578125" style="143" bestFit="1" customWidth="1"/>
    <col min="10250" max="10250" width="12.140625" style="143" bestFit="1" customWidth="1"/>
    <col min="10251" max="10251" width="12.7109375" style="143" bestFit="1" customWidth="1"/>
    <col min="10252" max="10252" width="12.7109375" style="143" customWidth="1"/>
    <col min="10253" max="10253" width="13.7109375" style="143" bestFit="1" customWidth="1"/>
    <col min="10254" max="10254" width="12.7109375" style="143" customWidth="1"/>
    <col min="10255" max="10255" width="14.42578125" style="143" bestFit="1" customWidth="1"/>
    <col min="10256" max="10256" width="13.7109375" style="143" bestFit="1" customWidth="1"/>
    <col min="10257" max="10257" width="12.140625" style="143" bestFit="1" customWidth="1"/>
    <col min="10258" max="10258" width="11.7109375" style="143" bestFit="1" customWidth="1"/>
    <col min="10259" max="10260" width="10.85546875" style="143" bestFit="1" customWidth="1"/>
    <col min="10261" max="10261" width="8.42578125" style="143" bestFit="1" customWidth="1"/>
    <col min="10262" max="10262" width="10.85546875" style="143" bestFit="1" customWidth="1"/>
    <col min="10263" max="10263" width="11" style="143" bestFit="1" customWidth="1"/>
    <col min="10264" max="10492" width="8.85546875" style="143"/>
    <col min="10493" max="10493" width="10.42578125" style="143" customWidth="1"/>
    <col min="10494" max="10494" width="8.140625" style="143" bestFit="1" customWidth="1"/>
    <col min="10495" max="10495" width="9.140625" style="143" bestFit="1" customWidth="1"/>
    <col min="10496" max="10496" width="32.5703125" style="143" bestFit="1" customWidth="1"/>
    <col min="10497" max="10497" width="31.5703125" style="143" customWidth="1"/>
    <col min="10498" max="10498" width="13.7109375" style="143" bestFit="1" customWidth="1"/>
    <col min="10499" max="10499" width="12.140625" style="143" bestFit="1" customWidth="1"/>
    <col min="10500" max="10500" width="12.7109375" style="143" bestFit="1" customWidth="1"/>
    <col min="10501" max="10501" width="12.7109375" style="143" customWidth="1"/>
    <col min="10502" max="10502" width="13.7109375" style="143" bestFit="1" customWidth="1"/>
    <col min="10503" max="10503" width="14" style="143" bestFit="1" customWidth="1"/>
    <col min="10504" max="10504" width="12.140625" style="143" bestFit="1" customWidth="1"/>
    <col min="10505" max="10505" width="14.42578125" style="143" bestFit="1" customWidth="1"/>
    <col min="10506" max="10506" width="12.140625" style="143" bestFit="1" customWidth="1"/>
    <col min="10507" max="10507" width="12.7109375" style="143" bestFit="1" customWidth="1"/>
    <col min="10508" max="10508" width="12.7109375" style="143" customWidth="1"/>
    <col min="10509" max="10509" width="13.7109375" style="143" bestFit="1" customWidth="1"/>
    <col min="10510" max="10510" width="12.7109375" style="143" customWidth="1"/>
    <col min="10511" max="10511" width="14.42578125" style="143" bestFit="1" customWidth="1"/>
    <col min="10512" max="10512" width="13.7109375" style="143" bestFit="1" customWidth="1"/>
    <col min="10513" max="10513" width="12.140625" style="143" bestFit="1" customWidth="1"/>
    <col min="10514" max="10514" width="11.7109375" style="143" bestFit="1" customWidth="1"/>
    <col min="10515" max="10516" width="10.85546875" style="143" bestFit="1" customWidth="1"/>
    <col min="10517" max="10517" width="8.42578125" style="143" bestFit="1" customWidth="1"/>
    <col min="10518" max="10518" width="10.85546875" style="143" bestFit="1" customWidth="1"/>
    <col min="10519" max="10519" width="11" style="143" bestFit="1" customWidth="1"/>
    <col min="10520" max="10748" width="8.85546875" style="143"/>
    <col min="10749" max="10749" width="10.42578125" style="143" customWidth="1"/>
    <col min="10750" max="10750" width="8.140625" style="143" bestFit="1" customWidth="1"/>
    <col min="10751" max="10751" width="9.140625" style="143" bestFit="1" customWidth="1"/>
    <col min="10752" max="10752" width="32.5703125" style="143" bestFit="1" customWidth="1"/>
    <col min="10753" max="10753" width="31.5703125" style="143" customWidth="1"/>
    <col min="10754" max="10754" width="13.7109375" style="143" bestFit="1" customWidth="1"/>
    <col min="10755" max="10755" width="12.140625" style="143" bestFit="1" customWidth="1"/>
    <col min="10756" max="10756" width="12.7109375" style="143" bestFit="1" customWidth="1"/>
    <col min="10757" max="10757" width="12.7109375" style="143" customWidth="1"/>
    <col min="10758" max="10758" width="13.7109375" style="143" bestFit="1" customWidth="1"/>
    <col min="10759" max="10759" width="14" style="143" bestFit="1" customWidth="1"/>
    <col min="10760" max="10760" width="12.140625" style="143" bestFit="1" customWidth="1"/>
    <col min="10761" max="10761" width="14.42578125" style="143" bestFit="1" customWidth="1"/>
    <col min="10762" max="10762" width="12.140625" style="143" bestFit="1" customWidth="1"/>
    <col min="10763" max="10763" width="12.7109375" style="143" bestFit="1" customWidth="1"/>
    <col min="10764" max="10764" width="12.7109375" style="143" customWidth="1"/>
    <col min="10765" max="10765" width="13.7109375" style="143" bestFit="1" customWidth="1"/>
    <col min="10766" max="10766" width="12.7109375" style="143" customWidth="1"/>
    <col min="10767" max="10767" width="14.42578125" style="143" bestFit="1" customWidth="1"/>
    <col min="10768" max="10768" width="13.7109375" style="143" bestFit="1" customWidth="1"/>
    <col min="10769" max="10769" width="12.140625" style="143" bestFit="1" customWidth="1"/>
    <col min="10770" max="10770" width="11.7109375" style="143" bestFit="1" customWidth="1"/>
    <col min="10771" max="10772" width="10.85546875" style="143" bestFit="1" customWidth="1"/>
    <col min="10773" max="10773" width="8.42578125" style="143" bestFit="1" customWidth="1"/>
    <col min="10774" max="10774" width="10.85546875" style="143" bestFit="1" customWidth="1"/>
    <col min="10775" max="10775" width="11" style="143" bestFit="1" customWidth="1"/>
    <col min="10776" max="11004" width="8.85546875" style="143"/>
    <col min="11005" max="11005" width="10.42578125" style="143" customWidth="1"/>
    <col min="11006" max="11006" width="8.140625" style="143" bestFit="1" customWidth="1"/>
    <col min="11007" max="11007" width="9.140625" style="143" bestFit="1" customWidth="1"/>
    <col min="11008" max="11008" width="32.5703125" style="143" bestFit="1" customWidth="1"/>
    <col min="11009" max="11009" width="31.5703125" style="143" customWidth="1"/>
    <col min="11010" max="11010" width="13.7109375" style="143" bestFit="1" customWidth="1"/>
    <col min="11011" max="11011" width="12.140625" style="143" bestFit="1" customWidth="1"/>
    <col min="11012" max="11012" width="12.7109375" style="143" bestFit="1" customWidth="1"/>
    <col min="11013" max="11013" width="12.7109375" style="143" customWidth="1"/>
    <col min="11014" max="11014" width="13.7109375" style="143" bestFit="1" customWidth="1"/>
    <col min="11015" max="11015" width="14" style="143" bestFit="1" customWidth="1"/>
    <col min="11016" max="11016" width="12.140625" style="143" bestFit="1" customWidth="1"/>
    <col min="11017" max="11017" width="14.42578125" style="143" bestFit="1" customWidth="1"/>
    <col min="11018" max="11018" width="12.140625" style="143" bestFit="1" customWidth="1"/>
    <col min="11019" max="11019" width="12.7109375" style="143" bestFit="1" customWidth="1"/>
    <col min="11020" max="11020" width="12.7109375" style="143" customWidth="1"/>
    <col min="11021" max="11021" width="13.7109375" style="143" bestFit="1" customWidth="1"/>
    <col min="11022" max="11022" width="12.7109375" style="143" customWidth="1"/>
    <col min="11023" max="11023" width="14.42578125" style="143" bestFit="1" customWidth="1"/>
    <col min="11024" max="11024" width="13.7109375" style="143" bestFit="1" customWidth="1"/>
    <col min="11025" max="11025" width="12.140625" style="143" bestFit="1" customWidth="1"/>
    <col min="11026" max="11026" width="11.7109375" style="143" bestFit="1" customWidth="1"/>
    <col min="11027" max="11028" width="10.85546875" style="143" bestFit="1" customWidth="1"/>
    <col min="11029" max="11029" width="8.42578125" style="143" bestFit="1" customWidth="1"/>
    <col min="11030" max="11030" width="10.85546875" style="143" bestFit="1" customWidth="1"/>
    <col min="11031" max="11031" width="11" style="143" bestFit="1" customWidth="1"/>
    <col min="11032" max="11260" width="8.85546875" style="143"/>
    <col min="11261" max="11261" width="10.42578125" style="143" customWidth="1"/>
    <col min="11262" max="11262" width="8.140625" style="143" bestFit="1" customWidth="1"/>
    <col min="11263" max="11263" width="9.140625" style="143" bestFit="1" customWidth="1"/>
    <col min="11264" max="11264" width="32.5703125" style="143" bestFit="1" customWidth="1"/>
    <col min="11265" max="11265" width="31.5703125" style="143" customWidth="1"/>
    <col min="11266" max="11266" width="13.7109375" style="143" bestFit="1" customWidth="1"/>
    <col min="11267" max="11267" width="12.140625" style="143" bestFit="1" customWidth="1"/>
    <col min="11268" max="11268" width="12.7109375" style="143" bestFit="1" customWidth="1"/>
    <col min="11269" max="11269" width="12.7109375" style="143" customWidth="1"/>
    <col min="11270" max="11270" width="13.7109375" style="143" bestFit="1" customWidth="1"/>
    <col min="11271" max="11271" width="14" style="143" bestFit="1" customWidth="1"/>
    <col min="11272" max="11272" width="12.140625" style="143" bestFit="1" customWidth="1"/>
    <col min="11273" max="11273" width="14.42578125" style="143" bestFit="1" customWidth="1"/>
    <col min="11274" max="11274" width="12.140625" style="143" bestFit="1" customWidth="1"/>
    <col min="11275" max="11275" width="12.7109375" style="143" bestFit="1" customWidth="1"/>
    <col min="11276" max="11276" width="12.7109375" style="143" customWidth="1"/>
    <col min="11277" max="11277" width="13.7109375" style="143" bestFit="1" customWidth="1"/>
    <col min="11278" max="11278" width="12.7109375" style="143" customWidth="1"/>
    <col min="11279" max="11279" width="14.42578125" style="143" bestFit="1" customWidth="1"/>
    <col min="11280" max="11280" width="13.7109375" style="143" bestFit="1" customWidth="1"/>
    <col min="11281" max="11281" width="12.140625" style="143" bestFit="1" customWidth="1"/>
    <col min="11282" max="11282" width="11.7109375" style="143" bestFit="1" customWidth="1"/>
    <col min="11283" max="11284" width="10.85546875" style="143" bestFit="1" customWidth="1"/>
    <col min="11285" max="11285" width="8.42578125" style="143" bestFit="1" customWidth="1"/>
    <col min="11286" max="11286" width="10.85546875" style="143" bestFit="1" customWidth="1"/>
    <col min="11287" max="11287" width="11" style="143" bestFit="1" customWidth="1"/>
    <col min="11288" max="11516" width="8.85546875" style="143"/>
    <col min="11517" max="11517" width="10.42578125" style="143" customWidth="1"/>
    <col min="11518" max="11518" width="8.140625" style="143" bestFit="1" customWidth="1"/>
    <col min="11519" max="11519" width="9.140625" style="143" bestFit="1" customWidth="1"/>
    <col min="11520" max="11520" width="32.5703125" style="143" bestFit="1" customWidth="1"/>
    <col min="11521" max="11521" width="31.5703125" style="143" customWidth="1"/>
    <col min="11522" max="11522" width="13.7109375" style="143" bestFit="1" customWidth="1"/>
    <col min="11523" max="11523" width="12.140625" style="143" bestFit="1" customWidth="1"/>
    <col min="11524" max="11524" width="12.7109375" style="143" bestFit="1" customWidth="1"/>
    <col min="11525" max="11525" width="12.7109375" style="143" customWidth="1"/>
    <col min="11526" max="11526" width="13.7109375" style="143" bestFit="1" customWidth="1"/>
    <col min="11527" max="11527" width="14" style="143" bestFit="1" customWidth="1"/>
    <col min="11528" max="11528" width="12.140625" style="143" bestFit="1" customWidth="1"/>
    <col min="11529" max="11529" width="14.42578125" style="143" bestFit="1" customWidth="1"/>
    <col min="11530" max="11530" width="12.140625" style="143" bestFit="1" customWidth="1"/>
    <col min="11531" max="11531" width="12.7109375" style="143" bestFit="1" customWidth="1"/>
    <col min="11532" max="11532" width="12.7109375" style="143" customWidth="1"/>
    <col min="11533" max="11533" width="13.7109375" style="143" bestFit="1" customWidth="1"/>
    <col min="11534" max="11534" width="12.7109375" style="143" customWidth="1"/>
    <col min="11535" max="11535" width="14.42578125" style="143" bestFit="1" customWidth="1"/>
    <col min="11536" max="11536" width="13.7109375" style="143" bestFit="1" customWidth="1"/>
    <col min="11537" max="11537" width="12.140625" style="143" bestFit="1" customWidth="1"/>
    <col min="11538" max="11538" width="11.7109375" style="143" bestFit="1" customWidth="1"/>
    <col min="11539" max="11540" width="10.85546875" style="143" bestFit="1" customWidth="1"/>
    <col min="11541" max="11541" width="8.42578125" style="143" bestFit="1" customWidth="1"/>
    <col min="11542" max="11542" width="10.85546875" style="143" bestFit="1" customWidth="1"/>
    <col min="11543" max="11543" width="11" style="143" bestFit="1" customWidth="1"/>
    <col min="11544" max="11772" width="8.85546875" style="143"/>
    <col min="11773" max="11773" width="10.42578125" style="143" customWidth="1"/>
    <col min="11774" max="11774" width="8.140625" style="143" bestFit="1" customWidth="1"/>
    <col min="11775" max="11775" width="9.140625" style="143" bestFit="1" customWidth="1"/>
    <col min="11776" max="11776" width="32.5703125" style="143" bestFit="1" customWidth="1"/>
    <col min="11777" max="11777" width="31.5703125" style="143" customWidth="1"/>
    <col min="11778" max="11778" width="13.7109375" style="143" bestFit="1" customWidth="1"/>
    <col min="11779" max="11779" width="12.140625" style="143" bestFit="1" customWidth="1"/>
    <col min="11780" max="11780" width="12.7109375" style="143" bestFit="1" customWidth="1"/>
    <col min="11781" max="11781" width="12.7109375" style="143" customWidth="1"/>
    <col min="11782" max="11782" width="13.7109375" style="143" bestFit="1" customWidth="1"/>
    <col min="11783" max="11783" width="14" style="143" bestFit="1" customWidth="1"/>
    <col min="11784" max="11784" width="12.140625" style="143" bestFit="1" customWidth="1"/>
    <col min="11785" max="11785" width="14.42578125" style="143" bestFit="1" customWidth="1"/>
    <col min="11786" max="11786" width="12.140625" style="143" bestFit="1" customWidth="1"/>
    <col min="11787" max="11787" width="12.7109375" style="143" bestFit="1" customWidth="1"/>
    <col min="11788" max="11788" width="12.7109375" style="143" customWidth="1"/>
    <col min="11789" max="11789" width="13.7109375" style="143" bestFit="1" customWidth="1"/>
    <col min="11790" max="11790" width="12.7109375" style="143" customWidth="1"/>
    <col min="11791" max="11791" width="14.42578125" style="143" bestFit="1" customWidth="1"/>
    <col min="11792" max="11792" width="13.7109375" style="143" bestFit="1" customWidth="1"/>
    <col min="11793" max="11793" width="12.140625" style="143" bestFit="1" customWidth="1"/>
    <col min="11794" max="11794" width="11.7109375" style="143" bestFit="1" customWidth="1"/>
    <col min="11795" max="11796" width="10.85546875" style="143" bestFit="1" customWidth="1"/>
    <col min="11797" max="11797" width="8.42578125" style="143" bestFit="1" customWidth="1"/>
    <col min="11798" max="11798" width="10.85546875" style="143" bestFit="1" customWidth="1"/>
    <col min="11799" max="11799" width="11" style="143" bestFit="1" customWidth="1"/>
    <col min="11800" max="12028" width="8.85546875" style="143"/>
    <col min="12029" max="12029" width="10.42578125" style="143" customWidth="1"/>
    <col min="12030" max="12030" width="8.140625" style="143" bestFit="1" customWidth="1"/>
    <col min="12031" max="12031" width="9.140625" style="143" bestFit="1" customWidth="1"/>
    <col min="12032" max="12032" width="32.5703125" style="143" bestFit="1" customWidth="1"/>
    <col min="12033" max="12033" width="31.5703125" style="143" customWidth="1"/>
    <col min="12034" max="12034" width="13.7109375" style="143" bestFit="1" customWidth="1"/>
    <col min="12035" max="12035" width="12.140625" style="143" bestFit="1" customWidth="1"/>
    <col min="12036" max="12036" width="12.7109375" style="143" bestFit="1" customWidth="1"/>
    <col min="12037" max="12037" width="12.7109375" style="143" customWidth="1"/>
    <col min="12038" max="12038" width="13.7109375" style="143" bestFit="1" customWidth="1"/>
    <col min="12039" max="12039" width="14" style="143" bestFit="1" customWidth="1"/>
    <col min="12040" max="12040" width="12.140625" style="143" bestFit="1" customWidth="1"/>
    <col min="12041" max="12041" width="14.42578125" style="143" bestFit="1" customWidth="1"/>
    <col min="12042" max="12042" width="12.140625" style="143" bestFit="1" customWidth="1"/>
    <col min="12043" max="12043" width="12.7109375" style="143" bestFit="1" customWidth="1"/>
    <col min="12044" max="12044" width="12.7109375" style="143" customWidth="1"/>
    <col min="12045" max="12045" width="13.7109375" style="143" bestFit="1" customWidth="1"/>
    <col min="12046" max="12046" width="12.7109375" style="143" customWidth="1"/>
    <col min="12047" max="12047" width="14.42578125" style="143" bestFit="1" customWidth="1"/>
    <col min="12048" max="12048" width="13.7109375" style="143" bestFit="1" customWidth="1"/>
    <col min="12049" max="12049" width="12.140625" style="143" bestFit="1" customWidth="1"/>
    <col min="12050" max="12050" width="11.7109375" style="143" bestFit="1" customWidth="1"/>
    <col min="12051" max="12052" width="10.85546875" style="143" bestFit="1" customWidth="1"/>
    <col min="12053" max="12053" width="8.42578125" style="143" bestFit="1" customWidth="1"/>
    <col min="12054" max="12054" width="10.85546875" style="143" bestFit="1" customWidth="1"/>
    <col min="12055" max="12055" width="11" style="143" bestFit="1" customWidth="1"/>
    <col min="12056" max="12284" width="8.85546875" style="143"/>
    <col min="12285" max="12285" width="10.42578125" style="143" customWidth="1"/>
    <col min="12286" max="12286" width="8.140625" style="143" bestFit="1" customWidth="1"/>
    <col min="12287" max="12287" width="9.140625" style="143" bestFit="1" customWidth="1"/>
    <col min="12288" max="12288" width="32.5703125" style="143" bestFit="1" customWidth="1"/>
    <col min="12289" max="12289" width="31.5703125" style="143" customWidth="1"/>
    <col min="12290" max="12290" width="13.7109375" style="143" bestFit="1" customWidth="1"/>
    <col min="12291" max="12291" width="12.140625" style="143" bestFit="1" customWidth="1"/>
    <col min="12292" max="12292" width="12.7109375" style="143" bestFit="1" customWidth="1"/>
    <col min="12293" max="12293" width="12.7109375" style="143" customWidth="1"/>
    <col min="12294" max="12294" width="13.7109375" style="143" bestFit="1" customWidth="1"/>
    <col min="12295" max="12295" width="14" style="143" bestFit="1" customWidth="1"/>
    <col min="12296" max="12296" width="12.140625" style="143" bestFit="1" customWidth="1"/>
    <col min="12297" max="12297" width="14.42578125" style="143" bestFit="1" customWidth="1"/>
    <col min="12298" max="12298" width="12.140625" style="143" bestFit="1" customWidth="1"/>
    <col min="12299" max="12299" width="12.7109375" style="143" bestFit="1" customWidth="1"/>
    <col min="12300" max="12300" width="12.7109375" style="143" customWidth="1"/>
    <col min="12301" max="12301" width="13.7109375" style="143" bestFit="1" customWidth="1"/>
    <col min="12302" max="12302" width="12.7109375" style="143" customWidth="1"/>
    <col min="12303" max="12303" width="14.42578125" style="143" bestFit="1" customWidth="1"/>
    <col min="12304" max="12304" width="13.7109375" style="143" bestFit="1" customWidth="1"/>
    <col min="12305" max="12305" width="12.140625" style="143" bestFit="1" customWidth="1"/>
    <col min="12306" max="12306" width="11.7109375" style="143" bestFit="1" customWidth="1"/>
    <col min="12307" max="12308" width="10.85546875" style="143" bestFit="1" customWidth="1"/>
    <col min="12309" max="12309" width="8.42578125" style="143" bestFit="1" customWidth="1"/>
    <col min="12310" max="12310" width="10.85546875" style="143" bestFit="1" customWidth="1"/>
    <col min="12311" max="12311" width="11" style="143" bestFit="1" customWidth="1"/>
    <col min="12312" max="12540" width="8.85546875" style="143"/>
    <col min="12541" max="12541" width="10.42578125" style="143" customWidth="1"/>
    <col min="12542" max="12542" width="8.140625" style="143" bestFit="1" customWidth="1"/>
    <col min="12543" max="12543" width="9.140625" style="143" bestFit="1" customWidth="1"/>
    <col min="12544" max="12544" width="32.5703125" style="143" bestFit="1" customWidth="1"/>
    <col min="12545" max="12545" width="31.5703125" style="143" customWidth="1"/>
    <col min="12546" max="12546" width="13.7109375" style="143" bestFit="1" customWidth="1"/>
    <col min="12547" max="12547" width="12.140625" style="143" bestFit="1" customWidth="1"/>
    <col min="12548" max="12548" width="12.7109375" style="143" bestFit="1" customWidth="1"/>
    <col min="12549" max="12549" width="12.7109375" style="143" customWidth="1"/>
    <col min="12550" max="12550" width="13.7109375" style="143" bestFit="1" customWidth="1"/>
    <col min="12551" max="12551" width="14" style="143" bestFit="1" customWidth="1"/>
    <col min="12552" max="12552" width="12.140625" style="143" bestFit="1" customWidth="1"/>
    <col min="12553" max="12553" width="14.42578125" style="143" bestFit="1" customWidth="1"/>
    <col min="12554" max="12554" width="12.140625" style="143" bestFit="1" customWidth="1"/>
    <col min="12555" max="12555" width="12.7109375" style="143" bestFit="1" customWidth="1"/>
    <col min="12556" max="12556" width="12.7109375" style="143" customWidth="1"/>
    <col min="12557" max="12557" width="13.7109375" style="143" bestFit="1" customWidth="1"/>
    <col min="12558" max="12558" width="12.7109375" style="143" customWidth="1"/>
    <col min="12559" max="12559" width="14.42578125" style="143" bestFit="1" customWidth="1"/>
    <col min="12560" max="12560" width="13.7109375" style="143" bestFit="1" customWidth="1"/>
    <col min="12561" max="12561" width="12.140625" style="143" bestFit="1" customWidth="1"/>
    <col min="12562" max="12562" width="11.7109375" style="143" bestFit="1" customWidth="1"/>
    <col min="12563" max="12564" width="10.85546875" style="143" bestFit="1" customWidth="1"/>
    <col min="12565" max="12565" width="8.42578125" style="143" bestFit="1" customWidth="1"/>
    <col min="12566" max="12566" width="10.85546875" style="143" bestFit="1" customWidth="1"/>
    <col min="12567" max="12567" width="11" style="143" bestFit="1" customWidth="1"/>
    <col min="12568" max="12796" width="8.85546875" style="143"/>
    <col min="12797" max="12797" width="10.42578125" style="143" customWidth="1"/>
    <col min="12798" max="12798" width="8.140625" style="143" bestFit="1" customWidth="1"/>
    <col min="12799" max="12799" width="9.140625" style="143" bestFit="1" customWidth="1"/>
    <col min="12800" max="12800" width="32.5703125" style="143" bestFit="1" customWidth="1"/>
    <col min="12801" max="12801" width="31.5703125" style="143" customWidth="1"/>
    <col min="12802" max="12802" width="13.7109375" style="143" bestFit="1" customWidth="1"/>
    <col min="12803" max="12803" width="12.140625" style="143" bestFit="1" customWidth="1"/>
    <col min="12804" max="12804" width="12.7109375" style="143" bestFit="1" customWidth="1"/>
    <col min="12805" max="12805" width="12.7109375" style="143" customWidth="1"/>
    <col min="12806" max="12806" width="13.7109375" style="143" bestFit="1" customWidth="1"/>
    <col min="12807" max="12807" width="14" style="143" bestFit="1" customWidth="1"/>
    <col min="12808" max="12808" width="12.140625" style="143" bestFit="1" customWidth="1"/>
    <col min="12809" max="12809" width="14.42578125" style="143" bestFit="1" customWidth="1"/>
    <col min="12810" max="12810" width="12.140625" style="143" bestFit="1" customWidth="1"/>
    <col min="12811" max="12811" width="12.7109375" style="143" bestFit="1" customWidth="1"/>
    <col min="12812" max="12812" width="12.7109375" style="143" customWidth="1"/>
    <col min="12813" max="12813" width="13.7109375" style="143" bestFit="1" customWidth="1"/>
    <col min="12814" max="12814" width="12.7109375" style="143" customWidth="1"/>
    <col min="12815" max="12815" width="14.42578125" style="143" bestFit="1" customWidth="1"/>
    <col min="12816" max="12816" width="13.7109375" style="143" bestFit="1" customWidth="1"/>
    <col min="12817" max="12817" width="12.140625" style="143" bestFit="1" customWidth="1"/>
    <col min="12818" max="12818" width="11.7109375" style="143" bestFit="1" customWidth="1"/>
    <col min="12819" max="12820" width="10.85546875" style="143" bestFit="1" customWidth="1"/>
    <col min="12821" max="12821" width="8.42578125" style="143" bestFit="1" customWidth="1"/>
    <col min="12822" max="12822" width="10.85546875" style="143" bestFit="1" customWidth="1"/>
    <col min="12823" max="12823" width="11" style="143" bestFit="1" customWidth="1"/>
    <col min="12824" max="13052" width="8.85546875" style="143"/>
    <col min="13053" max="13053" width="10.42578125" style="143" customWidth="1"/>
    <col min="13054" max="13054" width="8.140625" style="143" bestFit="1" customWidth="1"/>
    <col min="13055" max="13055" width="9.140625" style="143" bestFit="1" customWidth="1"/>
    <col min="13056" max="13056" width="32.5703125" style="143" bestFit="1" customWidth="1"/>
    <col min="13057" max="13057" width="31.5703125" style="143" customWidth="1"/>
    <col min="13058" max="13058" width="13.7109375" style="143" bestFit="1" customWidth="1"/>
    <col min="13059" max="13059" width="12.140625" style="143" bestFit="1" customWidth="1"/>
    <col min="13060" max="13060" width="12.7109375" style="143" bestFit="1" customWidth="1"/>
    <col min="13061" max="13061" width="12.7109375" style="143" customWidth="1"/>
    <col min="13062" max="13062" width="13.7109375" style="143" bestFit="1" customWidth="1"/>
    <col min="13063" max="13063" width="14" style="143" bestFit="1" customWidth="1"/>
    <col min="13064" max="13064" width="12.140625" style="143" bestFit="1" customWidth="1"/>
    <col min="13065" max="13065" width="14.42578125" style="143" bestFit="1" customWidth="1"/>
    <col min="13066" max="13066" width="12.140625" style="143" bestFit="1" customWidth="1"/>
    <col min="13067" max="13067" width="12.7109375" style="143" bestFit="1" customWidth="1"/>
    <col min="13068" max="13068" width="12.7109375" style="143" customWidth="1"/>
    <col min="13069" max="13069" width="13.7109375" style="143" bestFit="1" customWidth="1"/>
    <col min="13070" max="13070" width="12.7109375" style="143" customWidth="1"/>
    <col min="13071" max="13071" width="14.42578125" style="143" bestFit="1" customWidth="1"/>
    <col min="13072" max="13072" width="13.7109375" style="143" bestFit="1" customWidth="1"/>
    <col min="13073" max="13073" width="12.140625" style="143" bestFit="1" customWidth="1"/>
    <col min="13074" max="13074" width="11.7109375" style="143" bestFit="1" customWidth="1"/>
    <col min="13075" max="13076" width="10.85546875" style="143" bestFit="1" customWidth="1"/>
    <col min="13077" max="13077" width="8.42578125" style="143" bestFit="1" customWidth="1"/>
    <col min="13078" max="13078" width="10.85546875" style="143" bestFit="1" customWidth="1"/>
    <col min="13079" max="13079" width="11" style="143" bestFit="1" customWidth="1"/>
    <col min="13080" max="13308" width="8.85546875" style="143"/>
    <col min="13309" max="13309" width="10.42578125" style="143" customWidth="1"/>
    <col min="13310" max="13310" width="8.140625" style="143" bestFit="1" customWidth="1"/>
    <col min="13311" max="13311" width="9.140625" style="143" bestFit="1" customWidth="1"/>
    <col min="13312" max="13312" width="32.5703125" style="143" bestFit="1" customWidth="1"/>
    <col min="13313" max="13313" width="31.5703125" style="143" customWidth="1"/>
    <col min="13314" max="13314" width="13.7109375" style="143" bestFit="1" customWidth="1"/>
    <col min="13315" max="13315" width="12.140625" style="143" bestFit="1" customWidth="1"/>
    <col min="13316" max="13316" width="12.7109375" style="143" bestFit="1" customWidth="1"/>
    <col min="13317" max="13317" width="12.7109375" style="143" customWidth="1"/>
    <col min="13318" max="13318" width="13.7109375" style="143" bestFit="1" customWidth="1"/>
    <col min="13319" max="13319" width="14" style="143" bestFit="1" customWidth="1"/>
    <col min="13320" max="13320" width="12.140625" style="143" bestFit="1" customWidth="1"/>
    <col min="13321" max="13321" width="14.42578125" style="143" bestFit="1" customWidth="1"/>
    <col min="13322" max="13322" width="12.140625" style="143" bestFit="1" customWidth="1"/>
    <col min="13323" max="13323" width="12.7109375" style="143" bestFit="1" customWidth="1"/>
    <col min="13324" max="13324" width="12.7109375" style="143" customWidth="1"/>
    <col min="13325" max="13325" width="13.7109375" style="143" bestFit="1" customWidth="1"/>
    <col min="13326" max="13326" width="12.7109375" style="143" customWidth="1"/>
    <col min="13327" max="13327" width="14.42578125" style="143" bestFit="1" customWidth="1"/>
    <col min="13328" max="13328" width="13.7109375" style="143" bestFit="1" customWidth="1"/>
    <col min="13329" max="13329" width="12.140625" style="143" bestFit="1" customWidth="1"/>
    <col min="13330" max="13330" width="11.7109375" style="143" bestFit="1" customWidth="1"/>
    <col min="13331" max="13332" width="10.85546875" style="143" bestFit="1" customWidth="1"/>
    <col min="13333" max="13333" width="8.42578125" style="143" bestFit="1" customWidth="1"/>
    <col min="13334" max="13334" width="10.85546875" style="143" bestFit="1" customWidth="1"/>
    <col min="13335" max="13335" width="11" style="143" bestFit="1" customWidth="1"/>
    <col min="13336" max="13564" width="8.85546875" style="143"/>
    <col min="13565" max="13565" width="10.42578125" style="143" customWidth="1"/>
    <col min="13566" max="13566" width="8.140625" style="143" bestFit="1" customWidth="1"/>
    <col min="13567" max="13567" width="9.140625" style="143" bestFit="1" customWidth="1"/>
    <col min="13568" max="13568" width="32.5703125" style="143" bestFit="1" customWidth="1"/>
    <col min="13569" max="13569" width="31.5703125" style="143" customWidth="1"/>
    <col min="13570" max="13570" width="13.7109375" style="143" bestFit="1" customWidth="1"/>
    <col min="13571" max="13571" width="12.140625" style="143" bestFit="1" customWidth="1"/>
    <col min="13572" max="13572" width="12.7109375" style="143" bestFit="1" customWidth="1"/>
    <col min="13573" max="13573" width="12.7109375" style="143" customWidth="1"/>
    <col min="13574" max="13574" width="13.7109375" style="143" bestFit="1" customWidth="1"/>
    <col min="13575" max="13575" width="14" style="143" bestFit="1" customWidth="1"/>
    <col min="13576" max="13576" width="12.140625" style="143" bestFit="1" customWidth="1"/>
    <col min="13577" max="13577" width="14.42578125" style="143" bestFit="1" customWidth="1"/>
    <col min="13578" max="13578" width="12.140625" style="143" bestFit="1" customWidth="1"/>
    <col min="13579" max="13579" width="12.7109375" style="143" bestFit="1" customWidth="1"/>
    <col min="13580" max="13580" width="12.7109375" style="143" customWidth="1"/>
    <col min="13581" max="13581" width="13.7109375" style="143" bestFit="1" customWidth="1"/>
    <col min="13582" max="13582" width="12.7109375" style="143" customWidth="1"/>
    <col min="13583" max="13583" width="14.42578125" style="143" bestFit="1" customWidth="1"/>
    <col min="13584" max="13584" width="13.7109375" style="143" bestFit="1" customWidth="1"/>
    <col min="13585" max="13585" width="12.140625" style="143" bestFit="1" customWidth="1"/>
    <col min="13586" max="13586" width="11.7109375" style="143" bestFit="1" customWidth="1"/>
    <col min="13587" max="13588" width="10.85546875" style="143" bestFit="1" customWidth="1"/>
    <col min="13589" max="13589" width="8.42578125" style="143" bestFit="1" customWidth="1"/>
    <col min="13590" max="13590" width="10.85546875" style="143" bestFit="1" customWidth="1"/>
    <col min="13591" max="13591" width="11" style="143" bestFit="1" customWidth="1"/>
    <col min="13592" max="13820" width="8.85546875" style="143"/>
    <col min="13821" max="13821" width="10.42578125" style="143" customWidth="1"/>
    <col min="13822" max="13822" width="8.140625" style="143" bestFit="1" customWidth="1"/>
    <col min="13823" max="13823" width="9.140625" style="143" bestFit="1" customWidth="1"/>
    <col min="13824" max="13824" width="32.5703125" style="143" bestFit="1" customWidth="1"/>
    <col min="13825" max="13825" width="31.5703125" style="143" customWidth="1"/>
    <col min="13826" max="13826" width="13.7109375" style="143" bestFit="1" customWidth="1"/>
    <col min="13827" max="13827" width="12.140625" style="143" bestFit="1" customWidth="1"/>
    <col min="13828" max="13828" width="12.7109375" style="143" bestFit="1" customWidth="1"/>
    <col min="13829" max="13829" width="12.7109375" style="143" customWidth="1"/>
    <col min="13830" max="13830" width="13.7109375" style="143" bestFit="1" customWidth="1"/>
    <col min="13831" max="13831" width="14" style="143" bestFit="1" customWidth="1"/>
    <col min="13832" max="13832" width="12.140625" style="143" bestFit="1" customWidth="1"/>
    <col min="13833" max="13833" width="14.42578125" style="143" bestFit="1" customWidth="1"/>
    <col min="13834" max="13834" width="12.140625" style="143" bestFit="1" customWidth="1"/>
    <col min="13835" max="13835" width="12.7109375" style="143" bestFit="1" customWidth="1"/>
    <col min="13836" max="13836" width="12.7109375" style="143" customWidth="1"/>
    <col min="13837" max="13837" width="13.7109375" style="143" bestFit="1" customWidth="1"/>
    <col min="13838" max="13838" width="12.7109375" style="143" customWidth="1"/>
    <col min="13839" max="13839" width="14.42578125" style="143" bestFit="1" customWidth="1"/>
    <col min="13840" max="13840" width="13.7109375" style="143" bestFit="1" customWidth="1"/>
    <col min="13841" max="13841" width="12.140625" style="143" bestFit="1" customWidth="1"/>
    <col min="13842" max="13842" width="11.7109375" style="143" bestFit="1" customWidth="1"/>
    <col min="13843" max="13844" width="10.85546875" style="143" bestFit="1" customWidth="1"/>
    <col min="13845" max="13845" width="8.42578125" style="143" bestFit="1" customWidth="1"/>
    <col min="13846" max="13846" width="10.85546875" style="143" bestFit="1" customWidth="1"/>
    <col min="13847" max="13847" width="11" style="143" bestFit="1" customWidth="1"/>
    <col min="13848" max="14076" width="8.85546875" style="143"/>
    <col min="14077" max="14077" width="10.42578125" style="143" customWidth="1"/>
    <col min="14078" max="14078" width="8.140625" style="143" bestFit="1" customWidth="1"/>
    <col min="14079" max="14079" width="9.140625" style="143" bestFit="1" customWidth="1"/>
    <col min="14080" max="14080" width="32.5703125" style="143" bestFit="1" customWidth="1"/>
    <col min="14081" max="14081" width="31.5703125" style="143" customWidth="1"/>
    <col min="14082" max="14082" width="13.7109375" style="143" bestFit="1" customWidth="1"/>
    <col min="14083" max="14083" width="12.140625" style="143" bestFit="1" customWidth="1"/>
    <col min="14084" max="14084" width="12.7109375" style="143" bestFit="1" customWidth="1"/>
    <col min="14085" max="14085" width="12.7109375" style="143" customWidth="1"/>
    <col min="14086" max="14086" width="13.7109375" style="143" bestFit="1" customWidth="1"/>
    <col min="14087" max="14087" width="14" style="143" bestFit="1" customWidth="1"/>
    <col min="14088" max="14088" width="12.140625" style="143" bestFit="1" customWidth="1"/>
    <col min="14089" max="14089" width="14.42578125" style="143" bestFit="1" customWidth="1"/>
    <col min="14090" max="14090" width="12.140625" style="143" bestFit="1" customWidth="1"/>
    <col min="14091" max="14091" width="12.7109375" style="143" bestFit="1" customWidth="1"/>
    <col min="14092" max="14092" width="12.7109375" style="143" customWidth="1"/>
    <col min="14093" max="14093" width="13.7109375" style="143" bestFit="1" customWidth="1"/>
    <col min="14094" max="14094" width="12.7109375" style="143" customWidth="1"/>
    <col min="14095" max="14095" width="14.42578125" style="143" bestFit="1" customWidth="1"/>
    <col min="14096" max="14096" width="13.7109375" style="143" bestFit="1" customWidth="1"/>
    <col min="14097" max="14097" width="12.140625" style="143" bestFit="1" customWidth="1"/>
    <col min="14098" max="14098" width="11.7109375" style="143" bestFit="1" customWidth="1"/>
    <col min="14099" max="14100" width="10.85546875" style="143" bestFit="1" customWidth="1"/>
    <col min="14101" max="14101" width="8.42578125" style="143" bestFit="1" customWidth="1"/>
    <col min="14102" max="14102" width="10.85546875" style="143" bestFit="1" customWidth="1"/>
    <col min="14103" max="14103" width="11" style="143" bestFit="1" customWidth="1"/>
    <col min="14104" max="14332" width="8.85546875" style="143"/>
    <col min="14333" max="14333" width="10.42578125" style="143" customWidth="1"/>
    <col min="14334" max="14334" width="8.140625" style="143" bestFit="1" customWidth="1"/>
    <col min="14335" max="14335" width="9.140625" style="143" bestFit="1" customWidth="1"/>
    <col min="14336" max="14336" width="32.5703125" style="143" bestFit="1" customWidth="1"/>
    <col min="14337" max="14337" width="31.5703125" style="143" customWidth="1"/>
    <col min="14338" max="14338" width="13.7109375" style="143" bestFit="1" customWidth="1"/>
    <col min="14339" max="14339" width="12.140625" style="143" bestFit="1" customWidth="1"/>
    <col min="14340" max="14340" width="12.7109375" style="143" bestFit="1" customWidth="1"/>
    <col min="14341" max="14341" width="12.7109375" style="143" customWidth="1"/>
    <col min="14342" max="14342" width="13.7109375" style="143" bestFit="1" customWidth="1"/>
    <col min="14343" max="14343" width="14" style="143" bestFit="1" customWidth="1"/>
    <col min="14344" max="14344" width="12.140625" style="143" bestFit="1" customWidth="1"/>
    <col min="14345" max="14345" width="14.42578125" style="143" bestFit="1" customWidth="1"/>
    <col min="14346" max="14346" width="12.140625" style="143" bestFit="1" customWidth="1"/>
    <col min="14347" max="14347" width="12.7109375" style="143" bestFit="1" customWidth="1"/>
    <col min="14348" max="14348" width="12.7109375" style="143" customWidth="1"/>
    <col min="14349" max="14349" width="13.7109375" style="143" bestFit="1" customWidth="1"/>
    <col min="14350" max="14350" width="12.7109375" style="143" customWidth="1"/>
    <col min="14351" max="14351" width="14.42578125" style="143" bestFit="1" customWidth="1"/>
    <col min="14352" max="14352" width="13.7109375" style="143" bestFit="1" customWidth="1"/>
    <col min="14353" max="14353" width="12.140625" style="143" bestFit="1" customWidth="1"/>
    <col min="14354" max="14354" width="11.7109375" style="143" bestFit="1" customWidth="1"/>
    <col min="14355" max="14356" width="10.85546875" style="143" bestFit="1" customWidth="1"/>
    <col min="14357" max="14357" width="8.42578125" style="143" bestFit="1" customWidth="1"/>
    <col min="14358" max="14358" width="10.85546875" style="143" bestFit="1" customWidth="1"/>
    <col min="14359" max="14359" width="11" style="143" bestFit="1" customWidth="1"/>
    <col min="14360" max="14588" width="8.85546875" style="143"/>
    <col min="14589" max="14589" width="10.42578125" style="143" customWidth="1"/>
    <col min="14590" max="14590" width="8.140625" style="143" bestFit="1" customWidth="1"/>
    <col min="14591" max="14591" width="9.140625" style="143" bestFit="1" customWidth="1"/>
    <col min="14592" max="14592" width="32.5703125" style="143" bestFit="1" customWidth="1"/>
    <col min="14593" max="14593" width="31.5703125" style="143" customWidth="1"/>
    <col min="14594" max="14594" width="13.7109375" style="143" bestFit="1" customWidth="1"/>
    <col min="14595" max="14595" width="12.140625" style="143" bestFit="1" customWidth="1"/>
    <col min="14596" max="14596" width="12.7109375" style="143" bestFit="1" customWidth="1"/>
    <col min="14597" max="14597" width="12.7109375" style="143" customWidth="1"/>
    <col min="14598" max="14598" width="13.7109375" style="143" bestFit="1" customWidth="1"/>
    <col min="14599" max="14599" width="14" style="143" bestFit="1" customWidth="1"/>
    <col min="14600" max="14600" width="12.140625" style="143" bestFit="1" customWidth="1"/>
    <col min="14601" max="14601" width="14.42578125" style="143" bestFit="1" customWidth="1"/>
    <col min="14602" max="14602" width="12.140625" style="143" bestFit="1" customWidth="1"/>
    <col min="14603" max="14603" width="12.7109375" style="143" bestFit="1" customWidth="1"/>
    <col min="14604" max="14604" width="12.7109375" style="143" customWidth="1"/>
    <col min="14605" max="14605" width="13.7109375" style="143" bestFit="1" customWidth="1"/>
    <col min="14606" max="14606" width="12.7109375" style="143" customWidth="1"/>
    <col min="14607" max="14607" width="14.42578125" style="143" bestFit="1" customWidth="1"/>
    <col min="14608" max="14608" width="13.7109375" style="143" bestFit="1" customWidth="1"/>
    <col min="14609" max="14609" width="12.140625" style="143" bestFit="1" customWidth="1"/>
    <col min="14610" max="14610" width="11.7109375" style="143" bestFit="1" customWidth="1"/>
    <col min="14611" max="14612" width="10.85546875" style="143" bestFit="1" customWidth="1"/>
    <col min="14613" max="14613" width="8.42578125" style="143" bestFit="1" customWidth="1"/>
    <col min="14614" max="14614" width="10.85546875" style="143" bestFit="1" customWidth="1"/>
    <col min="14615" max="14615" width="11" style="143" bestFit="1" customWidth="1"/>
    <col min="14616" max="14844" width="8.85546875" style="143"/>
    <col min="14845" max="14845" width="10.42578125" style="143" customWidth="1"/>
    <col min="14846" max="14846" width="8.140625" style="143" bestFit="1" customWidth="1"/>
    <col min="14847" max="14847" width="9.140625" style="143" bestFit="1" customWidth="1"/>
    <col min="14848" max="14848" width="32.5703125" style="143" bestFit="1" customWidth="1"/>
    <col min="14849" max="14849" width="31.5703125" style="143" customWidth="1"/>
    <col min="14850" max="14850" width="13.7109375" style="143" bestFit="1" customWidth="1"/>
    <col min="14851" max="14851" width="12.140625" style="143" bestFit="1" customWidth="1"/>
    <col min="14852" max="14852" width="12.7109375" style="143" bestFit="1" customWidth="1"/>
    <col min="14853" max="14853" width="12.7109375" style="143" customWidth="1"/>
    <col min="14854" max="14854" width="13.7109375" style="143" bestFit="1" customWidth="1"/>
    <col min="14855" max="14855" width="14" style="143" bestFit="1" customWidth="1"/>
    <col min="14856" max="14856" width="12.140625" style="143" bestFit="1" customWidth="1"/>
    <col min="14857" max="14857" width="14.42578125" style="143" bestFit="1" customWidth="1"/>
    <col min="14858" max="14858" width="12.140625" style="143" bestFit="1" customWidth="1"/>
    <col min="14859" max="14859" width="12.7109375" style="143" bestFit="1" customWidth="1"/>
    <col min="14860" max="14860" width="12.7109375" style="143" customWidth="1"/>
    <col min="14861" max="14861" width="13.7109375" style="143" bestFit="1" customWidth="1"/>
    <col min="14862" max="14862" width="12.7109375" style="143" customWidth="1"/>
    <col min="14863" max="14863" width="14.42578125" style="143" bestFit="1" customWidth="1"/>
    <col min="14864" max="14864" width="13.7109375" style="143" bestFit="1" customWidth="1"/>
    <col min="14865" max="14865" width="12.140625" style="143" bestFit="1" customWidth="1"/>
    <col min="14866" max="14866" width="11.7109375" style="143" bestFit="1" customWidth="1"/>
    <col min="14867" max="14868" width="10.85546875" style="143" bestFit="1" customWidth="1"/>
    <col min="14869" max="14869" width="8.42578125" style="143" bestFit="1" customWidth="1"/>
    <col min="14870" max="14870" width="10.85546875" style="143" bestFit="1" customWidth="1"/>
    <col min="14871" max="14871" width="11" style="143" bestFit="1" customWidth="1"/>
    <col min="14872" max="15100" width="8.85546875" style="143"/>
    <col min="15101" max="15101" width="10.42578125" style="143" customWidth="1"/>
    <col min="15102" max="15102" width="8.140625" style="143" bestFit="1" customWidth="1"/>
    <col min="15103" max="15103" width="9.140625" style="143" bestFit="1" customWidth="1"/>
    <col min="15104" max="15104" width="32.5703125" style="143" bestFit="1" customWidth="1"/>
    <col min="15105" max="15105" width="31.5703125" style="143" customWidth="1"/>
    <col min="15106" max="15106" width="13.7109375" style="143" bestFit="1" customWidth="1"/>
    <col min="15107" max="15107" width="12.140625" style="143" bestFit="1" customWidth="1"/>
    <col min="15108" max="15108" width="12.7109375" style="143" bestFit="1" customWidth="1"/>
    <col min="15109" max="15109" width="12.7109375" style="143" customWidth="1"/>
    <col min="15110" max="15110" width="13.7109375" style="143" bestFit="1" customWidth="1"/>
    <col min="15111" max="15111" width="14" style="143" bestFit="1" customWidth="1"/>
    <col min="15112" max="15112" width="12.140625" style="143" bestFit="1" customWidth="1"/>
    <col min="15113" max="15113" width="14.42578125" style="143" bestFit="1" customWidth="1"/>
    <col min="15114" max="15114" width="12.140625" style="143" bestFit="1" customWidth="1"/>
    <col min="15115" max="15115" width="12.7109375" style="143" bestFit="1" customWidth="1"/>
    <col min="15116" max="15116" width="12.7109375" style="143" customWidth="1"/>
    <col min="15117" max="15117" width="13.7109375" style="143" bestFit="1" customWidth="1"/>
    <col min="15118" max="15118" width="12.7109375" style="143" customWidth="1"/>
    <col min="15119" max="15119" width="14.42578125" style="143" bestFit="1" customWidth="1"/>
    <col min="15120" max="15120" width="13.7109375" style="143" bestFit="1" customWidth="1"/>
    <col min="15121" max="15121" width="12.140625" style="143" bestFit="1" customWidth="1"/>
    <col min="15122" max="15122" width="11.7109375" style="143" bestFit="1" customWidth="1"/>
    <col min="15123" max="15124" width="10.85546875" style="143" bestFit="1" customWidth="1"/>
    <col min="15125" max="15125" width="8.42578125" style="143" bestFit="1" customWidth="1"/>
    <col min="15126" max="15126" width="10.85546875" style="143" bestFit="1" customWidth="1"/>
    <col min="15127" max="15127" width="11" style="143" bestFit="1" customWidth="1"/>
    <col min="15128" max="15356" width="8.85546875" style="143"/>
    <col min="15357" max="15357" width="10.42578125" style="143" customWidth="1"/>
    <col min="15358" max="15358" width="8.140625" style="143" bestFit="1" customWidth="1"/>
    <col min="15359" max="15359" width="9.140625" style="143" bestFit="1" customWidth="1"/>
    <col min="15360" max="15360" width="32.5703125" style="143" bestFit="1" customWidth="1"/>
    <col min="15361" max="15361" width="31.5703125" style="143" customWidth="1"/>
    <col min="15362" max="15362" width="13.7109375" style="143" bestFit="1" customWidth="1"/>
    <col min="15363" max="15363" width="12.140625" style="143" bestFit="1" customWidth="1"/>
    <col min="15364" max="15364" width="12.7109375" style="143" bestFit="1" customWidth="1"/>
    <col min="15365" max="15365" width="12.7109375" style="143" customWidth="1"/>
    <col min="15366" max="15366" width="13.7109375" style="143" bestFit="1" customWidth="1"/>
    <col min="15367" max="15367" width="14" style="143" bestFit="1" customWidth="1"/>
    <col min="15368" max="15368" width="12.140625" style="143" bestFit="1" customWidth="1"/>
    <col min="15369" max="15369" width="14.42578125" style="143" bestFit="1" customWidth="1"/>
    <col min="15370" max="15370" width="12.140625" style="143" bestFit="1" customWidth="1"/>
    <col min="15371" max="15371" width="12.7109375" style="143" bestFit="1" customWidth="1"/>
    <col min="15372" max="15372" width="12.7109375" style="143" customWidth="1"/>
    <col min="15373" max="15373" width="13.7109375" style="143" bestFit="1" customWidth="1"/>
    <col min="15374" max="15374" width="12.7109375" style="143" customWidth="1"/>
    <col min="15375" max="15375" width="14.42578125" style="143" bestFit="1" customWidth="1"/>
    <col min="15376" max="15376" width="13.7109375" style="143" bestFit="1" customWidth="1"/>
    <col min="15377" max="15377" width="12.140625" style="143" bestFit="1" customWidth="1"/>
    <col min="15378" max="15378" width="11.7109375" style="143" bestFit="1" customWidth="1"/>
    <col min="15379" max="15380" width="10.85546875" style="143" bestFit="1" customWidth="1"/>
    <col min="15381" max="15381" width="8.42578125" style="143" bestFit="1" customWidth="1"/>
    <col min="15382" max="15382" width="10.85546875" style="143" bestFit="1" customWidth="1"/>
    <col min="15383" max="15383" width="11" style="143" bestFit="1" customWidth="1"/>
    <col min="15384" max="15612" width="8.85546875" style="143"/>
    <col min="15613" max="15613" width="10.42578125" style="143" customWidth="1"/>
    <col min="15614" max="15614" width="8.140625" style="143" bestFit="1" customWidth="1"/>
    <col min="15615" max="15615" width="9.140625" style="143" bestFit="1" customWidth="1"/>
    <col min="15616" max="15616" width="32.5703125" style="143" bestFit="1" customWidth="1"/>
    <col min="15617" max="15617" width="31.5703125" style="143" customWidth="1"/>
    <col min="15618" max="15618" width="13.7109375" style="143" bestFit="1" customWidth="1"/>
    <col min="15619" max="15619" width="12.140625" style="143" bestFit="1" customWidth="1"/>
    <col min="15620" max="15620" width="12.7109375" style="143" bestFit="1" customWidth="1"/>
    <col min="15621" max="15621" width="12.7109375" style="143" customWidth="1"/>
    <col min="15622" max="15622" width="13.7109375" style="143" bestFit="1" customWidth="1"/>
    <col min="15623" max="15623" width="14" style="143" bestFit="1" customWidth="1"/>
    <col min="15624" max="15624" width="12.140625" style="143" bestFit="1" customWidth="1"/>
    <col min="15625" max="15625" width="14.42578125" style="143" bestFit="1" customWidth="1"/>
    <col min="15626" max="15626" width="12.140625" style="143" bestFit="1" customWidth="1"/>
    <col min="15627" max="15627" width="12.7109375" style="143" bestFit="1" customWidth="1"/>
    <col min="15628" max="15628" width="12.7109375" style="143" customWidth="1"/>
    <col min="15629" max="15629" width="13.7109375" style="143" bestFit="1" customWidth="1"/>
    <col min="15630" max="15630" width="12.7109375" style="143" customWidth="1"/>
    <col min="15631" max="15631" width="14.42578125" style="143" bestFit="1" customWidth="1"/>
    <col min="15632" max="15632" width="13.7109375" style="143" bestFit="1" customWidth="1"/>
    <col min="15633" max="15633" width="12.140625" style="143" bestFit="1" customWidth="1"/>
    <col min="15634" max="15634" width="11.7109375" style="143" bestFit="1" customWidth="1"/>
    <col min="15635" max="15636" width="10.85546875" style="143" bestFit="1" customWidth="1"/>
    <col min="15637" max="15637" width="8.42578125" style="143" bestFit="1" customWidth="1"/>
    <col min="15638" max="15638" width="10.85546875" style="143" bestFit="1" customWidth="1"/>
    <col min="15639" max="15639" width="11" style="143" bestFit="1" customWidth="1"/>
    <col min="15640" max="15868" width="8.85546875" style="143"/>
    <col min="15869" max="15869" width="10.42578125" style="143" customWidth="1"/>
    <col min="15870" max="15870" width="8.140625" style="143" bestFit="1" customWidth="1"/>
    <col min="15871" max="15871" width="9.140625" style="143" bestFit="1" customWidth="1"/>
    <col min="15872" max="15872" width="32.5703125" style="143" bestFit="1" customWidth="1"/>
    <col min="15873" max="15873" width="31.5703125" style="143" customWidth="1"/>
    <col min="15874" max="15874" width="13.7109375" style="143" bestFit="1" customWidth="1"/>
    <col min="15875" max="15875" width="12.140625" style="143" bestFit="1" customWidth="1"/>
    <col min="15876" max="15876" width="12.7109375" style="143" bestFit="1" customWidth="1"/>
    <col min="15877" max="15877" width="12.7109375" style="143" customWidth="1"/>
    <col min="15878" max="15878" width="13.7109375" style="143" bestFit="1" customWidth="1"/>
    <col min="15879" max="15879" width="14" style="143" bestFit="1" customWidth="1"/>
    <col min="15880" max="15880" width="12.140625" style="143" bestFit="1" customWidth="1"/>
    <col min="15881" max="15881" width="14.42578125" style="143" bestFit="1" customWidth="1"/>
    <col min="15882" max="15882" width="12.140625" style="143" bestFit="1" customWidth="1"/>
    <col min="15883" max="15883" width="12.7109375" style="143" bestFit="1" customWidth="1"/>
    <col min="15884" max="15884" width="12.7109375" style="143" customWidth="1"/>
    <col min="15885" max="15885" width="13.7109375" style="143" bestFit="1" customWidth="1"/>
    <col min="15886" max="15886" width="12.7109375" style="143" customWidth="1"/>
    <col min="15887" max="15887" width="14.42578125" style="143" bestFit="1" customWidth="1"/>
    <col min="15888" max="15888" width="13.7109375" style="143" bestFit="1" customWidth="1"/>
    <col min="15889" max="15889" width="12.140625" style="143" bestFit="1" customWidth="1"/>
    <col min="15890" max="15890" width="11.7109375" style="143" bestFit="1" customWidth="1"/>
    <col min="15891" max="15892" width="10.85546875" style="143" bestFit="1" customWidth="1"/>
    <col min="15893" max="15893" width="8.42578125" style="143" bestFit="1" customWidth="1"/>
    <col min="15894" max="15894" width="10.85546875" style="143" bestFit="1" customWidth="1"/>
    <col min="15895" max="15895" width="11" style="143" bestFit="1" customWidth="1"/>
    <col min="15896" max="16124" width="8.85546875" style="143"/>
    <col min="16125" max="16125" width="10.42578125" style="143" customWidth="1"/>
    <col min="16126" max="16126" width="8.140625" style="143" bestFit="1" customWidth="1"/>
    <col min="16127" max="16127" width="9.140625" style="143" bestFit="1" customWidth="1"/>
    <col min="16128" max="16128" width="32.5703125" style="143" bestFit="1" customWidth="1"/>
    <col min="16129" max="16129" width="31.5703125" style="143" customWidth="1"/>
    <col min="16130" max="16130" width="13.7109375" style="143" bestFit="1" customWidth="1"/>
    <col min="16131" max="16131" width="12.140625" style="143" bestFit="1" customWidth="1"/>
    <col min="16132" max="16132" width="12.7109375" style="143" bestFit="1" customWidth="1"/>
    <col min="16133" max="16133" width="12.7109375" style="143" customWidth="1"/>
    <col min="16134" max="16134" width="13.7109375" style="143" bestFit="1" customWidth="1"/>
    <col min="16135" max="16135" width="14" style="143" bestFit="1" customWidth="1"/>
    <col min="16136" max="16136" width="12.140625" style="143" bestFit="1" customWidth="1"/>
    <col min="16137" max="16137" width="14.42578125" style="143" bestFit="1" customWidth="1"/>
    <col min="16138" max="16138" width="12.140625" style="143" bestFit="1" customWidth="1"/>
    <col min="16139" max="16139" width="12.7109375" style="143" bestFit="1" customWidth="1"/>
    <col min="16140" max="16140" width="12.7109375" style="143" customWidth="1"/>
    <col min="16141" max="16141" width="13.7109375" style="143" bestFit="1" customWidth="1"/>
    <col min="16142" max="16142" width="12.7109375" style="143" customWidth="1"/>
    <col min="16143" max="16143" width="14.42578125" style="143" bestFit="1" customWidth="1"/>
    <col min="16144" max="16144" width="13.7109375" style="143" bestFit="1" customWidth="1"/>
    <col min="16145" max="16145" width="12.140625" style="143" bestFit="1" customWidth="1"/>
    <col min="16146" max="16146" width="11.7109375" style="143" bestFit="1" customWidth="1"/>
    <col min="16147" max="16148" width="10.85546875" style="143" bestFit="1" customWidth="1"/>
    <col min="16149" max="16149" width="8.42578125" style="143" bestFit="1" customWidth="1"/>
    <col min="16150" max="16150" width="10.85546875" style="143" bestFit="1" customWidth="1"/>
    <col min="16151" max="16151" width="11" style="143" bestFit="1" customWidth="1"/>
    <col min="16152" max="16384" width="8.85546875" style="143"/>
  </cols>
  <sheetData>
    <row r="1" spans="1:27" ht="18" x14ac:dyDescent="0.25">
      <c r="A1" s="63" t="s">
        <v>117</v>
      </c>
      <c r="B1" s="63"/>
      <c r="C1" s="63"/>
      <c r="D1" s="63"/>
      <c r="E1" s="63"/>
      <c r="F1" s="144" t="s">
        <v>118</v>
      </c>
      <c r="G1" s="144"/>
      <c r="H1" s="144"/>
      <c r="I1" s="144"/>
      <c r="J1" s="144" t="s">
        <v>118</v>
      </c>
      <c r="K1" s="144" t="s">
        <v>118</v>
      </c>
      <c r="L1" s="49"/>
      <c r="M1" s="144" t="s">
        <v>119</v>
      </c>
      <c r="N1" s="144"/>
      <c r="O1" s="144"/>
      <c r="P1" s="144" t="s">
        <v>659</v>
      </c>
      <c r="Q1" s="144" t="s">
        <v>659</v>
      </c>
      <c r="R1" s="144"/>
      <c r="S1" s="144" t="s">
        <v>119</v>
      </c>
      <c r="T1" s="144" t="s">
        <v>118</v>
      </c>
      <c r="U1" s="49"/>
      <c r="V1" s="105"/>
    </row>
    <row r="2" spans="1:27" x14ac:dyDescent="0.2">
      <c r="A2" s="24"/>
      <c r="B2" s="24"/>
      <c r="C2" s="24"/>
      <c r="D2" s="24"/>
      <c r="E2" s="22"/>
      <c r="F2" s="24">
        <v>2015</v>
      </c>
      <c r="G2" s="144"/>
      <c r="H2" s="144"/>
      <c r="I2" s="24"/>
      <c r="J2" s="24">
        <v>2015</v>
      </c>
      <c r="K2" s="24">
        <v>2015</v>
      </c>
      <c r="L2" s="49"/>
      <c r="M2" s="24">
        <v>2015</v>
      </c>
      <c r="N2" s="144"/>
      <c r="O2" s="144"/>
      <c r="P2" s="24" t="s">
        <v>120</v>
      </c>
      <c r="Q2" s="64" t="s">
        <v>120</v>
      </c>
      <c r="R2" s="24"/>
      <c r="S2" s="24">
        <v>2015</v>
      </c>
      <c r="T2" s="24">
        <v>2015</v>
      </c>
      <c r="U2" s="49"/>
      <c r="V2" s="64" t="s">
        <v>86</v>
      </c>
    </row>
    <row r="3" spans="1:27" x14ac:dyDescent="0.2">
      <c r="A3" s="65" t="s">
        <v>121</v>
      </c>
      <c r="B3" s="65" t="s">
        <v>9</v>
      </c>
      <c r="C3" s="106" t="s">
        <v>660</v>
      </c>
      <c r="D3" s="66" t="s">
        <v>122</v>
      </c>
      <c r="E3" s="107" t="s">
        <v>123</v>
      </c>
      <c r="F3" s="67" t="s">
        <v>124</v>
      </c>
      <c r="G3" s="67" t="s">
        <v>82</v>
      </c>
      <c r="H3" s="67" t="s">
        <v>74</v>
      </c>
      <c r="I3" s="67" t="s">
        <v>125</v>
      </c>
      <c r="J3" s="67" t="s">
        <v>126</v>
      </c>
      <c r="K3" s="67" t="s">
        <v>127</v>
      </c>
      <c r="L3" s="68" t="s">
        <v>68</v>
      </c>
      <c r="M3" s="67" t="s">
        <v>124</v>
      </c>
      <c r="N3" s="67" t="s">
        <v>36</v>
      </c>
      <c r="O3" s="67" t="s">
        <v>74</v>
      </c>
      <c r="P3" s="67" t="s">
        <v>75</v>
      </c>
      <c r="Q3" s="67" t="s">
        <v>19</v>
      </c>
      <c r="R3" s="67" t="s">
        <v>125</v>
      </c>
      <c r="S3" s="67" t="s">
        <v>126</v>
      </c>
      <c r="T3" s="67" t="s">
        <v>127</v>
      </c>
      <c r="U3" s="68" t="s">
        <v>68</v>
      </c>
      <c r="V3" s="67" t="s">
        <v>21</v>
      </c>
      <c r="Y3" s="127" t="s">
        <v>661</v>
      </c>
    </row>
    <row r="4" spans="1:27" x14ac:dyDescent="0.2">
      <c r="A4" s="69" t="s">
        <v>708</v>
      </c>
      <c r="B4" s="69">
        <v>10500</v>
      </c>
      <c r="C4" s="69" t="s">
        <v>709</v>
      </c>
      <c r="D4" s="108" t="s">
        <v>664</v>
      </c>
      <c r="E4" s="108" t="s">
        <v>710</v>
      </c>
      <c r="F4" s="109">
        <v>228954.68</v>
      </c>
      <c r="G4" s="267">
        <v>0</v>
      </c>
      <c r="H4" s="109">
        <v>0</v>
      </c>
      <c r="I4" s="267">
        <v>0</v>
      </c>
      <c r="J4" s="109">
        <v>228954.68</v>
      </c>
      <c r="K4" s="109">
        <v>267012.90615384624</v>
      </c>
      <c r="L4" s="110">
        <v>0</v>
      </c>
      <c r="M4" s="109">
        <v>0</v>
      </c>
      <c r="N4" s="109">
        <v>0</v>
      </c>
      <c r="O4" s="109">
        <v>0</v>
      </c>
      <c r="P4" s="109">
        <v>0</v>
      </c>
      <c r="Q4" s="109">
        <v>0</v>
      </c>
      <c r="R4" s="109">
        <v>0</v>
      </c>
      <c r="S4" s="109">
        <v>0</v>
      </c>
      <c r="T4" s="109">
        <v>0</v>
      </c>
      <c r="U4" s="110">
        <v>0</v>
      </c>
      <c r="V4" s="111">
        <v>0</v>
      </c>
      <c r="Y4" s="127" t="s">
        <v>9</v>
      </c>
      <c r="Z4" s="127" t="s">
        <v>21</v>
      </c>
      <c r="AA4" s="143" t="s">
        <v>34</v>
      </c>
    </row>
    <row r="5" spans="1:27" x14ac:dyDescent="0.2">
      <c r="A5" s="69" t="s">
        <v>708</v>
      </c>
      <c r="B5" s="69">
        <v>30100</v>
      </c>
      <c r="C5" s="69" t="s">
        <v>711</v>
      </c>
      <c r="D5" s="108" t="s">
        <v>185</v>
      </c>
      <c r="E5" s="108" t="s">
        <v>138</v>
      </c>
      <c r="F5" s="109">
        <v>1693.84</v>
      </c>
      <c r="G5" s="109">
        <v>0</v>
      </c>
      <c r="H5" s="109">
        <v>0</v>
      </c>
      <c r="I5" s="109">
        <v>0</v>
      </c>
      <c r="J5" s="109">
        <v>1693.84</v>
      </c>
      <c r="K5" s="109">
        <v>1693.84</v>
      </c>
      <c r="L5" s="110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09">
        <v>0</v>
      </c>
      <c r="U5" s="110">
        <v>0</v>
      </c>
      <c r="V5" s="111">
        <v>0</v>
      </c>
      <c r="X5" s="1"/>
      <c r="Y5" s="1">
        <v>10500</v>
      </c>
      <c r="Z5" s="112">
        <v>0</v>
      </c>
      <c r="AA5" s="113">
        <v>2</v>
      </c>
    </row>
    <row r="6" spans="1:27" x14ac:dyDescent="0.2">
      <c r="A6" s="69" t="s">
        <v>708</v>
      </c>
      <c r="B6" s="69">
        <v>30200</v>
      </c>
      <c r="C6" s="69" t="s">
        <v>712</v>
      </c>
      <c r="D6" s="108" t="s">
        <v>186</v>
      </c>
      <c r="E6" s="108" t="s">
        <v>139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10">
        <v>0</v>
      </c>
      <c r="M6" s="109">
        <v>-1.837179297581315E-10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-1.837179297581315E-10</v>
      </c>
      <c r="T6" s="109">
        <v>-1.837179297581315E-10</v>
      </c>
      <c r="U6" s="110">
        <v>0</v>
      </c>
      <c r="V6" s="111">
        <v>0.04</v>
      </c>
      <c r="X6" s="1" t="s">
        <v>84</v>
      </c>
      <c r="Y6" s="1">
        <v>11501</v>
      </c>
      <c r="Z6" s="112">
        <v>0</v>
      </c>
      <c r="AA6" s="113">
        <v>1</v>
      </c>
    </row>
    <row r="7" spans="1:27" x14ac:dyDescent="0.2">
      <c r="A7" s="69" t="s">
        <v>708</v>
      </c>
      <c r="B7" s="69">
        <v>30301</v>
      </c>
      <c r="C7" s="69" t="s">
        <v>713</v>
      </c>
      <c r="D7" s="108" t="s">
        <v>187</v>
      </c>
      <c r="E7" s="108" t="s">
        <v>141</v>
      </c>
      <c r="F7" s="109">
        <v>155020.99</v>
      </c>
      <c r="G7" s="109">
        <v>19687.939999999999</v>
      </c>
      <c r="H7" s="109">
        <v>-155020.99</v>
      </c>
      <c r="I7" s="109">
        <v>0</v>
      </c>
      <c r="J7" s="109">
        <v>19687.940000000002</v>
      </c>
      <c r="K7" s="109">
        <v>30799.609230769231</v>
      </c>
      <c r="L7" s="110">
        <v>0</v>
      </c>
      <c r="M7" s="109">
        <v>-155020.99</v>
      </c>
      <c r="N7" s="109">
        <v>-394.53000000000003</v>
      </c>
      <c r="O7" s="109">
        <v>155020.99</v>
      </c>
      <c r="P7" s="109">
        <v>0</v>
      </c>
      <c r="Q7" s="109">
        <v>0</v>
      </c>
      <c r="R7" s="109">
        <v>0</v>
      </c>
      <c r="S7" s="109">
        <v>-394.52999999999884</v>
      </c>
      <c r="T7" s="109">
        <v>-23925.026923076926</v>
      </c>
      <c r="U7" s="110">
        <v>-1.1937117960769683E-12</v>
      </c>
      <c r="V7" s="111">
        <v>6.7000000000000004E-2</v>
      </c>
      <c r="X7" s="1" t="s">
        <v>84</v>
      </c>
      <c r="Y7" s="1">
        <v>30100</v>
      </c>
      <c r="Z7" s="112">
        <v>0</v>
      </c>
      <c r="AA7" s="113">
        <v>5</v>
      </c>
    </row>
    <row r="8" spans="1:27" x14ac:dyDescent="0.2">
      <c r="A8" s="69" t="s">
        <v>708</v>
      </c>
      <c r="B8" s="69">
        <v>37400</v>
      </c>
      <c r="C8" s="69" t="s">
        <v>714</v>
      </c>
      <c r="D8" s="108" t="s">
        <v>188</v>
      </c>
      <c r="E8" s="108" t="s">
        <v>142</v>
      </c>
      <c r="F8" s="109">
        <v>2807815.54</v>
      </c>
      <c r="G8" s="109">
        <v>0</v>
      </c>
      <c r="H8" s="109">
        <v>0</v>
      </c>
      <c r="I8" s="109">
        <v>0</v>
      </c>
      <c r="J8" s="109">
        <v>2807815.54</v>
      </c>
      <c r="K8" s="109">
        <v>2807815.5399999996</v>
      </c>
      <c r="L8" s="110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09">
        <v>0</v>
      </c>
      <c r="U8" s="110">
        <v>0</v>
      </c>
      <c r="V8" s="111">
        <v>0</v>
      </c>
      <c r="X8" s="1" t="s">
        <v>84</v>
      </c>
      <c r="Y8" s="1">
        <v>30200</v>
      </c>
      <c r="Z8" s="112">
        <v>0.04</v>
      </c>
      <c r="AA8" s="113">
        <v>7</v>
      </c>
    </row>
    <row r="9" spans="1:27" x14ac:dyDescent="0.2">
      <c r="A9" s="69" t="s">
        <v>708</v>
      </c>
      <c r="B9" s="69">
        <v>37402</v>
      </c>
      <c r="C9" s="69" t="s">
        <v>715</v>
      </c>
      <c r="D9" s="108" t="s">
        <v>189</v>
      </c>
      <c r="E9" s="108" t="s">
        <v>143</v>
      </c>
      <c r="F9" s="109">
        <v>62312.32</v>
      </c>
      <c r="G9" s="109">
        <v>8865.58</v>
      </c>
      <c r="H9" s="109">
        <v>0</v>
      </c>
      <c r="I9" s="109">
        <v>0</v>
      </c>
      <c r="J9" s="109">
        <v>71177.899999999994</v>
      </c>
      <c r="K9" s="109">
        <v>63676.255384615382</v>
      </c>
      <c r="L9" s="110">
        <v>0</v>
      </c>
      <c r="M9" s="109">
        <v>-39490.070000000051</v>
      </c>
      <c r="N9" s="109">
        <v>-819.72</v>
      </c>
      <c r="O9" s="109">
        <v>0</v>
      </c>
      <c r="P9" s="109">
        <v>0</v>
      </c>
      <c r="Q9" s="109">
        <v>0</v>
      </c>
      <c r="R9" s="109">
        <v>0</v>
      </c>
      <c r="S9" s="109">
        <v>-40309.790000000052</v>
      </c>
      <c r="T9" s="109">
        <v>-39895.868461538528</v>
      </c>
      <c r="U9" s="110">
        <v>0</v>
      </c>
      <c r="V9" s="111">
        <v>1.2999999999999999E-2</v>
      </c>
      <c r="X9" s="1" t="s">
        <v>84</v>
      </c>
      <c r="Y9" s="1">
        <v>30300</v>
      </c>
      <c r="Z9" s="112">
        <v>0.04</v>
      </c>
      <c r="AA9" s="113">
        <v>2</v>
      </c>
    </row>
    <row r="10" spans="1:27" x14ac:dyDescent="0.2">
      <c r="A10" s="69" t="s">
        <v>708</v>
      </c>
      <c r="B10" s="69">
        <v>37500</v>
      </c>
      <c r="C10" s="69" t="s">
        <v>716</v>
      </c>
      <c r="D10" s="108" t="s">
        <v>190</v>
      </c>
      <c r="E10" s="108" t="s">
        <v>144</v>
      </c>
      <c r="F10" s="109">
        <v>2169952.46</v>
      </c>
      <c r="G10" s="109">
        <v>22789.51</v>
      </c>
      <c r="H10" s="109">
        <v>0</v>
      </c>
      <c r="I10" s="109">
        <v>0</v>
      </c>
      <c r="J10" s="109">
        <v>2192741.9699999997</v>
      </c>
      <c r="K10" s="109">
        <v>2177787.5061538457</v>
      </c>
      <c r="L10" s="110">
        <v>0</v>
      </c>
      <c r="M10" s="109">
        <v>-432920.12999999948</v>
      </c>
      <c r="N10" s="109">
        <v>-54413.499999999993</v>
      </c>
      <c r="O10" s="109">
        <v>0</v>
      </c>
      <c r="P10" s="109">
        <v>0</v>
      </c>
      <c r="Q10" s="109">
        <v>0</v>
      </c>
      <c r="R10" s="109">
        <v>0</v>
      </c>
      <c r="S10" s="109">
        <v>-487333.62999999948</v>
      </c>
      <c r="T10" s="109">
        <v>-460074.14307692245</v>
      </c>
      <c r="U10" s="110">
        <v>0</v>
      </c>
      <c r="V10" s="111">
        <v>2.5000000000000001E-2</v>
      </c>
      <c r="X10" s="1" t="s">
        <v>84</v>
      </c>
      <c r="Y10" s="1">
        <v>30301</v>
      </c>
      <c r="Z10" s="112">
        <v>6.7000000000000004E-2</v>
      </c>
      <c r="AA10" s="113">
        <v>13</v>
      </c>
    </row>
    <row r="11" spans="1:27" x14ac:dyDescent="0.2">
      <c r="A11" s="69" t="s">
        <v>708</v>
      </c>
      <c r="B11" s="69">
        <v>37600</v>
      </c>
      <c r="C11" s="69" t="s">
        <v>717</v>
      </c>
      <c r="D11" s="108" t="s">
        <v>191</v>
      </c>
      <c r="E11" s="108" t="s">
        <v>145</v>
      </c>
      <c r="F11" s="109">
        <v>43647311.540000044</v>
      </c>
      <c r="G11" s="109">
        <v>1131362.7</v>
      </c>
      <c r="H11" s="109">
        <v>-111068.38</v>
      </c>
      <c r="I11" s="109">
        <v>0</v>
      </c>
      <c r="J11" s="109">
        <v>44667605.860000044</v>
      </c>
      <c r="K11" s="109">
        <v>43796824.783076964</v>
      </c>
      <c r="L11" s="110">
        <v>0</v>
      </c>
      <c r="M11" s="109">
        <v>-41128918.890000023</v>
      </c>
      <c r="N11" s="109">
        <v>-1836418.8999999997</v>
      </c>
      <c r="O11" s="109">
        <v>111068.38</v>
      </c>
      <c r="P11" s="109">
        <v>451771.75999999995</v>
      </c>
      <c r="Q11" s="109">
        <v>0</v>
      </c>
      <c r="R11" s="109">
        <v>0</v>
      </c>
      <c r="S11" s="109">
        <v>-42402497.650000021</v>
      </c>
      <c r="T11" s="109">
        <v>-41776133.373076953</v>
      </c>
      <c r="U11" s="110">
        <v>0</v>
      </c>
      <c r="V11" s="111">
        <v>4.2000000000000003E-2</v>
      </c>
      <c r="X11" s="1" t="s">
        <v>84</v>
      </c>
      <c r="Y11" s="1"/>
      <c r="Z11" s="112">
        <v>0</v>
      </c>
      <c r="AA11" s="113">
        <v>1</v>
      </c>
    </row>
    <row r="12" spans="1:27" x14ac:dyDescent="0.2">
      <c r="A12" s="69" t="s">
        <v>708</v>
      </c>
      <c r="B12" s="69">
        <v>37602</v>
      </c>
      <c r="C12" s="69" t="s">
        <v>718</v>
      </c>
      <c r="D12" s="108" t="s">
        <v>192</v>
      </c>
      <c r="E12" s="108" t="s">
        <v>146</v>
      </c>
      <c r="F12" s="109">
        <v>44022778.269999981</v>
      </c>
      <c r="G12" s="267">
        <v>10693743.24</v>
      </c>
      <c r="H12" s="109">
        <v>-148515.16</v>
      </c>
      <c r="I12" s="267"/>
      <c r="J12" s="109">
        <v>54568006.349999987</v>
      </c>
      <c r="K12" s="109">
        <v>50281310.879230753</v>
      </c>
      <c r="L12" s="110">
        <v>0</v>
      </c>
      <c r="M12" s="109">
        <v>-14620564.220000016</v>
      </c>
      <c r="N12" s="109">
        <v>-1547646.6700000002</v>
      </c>
      <c r="O12" s="109">
        <v>148515.16</v>
      </c>
      <c r="P12" s="109">
        <v>155459.57000000007</v>
      </c>
      <c r="Q12" s="109">
        <v>0</v>
      </c>
      <c r="R12" s="109">
        <v>0</v>
      </c>
      <c r="S12" s="109">
        <v>-15864236.160000015</v>
      </c>
      <c r="T12" s="109">
        <v>-15214033.013076939</v>
      </c>
      <c r="U12" s="110">
        <v>0</v>
      </c>
      <c r="V12" s="111">
        <v>3.1E-2</v>
      </c>
      <c r="X12" s="1" t="s">
        <v>84</v>
      </c>
      <c r="Y12" s="1">
        <v>30302</v>
      </c>
      <c r="Z12" s="112">
        <v>6.7000000000000004E-2</v>
      </c>
      <c r="AA12" s="113">
        <v>1</v>
      </c>
    </row>
    <row r="13" spans="1:27" x14ac:dyDescent="0.2">
      <c r="A13" s="69" t="s">
        <v>708</v>
      </c>
      <c r="B13" s="69">
        <v>37602</v>
      </c>
      <c r="C13" s="69" t="s">
        <v>718</v>
      </c>
      <c r="D13" s="108" t="s">
        <v>193</v>
      </c>
      <c r="E13" s="108" t="s">
        <v>146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10">
        <v>0</v>
      </c>
      <c r="M13" s="109">
        <v>-38299.99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-38299.99</v>
      </c>
      <c r="T13" s="109">
        <v>-38299.99</v>
      </c>
      <c r="U13" s="110">
        <v>0</v>
      </c>
      <c r="V13" s="111">
        <v>3.1E-2</v>
      </c>
      <c r="X13" s="1" t="s">
        <v>84</v>
      </c>
      <c r="Y13" s="1">
        <v>37400</v>
      </c>
      <c r="Z13" s="112">
        <v>0</v>
      </c>
      <c r="AA13" s="113">
        <v>14</v>
      </c>
    </row>
    <row r="14" spans="1:27" x14ac:dyDescent="0.2">
      <c r="A14" s="69" t="s">
        <v>708</v>
      </c>
      <c r="B14" s="69">
        <v>37800</v>
      </c>
      <c r="C14" s="69" t="s">
        <v>719</v>
      </c>
      <c r="D14" s="108" t="s">
        <v>194</v>
      </c>
      <c r="E14" s="108" t="s">
        <v>147</v>
      </c>
      <c r="F14" s="109">
        <v>843957.46000000008</v>
      </c>
      <c r="G14" s="109">
        <v>7760.25</v>
      </c>
      <c r="H14" s="109">
        <v>-825.82</v>
      </c>
      <c r="I14" s="109">
        <v>0</v>
      </c>
      <c r="J14" s="109">
        <v>850891.89000000013</v>
      </c>
      <c r="K14" s="109">
        <v>844456.99000000022</v>
      </c>
      <c r="L14" s="110">
        <v>0</v>
      </c>
      <c r="M14" s="109">
        <v>-210930.19000000006</v>
      </c>
      <c r="N14" s="109">
        <v>-28693.269999999993</v>
      </c>
      <c r="O14" s="109">
        <v>825.82</v>
      </c>
      <c r="P14" s="109">
        <v>0</v>
      </c>
      <c r="Q14" s="109">
        <v>0</v>
      </c>
      <c r="R14" s="109">
        <v>0</v>
      </c>
      <c r="S14" s="109">
        <v>-238797.64000000004</v>
      </c>
      <c r="T14" s="109">
        <v>-225086.60000000003</v>
      </c>
      <c r="U14" s="110">
        <v>0</v>
      </c>
      <c r="V14" s="111">
        <v>3.4000000000000002E-2</v>
      </c>
      <c r="X14" s="1" t="s">
        <v>84</v>
      </c>
      <c r="Y14" s="1">
        <v>37402</v>
      </c>
      <c r="Z14" s="112">
        <v>1.2999999999999999E-2</v>
      </c>
      <c r="AA14" s="113">
        <v>13</v>
      </c>
    </row>
    <row r="15" spans="1:27" x14ac:dyDescent="0.2">
      <c r="A15" s="69" t="s">
        <v>708</v>
      </c>
      <c r="B15" s="69">
        <v>37900</v>
      </c>
      <c r="C15" s="69" t="s">
        <v>720</v>
      </c>
      <c r="D15" s="108" t="s">
        <v>195</v>
      </c>
      <c r="E15" s="108" t="s">
        <v>148</v>
      </c>
      <c r="F15" s="109">
        <v>1299024.1499999999</v>
      </c>
      <c r="G15" s="109">
        <v>23012.100000000002</v>
      </c>
      <c r="H15" s="109">
        <v>0</v>
      </c>
      <c r="I15" s="109">
        <v>0</v>
      </c>
      <c r="J15" s="109">
        <v>1322036.25</v>
      </c>
      <c r="K15" s="109">
        <v>1312990.0499999998</v>
      </c>
      <c r="L15" s="110">
        <v>0</v>
      </c>
      <c r="M15" s="109">
        <v>-587894.08999999892</v>
      </c>
      <c r="N15" s="109">
        <v>-44616.039999999994</v>
      </c>
      <c r="O15" s="109">
        <v>0</v>
      </c>
      <c r="P15" s="109">
        <v>0</v>
      </c>
      <c r="Q15" s="109">
        <v>0</v>
      </c>
      <c r="R15" s="109">
        <v>0</v>
      </c>
      <c r="S15" s="109">
        <v>-632510.12999999896</v>
      </c>
      <c r="T15" s="109">
        <v>-610135.79076922976</v>
      </c>
      <c r="U15" s="110">
        <v>0</v>
      </c>
      <c r="V15" s="111">
        <v>3.4000000000000002E-2</v>
      </c>
      <c r="X15" s="1" t="s">
        <v>84</v>
      </c>
      <c r="Y15" s="1">
        <v>37500</v>
      </c>
      <c r="Z15" s="112">
        <v>2.5000000000000001E-2</v>
      </c>
      <c r="AA15" s="113">
        <v>16</v>
      </c>
    </row>
    <row r="16" spans="1:27" x14ac:dyDescent="0.2">
      <c r="A16" s="69" t="s">
        <v>708</v>
      </c>
      <c r="B16" s="69">
        <v>38000</v>
      </c>
      <c r="C16" s="69" t="s">
        <v>721</v>
      </c>
      <c r="D16" s="108" t="s">
        <v>196</v>
      </c>
      <c r="E16" s="108" t="s">
        <v>149</v>
      </c>
      <c r="F16" s="109">
        <v>9231463.3100000024</v>
      </c>
      <c r="G16" s="109">
        <v>78038.100000000006</v>
      </c>
      <c r="H16" s="109">
        <v>-111144.31</v>
      </c>
      <c r="I16" s="109">
        <v>0</v>
      </c>
      <c r="J16" s="109">
        <v>9198357.1000000015</v>
      </c>
      <c r="K16" s="109">
        <v>9244241.6053846162</v>
      </c>
      <c r="L16" s="110">
        <v>0</v>
      </c>
      <c r="M16" s="109">
        <v>-11869020.279999999</v>
      </c>
      <c r="N16" s="109">
        <v>-610372.29</v>
      </c>
      <c r="O16" s="109">
        <v>111144.31</v>
      </c>
      <c r="P16" s="109">
        <v>968182.5199999999</v>
      </c>
      <c r="Q16" s="109">
        <v>0</v>
      </c>
      <c r="R16" s="109">
        <v>0</v>
      </c>
      <c r="S16" s="109">
        <v>-11400065.74</v>
      </c>
      <c r="T16" s="109">
        <v>-11690197.361538462</v>
      </c>
      <c r="U16" s="110">
        <v>0</v>
      </c>
      <c r="V16" s="111">
        <v>6.5999999999999989E-2</v>
      </c>
      <c r="X16" s="1" t="s">
        <v>84</v>
      </c>
      <c r="Y16" s="1"/>
      <c r="Z16" s="112">
        <v>0</v>
      </c>
      <c r="AA16" s="113">
        <v>1</v>
      </c>
    </row>
    <row r="17" spans="1:27" x14ac:dyDescent="0.2">
      <c r="A17" s="69" t="s">
        <v>708</v>
      </c>
      <c r="B17" s="69">
        <v>38002</v>
      </c>
      <c r="C17" s="69" t="s">
        <v>722</v>
      </c>
      <c r="D17" s="108" t="s">
        <v>197</v>
      </c>
      <c r="E17" s="108" t="s">
        <v>150</v>
      </c>
      <c r="F17" s="109">
        <v>38856697.709999986</v>
      </c>
      <c r="G17" s="109">
        <v>3111121.459999999</v>
      </c>
      <c r="H17" s="109">
        <v>-84729.41</v>
      </c>
      <c r="I17" s="109">
        <v>0</v>
      </c>
      <c r="J17" s="109">
        <v>41883089.75999999</v>
      </c>
      <c r="K17" s="109">
        <v>40250700.744615376</v>
      </c>
      <c r="L17" s="110">
        <v>0</v>
      </c>
      <c r="M17" s="109">
        <v>-20155211.739999983</v>
      </c>
      <c r="N17" s="109">
        <v>-2005733.41</v>
      </c>
      <c r="O17" s="109">
        <v>84729.41</v>
      </c>
      <c r="P17" s="109">
        <v>232237.89</v>
      </c>
      <c r="Q17" s="109">
        <v>0</v>
      </c>
      <c r="R17" s="109">
        <v>0</v>
      </c>
      <c r="S17" s="109">
        <v>-21843977.849999983</v>
      </c>
      <c r="T17" s="109">
        <v>-20977015.056923058</v>
      </c>
      <c r="U17" s="110">
        <v>0</v>
      </c>
      <c r="V17" s="111">
        <v>0.05</v>
      </c>
      <c r="X17" s="1" t="s">
        <v>84</v>
      </c>
      <c r="Y17" s="1">
        <v>37600</v>
      </c>
      <c r="Z17" s="112">
        <v>4.2000000000000003E-2</v>
      </c>
      <c r="AA17" s="113">
        <v>15</v>
      </c>
    </row>
    <row r="18" spans="1:27" x14ac:dyDescent="0.2">
      <c r="A18" s="69" t="s">
        <v>708</v>
      </c>
      <c r="B18" s="69">
        <v>38200</v>
      </c>
      <c r="C18" s="69" t="s">
        <v>723</v>
      </c>
      <c r="D18" s="108" t="s">
        <v>198</v>
      </c>
      <c r="E18" s="108" t="s">
        <v>152</v>
      </c>
      <c r="F18" s="109">
        <v>6012344.6100000013</v>
      </c>
      <c r="G18" s="109">
        <v>447772.33</v>
      </c>
      <c r="H18" s="109">
        <v>-28693.33</v>
      </c>
      <c r="I18" s="109">
        <v>0</v>
      </c>
      <c r="J18" s="109">
        <v>6431423.6100000013</v>
      </c>
      <c r="K18" s="109">
        <v>6201006.1146153864</v>
      </c>
      <c r="L18" s="110">
        <v>0</v>
      </c>
      <c r="M18" s="109">
        <v>-1637270.4699999997</v>
      </c>
      <c r="N18" s="109">
        <v>-278181.19999999995</v>
      </c>
      <c r="O18" s="109">
        <v>28693.33</v>
      </c>
      <c r="P18" s="109">
        <v>130869.69</v>
      </c>
      <c r="Q18" s="109">
        <v>0</v>
      </c>
      <c r="R18" s="109">
        <v>0</v>
      </c>
      <c r="S18" s="109">
        <v>-1755888.6499999997</v>
      </c>
      <c r="T18" s="109">
        <v>-1708047.9646153846</v>
      </c>
      <c r="U18" s="110">
        <v>0</v>
      </c>
      <c r="V18" s="111">
        <v>4.4999999999999998E-2</v>
      </c>
      <c r="X18" s="1" t="s">
        <v>84</v>
      </c>
      <c r="Y18" s="1"/>
      <c r="Z18" s="112">
        <v>0</v>
      </c>
      <c r="AA18" s="113">
        <v>1</v>
      </c>
    </row>
    <row r="19" spans="1:27" x14ac:dyDescent="0.2">
      <c r="A19" s="69" t="s">
        <v>708</v>
      </c>
      <c r="B19" s="69">
        <v>38300</v>
      </c>
      <c r="C19" s="69" t="s">
        <v>724</v>
      </c>
      <c r="D19" s="108" t="s">
        <v>199</v>
      </c>
      <c r="E19" s="108" t="s">
        <v>153</v>
      </c>
      <c r="F19" s="109">
        <v>2078755.15</v>
      </c>
      <c r="G19" s="109">
        <v>111415.32</v>
      </c>
      <c r="H19" s="109">
        <v>-7293</v>
      </c>
      <c r="I19" s="109">
        <v>0</v>
      </c>
      <c r="J19" s="109">
        <v>2182877.4699999997</v>
      </c>
      <c r="K19" s="109">
        <v>2125499.7976923073</v>
      </c>
      <c r="L19" s="110">
        <v>0</v>
      </c>
      <c r="M19" s="109">
        <v>-476785.66000000009</v>
      </c>
      <c r="N19" s="109">
        <v>-76345.869999999981</v>
      </c>
      <c r="O19" s="109">
        <v>7293</v>
      </c>
      <c r="P19" s="109">
        <v>0</v>
      </c>
      <c r="Q19" s="109">
        <v>0</v>
      </c>
      <c r="R19" s="109">
        <v>0</v>
      </c>
      <c r="S19" s="109">
        <v>-545838.53</v>
      </c>
      <c r="T19" s="109">
        <v>-514088.40461538476</v>
      </c>
      <c r="U19" s="110">
        <v>0</v>
      </c>
      <c r="V19" s="111">
        <v>3.5999999999999997E-2</v>
      </c>
      <c r="X19" s="1" t="s">
        <v>84</v>
      </c>
      <c r="Y19" s="1">
        <v>37602</v>
      </c>
      <c r="Z19" s="112">
        <v>3.1E-2</v>
      </c>
      <c r="AA19" s="113">
        <v>34</v>
      </c>
    </row>
    <row r="20" spans="1:27" x14ac:dyDescent="0.2">
      <c r="A20" s="69" t="s">
        <v>708</v>
      </c>
      <c r="B20" s="69">
        <v>38400</v>
      </c>
      <c r="C20" s="69" t="s">
        <v>725</v>
      </c>
      <c r="D20" s="108" t="s">
        <v>200</v>
      </c>
      <c r="E20" s="108" t="s">
        <v>154</v>
      </c>
      <c r="F20" s="109">
        <v>2471194.0100000021</v>
      </c>
      <c r="G20" s="109">
        <v>149257.22</v>
      </c>
      <c r="H20" s="109">
        <v>-7158.33</v>
      </c>
      <c r="I20" s="109">
        <v>0</v>
      </c>
      <c r="J20" s="109">
        <v>2613292.9000000022</v>
      </c>
      <c r="K20" s="109">
        <v>2554851.1361538479</v>
      </c>
      <c r="L20" s="110">
        <v>0</v>
      </c>
      <c r="M20" s="109">
        <v>-693950.07999999973</v>
      </c>
      <c r="N20" s="109">
        <v>-114749.12999999999</v>
      </c>
      <c r="O20" s="109">
        <v>7158.33</v>
      </c>
      <c r="P20" s="109">
        <v>130869.66</v>
      </c>
      <c r="Q20" s="109">
        <v>0</v>
      </c>
      <c r="R20" s="109">
        <v>0</v>
      </c>
      <c r="S20" s="109">
        <v>-670671.21999999974</v>
      </c>
      <c r="T20" s="109">
        <v>-690645.22230769193</v>
      </c>
      <c r="U20" s="110">
        <v>0</v>
      </c>
      <c r="V20" s="111">
        <v>4.4999999999999998E-2</v>
      </c>
      <c r="X20" s="1" t="s">
        <v>84</v>
      </c>
      <c r="Y20" s="1"/>
      <c r="Z20" s="112">
        <v>0</v>
      </c>
      <c r="AA20" s="113">
        <v>1</v>
      </c>
    </row>
    <row r="21" spans="1:27" x14ac:dyDescent="0.2">
      <c r="A21" s="69" t="s">
        <v>708</v>
      </c>
      <c r="B21" s="69">
        <v>38500</v>
      </c>
      <c r="C21" s="69" t="s">
        <v>726</v>
      </c>
      <c r="D21" s="108" t="s">
        <v>201</v>
      </c>
      <c r="E21" s="108" t="s">
        <v>155</v>
      </c>
      <c r="F21" s="109">
        <v>643560.6100000001</v>
      </c>
      <c r="G21" s="109">
        <v>0</v>
      </c>
      <c r="H21" s="109">
        <v>-9294.9800000000014</v>
      </c>
      <c r="I21" s="109">
        <v>0</v>
      </c>
      <c r="J21" s="109">
        <v>634265.63000000012</v>
      </c>
      <c r="K21" s="109">
        <v>642013.15000000014</v>
      </c>
      <c r="L21" s="110">
        <v>0</v>
      </c>
      <c r="M21" s="109">
        <v>-465337.7900000001</v>
      </c>
      <c r="N21" s="109">
        <v>-19922.460000000003</v>
      </c>
      <c r="O21" s="109">
        <v>9294.9800000000014</v>
      </c>
      <c r="P21" s="109">
        <v>459.03000000000003</v>
      </c>
      <c r="Q21" s="109">
        <v>0</v>
      </c>
      <c r="R21" s="109">
        <v>0</v>
      </c>
      <c r="S21" s="109">
        <v>-475506.24000000011</v>
      </c>
      <c r="T21" s="109">
        <v>-473661.38846153859</v>
      </c>
      <c r="U21" s="110">
        <v>0</v>
      </c>
      <c r="V21" s="111">
        <v>3.1E-2</v>
      </c>
      <c r="X21" s="1" t="s">
        <v>84</v>
      </c>
      <c r="Y21" s="1">
        <v>37800</v>
      </c>
      <c r="Z21" s="112">
        <v>3.4000000000000002E-2</v>
      </c>
      <c r="AA21" s="113">
        <v>17</v>
      </c>
    </row>
    <row r="22" spans="1:27" x14ac:dyDescent="0.2">
      <c r="A22" s="69" t="s">
        <v>708</v>
      </c>
      <c r="B22" s="69">
        <v>38700</v>
      </c>
      <c r="C22" s="69" t="s">
        <v>727</v>
      </c>
      <c r="D22" s="108" t="s">
        <v>202</v>
      </c>
      <c r="E22" s="108" t="s">
        <v>156</v>
      </c>
      <c r="F22" s="109">
        <v>575953.93000000005</v>
      </c>
      <c r="G22" s="109">
        <v>165237.14000000001</v>
      </c>
      <c r="H22" s="109">
        <v>0</v>
      </c>
      <c r="I22" s="109">
        <v>0</v>
      </c>
      <c r="J22" s="109">
        <v>741191.07000000007</v>
      </c>
      <c r="K22" s="109">
        <v>675776.04307692312</v>
      </c>
      <c r="L22" s="110">
        <v>0</v>
      </c>
      <c r="M22" s="109">
        <v>-253643.10000000015</v>
      </c>
      <c r="N22" s="109">
        <v>-42230.51</v>
      </c>
      <c r="O22" s="109">
        <v>0</v>
      </c>
      <c r="P22" s="109">
        <v>0</v>
      </c>
      <c r="Q22" s="109">
        <v>0</v>
      </c>
      <c r="R22" s="109">
        <v>0</v>
      </c>
      <c r="S22" s="109">
        <v>-295873.61000000016</v>
      </c>
      <c r="T22" s="109">
        <v>-274529.68615384639</v>
      </c>
      <c r="U22" s="110">
        <v>0</v>
      </c>
      <c r="V22" s="111">
        <v>6.3E-2</v>
      </c>
      <c r="X22" s="1" t="s">
        <v>84</v>
      </c>
      <c r="Y22" s="1"/>
      <c r="Z22" s="112">
        <v>0</v>
      </c>
      <c r="AA22" s="113">
        <v>1</v>
      </c>
    </row>
    <row r="23" spans="1:27" x14ac:dyDescent="0.2">
      <c r="A23" s="69" t="s">
        <v>708</v>
      </c>
      <c r="B23" s="69">
        <v>39000</v>
      </c>
      <c r="C23" s="69" t="s">
        <v>728</v>
      </c>
      <c r="D23" s="108" t="s">
        <v>203</v>
      </c>
      <c r="E23" s="108" t="s">
        <v>157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10">
        <v>0</v>
      </c>
      <c r="M23" s="109">
        <v>-28.44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-28.44</v>
      </c>
      <c r="T23" s="109">
        <v>-28.44</v>
      </c>
      <c r="U23" s="110">
        <v>0</v>
      </c>
      <c r="V23" s="111">
        <v>2.5000000000000001E-2</v>
      </c>
      <c r="X23" s="1" t="s">
        <v>84</v>
      </c>
      <c r="Y23" s="1">
        <v>37900</v>
      </c>
      <c r="Z23" s="112">
        <v>3.4000000000000002E-2</v>
      </c>
      <c r="AA23" s="113">
        <v>17</v>
      </c>
    </row>
    <row r="24" spans="1:27" x14ac:dyDescent="0.2">
      <c r="A24" s="69" t="s">
        <v>708</v>
      </c>
      <c r="B24" s="69">
        <v>39002</v>
      </c>
      <c r="C24" s="69" t="s">
        <v>729</v>
      </c>
      <c r="D24" s="108" t="s">
        <v>204</v>
      </c>
      <c r="E24" s="108" t="s">
        <v>158</v>
      </c>
      <c r="F24" s="109">
        <v>2319.3000000000002</v>
      </c>
      <c r="G24" s="109">
        <v>0</v>
      </c>
      <c r="H24" s="109">
        <v>0</v>
      </c>
      <c r="I24" s="109">
        <v>0</v>
      </c>
      <c r="J24" s="109">
        <v>2319.3000000000002</v>
      </c>
      <c r="K24" s="109">
        <v>2319.2999999999997</v>
      </c>
      <c r="L24" s="110">
        <v>0</v>
      </c>
      <c r="M24" s="109">
        <v>-439.9899999999995</v>
      </c>
      <c r="N24" s="109">
        <v>-57.959999999999987</v>
      </c>
      <c r="O24" s="109">
        <v>0</v>
      </c>
      <c r="P24" s="109">
        <v>0</v>
      </c>
      <c r="Q24" s="109">
        <v>0</v>
      </c>
      <c r="R24" s="109">
        <v>0</v>
      </c>
      <c r="S24" s="109">
        <v>-497.94999999999948</v>
      </c>
      <c r="T24" s="109">
        <v>-468.96999999999929</v>
      </c>
      <c r="U24" s="110">
        <v>0</v>
      </c>
      <c r="V24" s="111">
        <v>2.5000000000000001E-2</v>
      </c>
      <c r="X24" s="1" t="s">
        <v>84</v>
      </c>
      <c r="Y24" s="1">
        <v>38000</v>
      </c>
      <c r="Z24" s="112">
        <v>6.5999999999999989E-2</v>
      </c>
      <c r="AA24" s="113">
        <v>14</v>
      </c>
    </row>
    <row r="25" spans="1:27" x14ac:dyDescent="0.2">
      <c r="A25" s="69" t="s">
        <v>708</v>
      </c>
      <c r="B25" s="69">
        <v>39100</v>
      </c>
      <c r="C25" s="69" t="s">
        <v>730</v>
      </c>
      <c r="D25" s="108" t="s">
        <v>205</v>
      </c>
      <c r="E25" s="108" t="s">
        <v>159</v>
      </c>
      <c r="F25" s="109">
        <v>284441.84999999998</v>
      </c>
      <c r="G25" s="109">
        <v>5273.61</v>
      </c>
      <c r="H25" s="109">
        <v>0</v>
      </c>
      <c r="I25" s="109">
        <v>0</v>
      </c>
      <c r="J25" s="109">
        <v>289715.45999999996</v>
      </c>
      <c r="K25" s="109">
        <v>286064.49923076923</v>
      </c>
      <c r="L25" s="110">
        <v>0</v>
      </c>
      <c r="M25" s="109">
        <v>-296989.3900000006</v>
      </c>
      <c r="N25" s="109">
        <v>-19145.910000000003</v>
      </c>
      <c r="O25" s="109">
        <v>0</v>
      </c>
      <c r="P25" s="109">
        <v>0</v>
      </c>
      <c r="Q25" s="109">
        <v>0</v>
      </c>
      <c r="R25" s="109">
        <v>0</v>
      </c>
      <c r="S25" s="109">
        <v>-316135.30000000063</v>
      </c>
      <c r="T25" s="109">
        <v>-306531.76230769296</v>
      </c>
      <c r="U25" s="110">
        <v>0</v>
      </c>
      <c r="V25" s="111">
        <v>6.7000000000000004E-2</v>
      </c>
      <c r="X25" s="1" t="s">
        <v>84</v>
      </c>
      <c r="Y25" s="1">
        <v>38002</v>
      </c>
      <c r="Z25" s="112">
        <v>0.05</v>
      </c>
      <c r="AA25" s="113">
        <v>14</v>
      </c>
    </row>
    <row r="26" spans="1:27" x14ac:dyDescent="0.2">
      <c r="A26" s="69" t="s">
        <v>708</v>
      </c>
      <c r="B26" s="69">
        <v>39101</v>
      </c>
      <c r="C26" s="69" t="s">
        <v>731</v>
      </c>
      <c r="D26" s="108" t="s">
        <v>206</v>
      </c>
      <c r="E26" s="108" t="s">
        <v>160</v>
      </c>
      <c r="F26" s="109">
        <v>176485.45999999996</v>
      </c>
      <c r="G26" s="109">
        <v>12859.75</v>
      </c>
      <c r="H26" s="109">
        <v>0</v>
      </c>
      <c r="I26" s="109">
        <v>0</v>
      </c>
      <c r="J26" s="109">
        <v>189345.20999999996</v>
      </c>
      <c r="K26" s="109">
        <v>179453.09461538459</v>
      </c>
      <c r="L26" s="110">
        <v>0</v>
      </c>
      <c r="M26" s="109">
        <v>234756.94000000009</v>
      </c>
      <c r="N26" s="109">
        <v>-22328.599999999995</v>
      </c>
      <c r="O26" s="109">
        <v>0</v>
      </c>
      <c r="P26" s="109">
        <v>0</v>
      </c>
      <c r="Q26" s="109">
        <v>0</v>
      </c>
      <c r="R26" s="109">
        <v>0</v>
      </c>
      <c r="S26" s="109">
        <v>212428.34000000008</v>
      </c>
      <c r="T26" s="109">
        <v>223695.68615384618</v>
      </c>
      <c r="U26" s="110">
        <v>0</v>
      </c>
      <c r="V26" s="111">
        <v>0.125</v>
      </c>
      <c r="X26" s="1" t="s">
        <v>84</v>
      </c>
      <c r="Y26" s="1">
        <v>38100</v>
      </c>
      <c r="Z26" s="112">
        <v>5.9000000000000004E-2</v>
      </c>
      <c r="AA26" s="113">
        <v>3</v>
      </c>
    </row>
    <row r="27" spans="1:27" x14ac:dyDescent="0.2">
      <c r="A27" s="69" t="s">
        <v>708</v>
      </c>
      <c r="B27" s="69">
        <v>39102</v>
      </c>
      <c r="C27" s="69" t="s">
        <v>732</v>
      </c>
      <c r="D27" s="108" t="s">
        <v>207</v>
      </c>
      <c r="E27" s="108" t="s">
        <v>161</v>
      </c>
      <c r="F27" s="109">
        <v>37309.369999999995</v>
      </c>
      <c r="G27" s="109">
        <v>0</v>
      </c>
      <c r="H27" s="109">
        <v>0</v>
      </c>
      <c r="I27" s="109">
        <v>0</v>
      </c>
      <c r="J27" s="109">
        <v>37309.369999999995</v>
      </c>
      <c r="K27" s="109">
        <v>37309.369999999995</v>
      </c>
      <c r="L27" s="110">
        <v>0</v>
      </c>
      <c r="M27" s="109">
        <v>-2604.8199999999997</v>
      </c>
      <c r="N27" s="109">
        <v>-2499.7199999999998</v>
      </c>
      <c r="O27" s="109">
        <v>0</v>
      </c>
      <c r="P27" s="109">
        <v>0</v>
      </c>
      <c r="Q27" s="109">
        <v>0</v>
      </c>
      <c r="R27" s="109">
        <v>0</v>
      </c>
      <c r="S27" s="109">
        <v>-5104.5399999999991</v>
      </c>
      <c r="T27" s="109">
        <v>-3854.68</v>
      </c>
      <c r="U27" s="110">
        <v>0</v>
      </c>
      <c r="V27" s="111">
        <v>6.7000000000000004E-2</v>
      </c>
      <c r="X27" s="1" t="s">
        <v>84</v>
      </c>
      <c r="Y27" s="1"/>
      <c r="Z27" s="112">
        <v>5.8999999999999997E-2</v>
      </c>
      <c r="AA27" s="113">
        <v>1</v>
      </c>
    </row>
    <row r="28" spans="1:27" x14ac:dyDescent="0.2">
      <c r="A28" s="69" t="s">
        <v>708</v>
      </c>
      <c r="B28" s="69">
        <v>39201</v>
      </c>
      <c r="C28" s="69" t="s">
        <v>733</v>
      </c>
      <c r="D28" s="108" t="s">
        <v>208</v>
      </c>
      <c r="E28" s="108" t="s">
        <v>163</v>
      </c>
      <c r="F28" s="109">
        <v>1458577.6299999994</v>
      </c>
      <c r="G28" s="109">
        <v>213006.62</v>
      </c>
      <c r="H28" s="109">
        <v>0</v>
      </c>
      <c r="I28" s="109">
        <v>0</v>
      </c>
      <c r="J28" s="109">
        <v>1671584.2499999995</v>
      </c>
      <c r="K28" s="109">
        <v>1510130.8130769224</v>
      </c>
      <c r="L28" s="110">
        <v>0</v>
      </c>
      <c r="M28" s="109">
        <v>-657462.09999999963</v>
      </c>
      <c r="N28" s="109">
        <v>-167627.76</v>
      </c>
      <c r="O28" s="109">
        <v>0</v>
      </c>
      <c r="P28" s="109">
        <v>0</v>
      </c>
      <c r="Q28" s="109">
        <v>-9369.83</v>
      </c>
      <c r="R28" s="109">
        <v>0</v>
      </c>
      <c r="S28" s="109">
        <v>-834459.68999999959</v>
      </c>
      <c r="T28" s="109">
        <v>-743688.42076923035</v>
      </c>
      <c r="U28" s="110">
        <v>0</v>
      </c>
      <c r="V28" s="111">
        <v>0.112</v>
      </c>
      <c r="X28" s="1" t="s">
        <v>84</v>
      </c>
      <c r="Y28" s="1">
        <v>38200</v>
      </c>
      <c r="Z28" s="112">
        <v>4.4999999999999998E-2</v>
      </c>
      <c r="AA28" s="113">
        <v>14</v>
      </c>
    </row>
    <row r="29" spans="1:27" x14ac:dyDescent="0.2">
      <c r="A29" s="69" t="s">
        <v>708</v>
      </c>
      <c r="B29" s="69">
        <v>39202</v>
      </c>
      <c r="C29" s="69" t="s">
        <v>734</v>
      </c>
      <c r="D29" s="108" t="s">
        <v>209</v>
      </c>
      <c r="E29" s="108" t="s">
        <v>164</v>
      </c>
      <c r="F29" s="109">
        <v>754453.31000000017</v>
      </c>
      <c r="G29" s="109">
        <v>166607.44</v>
      </c>
      <c r="H29" s="109">
        <v>-37885.58</v>
      </c>
      <c r="I29" s="109">
        <v>0</v>
      </c>
      <c r="J29" s="109">
        <v>883175.17000000027</v>
      </c>
      <c r="K29" s="109">
        <v>814236.40538461553</v>
      </c>
      <c r="L29" s="110">
        <v>0</v>
      </c>
      <c r="M29" s="109">
        <v>-403413.60999999946</v>
      </c>
      <c r="N29" s="109">
        <v>-102678.41</v>
      </c>
      <c r="O29" s="109">
        <v>37885.58</v>
      </c>
      <c r="P29" s="109">
        <v>0</v>
      </c>
      <c r="Q29" s="109">
        <v>-4215.17</v>
      </c>
      <c r="R29" s="109">
        <v>0</v>
      </c>
      <c r="S29" s="109">
        <v>-472421.6099999994</v>
      </c>
      <c r="T29" s="109">
        <v>-449726.44769230724</v>
      </c>
      <c r="U29" s="110">
        <v>0</v>
      </c>
      <c r="V29" s="111">
        <v>0.127</v>
      </c>
      <c r="X29" s="1" t="s">
        <v>84</v>
      </c>
      <c r="Y29" s="1">
        <v>38300</v>
      </c>
      <c r="Z29" s="112">
        <v>3.5999999999999997E-2</v>
      </c>
      <c r="AA29" s="113">
        <v>15</v>
      </c>
    </row>
    <row r="30" spans="1:27" x14ac:dyDescent="0.2">
      <c r="A30" s="69" t="s">
        <v>708</v>
      </c>
      <c r="B30" s="69">
        <v>39204</v>
      </c>
      <c r="C30" s="69" t="s">
        <v>735</v>
      </c>
      <c r="D30" s="108" t="s">
        <v>210</v>
      </c>
      <c r="E30" s="108" t="s">
        <v>166</v>
      </c>
      <c r="F30" s="109">
        <v>50784.429999999993</v>
      </c>
      <c r="G30" s="109">
        <v>0</v>
      </c>
      <c r="H30" s="109">
        <v>0</v>
      </c>
      <c r="I30" s="109">
        <v>0</v>
      </c>
      <c r="J30" s="109">
        <v>50784.429999999993</v>
      </c>
      <c r="K30" s="109">
        <v>50784.429999999986</v>
      </c>
      <c r="L30" s="110">
        <v>0</v>
      </c>
      <c r="M30" s="109">
        <v>-41010.679999999986</v>
      </c>
      <c r="N30" s="109">
        <v>-2031.36</v>
      </c>
      <c r="O30" s="109">
        <v>0</v>
      </c>
      <c r="P30" s="109">
        <v>0</v>
      </c>
      <c r="Q30" s="109">
        <v>0</v>
      </c>
      <c r="R30" s="109">
        <v>0</v>
      </c>
      <c r="S30" s="109">
        <v>-43042.039999999986</v>
      </c>
      <c r="T30" s="109">
        <v>-42026.359999999979</v>
      </c>
      <c r="U30" s="110">
        <v>0</v>
      </c>
      <c r="V30" s="111">
        <v>0.04</v>
      </c>
      <c r="X30" s="1" t="s">
        <v>84</v>
      </c>
      <c r="Y30" s="1">
        <v>38400</v>
      </c>
      <c r="Z30" s="112">
        <v>4.4999999999999998E-2</v>
      </c>
      <c r="AA30" s="113">
        <v>14</v>
      </c>
    </row>
    <row r="31" spans="1:27" x14ac:dyDescent="0.2">
      <c r="A31" s="69" t="s">
        <v>708</v>
      </c>
      <c r="B31" s="69">
        <v>39205</v>
      </c>
      <c r="C31" s="69" t="s">
        <v>736</v>
      </c>
      <c r="D31" s="108" t="s">
        <v>211</v>
      </c>
      <c r="E31" s="108" t="s">
        <v>167</v>
      </c>
      <c r="F31" s="109">
        <v>210140.11</v>
      </c>
      <c r="G31" s="109">
        <v>0</v>
      </c>
      <c r="H31" s="109">
        <v>0</v>
      </c>
      <c r="I31" s="109">
        <v>0</v>
      </c>
      <c r="J31" s="109">
        <v>210140.11</v>
      </c>
      <c r="K31" s="109">
        <v>210140.1099999999</v>
      </c>
      <c r="L31" s="110">
        <v>0</v>
      </c>
      <c r="M31" s="109">
        <v>-166591.47999999963</v>
      </c>
      <c r="N31" s="109">
        <v>-15550.320000000002</v>
      </c>
      <c r="O31" s="109">
        <v>0</v>
      </c>
      <c r="P31" s="109">
        <v>0</v>
      </c>
      <c r="Q31" s="109">
        <v>0</v>
      </c>
      <c r="R31" s="109">
        <v>0</v>
      </c>
      <c r="S31" s="109">
        <v>-182141.79999999964</v>
      </c>
      <c r="T31" s="109">
        <v>-174366.63999999952</v>
      </c>
      <c r="U31" s="110">
        <v>0</v>
      </c>
      <c r="V31" s="111">
        <v>7.3999999999999996E-2</v>
      </c>
      <c r="X31" s="1" t="s">
        <v>84</v>
      </c>
      <c r="Y31" s="1">
        <v>38500</v>
      </c>
      <c r="Z31" s="112">
        <v>3.1E-2</v>
      </c>
      <c r="AA31" s="113">
        <v>15</v>
      </c>
    </row>
    <row r="32" spans="1:27" x14ac:dyDescent="0.2">
      <c r="A32" s="69" t="s">
        <v>708</v>
      </c>
      <c r="B32" s="69">
        <v>39300</v>
      </c>
      <c r="C32" s="69" t="s">
        <v>737</v>
      </c>
      <c r="D32" s="108" t="s">
        <v>212</v>
      </c>
      <c r="E32" s="108" t="s">
        <v>168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10">
        <v>0</v>
      </c>
      <c r="M32" s="109">
        <v>-1498.1400000000615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-1498.1400000000615</v>
      </c>
      <c r="T32" s="109">
        <v>-1498.1400000000615</v>
      </c>
      <c r="U32" s="110">
        <v>0</v>
      </c>
      <c r="V32" s="111">
        <v>0.04</v>
      </c>
      <c r="X32" s="1" t="s">
        <v>84</v>
      </c>
      <c r="Y32" s="1">
        <v>38602</v>
      </c>
      <c r="Z32" s="112">
        <v>6.7000000000000004E-2</v>
      </c>
      <c r="AA32" s="113">
        <v>1</v>
      </c>
    </row>
    <row r="33" spans="1:27" x14ac:dyDescent="0.2">
      <c r="A33" s="69" t="s">
        <v>708</v>
      </c>
      <c r="B33" s="69">
        <v>39400</v>
      </c>
      <c r="C33" s="69" t="s">
        <v>738</v>
      </c>
      <c r="D33" s="108" t="s">
        <v>213</v>
      </c>
      <c r="E33" s="108" t="s">
        <v>169</v>
      </c>
      <c r="F33" s="109">
        <v>301705.43999999994</v>
      </c>
      <c r="G33" s="109">
        <v>97595.24</v>
      </c>
      <c r="H33" s="109">
        <v>0</v>
      </c>
      <c r="I33" s="109">
        <v>0</v>
      </c>
      <c r="J33" s="109">
        <v>399300.67999999993</v>
      </c>
      <c r="K33" s="109">
        <v>334561.91230769234</v>
      </c>
      <c r="L33" s="110">
        <v>0</v>
      </c>
      <c r="M33" s="109">
        <v>-138516.7100000004</v>
      </c>
      <c r="N33" s="109">
        <v>-21725.05</v>
      </c>
      <c r="O33" s="109">
        <v>0</v>
      </c>
      <c r="P33" s="109">
        <v>0</v>
      </c>
      <c r="Q33" s="109">
        <v>0</v>
      </c>
      <c r="R33" s="109">
        <v>0</v>
      </c>
      <c r="S33" s="109">
        <v>-160241.76000000039</v>
      </c>
      <c r="T33" s="109">
        <v>-148965.61076923113</v>
      </c>
      <c r="U33" s="110">
        <v>0</v>
      </c>
      <c r="V33" s="111">
        <v>6.6000000000000003E-2</v>
      </c>
      <c r="X33" s="1" t="s">
        <v>84</v>
      </c>
      <c r="Y33" s="1">
        <v>38608</v>
      </c>
      <c r="Z33" s="112">
        <v>6.7000000000000004E-2</v>
      </c>
      <c r="AA33" s="113">
        <v>1</v>
      </c>
    </row>
    <row r="34" spans="1:27" x14ac:dyDescent="0.2">
      <c r="A34" s="69" t="s">
        <v>708</v>
      </c>
      <c r="B34" s="69">
        <v>39401</v>
      </c>
      <c r="C34" s="69" t="s">
        <v>739</v>
      </c>
      <c r="D34" s="108" t="s">
        <v>665</v>
      </c>
      <c r="E34" s="108" t="s">
        <v>666</v>
      </c>
      <c r="F34" s="109">
        <v>0</v>
      </c>
      <c r="G34" s="109">
        <v>7720.92</v>
      </c>
      <c r="H34" s="109">
        <v>0</v>
      </c>
      <c r="I34" s="109">
        <v>0</v>
      </c>
      <c r="J34" s="109">
        <v>7720.92</v>
      </c>
      <c r="K34" s="109">
        <v>7127.0030769230762</v>
      </c>
      <c r="L34" s="110">
        <v>0</v>
      </c>
      <c r="M34" s="109">
        <v>0</v>
      </c>
      <c r="N34" s="109">
        <v>-467.17000000000007</v>
      </c>
      <c r="O34" s="109">
        <v>0</v>
      </c>
      <c r="P34" s="109">
        <v>0</v>
      </c>
      <c r="Q34" s="109">
        <v>0</v>
      </c>
      <c r="R34" s="109">
        <v>0</v>
      </c>
      <c r="S34" s="109">
        <v>-467.17000000000007</v>
      </c>
      <c r="T34" s="109">
        <v>-215.61692307692309</v>
      </c>
      <c r="U34" s="110">
        <v>0</v>
      </c>
      <c r="V34" s="114">
        <v>6.6000000000000003E-2</v>
      </c>
      <c r="W34" s="115"/>
      <c r="X34" s="1" t="s">
        <v>84</v>
      </c>
      <c r="Y34" s="1">
        <v>38700</v>
      </c>
      <c r="Z34" s="112">
        <v>6.3E-2</v>
      </c>
      <c r="AA34" s="113">
        <v>15</v>
      </c>
    </row>
    <row r="35" spans="1:27" x14ac:dyDescent="0.2">
      <c r="A35" s="69" t="s">
        <v>708</v>
      </c>
      <c r="B35" s="69">
        <v>39500</v>
      </c>
      <c r="C35" s="69" t="s">
        <v>740</v>
      </c>
      <c r="D35" s="108" t="s">
        <v>214</v>
      </c>
      <c r="E35" s="108" t="s">
        <v>170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10">
        <v>0</v>
      </c>
      <c r="M35" s="109">
        <v>13381.33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13381.33</v>
      </c>
      <c r="T35" s="109">
        <v>13381.329999999996</v>
      </c>
      <c r="U35" s="110">
        <v>0</v>
      </c>
      <c r="V35" s="111">
        <v>0.05</v>
      </c>
      <c r="X35" s="1" t="s">
        <v>84</v>
      </c>
      <c r="Y35" s="1">
        <v>39000</v>
      </c>
      <c r="Z35" s="112">
        <v>2.5000000000000001E-2</v>
      </c>
      <c r="AA35" s="113">
        <v>6</v>
      </c>
    </row>
    <row r="36" spans="1:27" x14ac:dyDescent="0.2">
      <c r="A36" s="69" t="s">
        <v>708</v>
      </c>
      <c r="B36" s="69">
        <v>39600</v>
      </c>
      <c r="C36" s="69" t="s">
        <v>741</v>
      </c>
      <c r="D36" s="108" t="s">
        <v>215</v>
      </c>
      <c r="E36" s="108" t="s">
        <v>171</v>
      </c>
      <c r="F36" s="109">
        <v>478971.97</v>
      </c>
      <c r="G36" s="109">
        <v>22316.730000000003</v>
      </c>
      <c r="H36" s="109">
        <v>0</v>
      </c>
      <c r="I36" s="109">
        <v>0</v>
      </c>
      <c r="J36" s="109">
        <v>501288.69999999995</v>
      </c>
      <c r="K36" s="109">
        <v>499365.11307692307</v>
      </c>
      <c r="L36" s="110">
        <v>0</v>
      </c>
      <c r="M36" s="109">
        <v>-296047.8500000005</v>
      </c>
      <c r="N36" s="109">
        <v>-31949.160000000003</v>
      </c>
      <c r="O36" s="109">
        <v>0</v>
      </c>
      <c r="P36" s="109">
        <v>0</v>
      </c>
      <c r="Q36" s="109">
        <v>0</v>
      </c>
      <c r="R36" s="109">
        <v>0</v>
      </c>
      <c r="S36" s="109">
        <v>-327997.01000000047</v>
      </c>
      <c r="T36" s="109">
        <v>-311972.0753846158</v>
      </c>
      <c r="U36" s="110">
        <v>0</v>
      </c>
      <c r="V36" s="111">
        <v>6.4000000000000001E-2</v>
      </c>
      <c r="X36" s="1" t="s">
        <v>84</v>
      </c>
      <c r="Y36" s="1">
        <v>39002</v>
      </c>
      <c r="Z36" s="112">
        <v>2.5000000000000001E-2</v>
      </c>
      <c r="AA36" s="113">
        <v>6</v>
      </c>
    </row>
    <row r="37" spans="1:27" x14ac:dyDescent="0.2">
      <c r="A37" s="69" t="s">
        <v>708</v>
      </c>
      <c r="B37" s="69">
        <v>39700</v>
      </c>
      <c r="C37" s="69" t="s">
        <v>742</v>
      </c>
      <c r="D37" s="108" t="s">
        <v>216</v>
      </c>
      <c r="E37" s="108" t="s">
        <v>172</v>
      </c>
      <c r="F37" s="109">
        <v>273814.41000000003</v>
      </c>
      <c r="G37" s="109">
        <v>0</v>
      </c>
      <c r="H37" s="109">
        <v>0</v>
      </c>
      <c r="I37" s="109">
        <v>0</v>
      </c>
      <c r="J37" s="109">
        <v>273814.41000000003</v>
      </c>
      <c r="K37" s="109">
        <v>273814.41000000009</v>
      </c>
      <c r="L37" s="110">
        <v>0</v>
      </c>
      <c r="M37" s="109">
        <v>-374991.63000000134</v>
      </c>
      <c r="N37" s="109">
        <v>-23000.400000000005</v>
      </c>
      <c r="O37" s="109">
        <v>0</v>
      </c>
      <c r="P37" s="109">
        <v>0</v>
      </c>
      <c r="Q37" s="109">
        <v>0</v>
      </c>
      <c r="R37" s="109">
        <v>0</v>
      </c>
      <c r="S37" s="109">
        <v>-397992.03000000137</v>
      </c>
      <c r="T37" s="109">
        <v>-386491.83000000136</v>
      </c>
      <c r="U37" s="110">
        <v>0</v>
      </c>
      <c r="V37" s="111">
        <v>8.4000000000000005E-2</v>
      </c>
      <c r="X37" s="1" t="s">
        <v>84</v>
      </c>
      <c r="Y37" s="1">
        <v>39100</v>
      </c>
      <c r="Z37" s="112">
        <v>6.7000000000000004E-2</v>
      </c>
      <c r="AA37" s="113">
        <v>16</v>
      </c>
    </row>
    <row r="38" spans="1:27" x14ac:dyDescent="0.2">
      <c r="A38" s="69" t="s">
        <v>708</v>
      </c>
      <c r="B38" s="69">
        <v>39800</v>
      </c>
      <c r="C38" s="69" t="s">
        <v>743</v>
      </c>
      <c r="D38" s="108" t="s">
        <v>217</v>
      </c>
      <c r="E38" s="108" t="s">
        <v>173</v>
      </c>
      <c r="F38" s="109">
        <v>69747.390000000014</v>
      </c>
      <c r="G38" s="109">
        <v>16046.76</v>
      </c>
      <c r="H38" s="109">
        <v>0</v>
      </c>
      <c r="I38" s="109">
        <v>0</v>
      </c>
      <c r="J38" s="109">
        <v>85794.150000000009</v>
      </c>
      <c r="K38" s="109">
        <v>81351.771538461559</v>
      </c>
      <c r="L38" s="110">
        <v>0</v>
      </c>
      <c r="M38" s="109">
        <v>-23935.149999999958</v>
      </c>
      <c r="N38" s="109">
        <v>-4777.8999999999996</v>
      </c>
      <c r="O38" s="109">
        <v>0</v>
      </c>
      <c r="P38" s="109">
        <v>0</v>
      </c>
      <c r="Q38" s="109">
        <v>0</v>
      </c>
      <c r="R38" s="109">
        <v>0</v>
      </c>
      <c r="S38" s="109">
        <v>-28713.049999999959</v>
      </c>
      <c r="T38" s="109">
        <v>-26274.94692307687</v>
      </c>
      <c r="U38" s="110">
        <v>0</v>
      </c>
      <c r="V38" s="111">
        <v>5.8999999999999997E-2</v>
      </c>
      <c r="X38" s="1" t="s">
        <v>84</v>
      </c>
      <c r="Y38" s="1">
        <v>39101</v>
      </c>
      <c r="Z38" s="112">
        <v>0.125</v>
      </c>
      <c r="AA38" s="113">
        <v>16</v>
      </c>
    </row>
    <row r="39" spans="1:27" x14ac:dyDescent="0.2">
      <c r="A39" s="69" t="s">
        <v>744</v>
      </c>
      <c r="B39" s="69">
        <v>10500</v>
      </c>
      <c r="C39" s="69" t="s">
        <v>745</v>
      </c>
      <c r="D39" s="108" t="s">
        <v>667</v>
      </c>
      <c r="E39" s="108" t="s">
        <v>710</v>
      </c>
      <c r="F39" s="109">
        <v>2755679.11</v>
      </c>
      <c r="G39" s="267">
        <v>-1045082.24</v>
      </c>
      <c r="H39" s="109">
        <v>0</v>
      </c>
      <c r="I39" s="267"/>
      <c r="J39" s="109">
        <v>1710596.8699999999</v>
      </c>
      <c r="K39" s="109">
        <v>2192942.5192307695</v>
      </c>
      <c r="L39" s="110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09">
        <v>0</v>
      </c>
      <c r="U39" s="110">
        <v>0</v>
      </c>
      <c r="V39" s="111">
        <v>0</v>
      </c>
      <c r="X39" s="1" t="s">
        <v>84</v>
      </c>
      <c r="Y39" s="1">
        <v>39102</v>
      </c>
      <c r="Z39" s="112">
        <v>6.7000000000000004E-2</v>
      </c>
      <c r="AA39" s="113">
        <v>16</v>
      </c>
    </row>
    <row r="40" spans="1:27" x14ac:dyDescent="0.2">
      <c r="A40" s="69" t="s">
        <v>744</v>
      </c>
      <c r="B40" s="69">
        <v>30301</v>
      </c>
      <c r="C40" s="69" t="s">
        <v>746</v>
      </c>
      <c r="D40" s="108" t="s">
        <v>218</v>
      </c>
      <c r="E40" s="108" t="s">
        <v>141</v>
      </c>
      <c r="F40" s="109">
        <v>76452.19</v>
      </c>
      <c r="G40" s="109">
        <v>16097.85</v>
      </c>
      <c r="H40" s="109">
        <v>-76452.19</v>
      </c>
      <c r="I40" s="109">
        <v>0</v>
      </c>
      <c r="J40" s="109">
        <v>16097.850000000006</v>
      </c>
      <c r="K40" s="109">
        <v>15265.929230769232</v>
      </c>
      <c r="L40" s="110">
        <v>0</v>
      </c>
      <c r="M40" s="109">
        <v>-76452.19</v>
      </c>
      <c r="N40" s="109">
        <v>-164.45999999999998</v>
      </c>
      <c r="O40" s="109">
        <v>76452.19</v>
      </c>
      <c r="P40" s="109">
        <v>0</v>
      </c>
      <c r="Q40" s="109">
        <v>0</v>
      </c>
      <c r="R40" s="109">
        <v>0</v>
      </c>
      <c r="S40" s="109">
        <v>-164.4600000000064</v>
      </c>
      <c r="T40" s="109">
        <v>-11783.131538461537</v>
      </c>
      <c r="U40" s="110">
        <v>6.4233063312713057E-12</v>
      </c>
      <c r="V40" s="111">
        <v>6.7000000000000004E-2</v>
      </c>
      <c r="X40" s="1" t="s">
        <v>84</v>
      </c>
      <c r="Y40" s="1">
        <v>39103</v>
      </c>
      <c r="Z40" s="112">
        <v>0</v>
      </c>
      <c r="AA40" s="113">
        <v>2</v>
      </c>
    </row>
    <row r="41" spans="1:27" x14ac:dyDescent="0.2">
      <c r="A41" s="69" t="s">
        <v>744</v>
      </c>
      <c r="B41" s="69">
        <v>37400</v>
      </c>
      <c r="C41" s="69" t="s">
        <v>747</v>
      </c>
      <c r="D41" s="108" t="s">
        <v>219</v>
      </c>
      <c r="E41" s="108" t="s">
        <v>142</v>
      </c>
      <c r="F41" s="109">
        <v>345690.18999999994</v>
      </c>
      <c r="G41" s="109">
        <v>7219691.79</v>
      </c>
      <c r="H41" s="109">
        <v>0</v>
      </c>
      <c r="I41" s="109">
        <v>0</v>
      </c>
      <c r="J41" s="109">
        <v>7565381.9800000004</v>
      </c>
      <c r="K41" s="109">
        <v>5180061.0523076914</v>
      </c>
      <c r="L41" s="110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09">
        <v>0</v>
      </c>
      <c r="U41" s="110">
        <v>0</v>
      </c>
      <c r="V41" s="111">
        <v>0</v>
      </c>
      <c r="X41" s="1" t="s">
        <v>84</v>
      </c>
      <c r="Y41" s="1">
        <v>39201</v>
      </c>
      <c r="Z41" s="112">
        <v>0.112</v>
      </c>
      <c r="AA41" s="113">
        <v>15</v>
      </c>
    </row>
    <row r="42" spans="1:27" x14ac:dyDescent="0.2">
      <c r="A42" s="69" t="s">
        <v>744</v>
      </c>
      <c r="B42" s="69">
        <v>37500</v>
      </c>
      <c r="C42" s="69" t="s">
        <v>748</v>
      </c>
      <c r="D42" s="108" t="s">
        <v>220</v>
      </c>
      <c r="E42" s="108" t="s">
        <v>144</v>
      </c>
      <c r="F42" s="109">
        <v>3272386.9900000007</v>
      </c>
      <c r="G42" s="109">
        <v>0</v>
      </c>
      <c r="H42" s="109">
        <v>0</v>
      </c>
      <c r="I42" s="109">
        <v>0</v>
      </c>
      <c r="J42" s="109">
        <v>3272386.9900000007</v>
      </c>
      <c r="K42" s="109">
        <v>3272386.9900000016</v>
      </c>
      <c r="L42" s="110">
        <v>0</v>
      </c>
      <c r="M42" s="109">
        <v>-1262200.0399999982</v>
      </c>
      <c r="N42" s="109">
        <v>-81809.64</v>
      </c>
      <c r="O42" s="109">
        <v>0</v>
      </c>
      <c r="P42" s="109">
        <v>0</v>
      </c>
      <c r="Q42" s="109">
        <v>0</v>
      </c>
      <c r="R42" s="109">
        <v>0</v>
      </c>
      <c r="S42" s="109">
        <v>-1344009.6799999981</v>
      </c>
      <c r="T42" s="109">
        <v>-1303104.859999998</v>
      </c>
      <c r="U42" s="110">
        <v>0</v>
      </c>
      <c r="V42" s="111">
        <v>2.5000000000000001E-2</v>
      </c>
      <c r="X42" s="1" t="s">
        <v>84</v>
      </c>
      <c r="Y42" s="1">
        <v>39202</v>
      </c>
      <c r="Z42" s="112">
        <v>0.127</v>
      </c>
      <c r="AA42" s="113">
        <v>15</v>
      </c>
    </row>
    <row r="43" spans="1:27" x14ac:dyDescent="0.2">
      <c r="A43" s="69" t="s">
        <v>744</v>
      </c>
      <c r="B43" s="69">
        <v>37600</v>
      </c>
      <c r="C43" s="69" t="s">
        <v>749</v>
      </c>
      <c r="D43" s="108" t="s">
        <v>221</v>
      </c>
      <c r="E43" s="108" t="s">
        <v>145</v>
      </c>
      <c r="F43" s="109">
        <v>52168641.30999998</v>
      </c>
      <c r="G43" s="109">
        <v>1221772.1000000001</v>
      </c>
      <c r="H43" s="109">
        <v>-356440.39999999997</v>
      </c>
      <c r="I43" s="109">
        <v>0</v>
      </c>
      <c r="J43" s="109">
        <v>53033973.009999983</v>
      </c>
      <c r="K43" s="109">
        <v>52481185.950769201</v>
      </c>
      <c r="L43" s="110">
        <v>0</v>
      </c>
      <c r="M43" s="109">
        <v>-26946594.149999991</v>
      </c>
      <c r="N43" s="109">
        <v>-2202275.04</v>
      </c>
      <c r="O43" s="109">
        <v>356440.39999999997</v>
      </c>
      <c r="P43" s="109">
        <v>375113.98</v>
      </c>
      <c r="Q43" s="109">
        <v>45.150000000000091</v>
      </c>
      <c r="R43" s="109">
        <v>0</v>
      </c>
      <c r="S43" s="109">
        <v>-28417269.659999993</v>
      </c>
      <c r="T43" s="109">
        <v>-27691461.802307691</v>
      </c>
      <c r="U43" s="110">
        <v>0</v>
      </c>
      <c r="V43" s="111">
        <v>4.2000000000000003E-2</v>
      </c>
      <c r="X43" s="1" t="s">
        <v>84</v>
      </c>
      <c r="Y43" s="1">
        <v>39203</v>
      </c>
      <c r="Z43" s="112">
        <v>1.7000000000000001E-2</v>
      </c>
      <c r="AA43" s="113">
        <v>1</v>
      </c>
    </row>
    <row r="44" spans="1:27" x14ac:dyDescent="0.2">
      <c r="A44" s="69" t="s">
        <v>744</v>
      </c>
      <c r="B44" s="69">
        <v>37602</v>
      </c>
      <c r="C44" s="69" t="s">
        <v>750</v>
      </c>
      <c r="D44" s="108" t="s">
        <v>222</v>
      </c>
      <c r="E44" s="108" t="s">
        <v>146</v>
      </c>
      <c r="F44" s="109">
        <v>56352685.519999973</v>
      </c>
      <c r="G44" s="109">
        <v>7100914.2300000004</v>
      </c>
      <c r="H44" s="109">
        <v>-113025.02</v>
      </c>
      <c r="I44" s="109">
        <v>0</v>
      </c>
      <c r="J44" s="109">
        <v>63340574.729999967</v>
      </c>
      <c r="K44" s="109">
        <v>59542935.949230738</v>
      </c>
      <c r="L44" s="110">
        <v>0</v>
      </c>
      <c r="M44" s="109">
        <v>-17520847.77</v>
      </c>
      <c r="N44" s="109">
        <v>-1836020.4499999997</v>
      </c>
      <c r="O44" s="109">
        <v>113025.02</v>
      </c>
      <c r="P44" s="109">
        <v>128649.48999999995</v>
      </c>
      <c r="Q44" s="109">
        <v>-56.019999999999982</v>
      </c>
      <c r="R44" s="109">
        <v>0</v>
      </c>
      <c r="S44" s="109">
        <v>-19115249.73</v>
      </c>
      <c r="T44" s="109">
        <v>-18328624.352307692</v>
      </c>
      <c r="U44" s="110">
        <v>0</v>
      </c>
      <c r="V44" s="111">
        <v>3.1E-2</v>
      </c>
      <c r="X44" s="1" t="s">
        <v>84</v>
      </c>
      <c r="Y44" s="1">
        <v>39204</v>
      </c>
      <c r="Z44" s="112">
        <v>0.04</v>
      </c>
      <c r="AA44" s="113">
        <v>15</v>
      </c>
    </row>
    <row r="45" spans="1:27" x14ac:dyDescent="0.2">
      <c r="A45" s="69" t="s">
        <v>744</v>
      </c>
      <c r="B45" s="69">
        <v>37602</v>
      </c>
      <c r="C45" s="69" t="s">
        <v>750</v>
      </c>
      <c r="D45" s="108" t="s">
        <v>223</v>
      </c>
      <c r="E45" s="108" t="s">
        <v>146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10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09">
        <v>0</v>
      </c>
      <c r="U45" s="110">
        <v>0</v>
      </c>
      <c r="V45" s="111">
        <v>3.1E-2</v>
      </c>
      <c r="Y45" s="1">
        <v>39205</v>
      </c>
      <c r="Z45" s="112">
        <v>7.3999999999999996E-2</v>
      </c>
      <c r="AA45" s="113">
        <v>13</v>
      </c>
    </row>
    <row r="46" spans="1:27" x14ac:dyDescent="0.2">
      <c r="A46" s="69" t="s">
        <v>744</v>
      </c>
      <c r="B46" s="69">
        <v>37602</v>
      </c>
      <c r="C46" s="69" t="s">
        <v>750</v>
      </c>
      <c r="D46" s="108" t="s">
        <v>224</v>
      </c>
      <c r="E46" s="108" t="s">
        <v>146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10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09">
        <v>0</v>
      </c>
      <c r="U46" s="110">
        <v>0</v>
      </c>
      <c r="V46" s="111">
        <v>3.1E-2</v>
      </c>
      <c r="Y46" s="1">
        <v>39300</v>
      </c>
      <c r="Z46" s="112">
        <v>0.04</v>
      </c>
      <c r="AA46" s="113">
        <v>10</v>
      </c>
    </row>
    <row r="47" spans="1:27" x14ac:dyDescent="0.2">
      <c r="A47" s="69" t="s">
        <v>744</v>
      </c>
      <c r="B47" s="69">
        <v>37800</v>
      </c>
      <c r="C47" s="69" t="s">
        <v>751</v>
      </c>
      <c r="D47" s="108" t="s">
        <v>225</v>
      </c>
      <c r="E47" s="108" t="s">
        <v>147</v>
      </c>
      <c r="F47" s="109">
        <v>1741360.5500000003</v>
      </c>
      <c r="G47" s="109">
        <v>670369.7699999999</v>
      </c>
      <c r="H47" s="109">
        <v>-10351.200000000001</v>
      </c>
      <c r="I47" s="109">
        <v>0</v>
      </c>
      <c r="J47" s="109">
        <v>2401379.12</v>
      </c>
      <c r="K47" s="109">
        <v>2001039.3500000003</v>
      </c>
      <c r="L47" s="110">
        <v>0</v>
      </c>
      <c r="M47" s="109">
        <v>-401247.18000000023</v>
      </c>
      <c r="N47" s="109">
        <v>-66901.06</v>
      </c>
      <c r="O47" s="109">
        <v>10351.200000000001</v>
      </c>
      <c r="P47" s="109">
        <v>11633.279999999999</v>
      </c>
      <c r="Q47" s="109">
        <v>0</v>
      </c>
      <c r="R47" s="109">
        <v>0</v>
      </c>
      <c r="S47" s="109">
        <v>-446163.76000000024</v>
      </c>
      <c r="T47" s="109">
        <v>-420439.77000000019</v>
      </c>
      <c r="U47" s="110">
        <v>0</v>
      </c>
      <c r="V47" s="111">
        <v>3.4000000000000002E-2</v>
      </c>
      <c r="Y47" s="1">
        <v>39400</v>
      </c>
      <c r="Z47" s="112">
        <v>6.6000000000000003E-2</v>
      </c>
      <c r="AA47" s="113">
        <v>17</v>
      </c>
    </row>
    <row r="48" spans="1:27" x14ac:dyDescent="0.2">
      <c r="A48" s="69" t="s">
        <v>744</v>
      </c>
      <c r="B48" s="69">
        <v>37900</v>
      </c>
      <c r="C48" s="69" t="s">
        <v>752</v>
      </c>
      <c r="D48" s="108" t="s">
        <v>226</v>
      </c>
      <c r="E48" s="108" t="s">
        <v>148</v>
      </c>
      <c r="F48" s="109">
        <v>1791463.6</v>
      </c>
      <c r="G48" s="109">
        <v>44656.679999999993</v>
      </c>
      <c r="H48" s="109">
        <v>0</v>
      </c>
      <c r="I48" s="109">
        <v>0</v>
      </c>
      <c r="J48" s="109">
        <v>1836120.28</v>
      </c>
      <c r="K48" s="109">
        <v>1816038.4053846155</v>
      </c>
      <c r="L48" s="110">
        <v>0</v>
      </c>
      <c r="M48" s="109">
        <v>-699399.35999999882</v>
      </c>
      <c r="N48" s="109">
        <v>-61688.449999999983</v>
      </c>
      <c r="O48" s="109">
        <v>0</v>
      </c>
      <c r="P48" s="109">
        <v>0</v>
      </c>
      <c r="Q48" s="109">
        <v>0</v>
      </c>
      <c r="R48" s="109">
        <v>0</v>
      </c>
      <c r="S48" s="109">
        <v>-761087.80999999878</v>
      </c>
      <c r="T48" s="109">
        <v>-730072.10307692166</v>
      </c>
      <c r="U48" s="110">
        <v>0</v>
      </c>
      <c r="V48" s="111">
        <v>3.4000000000000002E-2</v>
      </c>
      <c r="Y48" s="1">
        <v>39401</v>
      </c>
      <c r="Z48" s="112">
        <v>6.6000000000000003E-2</v>
      </c>
      <c r="AA48" s="113">
        <v>1</v>
      </c>
    </row>
    <row r="49" spans="1:27" x14ac:dyDescent="0.2">
      <c r="A49" s="69" t="s">
        <v>744</v>
      </c>
      <c r="B49" s="69">
        <v>38000</v>
      </c>
      <c r="C49" s="69" t="s">
        <v>753</v>
      </c>
      <c r="D49" s="108" t="s">
        <v>227</v>
      </c>
      <c r="E49" s="108" t="s">
        <v>149</v>
      </c>
      <c r="F49" s="109">
        <v>10457270.840000005</v>
      </c>
      <c r="G49" s="109">
        <v>387355.80000000005</v>
      </c>
      <c r="H49" s="109">
        <v>-58225.43</v>
      </c>
      <c r="I49" s="109">
        <v>0</v>
      </c>
      <c r="J49" s="109">
        <v>10786401.210000006</v>
      </c>
      <c r="K49" s="109">
        <v>10630924.892307697</v>
      </c>
      <c r="L49" s="110">
        <v>0</v>
      </c>
      <c r="M49" s="109">
        <v>-12180320.040000003</v>
      </c>
      <c r="N49" s="109">
        <v>-700785.91</v>
      </c>
      <c r="O49" s="109">
        <v>58225.43</v>
      </c>
      <c r="P49" s="109">
        <v>162783.94</v>
      </c>
      <c r="Q49" s="109">
        <v>6.3499999999999943</v>
      </c>
      <c r="R49" s="109">
        <v>0</v>
      </c>
      <c r="S49" s="109">
        <v>-12660090.230000004</v>
      </c>
      <c r="T49" s="109">
        <v>-12440792.833846161</v>
      </c>
      <c r="U49" s="110">
        <v>0</v>
      </c>
      <c r="V49" s="111">
        <v>6.5999999999999989E-2</v>
      </c>
      <c r="Y49" s="1">
        <v>39500</v>
      </c>
      <c r="Z49" s="112">
        <v>0.05</v>
      </c>
      <c r="AA49" s="113">
        <v>4</v>
      </c>
    </row>
    <row r="50" spans="1:27" x14ac:dyDescent="0.2">
      <c r="A50" s="69" t="s">
        <v>744</v>
      </c>
      <c r="B50" s="69">
        <v>38002</v>
      </c>
      <c r="C50" s="69" t="s">
        <v>754</v>
      </c>
      <c r="D50" s="108" t="s">
        <v>228</v>
      </c>
      <c r="E50" s="108" t="s">
        <v>150</v>
      </c>
      <c r="F50" s="109">
        <v>36714890.490000002</v>
      </c>
      <c r="G50" s="109">
        <v>2252698.04</v>
      </c>
      <c r="H50" s="109">
        <v>-69285.350000000006</v>
      </c>
      <c r="I50" s="109">
        <v>0</v>
      </c>
      <c r="J50" s="109">
        <v>38898303.18</v>
      </c>
      <c r="K50" s="109">
        <v>37758686.129999995</v>
      </c>
      <c r="L50" s="110">
        <v>0</v>
      </c>
      <c r="M50" s="109">
        <v>-19234500.760000009</v>
      </c>
      <c r="N50" s="109">
        <v>-1883185.88</v>
      </c>
      <c r="O50" s="109">
        <v>69285.350000000006</v>
      </c>
      <c r="P50" s="109">
        <v>131016.02999999996</v>
      </c>
      <c r="Q50" s="109">
        <v>4.5199999999999818</v>
      </c>
      <c r="R50" s="109">
        <v>0</v>
      </c>
      <c r="S50" s="109">
        <v>-20917380.740000006</v>
      </c>
      <c r="T50" s="109">
        <v>-20083452.460000023</v>
      </c>
      <c r="U50" s="110">
        <v>0</v>
      </c>
      <c r="V50" s="111">
        <v>0.05</v>
      </c>
      <c r="Y50" s="1">
        <v>39600</v>
      </c>
      <c r="Z50" s="112">
        <v>6.4000000000000001E-2</v>
      </c>
      <c r="AA50" s="113">
        <v>15</v>
      </c>
    </row>
    <row r="51" spans="1:27" x14ac:dyDescent="0.2">
      <c r="A51" s="69" t="s">
        <v>744</v>
      </c>
      <c r="B51" s="69">
        <v>38200</v>
      </c>
      <c r="C51" s="69" t="s">
        <v>755</v>
      </c>
      <c r="D51" s="108" t="s">
        <v>229</v>
      </c>
      <c r="E51" s="108" t="s">
        <v>152</v>
      </c>
      <c r="F51" s="109">
        <v>9282917.4699999988</v>
      </c>
      <c r="G51" s="109">
        <v>290750.86</v>
      </c>
      <c r="H51" s="109">
        <v>-62829.33</v>
      </c>
      <c r="I51" s="109">
        <v>0</v>
      </c>
      <c r="J51" s="109">
        <v>9510838.9999999981</v>
      </c>
      <c r="K51" s="109">
        <v>9384534.8469230775</v>
      </c>
      <c r="L51" s="110">
        <v>0</v>
      </c>
      <c r="M51" s="109">
        <v>-5746156.1400000006</v>
      </c>
      <c r="N51" s="109">
        <v>-421830.43999999994</v>
      </c>
      <c r="O51" s="109">
        <v>62829.33</v>
      </c>
      <c r="P51" s="109">
        <v>18252.95</v>
      </c>
      <c r="Q51" s="109">
        <v>0</v>
      </c>
      <c r="R51" s="109">
        <v>0</v>
      </c>
      <c r="S51" s="109">
        <v>-6086904.2999999998</v>
      </c>
      <c r="T51" s="109">
        <v>-5920157.884615385</v>
      </c>
      <c r="U51" s="110">
        <v>0</v>
      </c>
      <c r="V51" s="111">
        <v>4.4999999999999998E-2</v>
      </c>
      <c r="Y51" s="1">
        <v>39700</v>
      </c>
      <c r="Z51" s="112">
        <v>8.4000000000000005E-2</v>
      </c>
      <c r="AA51" s="113">
        <v>16</v>
      </c>
    </row>
    <row r="52" spans="1:27" x14ac:dyDescent="0.2">
      <c r="A52" s="69" t="s">
        <v>744</v>
      </c>
      <c r="B52" s="69">
        <v>38300</v>
      </c>
      <c r="C52" s="69" t="s">
        <v>756</v>
      </c>
      <c r="D52" s="108" t="s">
        <v>230</v>
      </c>
      <c r="E52" s="108" t="s">
        <v>153</v>
      </c>
      <c r="F52" s="109">
        <v>2338585.370000002</v>
      </c>
      <c r="G52" s="109">
        <v>50285.600000000006</v>
      </c>
      <c r="H52" s="109">
        <v>-23467.360000000001</v>
      </c>
      <c r="I52" s="109">
        <v>0</v>
      </c>
      <c r="J52" s="109">
        <v>2365403.6100000022</v>
      </c>
      <c r="K52" s="109">
        <v>2374642.3123076945</v>
      </c>
      <c r="L52" s="110">
        <v>0</v>
      </c>
      <c r="M52" s="109">
        <v>-836624.60999999987</v>
      </c>
      <c r="N52" s="109">
        <v>-85514.83</v>
      </c>
      <c r="O52" s="109">
        <v>23467.360000000001</v>
      </c>
      <c r="P52" s="109">
        <v>0</v>
      </c>
      <c r="Q52" s="109">
        <v>0</v>
      </c>
      <c r="R52" s="109">
        <v>0</v>
      </c>
      <c r="S52" s="109">
        <v>-898672.07999999984</v>
      </c>
      <c r="T52" s="109">
        <v>-877417.11615384615</v>
      </c>
      <c r="U52" s="110">
        <v>0</v>
      </c>
      <c r="V52" s="111">
        <v>3.5999999999999997E-2</v>
      </c>
      <c r="Y52" s="1">
        <v>39800</v>
      </c>
      <c r="Z52" s="112">
        <v>5.8999999999999997E-2</v>
      </c>
      <c r="AA52" s="113">
        <v>15</v>
      </c>
    </row>
    <row r="53" spans="1:27" x14ac:dyDescent="0.2">
      <c r="A53" s="69" t="s">
        <v>744</v>
      </c>
      <c r="B53" s="69">
        <v>38400</v>
      </c>
      <c r="C53" s="69" t="s">
        <v>757</v>
      </c>
      <c r="D53" s="108" t="s">
        <v>231</v>
      </c>
      <c r="E53" s="108" t="s">
        <v>154</v>
      </c>
      <c r="F53" s="109">
        <v>3620961.5099999988</v>
      </c>
      <c r="G53" s="109">
        <v>96945.13</v>
      </c>
      <c r="H53" s="109">
        <v>-26300.11</v>
      </c>
      <c r="I53" s="109">
        <v>0</v>
      </c>
      <c r="J53" s="109">
        <v>3691606.5299999989</v>
      </c>
      <c r="K53" s="109">
        <v>3666490.939230768</v>
      </c>
      <c r="L53" s="110">
        <v>0</v>
      </c>
      <c r="M53" s="109">
        <v>-2276872.2700000005</v>
      </c>
      <c r="N53" s="109">
        <v>-164897.92000000001</v>
      </c>
      <c r="O53" s="109">
        <v>26300.11</v>
      </c>
      <c r="P53" s="109">
        <v>17172.830000000002</v>
      </c>
      <c r="Q53" s="109">
        <v>0</v>
      </c>
      <c r="R53" s="109">
        <v>0</v>
      </c>
      <c r="S53" s="109">
        <v>-2398297.2500000005</v>
      </c>
      <c r="T53" s="109">
        <v>-2338957.751538462</v>
      </c>
      <c r="U53" s="110">
        <v>0</v>
      </c>
      <c r="V53" s="111">
        <v>4.4999999999999998E-2</v>
      </c>
      <c r="Y53" s="1">
        <v>39900</v>
      </c>
      <c r="Z53" s="112">
        <v>0</v>
      </c>
      <c r="AA53" s="113">
        <v>1</v>
      </c>
    </row>
    <row r="54" spans="1:27" x14ac:dyDescent="0.2">
      <c r="A54" s="69" t="s">
        <v>744</v>
      </c>
      <c r="B54" s="69">
        <v>38500</v>
      </c>
      <c r="C54" s="69" t="s">
        <v>758</v>
      </c>
      <c r="D54" s="108" t="s">
        <v>232</v>
      </c>
      <c r="E54" s="108" t="s">
        <v>155</v>
      </c>
      <c r="F54" s="109">
        <v>1100892.1100000003</v>
      </c>
      <c r="G54" s="109">
        <v>0</v>
      </c>
      <c r="H54" s="109">
        <v>-3207.09</v>
      </c>
      <c r="I54" s="109">
        <v>0</v>
      </c>
      <c r="J54" s="109">
        <v>1097685.0200000003</v>
      </c>
      <c r="K54" s="109">
        <v>1100152.0107692315</v>
      </c>
      <c r="L54" s="110">
        <v>0</v>
      </c>
      <c r="M54" s="109">
        <v>-813337.27999999956</v>
      </c>
      <c r="N54" s="109">
        <v>-34111.040000000008</v>
      </c>
      <c r="O54" s="109">
        <v>3207.09</v>
      </c>
      <c r="P54" s="109">
        <v>132.82</v>
      </c>
      <c r="Q54" s="109">
        <v>0</v>
      </c>
      <c r="R54" s="109">
        <v>0</v>
      </c>
      <c r="S54" s="109">
        <v>-844108.40999999968</v>
      </c>
      <c r="T54" s="109">
        <v>-829635.95307692268</v>
      </c>
      <c r="U54" s="110">
        <v>0</v>
      </c>
      <c r="V54" s="111">
        <v>3.1E-2</v>
      </c>
      <c r="Y54" s="1" t="s">
        <v>662</v>
      </c>
      <c r="Z54" s="112" t="s">
        <v>662</v>
      </c>
      <c r="AA54" s="113"/>
    </row>
    <row r="55" spans="1:27" x14ac:dyDescent="0.2">
      <c r="A55" s="69" t="s">
        <v>744</v>
      </c>
      <c r="B55" s="69">
        <v>38700</v>
      </c>
      <c r="C55" s="69" t="s">
        <v>759</v>
      </c>
      <c r="D55" s="108" t="s">
        <v>233</v>
      </c>
      <c r="E55" s="108" t="s">
        <v>156</v>
      </c>
      <c r="F55" s="109">
        <v>463127.41</v>
      </c>
      <c r="G55" s="109">
        <v>27824.41</v>
      </c>
      <c r="H55" s="109">
        <v>0</v>
      </c>
      <c r="I55" s="109">
        <v>0</v>
      </c>
      <c r="J55" s="109">
        <v>490951.81999999995</v>
      </c>
      <c r="K55" s="109">
        <v>478233.18153846165</v>
      </c>
      <c r="L55" s="110">
        <v>0</v>
      </c>
      <c r="M55" s="109">
        <v>-184373.09999999998</v>
      </c>
      <c r="N55" s="109">
        <v>-30061.929999999993</v>
      </c>
      <c r="O55" s="109">
        <v>0</v>
      </c>
      <c r="P55" s="109">
        <v>0</v>
      </c>
      <c r="Q55" s="109">
        <v>0</v>
      </c>
      <c r="R55" s="109">
        <v>0</v>
      </c>
      <c r="S55" s="109">
        <v>-214435.02999999997</v>
      </c>
      <c r="T55" s="109">
        <v>-199284.51153846149</v>
      </c>
      <c r="U55" s="110">
        <v>0</v>
      </c>
      <c r="V55" s="111">
        <v>6.3E-2</v>
      </c>
      <c r="Y55" s="143" t="s">
        <v>174</v>
      </c>
      <c r="AA55" s="113">
        <v>469</v>
      </c>
    </row>
    <row r="56" spans="1:27" x14ac:dyDescent="0.2">
      <c r="A56" s="69" t="s">
        <v>744</v>
      </c>
      <c r="B56" s="69">
        <v>39100</v>
      </c>
      <c r="C56" s="69" t="s">
        <v>760</v>
      </c>
      <c r="D56" s="108" t="s">
        <v>234</v>
      </c>
      <c r="E56" s="108" t="s">
        <v>159</v>
      </c>
      <c r="F56" s="109">
        <v>46204.719999999994</v>
      </c>
      <c r="G56" s="109">
        <v>6867.79</v>
      </c>
      <c r="H56" s="109">
        <v>0</v>
      </c>
      <c r="I56" s="109">
        <v>0</v>
      </c>
      <c r="J56" s="109">
        <v>53072.509999999995</v>
      </c>
      <c r="K56" s="109">
        <v>49389.031538461531</v>
      </c>
      <c r="L56" s="110">
        <v>0</v>
      </c>
      <c r="M56" s="109">
        <v>-60272.989999999983</v>
      </c>
      <c r="N56" s="109">
        <v>-3288.51</v>
      </c>
      <c r="O56" s="109">
        <v>0</v>
      </c>
      <c r="P56" s="109">
        <v>0</v>
      </c>
      <c r="Q56" s="109">
        <v>0</v>
      </c>
      <c r="R56" s="109">
        <v>0</v>
      </c>
      <c r="S56" s="109">
        <v>-63561.499999999985</v>
      </c>
      <c r="T56" s="109">
        <v>-61868.461538461539</v>
      </c>
      <c r="U56" s="110">
        <v>0</v>
      </c>
      <c r="V56" s="111">
        <v>6.7000000000000004E-2</v>
      </c>
    </row>
    <row r="57" spans="1:27" x14ac:dyDescent="0.2">
      <c r="A57" s="69" t="s">
        <v>744</v>
      </c>
      <c r="B57" s="69">
        <v>39101</v>
      </c>
      <c r="C57" s="69" t="s">
        <v>761</v>
      </c>
      <c r="D57" s="108" t="s">
        <v>235</v>
      </c>
      <c r="E57" s="108" t="s">
        <v>160</v>
      </c>
      <c r="F57" s="109">
        <v>42166.060000000005</v>
      </c>
      <c r="G57" s="109">
        <v>32117.43</v>
      </c>
      <c r="H57" s="109">
        <v>-4621.16</v>
      </c>
      <c r="I57" s="109">
        <v>0</v>
      </c>
      <c r="J57" s="109">
        <v>69662.33</v>
      </c>
      <c r="K57" s="109">
        <v>47467.284615384619</v>
      </c>
      <c r="L57" s="110">
        <v>0</v>
      </c>
      <c r="M57" s="109">
        <v>-36292.75999999974</v>
      </c>
      <c r="N57" s="109">
        <v>-5702.1900000000005</v>
      </c>
      <c r="O57" s="109">
        <v>4621.16</v>
      </c>
      <c r="P57" s="109">
        <v>0</v>
      </c>
      <c r="Q57" s="109">
        <v>0</v>
      </c>
      <c r="R57" s="109">
        <v>0</v>
      </c>
      <c r="S57" s="109">
        <v>-37373.789999999746</v>
      </c>
      <c r="T57" s="109">
        <v>-35004.729999999734</v>
      </c>
      <c r="U57" s="110">
        <v>0</v>
      </c>
      <c r="V57" s="111">
        <v>0.125</v>
      </c>
    </row>
    <row r="58" spans="1:27" x14ac:dyDescent="0.2">
      <c r="A58" s="69" t="s">
        <v>744</v>
      </c>
      <c r="B58" s="69">
        <v>39102</v>
      </c>
      <c r="C58" s="69" t="s">
        <v>762</v>
      </c>
      <c r="D58" s="108" t="s">
        <v>236</v>
      </c>
      <c r="E58" s="108" t="s">
        <v>161</v>
      </c>
      <c r="F58" s="109">
        <v>58056.599999999991</v>
      </c>
      <c r="G58" s="109">
        <v>0</v>
      </c>
      <c r="H58" s="109">
        <v>0</v>
      </c>
      <c r="I58" s="109">
        <v>0</v>
      </c>
      <c r="J58" s="109">
        <v>58056.599999999991</v>
      </c>
      <c r="K58" s="109">
        <v>58056.599999999984</v>
      </c>
      <c r="L58" s="110">
        <v>0</v>
      </c>
      <c r="M58" s="109">
        <v>-50398.4200000001</v>
      </c>
      <c r="N58" s="109">
        <v>-3889.8000000000006</v>
      </c>
      <c r="O58" s="109">
        <v>0</v>
      </c>
      <c r="P58" s="109">
        <v>0</v>
      </c>
      <c r="Q58" s="109">
        <v>0</v>
      </c>
      <c r="R58" s="109">
        <v>0</v>
      </c>
      <c r="S58" s="109">
        <v>-54288.220000000103</v>
      </c>
      <c r="T58" s="109">
        <v>-52343.320000000109</v>
      </c>
      <c r="U58" s="110">
        <v>0</v>
      </c>
      <c r="V58" s="111">
        <v>6.7000000000000004E-2</v>
      </c>
    </row>
    <row r="59" spans="1:27" x14ac:dyDescent="0.2">
      <c r="A59" s="69" t="s">
        <v>744</v>
      </c>
      <c r="B59" s="69">
        <v>39201</v>
      </c>
      <c r="C59" s="69" t="s">
        <v>763</v>
      </c>
      <c r="D59" s="108" t="s">
        <v>237</v>
      </c>
      <c r="E59" s="108" t="s">
        <v>163</v>
      </c>
      <c r="F59" s="109">
        <v>1115907.24</v>
      </c>
      <c r="G59" s="109">
        <v>341776.94</v>
      </c>
      <c r="H59" s="109">
        <v>0</v>
      </c>
      <c r="I59" s="109">
        <v>0</v>
      </c>
      <c r="J59" s="109">
        <v>1457684.18</v>
      </c>
      <c r="K59" s="109">
        <v>1222268.1753846153</v>
      </c>
      <c r="L59" s="110">
        <v>0</v>
      </c>
      <c r="M59" s="109">
        <v>-336104.03999999986</v>
      </c>
      <c r="N59" s="109">
        <v>-134696.78999999998</v>
      </c>
      <c r="O59" s="109">
        <v>0</v>
      </c>
      <c r="P59" s="109">
        <v>141.97999999999999</v>
      </c>
      <c r="Q59" s="109">
        <v>-1336.92</v>
      </c>
      <c r="R59" s="109">
        <v>0</v>
      </c>
      <c r="S59" s="109">
        <v>-471995.76999999984</v>
      </c>
      <c r="T59" s="109">
        <v>-400654.95384615369</v>
      </c>
      <c r="U59" s="110">
        <v>0</v>
      </c>
      <c r="V59" s="111">
        <v>0.112</v>
      </c>
    </row>
    <row r="60" spans="1:27" x14ac:dyDescent="0.2">
      <c r="A60" s="69" t="s">
        <v>744</v>
      </c>
      <c r="B60" s="69">
        <v>39202</v>
      </c>
      <c r="C60" s="69" t="s">
        <v>764</v>
      </c>
      <c r="D60" s="108" t="s">
        <v>238</v>
      </c>
      <c r="E60" s="108" t="s">
        <v>164</v>
      </c>
      <c r="F60" s="109">
        <v>583233.19000000018</v>
      </c>
      <c r="G60" s="109">
        <v>49730.299999999996</v>
      </c>
      <c r="H60" s="109">
        <v>0</v>
      </c>
      <c r="I60" s="109">
        <v>0</v>
      </c>
      <c r="J60" s="109">
        <v>632963.49000000022</v>
      </c>
      <c r="K60" s="109">
        <v>602315.33692307724</v>
      </c>
      <c r="L60" s="110">
        <v>0</v>
      </c>
      <c r="M60" s="109">
        <v>-311954.64000000019</v>
      </c>
      <c r="N60" s="109">
        <v>-76169.670000000013</v>
      </c>
      <c r="O60" s="109">
        <v>0</v>
      </c>
      <c r="P60" s="109">
        <v>61.65</v>
      </c>
      <c r="Q60" s="109">
        <v>-5308.08</v>
      </c>
      <c r="R60" s="109">
        <v>0</v>
      </c>
      <c r="S60" s="109">
        <v>-393370.74000000017</v>
      </c>
      <c r="T60" s="109">
        <v>-351751.22538461548</v>
      </c>
      <c r="U60" s="110">
        <v>0</v>
      </c>
      <c r="V60" s="111">
        <v>0.127</v>
      </c>
    </row>
    <row r="61" spans="1:27" x14ac:dyDescent="0.2">
      <c r="A61" s="69" t="s">
        <v>744</v>
      </c>
      <c r="B61" s="69">
        <v>39204</v>
      </c>
      <c r="C61" s="69" t="s">
        <v>765</v>
      </c>
      <c r="D61" s="108" t="s">
        <v>239</v>
      </c>
      <c r="E61" s="108" t="s">
        <v>166</v>
      </c>
      <c r="F61" s="109">
        <v>79777.62000000001</v>
      </c>
      <c r="G61" s="109">
        <v>0</v>
      </c>
      <c r="H61" s="109">
        <v>0</v>
      </c>
      <c r="I61" s="109">
        <v>0</v>
      </c>
      <c r="J61" s="109">
        <v>79777.62000000001</v>
      </c>
      <c r="K61" s="109">
        <v>79777.62000000001</v>
      </c>
      <c r="L61" s="110">
        <v>0</v>
      </c>
      <c r="M61" s="109">
        <v>-12566.119999999984</v>
      </c>
      <c r="N61" s="109">
        <v>-3191.1599999999994</v>
      </c>
      <c r="O61" s="109">
        <v>0</v>
      </c>
      <c r="P61" s="109">
        <v>0</v>
      </c>
      <c r="Q61" s="109">
        <v>0</v>
      </c>
      <c r="R61" s="109">
        <v>0</v>
      </c>
      <c r="S61" s="109">
        <v>-15757.279999999984</v>
      </c>
      <c r="T61" s="109">
        <v>-14161.699999999984</v>
      </c>
      <c r="U61" s="110">
        <v>0</v>
      </c>
      <c r="V61" s="111">
        <v>0.04</v>
      </c>
    </row>
    <row r="62" spans="1:27" x14ac:dyDescent="0.2">
      <c r="A62" s="69" t="s">
        <v>744</v>
      </c>
      <c r="B62" s="69">
        <v>39205</v>
      </c>
      <c r="C62" s="69" t="s">
        <v>766</v>
      </c>
      <c r="D62" s="108" t="s">
        <v>240</v>
      </c>
      <c r="E62" s="108" t="s">
        <v>167</v>
      </c>
      <c r="F62" s="109">
        <v>418650.57000000007</v>
      </c>
      <c r="G62" s="109">
        <v>572826.75000000012</v>
      </c>
      <c r="H62" s="109">
        <v>0</v>
      </c>
      <c r="I62" s="109">
        <v>0</v>
      </c>
      <c r="J62" s="109">
        <v>991477.32000000018</v>
      </c>
      <c r="K62" s="109">
        <v>790754.52615384618</v>
      </c>
      <c r="L62" s="110">
        <v>0</v>
      </c>
      <c r="M62" s="109">
        <v>-144066.36000000007</v>
      </c>
      <c r="N62" s="109">
        <v>-57278.039999999994</v>
      </c>
      <c r="O62" s="109">
        <v>0</v>
      </c>
      <c r="P62" s="109">
        <v>0</v>
      </c>
      <c r="Q62" s="109">
        <v>0</v>
      </c>
      <c r="R62" s="109">
        <v>0</v>
      </c>
      <c r="S62" s="109">
        <v>-201344.40000000008</v>
      </c>
      <c r="T62" s="109">
        <v>-168124.95923076925</v>
      </c>
      <c r="U62" s="110">
        <v>0</v>
      </c>
      <c r="V62" s="111">
        <v>7.3999999999999996E-2</v>
      </c>
    </row>
    <row r="63" spans="1:27" x14ac:dyDescent="0.2">
      <c r="A63" s="69" t="s">
        <v>744</v>
      </c>
      <c r="B63" s="69">
        <v>39300</v>
      </c>
      <c r="C63" s="69" t="s">
        <v>767</v>
      </c>
      <c r="D63" s="108" t="s">
        <v>241</v>
      </c>
      <c r="E63" s="108" t="s">
        <v>168</v>
      </c>
      <c r="F63" s="109">
        <v>0</v>
      </c>
      <c r="G63" s="109">
        <v>0</v>
      </c>
      <c r="H63" s="109">
        <v>0</v>
      </c>
      <c r="I63" s="109">
        <v>0</v>
      </c>
      <c r="J63" s="109">
        <v>0</v>
      </c>
      <c r="K63" s="109">
        <v>0</v>
      </c>
      <c r="L63" s="110">
        <v>0</v>
      </c>
      <c r="M63" s="109">
        <v>-205.61000000000226</v>
      </c>
      <c r="N63" s="109">
        <v>0</v>
      </c>
      <c r="O63" s="109">
        <v>0</v>
      </c>
      <c r="P63" s="109">
        <v>0</v>
      </c>
      <c r="Q63" s="109">
        <v>0</v>
      </c>
      <c r="R63" s="109">
        <v>0</v>
      </c>
      <c r="S63" s="109">
        <v>-205.61000000000226</v>
      </c>
      <c r="T63" s="109">
        <v>-205.61000000000226</v>
      </c>
      <c r="U63" s="110">
        <v>0</v>
      </c>
      <c r="V63" s="111">
        <v>0.04</v>
      </c>
    </row>
    <row r="64" spans="1:27" x14ac:dyDescent="0.2">
      <c r="A64" s="69" t="s">
        <v>744</v>
      </c>
      <c r="B64" s="69">
        <v>39400</v>
      </c>
      <c r="C64" s="69" t="s">
        <v>768</v>
      </c>
      <c r="D64" s="108" t="s">
        <v>242</v>
      </c>
      <c r="E64" s="108" t="s">
        <v>169</v>
      </c>
      <c r="F64" s="109">
        <v>556629.48999999987</v>
      </c>
      <c r="G64" s="109">
        <v>101142.49</v>
      </c>
      <c r="H64" s="109">
        <v>0</v>
      </c>
      <c r="I64" s="109">
        <v>0</v>
      </c>
      <c r="J64" s="109">
        <v>657771.97999999986</v>
      </c>
      <c r="K64" s="109">
        <v>590895.48538461514</v>
      </c>
      <c r="L64" s="110">
        <v>0</v>
      </c>
      <c r="M64" s="109">
        <v>-108966.02999999994</v>
      </c>
      <c r="N64" s="109">
        <v>-38631.279999999999</v>
      </c>
      <c r="O64" s="109">
        <v>0</v>
      </c>
      <c r="P64" s="109">
        <v>0</v>
      </c>
      <c r="Q64" s="109">
        <v>0</v>
      </c>
      <c r="R64" s="109">
        <v>0</v>
      </c>
      <c r="S64" s="109">
        <v>-147597.30999999994</v>
      </c>
      <c r="T64" s="109">
        <v>-127886.68615384608</v>
      </c>
      <c r="U64" s="110">
        <v>0</v>
      </c>
      <c r="V64" s="111">
        <v>6.6000000000000003E-2</v>
      </c>
    </row>
    <row r="65" spans="1:22" x14ac:dyDescent="0.2">
      <c r="A65" s="69" t="s">
        <v>744</v>
      </c>
      <c r="B65" s="69">
        <v>39500</v>
      </c>
      <c r="C65" s="69" t="s">
        <v>769</v>
      </c>
      <c r="D65" s="108" t="s">
        <v>243</v>
      </c>
      <c r="E65" s="108" t="s">
        <v>170</v>
      </c>
      <c r="F65" s="109">
        <v>0</v>
      </c>
      <c r="G65" s="109">
        <v>0</v>
      </c>
      <c r="H65" s="109">
        <v>0</v>
      </c>
      <c r="I65" s="109">
        <v>0</v>
      </c>
      <c r="J65" s="109">
        <v>0</v>
      </c>
      <c r="K65" s="109">
        <v>0</v>
      </c>
      <c r="L65" s="110">
        <v>0</v>
      </c>
      <c r="M65" s="109">
        <v>-30004.250000000033</v>
      </c>
      <c r="N65" s="109">
        <v>0</v>
      </c>
      <c r="O65" s="109">
        <v>0</v>
      </c>
      <c r="P65" s="109">
        <v>0</v>
      </c>
      <c r="Q65" s="109">
        <v>0</v>
      </c>
      <c r="R65" s="109">
        <v>0</v>
      </c>
      <c r="S65" s="109">
        <v>-30004.250000000033</v>
      </c>
      <c r="T65" s="109">
        <v>-30004.25000000004</v>
      </c>
      <c r="U65" s="110">
        <v>0</v>
      </c>
      <c r="V65" s="111">
        <v>0.05</v>
      </c>
    </row>
    <row r="66" spans="1:22" x14ac:dyDescent="0.2">
      <c r="A66" s="69" t="s">
        <v>744</v>
      </c>
      <c r="B66" s="69">
        <v>39600</v>
      </c>
      <c r="C66" s="69" t="s">
        <v>770</v>
      </c>
      <c r="D66" s="108" t="s">
        <v>244</v>
      </c>
      <c r="E66" s="108" t="s">
        <v>171</v>
      </c>
      <c r="F66" s="109">
        <v>341193.80000000005</v>
      </c>
      <c r="G66" s="109">
        <v>0</v>
      </c>
      <c r="H66" s="109">
        <v>0</v>
      </c>
      <c r="I66" s="109">
        <v>0</v>
      </c>
      <c r="J66" s="109">
        <v>341193.80000000005</v>
      </c>
      <c r="K66" s="109">
        <v>341193.79999999993</v>
      </c>
      <c r="L66" s="110">
        <v>0</v>
      </c>
      <c r="M66" s="109">
        <v>-136071.07999999996</v>
      </c>
      <c r="N66" s="109">
        <v>-21836.400000000005</v>
      </c>
      <c r="O66" s="109">
        <v>0</v>
      </c>
      <c r="P66" s="109">
        <v>0</v>
      </c>
      <c r="Q66" s="109">
        <v>0</v>
      </c>
      <c r="R66" s="109">
        <v>0</v>
      </c>
      <c r="S66" s="109">
        <v>-157907.47999999995</v>
      </c>
      <c r="T66" s="109">
        <v>-146989.28</v>
      </c>
      <c r="U66" s="110">
        <v>0</v>
      </c>
      <c r="V66" s="111">
        <v>6.4000000000000001E-2</v>
      </c>
    </row>
    <row r="67" spans="1:22" x14ac:dyDescent="0.2">
      <c r="A67" s="69" t="s">
        <v>744</v>
      </c>
      <c r="B67" s="69">
        <v>39700</v>
      </c>
      <c r="C67" s="69" t="s">
        <v>771</v>
      </c>
      <c r="D67" s="108" t="s">
        <v>245</v>
      </c>
      <c r="E67" s="108" t="s">
        <v>172</v>
      </c>
      <c r="F67" s="109">
        <v>227382.98000000004</v>
      </c>
      <c r="G67" s="109">
        <v>0</v>
      </c>
      <c r="H67" s="109">
        <v>0</v>
      </c>
      <c r="I67" s="109">
        <v>0</v>
      </c>
      <c r="J67" s="109">
        <v>227382.98000000004</v>
      </c>
      <c r="K67" s="109">
        <v>227382.98</v>
      </c>
      <c r="L67" s="110">
        <v>0</v>
      </c>
      <c r="M67" s="109">
        <v>-323864.51999999833</v>
      </c>
      <c r="N67" s="109">
        <v>-19100.16</v>
      </c>
      <c r="O67" s="109">
        <v>0</v>
      </c>
      <c r="P67" s="109">
        <v>0</v>
      </c>
      <c r="Q67" s="109">
        <v>0</v>
      </c>
      <c r="R67" s="109">
        <v>0</v>
      </c>
      <c r="S67" s="109">
        <v>-342964.6799999983</v>
      </c>
      <c r="T67" s="109">
        <v>-333414.59999999829</v>
      </c>
      <c r="U67" s="110">
        <v>0</v>
      </c>
      <c r="V67" s="111">
        <v>8.4000000000000005E-2</v>
      </c>
    </row>
    <row r="68" spans="1:22" x14ac:dyDescent="0.2">
      <c r="A68" s="69" t="s">
        <v>744</v>
      </c>
      <c r="B68" s="69">
        <v>39800</v>
      </c>
      <c r="C68" s="69" t="s">
        <v>772</v>
      </c>
      <c r="D68" s="108" t="s">
        <v>246</v>
      </c>
      <c r="E68" s="108" t="s">
        <v>173</v>
      </c>
      <c r="F68" s="109">
        <v>13937.66</v>
      </c>
      <c r="G68" s="109">
        <v>0</v>
      </c>
      <c r="H68" s="109">
        <v>0</v>
      </c>
      <c r="I68" s="109">
        <v>0</v>
      </c>
      <c r="J68" s="109">
        <v>13937.66</v>
      </c>
      <c r="K68" s="109">
        <v>13937.660000000002</v>
      </c>
      <c r="L68" s="110">
        <v>0</v>
      </c>
      <c r="M68" s="109">
        <v>-3867.0900000000074</v>
      </c>
      <c r="N68" s="109">
        <v>-822.35999999999979</v>
      </c>
      <c r="O68" s="109">
        <v>0</v>
      </c>
      <c r="P68" s="109">
        <v>0</v>
      </c>
      <c r="Q68" s="109">
        <v>0</v>
      </c>
      <c r="R68" s="109">
        <v>0</v>
      </c>
      <c r="S68" s="109">
        <v>-4689.4500000000071</v>
      </c>
      <c r="T68" s="109">
        <v>-4278.2700000000077</v>
      </c>
      <c r="U68" s="110">
        <v>0</v>
      </c>
      <c r="V68" s="111">
        <v>5.8999999999999997E-2</v>
      </c>
    </row>
    <row r="69" spans="1:22" x14ac:dyDescent="0.2">
      <c r="A69" s="69" t="s">
        <v>773</v>
      </c>
      <c r="B69" s="69">
        <v>30100</v>
      </c>
      <c r="C69" s="69" t="s">
        <v>774</v>
      </c>
      <c r="D69" s="108" t="s">
        <v>247</v>
      </c>
      <c r="E69" s="108" t="s">
        <v>138</v>
      </c>
      <c r="F69" s="109">
        <v>8667.74</v>
      </c>
      <c r="G69" s="109">
        <v>0</v>
      </c>
      <c r="H69" s="109">
        <v>0</v>
      </c>
      <c r="I69" s="109">
        <v>0</v>
      </c>
      <c r="J69" s="109">
        <v>8667.74</v>
      </c>
      <c r="K69" s="109">
        <v>8667.7400000000016</v>
      </c>
      <c r="L69" s="110">
        <v>0</v>
      </c>
      <c r="M69" s="109">
        <v>-3111.11</v>
      </c>
      <c r="N69" s="109">
        <v>0</v>
      </c>
      <c r="O69" s="109">
        <v>0</v>
      </c>
      <c r="P69" s="109">
        <v>0</v>
      </c>
      <c r="Q69" s="109">
        <v>0</v>
      </c>
      <c r="R69" s="109">
        <v>0</v>
      </c>
      <c r="S69" s="109">
        <v>-3111.11</v>
      </c>
      <c r="T69" s="109">
        <v>-3111.11</v>
      </c>
      <c r="U69" s="110">
        <v>0</v>
      </c>
      <c r="V69" s="111">
        <v>0</v>
      </c>
    </row>
    <row r="70" spans="1:22" x14ac:dyDescent="0.2">
      <c r="A70" s="69" t="s">
        <v>773</v>
      </c>
      <c r="B70" s="69">
        <v>30200</v>
      </c>
      <c r="C70" s="69" t="s">
        <v>775</v>
      </c>
      <c r="D70" s="108" t="s">
        <v>248</v>
      </c>
      <c r="E70" s="108" t="s">
        <v>139</v>
      </c>
      <c r="F70" s="109">
        <v>0</v>
      </c>
      <c r="G70" s="109">
        <v>0</v>
      </c>
      <c r="H70" s="109">
        <v>0</v>
      </c>
      <c r="I70" s="109">
        <v>0</v>
      </c>
      <c r="J70" s="109">
        <v>0</v>
      </c>
      <c r="K70" s="109">
        <v>0</v>
      </c>
      <c r="L70" s="110">
        <v>0</v>
      </c>
      <c r="M70" s="109">
        <v>-6.8212102632969618E-13</v>
      </c>
      <c r="N70" s="109">
        <v>0</v>
      </c>
      <c r="O70" s="109">
        <v>0</v>
      </c>
      <c r="P70" s="109">
        <v>0</v>
      </c>
      <c r="Q70" s="109">
        <v>0</v>
      </c>
      <c r="R70" s="109">
        <v>0</v>
      </c>
      <c r="S70" s="109">
        <v>-6.8212102632969618E-13</v>
      </c>
      <c r="T70" s="109">
        <v>-6.8212102632969618E-13</v>
      </c>
      <c r="U70" s="110">
        <v>0</v>
      </c>
      <c r="V70" s="111">
        <v>0.04</v>
      </c>
    </row>
    <row r="71" spans="1:22" x14ac:dyDescent="0.2">
      <c r="A71" s="69" t="s">
        <v>773</v>
      </c>
      <c r="B71" s="69">
        <v>30301</v>
      </c>
      <c r="C71" s="69" t="s">
        <v>776</v>
      </c>
      <c r="D71" s="108" t="s">
        <v>249</v>
      </c>
      <c r="E71" s="108" t="s">
        <v>141</v>
      </c>
      <c r="F71" s="109">
        <v>0</v>
      </c>
      <c r="G71" s="109">
        <v>2160.52</v>
      </c>
      <c r="H71" s="109">
        <v>0</v>
      </c>
      <c r="I71" s="109">
        <v>0</v>
      </c>
      <c r="J71" s="109">
        <v>2160.52</v>
      </c>
      <c r="K71" s="109">
        <v>664.77538461538461</v>
      </c>
      <c r="L71" s="110">
        <v>0</v>
      </c>
      <c r="M71" s="109">
        <v>0</v>
      </c>
      <c r="N71" s="109">
        <v>-36.18</v>
      </c>
      <c r="O71" s="109">
        <v>0</v>
      </c>
      <c r="P71" s="109">
        <v>0</v>
      </c>
      <c r="Q71" s="109">
        <v>0</v>
      </c>
      <c r="R71" s="109">
        <v>0</v>
      </c>
      <c r="S71" s="109">
        <v>-36.18</v>
      </c>
      <c r="T71" s="109">
        <v>-5.5661538461538465</v>
      </c>
      <c r="U71" s="110">
        <v>0</v>
      </c>
      <c r="V71" s="111">
        <v>6.7000000000000004E-2</v>
      </c>
    </row>
    <row r="72" spans="1:22" x14ac:dyDescent="0.2">
      <c r="A72" s="69" t="s">
        <v>773</v>
      </c>
      <c r="B72" s="69">
        <v>37400</v>
      </c>
      <c r="C72" s="69" t="s">
        <v>777</v>
      </c>
      <c r="D72" s="108" t="s">
        <v>250</v>
      </c>
      <c r="E72" s="108" t="s">
        <v>142</v>
      </c>
      <c r="F72" s="109">
        <v>66631.66</v>
      </c>
      <c r="G72" s="109">
        <v>0</v>
      </c>
      <c r="H72" s="109">
        <v>0</v>
      </c>
      <c r="I72" s="109">
        <v>0</v>
      </c>
      <c r="J72" s="109">
        <v>66631.66</v>
      </c>
      <c r="K72" s="109">
        <v>66631.660000000018</v>
      </c>
      <c r="L72" s="110">
        <v>0</v>
      </c>
      <c r="M72" s="109">
        <v>0</v>
      </c>
      <c r="N72" s="109">
        <v>0</v>
      </c>
      <c r="O72" s="109">
        <v>0</v>
      </c>
      <c r="P72" s="109">
        <v>0</v>
      </c>
      <c r="Q72" s="109">
        <v>0</v>
      </c>
      <c r="R72" s="109">
        <v>0</v>
      </c>
      <c r="S72" s="109">
        <v>0</v>
      </c>
      <c r="T72" s="109">
        <v>0</v>
      </c>
      <c r="U72" s="110">
        <v>0</v>
      </c>
      <c r="V72" s="111">
        <v>0</v>
      </c>
    </row>
    <row r="73" spans="1:22" x14ac:dyDescent="0.2">
      <c r="A73" s="69" t="s">
        <v>773</v>
      </c>
      <c r="B73" s="69">
        <v>37402</v>
      </c>
      <c r="C73" s="69" t="s">
        <v>778</v>
      </c>
      <c r="D73" s="108" t="s">
        <v>251</v>
      </c>
      <c r="E73" s="108" t="s">
        <v>143</v>
      </c>
      <c r="F73" s="109">
        <v>144895.67000000001</v>
      </c>
      <c r="G73" s="109">
        <v>0</v>
      </c>
      <c r="H73" s="109">
        <v>0</v>
      </c>
      <c r="I73" s="109">
        <v>0</v>
      </c>
      <c r="J73" s="109">
        <v>144895.67000000001</v>
      </c>
      <c r="K73" s="109">
        <v>144895.66999999998</v>
      </c>
      <c r="L73" s="110">
        <v>0</v>
      </c>
      <c r="M73" s="109">
        <v>-114406.99000000005</v>
      </c>
      <c r="N73" s="109">
        <v>-1883.64</v>
      </c>
      <c r="O73" s="109">
        <v>0</v>
      </c>
      <c r="P73" s="109">
        <v>0</v>
      </c>
      <c r="Q73" s="109">
        <v>0</v>
      </c>
      <c r="R73" s="109">
        <v>0</v>
      </c>
      <c r="S73" s="109">
        <v>-116290.63000000005</v>
      </c>
      <c r="T73" s="109">
        <v>-115348.81000000004</v>
      </c>
      <c r="U73" s="110">
        <v>0</v>
      </c>
      <c r="V73" s="111">
        <v>1.2999999999999999E-2</v>
      </c>
    </row>
    <row r="74" spans="1:22" x14ac:dyDescent="0.2">
      <c r="A74" s="69" t="s">
        <v>773</v>
      </c>
      <c r="B74" s="69">
        <v>37500</v>
      </c>
      <c r="C74" s="69" t="s">
        <v>779</v>
      </c>
      <c r="D74" s="108" t="s">
        <v>252</v>
      </c>
      <c r="E74" s="108" t="s">
        <v>144</v>
      </c>
      <c r="F74" s="109">
        <v>1172691.21</v>
      </c>
      <c r="G74" s="109">
        <v>122377.20999999999</v>
      </c>
      <c r="H74" s="109">
        <v>0</v>
      </c>
      <c r="I74" s="109">
        <v>0</v>
      </c>
      <c r="J74" s="109">
        <v>1295068.42</v>
      </c>
      <c r="K74" s="109">
        <v>1263956.8784615381</v>
      </c>
      <c r="L74" s="110">
        <v>0</v>
      </c>
      <c r="M74" s="109">
        <v>-775953.74000000011</v>
      </c>
      <c r="N74" s="109">
        <v>-31534.140000000007</v>
      </c>
      <c r="O74" s="109">
        <v>0</v>
      </c>
      <c r="P74" s="109">
        <v>0</v>
      </c>
      <c r="Q74" s="109">
        <v>0</v>
      </c>
      <c r="R74" s="109">
        <v>0</v>
      </c>
      <c r="S74" s="109">
        <v>-807487.88000000012</v>
      </c>
      <c r="T74" s="109">
        <v>-791209.23615384614</v>
      </c>
      <c r="U74" s="110">
        <v>0</v>
      </c>
      <c r="V74" s="111">
        <v>2.5000000000000001E-2</v>
      </c>
    </row>
    <row r="75" spans="1:22" x14ac:dyDescent="0.2">
      <c r="A75" s="69" t="s">
        <v>773</v>
      </c>
      <c r="B75" s="69">
        <v>37600</v>
      </c>
      <c r="C75" s="69" t="s">
        <v>780</v>
      </c>
      <c r="D75" s="108" t="s">
        <v>253</v>
      </c>
      <c r="E75" s="108" t="s">
        <v>145</v>
      </c>
      <c r="F75" s="109">
        <v>17622688.459999993</v>
      </c>
      <c r="G75" s="109">
        <v>1181613.3</v>
      </c>
      <c r="H75" s="109">
        <v>-473491.36</v>
      </c>
      <c r="I75" s="109">
        <v>0</v>
      </c>
      <c r="J75" s="109">
        <v>18330810.399999995</v>
      </c>
      <c r="K75" s="109">
        <v>17977866.412307683</v>
      </c>
      <c r="L75" s="110">
        <v>0</v>
      </c>
      <c r="M75" s="109">
        <v>-12880008.809999999</v>
      </c>
      <c r="N75" s="109">
        <v>-753835.08000000007</v>
      </c>
      <c r="O75" s="109">
        <v>473491.36</v>
      </c>
      <c r="P75" s="109">
        <v>364127.42000000004</v>
      </c>
      <c r="Q75" s="109">
        <v>-436.49000000000024</v>
      </c>
      <c r="R75" s="109">
        <v>0</v>
      </c>
      <c r="S75" s="109">
        <v>-12796661.6</v>
      </c>
      <c r="T75" s="109">
        <v>-12708441.063846154</v>
      </c>
      <c r="U75" s="110">
        <v>0</v>
      </c>
      <c r="V75" s="111">
        <v>4.2000000000000003E-2</v>
      </c>
    </row>
    <row r="76" spans="1:22" x14ac:dyDescent="0.2">
      <c r="A76" s="69" t="s">
        <v>773</v>
      </c>
      <c r="B76" s="69">
        <v>37602</v>
      </c>
      <c r="C76" s="69" t="s">
        <v>781</v>
      </c>
      <c r="D76" s="108" t="s">
        <v>254</v>
      </c>
      <c r="E76" s="108" t="s">
        <v>146</v>
      </c>
      <c r="F76" s="109">
        <v>24000782.599999994</v>
      </c>
      <c r="G76" s="109">
        <v>2743620.0199999996</v>
      </c>
      <c r="H76" s="109">
        <v>-40113.35</v>
      </c>
      <c r="I76" s="109">
        <v>0</v>
      </c>
      <c r="J76" s="109">
        <v>26704289.269999992</v>
      </c>
      <c r="K76" s="109">
        <v>25462900.177692302</v>
      </c>
      <c r="L76" s="110">
        <v>0</v>
      </c>
      <c r="M76" s="109">
        <v>-9911413.7799999956</v>
      </c>
      <c r="N76" s="109">
        <v>-786142.97</v>
      </c>
      <c r="O76" s="109">
        <v>40113.35</v>
      </c>
      <c r="P76" s="109">
        <v>3433.4700000000266</v>
      </c>
      <c r="Q76" s="109">
        <v>-916.43000000000029</v>
      </c>
      <c r="R76" s="109">
        <v>0</v>
      </c>
      <c r="S76" s="109">
        <v>-10654926.359999996</v>
      </c>
      <c r="T76" s="109">
        <v>-10243182.760769229</v>
      </c>
      <c r="U76" s="110">
        <v>0</v>
      </c>
      <c r="V76" s="111">
        <v>3.1E-2</v>
      </c>
    </row>
    <row r="77" spans="1:22" x14ac:dyDescent="0.2">
      <c r="A77" s="69" t="s">
        <v>773</v>
      </c>
      <c r="B77" s="69">
        <v>37602</v>
      </c>
      <c r="C77" s="69" t="s">
        <v>781</v>
      </c>
      <c r="D77" s="108" t="s">
        <v>255</v>
      </c>
      <c r="E77" s="108" t="s">
        <v>146</v>
      </c>
      <c r="F77" s="109">
        <v>0</v>
      </c>
      <c r="G77" s="109">
        <v>0</v>
      </c>
      <c r="H77" s="109">
        <v>0</v>
      </c>
      <c r="I77" s="109">
        <v>0</v>
      </c>
      <c r="J77" s="109">
        <v>0</v>
      </c>
      <c r="K77" s="109">
        <v>0</v>
      </c>
      <c r="L77" s="110">
        <v>0</v>
      </c>
      <c r="M77" s="109">
        <v>-26513.310000000016</v>
      </c>
      <c r="N77" s="109">
        <v>0</v>
      </c>
      <c r="O77" s="109">
        <v>0</v>
      </c>
      <c r="P77" s="109">
        <v>0</v>
      </c>
      <c r="Q77" s="109">
        <v>0</v>
      </c>
      <c r="R77" s="109">
        <v>0</v>
      </c>
      <c r="S77" s="109">
        <v>-26513.310000000016</v>
      </c>
      <c r="T77" s="109">
        <v>-26513.310000000016</v>
      </c>
      <c r="U77" s="110">
        <v>0</v>
      </c>
      <c r="V77" s="111">
        <v>3.1E-2</v>
      </c>
    </row>
    <row r="78" spans="1:22" x14ac:dyDescent="0.2">
      <c r="A78" s="69" t="s">
        <v>773</v>
      </c>
      <c r="B78" s="69">
        <v>37602</v>
      </c>
      <c r="C78" s="69" t="s">
        <v>781</v>
      </c>
      <c r="D78" s="108" t="s">
        <v>256</v>
      </c>
      <c r="E78" s="108" t="s">
        <v>146</v>
      </c>
      <c r="F78" s="109">
        <v>0</v>
      </c>
      <c r="G78" s="109">
        <v>0</v>
      </c>
      <c r="H78" s="109">
        <v>0</v>
      </c>
      <c r="I78" s="109">
        <v>0</v>
      </c>
      <c r="J78" s="109">
        <v>0</v>
      </c>
      <c r="K78" s="109">
        <v>0</v>
      </c>
      <c r="L78" s="110">
        <v>0</v>
      </c>
      <c r="M78" s="109">
        <v>0</v>
      </c>
      <c r="N78" s="109">
        <v>0</v>
      </c>
      <c r="O78" s="109">
        <v>0</v>
      </c>
      <c r="P78" s="109">
        <v>0</v>
      </c>
      <c r="Q78" s="109">
        <v>0</v>
      </c>
      <c r="R78" s="109">
        <v>0</v>
      </c>
      <c r="S78" s="109">
        <v>0</v>
      </c>
      <c r="T78" s="109">
        <v>0</v>
      </c>
      <c r="U78" s="110">
        <v>0</v>
      </c>
      <c r="V78" s="111">
        <v>3.1E-2</v>
      </c>
    </row>
    <row r="79" spans="1:22" x14ac:dyDescent="0.2">
      <c r="A79" s="69" t="s">
        <v>773</v>
      </c>
      <c r="B79" s="69">
        <v>37800</v>
      </c>
      <c r="C79" s="69" t="s">
        <v>782</v>
      </c>
      <c r="D79" s="108" t="s">
        <v>257</v>
      </c>
      <c r="E79" s="108" t="s">
        <v>147</v>
      </c>
      <c r="F79" s="109">
        <v>256641.99000000002</v>
      </c>
      <c r="G79" s="109">
        <v>63530.03</v>
      </c>
      <c r="H79" s="109">
        <v>-2132.3000000000002</v>
      </c>
      <c r="I79" s="109">
        <v>0</v>
      </c>
      <c r="J79" s="109">
        <v>318039.72000000003</v>
      </c>
      <c r="K79" s="109">
        <v>282868.27307692316</v>
      </c>
      <c r="L79" s="110">
        <v>0</v>
      </c>
      <c r="M79" s="109">
        <v>-102382.80999999987</v>
      </c>
      <c r="N79" s="109">
        <v>-9517.869999999999</v>
      </c>
      <c r="O79" s="109">
        <v>2132.3000000000002</v>
      </c>
      <c r="P79" s="109">
        <v>273.45</v>
      </c>
      <c r="Q79" s="109">
        <v>0</v>
      </c>
      <c r="R79" s="109">
        <v>0</v>
      </c>
      <c r="S79" s="109">
        <v>-109494.92999999986</v>
      </c>
      <c r="T79" s="109">
        <v>-105279.17461538446</v>
      </c>
      <c r="U79" s="110">
        <v>0</v>
      </c>
      <c r="V79" s="111">
        <v>3.4000000000000002E-2</v>
      </c>
    </row>
    <row r="80" spans="1:22" x14ac:dyDescent="0.2">
      <c r="A80" s="69" t="s">
        <v>773</v>
      </c>
      <c r="B80" s="69">
        <v>37900</v>
      </c>
      <c r="C80" s="69" t="s">
        <v>783</v>
      </c>
      <c r="D80" s="108" t="s">
        <v>258</v>
      </c>
      <c r="E80" s="108" t="s">
        <v>148</v>
      </c>
      <c r="F80" s="109">
        <v>3256859.4099999992</v>
      </c>
      <c r="G80" s="109">
        <v>98078.2</v>
      </c>
      <c r="H80" s="109">
        <v>-6130.88</v>
      </c>
      <c r="I80" s="109">
        <v>0</v>
      </c>
      <c r="J80" s="109">
        <v>3348806.7299999995</v>
      </c>
      <c r="K80" s="109">
        <v>3309199.1423076913</v>
      </c>
      <c r="L80" s="110">
        <v>0</v>
      </c>
      <c r="M80" s="109">
        <v>-454810.68000000011</v>
      </c>
      <c r="N80" s="109">
        <v>-112400.51999999999</v>
      </c>
      <c r="O80" s="109">
        <v>6130.88</v>
      </c>
      <c r="P80" s="109">
        <v>5882.36</v>
      </c>
      <c r="Q80" s="109">
        <v>0</v>
      </c>
      <c r="R80" s="109">
        <v>0</v>
      </c>
      <c r="S80" s="109">
        <v>-555197.96000000008</v>
      </c>
      <c r="T80" s="109">
        <v>-509702.08769230783</v>
      </c>
      <c r="U80" s="110">
        <v>0</v>
      </c>
      <c r="V80" s="111">
        <v>3.4000000000000002E-2</v>
      </c>
    </row>
    <row r="81" spans="1:22" x14ac:dyDescent="0.2">
      <c r="A81" s="69" t="s">
        <v>773</v>
      </c>
      <c r="B81" s="69">
        <v>38000</v>
      </c>
      <c r="C81" s="69" t="s">
        <v>784</v>
      </c>
      <c r="D81" s="108" t="s">
        <v>259</v>
      </c>
      <c r="E81" s="108" t="s">
        <v>149</v>
      </c>
      <c r="F81" s="109">
        <v>2396365.46</v>
      </c>
      <c r="G81" s="109">
        <v>116216.60999999999</v>
      </c>
      <c r="H81" s="109">
        <v>-18130.830000000002</v>
      </c>
      <c r="I81" s="109">
        <v>0</v>
      </c>
      <c r="J81" s="109">
        <v>2494451.2399999998</v>
      </c>
      <c r="K81" s="109">
        <v>2443749.3361538453</v>
      </c>
      <c r="L81" s="110">
        <v>0</v>
      </c>
      <c r="M81" s="109">
        <v>-1894407.7599999995</v>
      </c>
      <c r="N81" s="109">
        <v>-161008.61000000002</v>
      </c>
      <c r="O81" s="109">
        <v>18130.830000000002</v>
      </c>
      <c r="P81" s="109">
        <v>144201.66999999998</v>
      </c>
      <c r="Q81" s="109">
        <v>-59.69</v>
      </c>
      <c r="R81" s="109">
        <v>0</v>
      </c>
      <c r="S81" s="109">
        <v>-1893143.5599999996</v>
      </c>
      <c r="T81" s="109">
        <v>-1905627.8230769227</v>
      </c>
      <c r="U81" s="110">
        <v>0</v>
      </c>
      <c r="V81" s="111">
        <v>6.5999999999999989E-2</v>
      </c>
    </row>
    <row r="82" spans="1:22" x14ac:dyDescent="0.2">
      <c r="A82" s="69" t="s">
        <v>773</v>
      </c>
      <c r="B82" s="69">
        <v>38002</v>
      </c>
      <c r="C82" s="69" t="s">
        <v>785</v>
      </c>
      <c r="D82" s="108" t="s">
        <v>260</v>
      </c>
      <c r="E82" s="108" t="s">
        <v>150</v>
      </c>
      <c r="F82" s="109">
        <v>17426024.550000004</v>
      </c>
      <c r="G82" s="109">
        <v>2483610.46</v>
      </c>
      <c r="H82" s="109">
        <v>-23819.279999999999</v>
      </c>
      <c r="I82" s="109">
        <v>0</v>
      </c>
      <c r="J82" s="109">
        <v>19885815.730000004</v>
      </c>
      <c r="K82" s="109">
        <v>18143291.35461539</v>
      </c>
      <c r="L82" s="110">
        <v>0</v>
      </c>
      <c r="M82" s="109">
        <v>-10695330.759999998</v>
      </c>
      <c r="N82" s="109">
        <v>-899904.04</v>
      </c>
      <c r="O82" s="109">
        <v>23819.279999999999</v>
      </c>
      <c r="P82" s="109">
        <v>154154.56</v>
      </c>
      <c r="Q82" s="109">
        <v>-757.38999999999987</v>
      </c>
      <c r="R82" s="109">
        <v>0</v>
      </c>
      <c r="S82" s="109">
        <v>-11418018.349999998</v>
      </c>
      <c r="T82" s="109">
        <v>-11081674.453076921</v>
      </c>
      <c r="U82" s="110">
        <v>0</v>
      </c>
      <c r="V82" s="111">
        <v>0.05</v>
      </c>
    </row>
    <row r="83" spans="1:22" x14ac:dyDescent="0.2">
      <c r="A83" s="69" t="s">
        <v>773</v>
      </c>
      <c r="B83" s="69">
        <v>38200</v>
      </c>
      <c r="C83" s="69" t="s">
        <v>786</v>
      </c>
      <c r="D83" s="108" t="s">
        <v>261</v>
      </c>
      <c r="E83" s="108" t="s">
        <v>152</v>
      </c>
      <c r="F83" s="109">
        <v>2800775.6000000015</v>
      </c>
      <c r="G83" s="109">
        <v>185154.57</v>
      </c>
      <c r="H83" s="109">
        <v>-24220.21</v>
      </c>
      <c r="I83" s="109">
        <v>0</v>
      </c>
      <c r="J83" s="109">
        <v>2961709.9600000014</v>
      </c>
      <c r="K83" s="109">
        <v>2878664.5861538472</v>
      </c>
      <c r="L83" s="110">
        <v>0</v>
      </c>
      <c r="M83" s="109">
        <v>-2220349.5100000007</v>
      </c>
      <c r="N83" s="109">
        <v>-129228.48999999999</v>
      </c>
      <c r="O83" s="109">
        <v>24220.21</v>
      </c>
      <c r="P83" s="109">
        <v>9266.9299999999985</v>
      </c>
      <c r="Q83" s="109">
        <v>0</v>
      </c>
      <c r="R83" s="109">
        <v>0</v>
      </c>
      <c r="S83" s="109">
        <v>-2316090.8600000008</v>
      </c>
      <c r="T83" s="109">
        <v>-2278803.8792307698</v>
      </c>
      <c r="U83" s="110">
        <v>0</v>
      </c>
      <c r="V83" s="111">
        <v>4.4999999999999998E-2</v>
      </c>
    </row>
    <row r="84" spans="1:22" x14ac:dyDescent="0.2">
      <c r="A84" s="69" t="s">
        <v>773</v>
      </c>
      <c r="B84" s="69">
        <v>38300</v>
      </c>
      <c r="C84" s="69" t="s">
        <v>787</v>
      </c>
      <c r="D84" s="108" t="s">
        <v>262</v>
      </c>
      <c r="E84" s="108" t="s">
        <v>153</v>
      </c>
      <c r="F84" s="109">
        <v>1096004.7100000002</v>
      </c>
      <c r="G84" s="109">
        <v>42819.67</v>
      </c>
      <c r="H84" s="109">
        <v>-2866.51</v>
      </c>
      <c r="I84" s="109">
        <v>0</v>
      </c>
      <c r="J84" s="109">
        <v>1135957.8700000001</v>
      </c>
      <c r="K84" s="109">
        <v>1113320.2661538462</v>
      </c>
      <c r="L84" s="110">
        <v>0</v>
      </c>
      <c r="M84" s="109">
        <v>-673381.5</v>
      </c>
      <c r="N84" s="109">
        <v>-40011.620000000003</v>
      </c>
      <c r="O84" s="109">
        <v>2866.51</v>
      </c>
      <c r="P84" s="109">
        <v>0</v>
      </c>
      <c r="Q84" s="109">
        <v>0</v>
      </c>
      <c r="R84" s="109">
        <v>0</v>
      </c>
      <c r="S84" s="109">
        <v>-710526.61</v>
      </c>
      <c r="T84" s="109">
        <v>-693069.00000000012</v>
      </c>
      <c r="U84" s="110">
        <v>0</v>
      </c>
      <c r="V84" s="111">
        <v>3.5999999999999997E-2</v>
      </c>
    </row>
    <row r="85" spans="1:22" x14ac:dyDescent="0.2">
      <c r="A85" s="69" t="s">
        <v>773</v>
      </c>
      <c r="B85" s="69">
        <v>38400</v>
      </c>
      <c r="C85" s="69" t="s">
        <v>788</v>
      </c>
      <c r="D85" s="108" t="s">
        <v>263</v>
      </c>
      <c r="E85" s="108" t="s">
        <v>154</v>
      </c>
      <c r="F85" s="109">
        <v>935922.18</v>
      </c>
      <c r="G85" s="109">
        <v>101312.62</v>
      </c>
      <c r="H85" s="109">
        <v>-5100.88</v>
      </c>
      <c r="I85" s="109">
        <v>0</v>
      </c>
      <c r="J85" s="109">
        <v>1032133.92</v>
      </c>
      <c r="K85" s="109">
        <v>973950.2</v>
      </c>
      <c r="L85" s="110">
        <v>0</v>
      </c>
      <c r="M85" s="109">
        <v>-562373.21999999962</v>
      </c>
      <c r="N85" s="109">
        <v>-43609.58</v>
      </c>
      <c r="O85" s="109">
        <v>5100.88</v>
      </c>
      <c r="P85" s="109">
        <v>9315.6299999999992</v>
      </c>
      <c r="Q85" s="109">
        <v>0</v>
      </c>
      <c r="R85" s="109">
        <v>0</v>
      </c>
      <c r="S85" s="109">
        <v>-591566.28999999957</v>
      </c>
      <c r="T85" s="109">
        <v>-581984.80538461509</v>
      </c>
      <c r="U85" s="110">
        <v>0</v>
      </c>
      <c r="V85" s="111">
        <v>4.4999999999999998E-2</v>
      </c>
    </row>
    <row r="86" spans="1:22" x14ac:dyDescent="0.2">
      <c r="A86" s="69" t="s">
        <v>773</v>
      </c>
      <c r="B86" s="69">
        <v>38500</v>
      </c>
      <c r="C86" s="69" t="s">
        <v>789</v>
      </c>
      <c r="D86" s="108" t="s">
        <v>264</v>
      </c>
      <c r="E86" s="108" t="s">
        <v>155</v>
      </c>
      <c r="F86" s="109">
        <v>666325.48</v>
      </c>
      <c r="G86" s="109">
        <v>0</v>
      </c>
      <c r="H86" s="109">
        <v>-1926.67</v>
      </c>
      <c r="I86" s="109">
        <v>0</v>
      </c>
      <c r="J86" s="109">
        <v>664398.80999999994</v>
      </c>
      <c r="K86" s="109">
        <v>666177.27461538475</v>
      </c>
      <c r="L86" s="110">
        <v>0</v>
      </c>
      <c r="M86" s="109">
        <v>-335904.61000000028</v>
      </c>
      <c r="N86" s="109">
        <v>-20656.079999999998</v>
      </c>
      <c r="O86" s="109">
        <v>1926.67</v>
      </c>
      <c r="P86" s="109">
        <v>60.23</v>
      </c>
      <c r="Q86" s="109">
        <v>0</v>
      </c>
      <c r="R86" s="109">
        <v>0</v>
      </c>
      <c r="S86" s="109">
        <v>-354573.79000000033</v>
      </c>
      <c r="T86" s="109">
        <v>-346079.811538462</v>
      </c>
      <c r="U86" s="110">
        <v>0</v>
      </c>
      <c r="V86" s="111">
        <v>3.1E-2</v>
      </c>
    </row>
    <row r="87" spans="1:22" x14ac:dyDescent="0.2">
      <c r="A87" s="69" t="s">
        <v>773</v>
      </c>
      <c r="B87" s="69">
        <v>38700</v>
      </c>
      <c r="C87" s="69" t="s">
        <v>790</v>
      </c>
      <c r="D87" s="108" t="s">
        <v>265</v>
      </c>
      <c r="E87" s="108" t="s">
        <v>156</v>
      </c>
      <c r="F87" s="109">
        <v>214449.01</v>
      </c>
      <c r="G87" s="109">
        <v>138551.16999999998</v>
      </c>
      <c r="H87" s="109">
        <v>0</v>
      </c>
      <c r="I87" s="109">
        <v>0</v>
      </c>
      <c r="J87" s="109">
        <v>353000.18</v>
      </c>
      <c r="K87" s="109">
        <v>324484.68230769236</v>
      </c>
      <c r="L87" s="110">
        <v>0</v>
      </c>
      <c r="M87" s="109">
        <v>-90710.189999999988</v>
      </c>
      <c r="N87" s="109">
        <v>-20292.809999999998</v>
      </c>
      <c r="O87" s="109">
        <v>0</v>
      </c>
      <c r="P87" s="109">
        <v>0</v>
      </c>
      <c r="Q87" s="109">
        <v>0</v>
      </c>
      <c r="R87" s="109">
        <v>0</v>
      </c>
      <c r="S87" s="109">
        <v>-111002.99999999999</v>
      </c>
      <c r="T87" s="109">
        <v>-100314.46846153846</v>
      </c>
      <c r="U87" s="110">
        <v>0</v>
      </c>
      <c r="V87" s="111">
        <v>6.3E-2</v>
      </c>
    </row>
    <row r="88" spans="1:22" x14ac:dyDescent="0.2">
      <c r="A88" s="69" t="s">
        <v>773</v>
      </c>
      <c r="B88" s="69">
        <v>39100</v>
      </c>
      <c r="C88" s="69" t="s">
        <v>791</v>
      </c>
      <c r="D88" s="108" t="s">
        <v>266</v>
      </c>
      <c r="E88" s="108" t="s">
        <v>159</v>
      </c>
      <c r="F88" s="109">
        <v>58507.809999999983</v>
      </c>
      <c r="G88" s="109">
        <v>0</v>
      </c>
      <c r="H88" s="109">
        <v>0</v>
      </c>
      <c r="I88" s="109">
        <v>0</v>
      </c>
      <c r="J88" s="109">
        <v>58507.809999999983</v>
      </c>
      <c r="K88" s="109">
        <v>58507.809999999976</v>
      </c>
      <c r="L88" s="110">
        <v>0</v>
      </c>
      <c r="M88" s="109">
        <v>-89873.669999999955</v>
      </c>
      <c r="N88" s="109">
        <v>-3920.0400000000004</v>
      </c>
      <c r="O88" s="109">
        <v>0</v>
      </c>
      <c r="P88" s="109">
        <v>0</v>
      </c>
      <c r="Q88" s="109">
        <v>0</v>
      </c>
      <c r="R88" s="109">
        <v>0</v>
      </c>
      <c r="S88" s="109">
        <v>-93793.709999999948</v>
      </c>
      <c r="T88" s="109">
        <v>-91833.689999999944</v>
      </c>
      <c r="U88" s="110">
        <v>0</v>
      </c>
      <c r="V88" s="111">
        <v>6.7000000000000004E-2</v>
      </c>
    </row>
    <row r="89" spans="1:22" x14ac:dyDescent="0.2">
      <c r="A89" s="69" t="s">
        <v>773</v>
      </c>
      <c r="B89" s="69">
        <v>39101</v>
      </c>
      <c r="C89" s="69" t="s">
        <v>792</v>
      </c>
      <c r="D89" s="108" t="s">
        <v>267</v>
      </c>
      <c r="E89" s="108" t="s">
        <v>160</v>
      </c>
      <c r="F89" s="109">
        <v>39105.340000000018</v>
      </c>
      <c r="G89" s="109">
        <v>26128.23</v>
      </c>
      <c r="H89" s="109">
        <v>0</v>
      </c>
      <c r="I89" s="109">
        <v>0</v>
      </c>
      <c r="J89" s="109">
        <v>65233.570000000022</v>
      </c>
      <c r="K89" s="109">
        <v>58317.813846153869</v>
      </c>
      <c r="L89" s="110">
        <v>0</v>
      </c>
      <c r="M89" s="109">
        <v>-84013.449999999939</v>
      </c>
      <c r="N89" s="109">
        <v>-7217.7200000000012</v>
      </c>
      <c r="O89" s="109">
        <v>0</v>
      </c>
      <c r="P89" s="109">
        <v>0</v>
      </c>
      <c r="Q89" s="109">
        <v>0</v>
      </c>
      <c r="R89" s="109">
        <v>0</v>
      </c>
      <c r="S89" s="109">
        <v>-91231.16999999994</v>
      </c>
      <c r="T89" s="109">
        <v>-87379.401538461461</v>
      </c>
      <c r="U89" s="110">
        <v>0</v>
      </c>
      <c r="V89" s="111">
        <v>0.125</v>
      </c>
    </row>
    <row r="90" spans="1:22" x14ac:dyDescent="0.2">
      <c r="A90" s="69" t="s">
        <v>773</v>
      </c>
      <c r="B90" s="69">
        <v>39102</v>
      </c>
      <c r="C90" s="69" t="s">
        <v>793</v>
      </c>
      <c r="D90" s="108" t="s">
        <v>268</v>
      </c>
      <c r="E90" s="108" t="s">
        <v>161</v>
      </c>
      <c r="F90" s="109">
        <v>45218.59</v>
      </c>
      <c r="G90" s="109">
        <v>-8538.6</v>
      </c>
      <c r="H90" s="109">
        <v>0</v>
      </c>
      <c r="I90" s="109">
        <v>0</v>
      </c>
      <c r="J90" s="109">
        <v>36679.99</v>
      </c>
      <c r="K90" s="109">
        <v>43904.959230769222</v>
      </c>
      <c r="L90" s="110">
        <v>0</v>
      </c>
      <c r="M90" s="109">
        <v>-2913.5499999999902</v>
      </c>
      <c r="N90" s="109">
        <v>-2981.97</v>
      </c>
      <c r="O90" s="109">
        <v>0</v>
      </c>
      <c r="P90" s="109">
        <v>0</v>
      </c>
      <c r="Q90" s="109">
        <v>0</v>
      </c>
      <c r="R90" s="109">
        <v>0</v>
      </c>
      <c r="S90" s="109">
        <v>-5895.5199999999895</v>
      </c>
      <c r="T90" s="109">
        <v>-4424.7030769230678</v>
      </c>
      <c r="U90" s="110">
        <v>0</v>
      </c>
      <c r="V90" s="111">
        <v>6.7000000000000004E-2</v>
      </c>
    </row>
    <row r="91" spans="1:22" x14ac:dyDescent="0.2">
      <c r="A91" s="69" t="s">
        <v>773</v>
      </c>
      <c r="B91" s="69">
        <v>39201</v>
      </c>
      <c r="C91" s="69" t="s">
        <v>794</v>
      </c>
      <c r="D91" s="108" t="s">
        <v>269</v>
      </c>
      <c r="E91" s="108" t="s">
        <v>163</v>
      </c>
      <c r="F91" s="109">
        <v>367067.6999999999</v>
      </c>
      <c r="G91" s="109">
        <v>237.02</v>
      </c>
      <c r="H91" s="109">
        <v>-86753.45</v>
      </c>
      <c r="I91" s="109">
        <v>0</v>
      </c>
      <c r="J91" s="109">
        <v>280551.2699999999</v>
      </c>
      <c r="K91" s="109">
        <v>308630.97230769228</v>
      </c>
      <c r="L91" s="110">
        <v>0</v>
      </c>
      <c r="M91" s="109">
        <v>-280144.67</v>
      </c>
      <c r="N91" s="109">
        <v>-34828.790000000008</v>
      </c>
      <c r="O91" s="109">
        <v>86753.45</v>
      </c>
      <c r="P91" s="109">
        <v>682.97</v>
      </c>
      <c r="Q91" s="109">
        <v>-10565</v>
      </c>
      <c r="R91" s="109">
        <v>0</v>
      </c>
      <c r="S91" s="109">
        <v>-238102.03999999995</v>
      </c>
      <c r="T91" s="109">
        <v>-247218.41769230756</v>
      </c>
      <c r="U91" s="110">
        <v>0</v>
      </c>
      <c r="V91" s="111">
        <v>0.112</v>
      </c>
    </row>
    <row r="92" spans="1:22" x14ac:dyDescent="0.2">
      <c r="A92" s="69" t="s">
        <v>773</v>
      </c>
      <c r="B92" s="69">
        <v>39202</v>
      </c>
      <c r="C92" s="69" t="s">
        <v>795</v>
      </c>
      <c r="D92" s="108" t="s">
        <v>270</v>
      </c>
      <c r="E92" s="108" t="s">
        <v>164</v>
      </c>
      <c r="F92" s="109">
        <v>629293.50999999989</v>
      </c>
      <c r="G92" s="109">
        <v>139959.71</v>
      </c>
      <c r="H92" s="109">
        <v>-71386</v>
      </c>
      <c r="I92" s="109">
        <v>0</v>
      </c>
      <c r="J92" s="109">
        <v>697867.21999999986</v>
      </c>
      <c r="K92" s="109">
        <v>620881.68692307686</v>
      </c>
      <c r="L92" s="110">
        <v>0</v>
      </c>
      <c r="M92" s="109">
        <v>-445225.41999999993</v>
      </c>
      <c r="N92" s="109">
        <v>-78037.180000000022</v>
      </c>
      <c r="O92" s="109">
        <v>71386</v>
      </c>
      <c r="P92" s="109">
        <v>1435.81</v>
      </c>
      <c r="Q92" s="109">
        <v>-16670</v>
      </c>
      <c r="R92" s="109">
        <v>0</v>
      </c>
      <c r="S92" s="109">
        <v>-467110.79</v>
      </c>
      <c r="T92" s="109">
        <v>-457442.80153846147</v>
      </c>
      <c r="U92" s="110">
        <v>0</v>
      </c>
      <c r="V92" s="111">
        <v>0.127</v>
      </c>
    </row>
    <row r="93" spans="1:22" x14ac:dyDescent="0.2">
      <c r="A93" s="69" t="s">
        <v>773</v>
      </c>
      <c r="B93" s="69">
        <v>39204</v>
      </c>
      <c r="C93" s="69" t="s">
        <v>796</v>
      </c>
      <c r="D93" s="108" t="s">
        <v>271</v>
      </c>
      <c r="E93" s="108" t="s">
        <v>166</v>
      </c>
      <c r="F93" s="109">
        <v>14939.24</v>
      </c>
      <c r="G93" s="109">
        <v>0</v>
      </c>
      <c r="H93" s="109">
        <v>0</v>
      </c>
      <c r="I93" s="109">
        <v>0</v>
      </c>
      <c r="J93" s="109">
        <v>14939.24</v>
      </c>
      <c r="K93" s="109">
        <v>14939.239999999998</v>
      </c>
      <c r="L93" s="110">
        <v>0</v>
      </c>
      <c r="M93" s="109">
        <v>-3347.560000000004</v>
      </c>
      <c r="N93" s="109">
        <v>-597.6</v>
      </c>
      <c r="O93" s="109">
        <v>0</v>
      </c>
      <c r="P93" s="109">
        <v>0</v>
      </c>
      <c r="Q93" s="109">
        <v>0</v>
      </c>
      <c r="R93" s="109">
        <v>0</v>
      </c>
      <c r="S93" s="109">
        <v>-3945.1600000000039</v>
      </c>
      <c r="T93" s="109">
        <v>-3646.3600000000051</v>
      </c>
      <c r="U93" s="110">
        <v>0</v>
      </c>
      <c r="V93" s="111">
        <v>0.04</v>
      </c>
    </row>
    <row r="94" spans="1:22" x14ac:dyDescent="0.2">
      <c r="A94" s="69" t="s">
        <v>773</v>
      </c>
      <c r="B94" s="69">
        <v>39205</v>
      </c>
      <c r="C94" s="69" t="s">
        <v>797</v>
      </c>
      <c r="D94" s="108" t="s">
        <v>272</v>
      </c>
      <c r="E94" s="108" t="s">
        <v>167</v>
      </c>
      <c r="F94" s="109">
        <v>32788.949999999997</v>
      </c>
      <c r="G94" s="109">
        <v>0</v>
      </c>
      <c r="H94" s="109">
        <v>-32788.949999999997</v>
      </c>
      <c r="I94" s="109">
        <v>0</v>
      </c>
      <c r="J94" s="109">
        <v>0</v>
      </c>
      <c r="K94" s="109">
        <v>17655.588461538464</v>
      </c>
      <c r="L94" s="110">
        <v>0</v>
      </c>
      <c r="M94" s="109">
        <v>-36118.199999999801</v>
      </c>
      <c r="N94" s="109">
        <v>-1415.4</v>
      </c>
      <c r="O94" s="109">
        <v>32788.949999999997</v>
      </c>
      <c r="P94" s="109">
        <v>0</v>
      </c>
      <c r="Q94" s="109">
        <v>-515</v>
      </c>
      <c r="R94" s="109">
        <v>0</v>
      </c>
      <c r="S94" s="109">
        <v>-5259.649999999805</v>
      </c>
      <c r="T94" s="109">
        <v>-22202.423076922867</v>
      </c>
      <c r="U94" s="110">
        <v>1.9099388737231493E-11</v>
      </c>
      <c r="V94" s="111">
        <v>7.3999999999999996E-2</v>
      </c>
    </row>
    <row r="95" spans="1:22" x14ac:dyDescent="0.2">
      <c r="A95" s="69" t="s">
        <v>773</v>
      </c>
      <c r="B95" s="69">
        <v>39300</v>
      </c>
      <c r="C95" s="69" t="s">
        <v>798</v>
      </c>
      <c r="D95" s="108" t="s">
        <v>273</v>
      </c>
      <c r="E95" s="108" t="s">
        <v>168</v>
      </c>
      <c r="F95" s="109">
        <v>0</v>
      </c>
      <c r="G95" s="109">
        <v>0</v>
      </c>
      <c r="H95" s="109">
        <v>0</v>
      </c>
      <c r="I95" s="109">
        <v>0</v>
      </c>
      <c r="J95" s="109">
        <v>0</v>
      </c>
      <c r="K95" s="109">
        <v>0</v>
      </c>
      <c r="L95" s="110">
        <v>0</v>
      </c>
      <c r="M95" s="109">
        <v>0</v>
      </c>
      <c r="N95" s="109">
        <v>0</v>
      </c>
      <c r="O95" s="109">
        <v>0</v>
      </c>
      <c r="P95" s="109">
        <v>0</v>
      </c>
      <c r="Q95" s="109">
        <v>0</v>
      </c>
      <c r="R95" s="109">
        <v>0</v>
      </c>
      <c r="S95" s="109">
        <v>0</v>
      </c>
      <c r="T95" s="109">
        <v>0</v>
      </c>
      <c r="U95" s="110">
        <v>0</v>
      </c>
      <c r="V95" s="111">
        <v>0.04</v>
      </c>
    </row>
    <row r="96" spans="1:22" x14ac:dyDescent="0.2">
      <c r="A96" s="69" t="s">
        <v>773</v>
      </c>
      <c r="B96" s="69">
        <v>39400</v>
      </c>
      <c r="C96" s="69" t="s">
        <v>799</v>
      </c>
      <c r="D96" s="108" t="s">
        <v>274</v>
      </c>
      <c r="E96" s="108" t="s">
        <v>169</v>
      </c>
      <c r="F96" s="109">
        <v>98629.790000000037</v>
      </c>
      <c r="G96" s="109">
        <v>7468.42</v>
      </c>
      <c r="H96" s="109">
        <v>0</v>
      </c>
      <c r="I96" s="109">
        <v>0</v>
      </c>
      <c r="J96" s="109">
        <v>106098.21000000004</v>
      </c>
      <c r="K96" s="109">
        <v>101805.54615384618</v>
      </c>
      <c r="L96" s="110">
        <v>0</v>
      </c>
      <c r="M96" s="109">
        <v>-69561.740000000311</v>
      </c>
      <c r="N96" s="109">
        <v>-6695.54</v>
      </c>
      <c r="O96" s="109">
        <v>0</v>
      </c>
      <c r="P96" s="109">
        <v>0</v>
      </c>
      <c r="Q96" s="109">
        <v>0</v>
      </c>
      <c r="R96" s="109">
        <v>0</v>
      </c>
      <c r="S96" s="109">
        <v>-76257.280000000304</v>
      </c>
      <c r="T96" s="109">
        <v>-72871.179230769543</v>
      </c>
      <c r="U96" s="110">
        <v>0</v>
      </c>
      <c r="V96" s="111">
        <v>6.6000000000000003E-2</v>
      </c>
    </row>
    <row r="97" spans="1:22" x14ac:dyDescent="0.2">
      <c r="A97" s="69" t="s">
        <v>773</v>
      </c>
      <c r="B97" s="69">
        <v>39600</v>
      </c>
      <c r="C97" s="69" t="s">
        <v>800</v>
      </c>
      <c r="D97" s="108" t="s">
        <v>275</v>
      </c>
      <c r="E97" s="108" t="s">
        <v>171</v>
      </c>
      <c r="F97" s="109">
        <v>170034.37</v>
      </c>
      <c r="G97" s="109">
        <v>20782.62</v>
      </c>
      <c r="H97" s="109">
        <v>0</v>
      </c>
      <c r="I97" s="109">
        <v>0</v>
      </c>
      <c r="J97" s="109">
        <v>190816.99</v>
      </c>
      <c r="K97" s="109">
        <v>181225.01153846158</v>
      </c>
      <c r="L97" s="110">
        <v>0</v>
      </c>
      <c r="M97" s="109">
        <v>-109949.54000000007</v>
      </c>
      <c r="N97" s="109">
        <v>-11547.240000000003</v>
      </c>
      <c r="O97" s="109">
        <v>0</v>
      </c>
      <c r="P97" s="109">
        <v>0</v>
      </c>
      <c r="Q97" s="109">
        <v>0</v>
      </c>
      <c r="R97" s="109">
        <v>0</v>
      </c>
      <c r="S97" s="109">
        <v>-121496.78000000007</v>
      </c>
      <c r="T97" s="109">
        <v>-115569.68923076932</v>
      </c>
      <c r="U97" s="110">
        <v>0</v>
      </c>
      <c r="V97" s="111">
        <v>6.4000000000000001E-2</v>
      </c>
    </row>
    <row r="98" spans="1:22" x14ac:dyDescent="0.2">
      <c r="A98" s="69" t="s">
        <v>773</v>
      </c>
      <c r="B98" s="69">
        <v>39700</v>
      </c>
      <c r="C98" s="69" t="s">
        <v>801</v>
      </c>
      <c r="D98" s="108" t="s">
        <v>276</v>
      </c>
      <c r="E98" s="108" t="s">
        <v>172</v>
      </c>
      <c r="F98" s="109">
        <v>32214.939999999995</v>
      </c>
      <c r="G98" s="109">
        <v>0</v>
      </c>
      <c r="H98" s="109">
        <v>0</v>
      </c>
      <c r="I98" s="109">
        <v>0</v>
      </c>
      <c r="J98" s="109">
        <v>32214.939999999995</v>
      </c>
      <c r="K98" s="109">
        <v>32214.94</v>
      </c>
      <c r="L98" s="110">
        <v>0</v>
      </c>
      <c r="M98" s="109">
        <v>-29495.609999999986</v>
      </c>
      <c r="N98" s="109">
        <v>-2706</v>
      </c>
      <c r="O98" s="109">
        <v>0</v>
      </c>
      <c r="P98" s="109">
        <v>0</v>
      </c>
      <c r="Q98" s="109">
        <v>0</v>
      </c>
      <c r="R98" s="109">
        <v>0</v>
      </c>
      <c r="S98" s="109">
        <v>-32201.609999999986</v>
      </c>
      <c r="T98" s="109">
        <v>-30848.609999999986</v>
      </c>
      <c r="U98" s="110">
        <v>0</v>
      </c>
      <c r="V98" s="111">
        <v>8.4000000000000005E-2</v>
      </c>
    </row>
    <row r="99" spans="1:22" x14ac:dyDescent="0.2">
      <c r="A99" s="69" t="s">
        <v>773</v>
      </c>
      <c r="B99" s="69">
        <v>39800</v>
      </c>
      <c r="C99" s="69" t="s">
        <v>802</v>
      </c>
      <c r="D99" s="108" t="s">
        <v>277</v>
      </c>
      <c r="E99" s="108" t="s">
        <v>173</v>
      </c>
      <c r="F99" s="109">
        <v>8095.7100000000009</v>
      </c>
      <c r="G99" s="109">
        <v>59.569999999999936</v>
      </c>
      <c r="H99" s="109">
        <v>0</v>
      </c>
      <c r="I99" s="109">
        <v>0</v>
      </c>
      <c r="J99" s="109">
        <v>8155.2800000000007</v>
      </c>
      <c r="K99" s="109">
        <v>8413.6315384615391</v>
      </c>
      <c r="L99" s="110">
        <v>0</v>
      </c>
      <c r="M99" s="109">
        <v>-4925.8500000000113</v>
      </c>
      <c r="N99" s="109">
        <v>-497.65000000000009</v>
      </c>
      <c r="O99" s="109">
        <v>0</v>
      </c>
      <c r="P99" s="109">
        <v>0</v>
      </c>
      <c r="Q99" s="109">
        <v>0</v>
      </c>
      <c r="R99" s="109">
        <v>0</v>
      </c>
      <c r="S99" s="109">
        <v>-5423.5000000000109</v>
      </c>
      <c r="T99" s="109">
        <v>-5172.1315384615509</v>
      </c>
      <c r="U99" s="110">
        <v>0</v>
      </c>
      <c r="V99" s="111">
        <v>5.8999999999999997E-2</v>
      </c>
    </row>
    <row r="100" spans="1:22" x14ac:dyDescent="0.2">
      <c r="A100" s="69" t="s">
        <v>803</v>
      </c>
      <c r="B100" s="69">
        <v>30301</v>
      </c>
      <c r="C100" s="69" t="s">
        <v>804</v>
      </c>
      <c r="D100" s="108" t="s">
        <v>278</v>
      </c>
      <c r="E100" s="108" t="s">
        <v>141</v>
      </c>
      <c r="F100" s="109">
        <v>9519.64</v>
      </c>
      <c r="G100" s="109">
        <v>9940.75</v>
      </c>
      <c r="H100" s="109">
        <v>0</v>
      </c>
      <c r="I100" s="109">
        <v>0</v>
      </c>
      <c r="J100" s="109">
        <v>19460.39</v>
      </c>
      <c r="K100" s="109">
        <v>12578.332307692308</v>
      </c>
      <c r="L100" s="110">
        <v>0</v>
      </c>
      <c r="M100" s="109">
        <v>-9519.64</v>
      </c>
      <c r="N100" s="109">
        <v>-379.1</v>
      </c>
      <c r="O100" s="109">
        <v>0</v>
      </c>
      <c r="P100" s="109">
        <v>0</v>
      </c>
      <c r="Q100" s="109">
        <v>0</v>
      </c>
      <c r="R100" s="109">
        <v>0</v>
      </c>
      <c r="S100" s="109">
        <v>-9898.74</v>
      </c>
      <c r="T100" s="109">
        <v>-9586.1399999999976</v>
      </c>
      <c r="U100" s="110">
        <v>0</v>
      </c>
      <c r="V100" s="111">
        <v>6.7000000000000004E-2</v>
      </c>
    </row>
    <row r="101" spans="1:22" x14ac:dyDescent="0.2">
      <c r="A101" s="69" t="s">
        <v>803</v>
      </c>
      <c r="B101" s="69">
        <v>37400</v>
      </c>
      <c r="C101" s="69" t="s">
        <v>805</v>
      </c>
      <c r="D101" s="108" t="s">
        <v>279</v>
      </c>
      <c r="E101" s="108" t="s">
        <v>142</v>
      </c>
      <c r="F101" s="109">
        <v>93005.66</v>
      </c>
      <c r="G101" s="109">
        <v>0</v>
      </c>
      <c r="H101" s="109">
        <v>0</v>
      </c>
      <c r="I101" s="109">
        <v>0</v>
      </c>
      <c r="J101" s="109">
        <v>93005.66</v>
      </c>
      <c r="K101" s="109">
        <v>93005.66</v>
      </c>
      <c r="L101" s="110">
        <v>0</v>
      </c>
      <c r="M101" s="109">
        <v>0</v>
      </c>
      <c r="N101" s="109">
        <v>0</v>
      </c>
      <c r="O101" s="109">
        <v>0</v>
      </c>
      <c r="P101" s="109">
        <v>0</v>
      </c>
      <c r="Q101" s="109">
        <v>0</v>
      </c>
      <c r="R101" s="109">
        <v>0</v>
      </c>
      <c r="S101" s="109">
        <v>0</v>
      </c>
      <c r="T101" s="109">
        <v>0</v>
      </c>
      <c r="U101" s="110">
        <v>0</v>
      </c>
      <c r="V101" s="111">
        <v>0</v>
      </c>
    </row>
    <row r="102" spans="1:22" x14ac:dyDescent="0.2">
      <c r="A102" s="69" t="s">
        <v>803</v>
      </c>
      <c r="B102" s="69">
        <v>37402</v>
      </c>
      <c r="C102" s="69" t="s">
        <v>806</v>
      </c>
      <c r="D102" s="108" t="s">
        <v>280</v>
      </c>
      <c r="E102" s="108" t="s">
        <v>143</v>
      </c>
      <c r="F102" s="109">
        <v>408205.28</v>
      </c>
      <c r="G102" s="109">
        <v>0</v>
      </c>
      <c r="H102" s="109">
        <v>0</v>
      </c>
      <c r="I102" s="109">
        <v>0</v>
      </c>
      <c r="J102" s="109">
        <v>408205.28</v>
      </c>
      <c r="K102" s="109">
        <v>408205.28000000014</v>
      </c>
      <c r="L102" s="110">
        <v>0</v>
      </c>
      <c r="M102" s="109">
        <v>-309947.38999999978</v>
      </c>
      <c r="N102" s="109">
        <v>-5306.6400000000021</v>
      </c>
      <c r="O102" s="109">
        <v>0</v>
      </c>
      <c r="P102" s="109">
        <v>0</v>
      </c>
      <c r="Q102" s="109">
        <v>0</v>
      </c>
      <c r="R102" s="109">
        <v>0</v>
      </c>
      <c r="S102" s="109">
        <v>-315254.0299999998</v>
      </c>
      <c r="T102" s="109">
        <v>-312600.70999999961</v>
      </c>
      <c r="U102" s="110">
        <v>0</v>
      </c>
      <c r="V102" s="111">
        <v>1.2999999999999999E-2</v>
      </c>
    </row>
    <row r="103" spans="1:22" x14ac:dyDescent="0.2">
      <c r="A103" s="69" t="s">
        <v>803</v>
      </c>
      <c r="B103" s="69">
        <v>37500</v>
      </c>
      <c r="C103" s="69" t="s">
        <v>807</v>
      </c>
      <c r="D103" s="108" t="s">
        <v>281</v>
      </c>
      <c r="E103" s="108" t="s">
        <v>144</v>
      </c>
      <c r="F103" s="109">
        <v>1957949.0900000003</v>
      </c>
      <c r="G103" s="109">
        <v>37850.19</v>
      </c>
      <c r="H103" s="109">
        <v>0</v>
      </c>
      <c r="I103" s="109">
        <v>0</v>
      </c>
      <c r="J103" s="109">
        <v>1995799.2800000003</v>
      </c>
      <c r="K103" s="109">
        <v>1973546.6992307699</v>
      </c>
      <c r="L103" s="110">
        <v>0</v>
      </c>
      <c r="M103" s="109">
        <v>-834361.65000000072</v>
      </c>
      <c r="N103" s="109">
        <v>-49292.31</v>
      </c>
      <c r="O103" s="109">
        <v>0</v>
      </c>
      <c r="P103" s="109">
        <v>0</v>
      </c>
      <c r="Q103" s="109">
        <v>0</v>
      </c>
      <c r="R103" s="109">
        <v>0</v>
      </c>
      <c r="S103" s="109">
        <v>-883653.96000000066</v>
      </c>
      <c r="T103" s="109">
        <v>-858913.56461538549</v>
      </c>
      <c r="U103" s="110">
        <v>0</v>
      </c>
      <c r="V103" s="111">
        <v>2.5000000000000001E-2</v>
      </c>
    </row>
    <row r="104" spans="1:22" x14ac:dyDescent="0.2">
      <c r="A104" s="69" t="s">
        <v>803</v>
      </c>
      <c r="B104" s="69">
        <v>37600</v>
      </c>
      <c r="C104" s="69" t="s">
        <v>808</v>
      </c>
      <c r="D104" s="108" t="s">
        <v>282</v>
      </c>
      <c r="E104" s="108" t="s">
        <v>145</v>
      </c>
      <c r="F104" s="109">
        <v>55080843.68</v>
      </c>
      <c r="G104" s="109">
        <v>2451845.6599999997</v>
      </c>
      <c r="H104" s="109">
        <v>-1049262.54</v>
      </c>
      <c r="I104" s="109">
        <v>0</v>
      </c>
      <c r="J104" s="109">
        <v>56483426.799999997</v>
      </c>
      <c r="K104" s="109">
        <v>55682992.798461519</v>
      </c>
      <c r="L104" s="110">
        <v>0</v>
      </c>
      <c r="M104" s="109">
        <v>-24270950.400000002</v>
      </c>
      <c r="N104" s="109">
        <v>-2335884.1800000002</v>
      </c>
      <c r="O104" s="109">
        <v>1049262.54</v>
      </c>
      <c r="P104" s="109">
        <v>235632.44</v>
      </c>
      <c r="Q104" s="109">
        <v>0</v>
      </c>
      <c r="R104" s="109">
        <v>0</v>
      </c>
      <c r="S104" s="109">
        <v>-25321939.600000001</v>
      </c>
      <c r="T104" s="109">
        <v>-24563053.030000005</v>
      </c>
      <c r="U104" s="110">
        <v>0</v>
      </c>
      <c r="V104" s="111">
        <v>4.2000000000000003E-2</v>
      </c>
    </row>
    <row r="105" spans="1:22" x14ac:dyDescent="0.2">
      <c r="A105" s="69" t="s">
        <v>803</v>
      </c>
      <c r="B105" s="69">
        <v>37602</v>
      </c>
      <c r="C105" s="69" t="s">
        <v>809</v>
      </c>
      <c r="D105" s="108" t="s">
        <v>283</v>
      </c>
      <c r="E105" s="108" t="s">
        <v>146</v>
      </c>
      <c r="F105" s="109">
        <v>25086351.080000009</v>
      </c>
      <c r="G105" s="109">
        <v>1682093.27</v>
      </c>
      <c r="H105" s="109">
        <v>-136604.13</v>
      </c>
      <c r="I105" s="109">
        <v>0</v>
      </c>
      <c r="J105" s="109">
        <v>26631840.22000001</v>
      </c>
      <c r="K105" s="109">
        <v>26140394.373846166</v>
      </c>
      <c r="L105" s="110">
        <v>0</v>
      </c>
      <c r="M105" s="109">
        <v>-10203094.91</v>
      </c>
      <c r="N105" s="109">
        <v>-809082.64</v>
      </c>
      <c r="O105" s="109">
        <v>136604.13</v>
      </c>
      <c r="P105" s="109">
        <v>-16296.609999999995</v>
      </c>
      <c r="Q105" s="109">
        <v>0</v>
      </c>
      <c r="R105" s="109">
        <v>0</v>
      </c>
      <c r="S105" s="109">
        <v>-10891870.029999999</v>
      </c>
      <c r="T105" s="109">
        <v>-10510637.524615387</v>
      </c>
      <c r="U105" s="110">
        <v>0</v>
      </c>
      <c r="V105" s="111">
        <v>3.1E-2</v>
      </c>
    </row>
    <row r="106" spans="1:22" x14ac:dyDescent="0.2">
      <c r="A106" s="69" t="s">
        <v>803</v>
      </c>
      <c r="B106" s="69">
        <v>37602</v>
      </c>
      <c r="C106" s="69" t="s">
        <v>809</v>
      </c>
      <c r="D106" s="108" t="s">
        <v>284</v>
      </c>
      <c r="E106" s="108" t="s">
        <v>146</v>
      </c>
      <c r="F106" s="109">
        <v>0</v>
      </c>
      <c r="G106" s="109">
        <v>0</v>
      </c>
      <c r="H106" s="109">
        <v>0</v>
      </c>
      <c r="I106" s="109">
        <v>0</v>
      </c>
      <c r="J106" s="109">
        <v>0</v>
      </c>
      <c r="K106" s="109">
        <v>0</v>
      </c>
      <c r="L106" s="110">
        <v>0</v>
      </c>
      <c r="M106" s="109">
        <v>-10475.08</v>
      </c>
      <c r="N106" s="109">
        <v>0</v>
      </c>
      <c r="O106" s="109">
        <v>0</v>
      </c>
      <c r="P106" s="109">
        <v>0</v>
      </c>
      <c r="Q106" s="109">
        <v>0</v>
      </c>
      <c r="R106" s="109">
        <v>0</v>
      </c>
      <c r="S106" s="109">
        <v>-10475.08</v>
      </c>
      <c r="T106" s="109">
        <v>-10475.08</v>
      </c>
      <c r="U106" s="110">
        <v>0</v>
      </c>
      <c r="V106" s="111">
        <v>3.1E-2</v>
      </c>
    </row>
    <row r="107" spans="1:22" x14ac:dyDescent="0.2">
      <c r="A107" s="69" t="s">
        <v>803</v>
      </c>
      <c r="B107" s="69">
        <v>37602</v>
      </c>
      <c r="C107" s="69" t="s">
        <v>809</v>
      </c>
      <c r="D107" s="108" t="s">
        <v>285</v>
      </c>
      <c r="E107" s="108" t="s">
        <v>146</v>
      </c>
      <c r="F107" s="109">
        <v>0</v>
      </c>
      <c r="G107" s="109">
        <v>0</v>
      </c>
      <c r="H107" s="109">
        <v>0</v>
      </c>
      <c r="I107" s="109">
        <v>0</v>
      </c>
      <c r="J107" s="109">
        <v>0</v>
      </c>
      <c r="K107" s="109">
        <v>0</v>
      </c>
      <c r="L107" s="110">
        <v>0</v>
      </c>
      <c r="M107" s="109">
        <v>5061.7299999999996</v>
      </c>
      <c r="N107" s="109">
        <v>0</v>
      </c>
      <c r="O107" s="109">
        <v>0</v>
      </c>
      <c r="P107" s="109">
        <v>0</v>
      </c>
      <c r="Q107" s="109">
        <v>0</v>
      </c>
      <c r="R107" s="109">
        <v>0</v>
      </c>
      <c r="S107" s="109">
        <v>5061.7299999999996</v>
      </c>
      <c r="T107" s="109">
        <v>5061.7299999999977</v>
      </c>
      <c r="U107" s="110">
        <v>0</v>
      </c>
      <c r="V107" s="111">
        <v>3.1E-2</v>
      </c>
    </row>
    <row r="108" spans="1:22" x14ac:dyDescent="0.2">
      <c r="A108" s="69" t="s">
        <v>803</v>
      </c>
      <c r="B108" s="69">
        <v>37800</v>
      </c>
      <c r="C108" s="69" t="s">
        <v>810</v>
      </c>
      <c r="D108" s="108" t="s">
        <v>286</v>
      </c>
      <c r="E108" s="108" t="s">
        <v>147</v>
      </c>
      <c r="F108" s="109">
        <v>1198691.76</v>
      </c>
      <c r="G108" s="109">
        <v>86930.36</v>
      </c>
      <c r="H108" s="109">
        <v>-1206.75</v>
      </c>
      <c r="I108" s="109">
        <v>0</v>
      </c>
      <c r="J108" s="109">
        <v>1284415.3700000001</v>
      </c>
      <c r="K108" s="109">
        <v>1219062.0784615381</v>
      </c>
      <c r="L108" s="110">
        <v>0</v>
      </c>
      <c r="M108" s="109">
        <v>-557461.48999999929</v>
      </c>
      <c r="N108" s="109">
        <v>-41262.949999999997</v>
      </c>
      <c r="O108" s="109">
        <v>1206.75</v>
      </c>
      <c r="P108" s="109">
        <v>11297.369999999999</v>
      </c>
      <c r="Q108" s="109">
        <v>0</v>
      </c>
      <c r="R108" s="109">
        <v>0</v>
      </c>
      <c r="S108" s="109">
        <v>-586220.31999999925</v>
      </c>
      <c r="T108" s="109">
        <v>-571057.05692307639</v>
      </c>
      <c r="U108" s="110">
        <v>0</v>
      </c>
      <c r="V108" s="111">
        <v>3.4000000000000002E-2</v>
      </c>
    </row>
    <row r="109" spans="1:22" x14ac:dyDescent="0.2">
      <c r="A109" s="69" t="s">
        <v>803</v>
      </c>
      <c r="B109" s="69">
        <v>37900</v>
      </c>
      <c r="C109" s="69" t="s">
        <v>811</v>
      </c>
      <c r="D109" s="108" t="s">
        <v>287</v>
      </c>
      <c r="E109" s="108" t="s">
        <v>148</v>
      </c>
      <c r="F109" s="109">
        <v>1681782.19</v>
      </c>
      <c r="G109" s="109">
        <v>23443.879999999997</v>
      </c>
      <c r="H109" s="109">
        <v>0</v>
      </c>
      <c r="I109" s="109">
        <v>0</v>
      </c>
      <c r="J109" s="109">
        <v>1705226.0699999998</v>
      </c>
      <c r="K109" s="109">
        <v>1710967.3223076921</v>
      </c>
      <c r="L109" s="110">
        <v>0</v>
      </c>
      <c r="M109" s="109">
        <v>-545086.50999999978</v>
      </c>
      <c r="N109" s="109">
        <v>-58189.139999999992</v>
      </c>
      <c r="O109" s="109">
        <v>0</v>
      </c>
      <c r="P109" s="109">
        <v>0</v>
      </c>
      <c r="Q109" s="109">
        <v>0</v>
      </c>
      <c r="R109" s="109">
        <v>0</v>
      </c>
      <c r="S109" s="109">
        <v>-603275.64999999979</v>
      </c>
      <c r="T109" s="109">
        <v>-574002.57769230765</v>
      </c>
      <c r="U109" s="110">
        <v>0</v>
      </c>
      <c r="V109" s="111">
        <v>3.4000000000000002E-2</v>
      </c>
    </row>
    <row r="110" spans="1:22" x14ac:dyDescent="0.2">
      <c r="A110" s="69" t="s">
        <v>803</v>
      </c>
      <c r="B110" s="69">
        <v>38000</v>
      </c>
      <c r="C110" s="69" t="s">
        <v>812</v>
      </c>
      <c r="D110" s="108" t="s">
        <v>288</v>
      </c>
      <c r="E110" s="108" t="s">
        <v>149</v>
      </c>
      <c r="F110" s="109">
        <v>13494039.660000009</v>
      </c>
      <c r="G110" s="109">
        <v>821590.72</v>
      </c>
      <c r="H110" s="109">
        <v>-55230.869999999995</v>
      </c>
      <c r="I110" s="109">
        <v>0</v>
      </c>
      <c r="J110" s="109">
        <v>14260399.510000011</v>
      </c>
      <c r="K110" s="109">
        <v>13833820.240769245</v>
      </c>
      <c r="L110" s="110">
        <v>0</v>
      </c>
      <c r="M110" s="109">
        <v>-13323381.220000001</v>
      </c>
      <c r="N110" s="109">
        <v>-910685.94000000006</v>
      </c>
      <c r="O110" s="109">
        <v>55230.869999999995</v>
      </c>
      <c r="P110" s="109">
        <v>128490.67</v>
      </c>
      <c r="Q110" s="109">
        <v>0</v>
      </c>
      <c r="R110" s="109">
        <v>0</v>
      </c>
      <c r="S110" s="109">
        <v>-14050345.620000001</v>
      </c>
      <c r="T110" s="109">
        <v>-13681283.197692309</v>
      </c>
      <c r="U110" s="110">
        <v>0</v>
      </c>
      <c r="V110" s="111">
        <v>6.5999999999999989E-2</v>
      </c>
    </row>
    <row r="111" spans="1:22" x14ac:dyDescent="0.2">
      <c r="A111" s="69" t="s">
        <v>803</v>
      </c>
      <c r="B111" s="69">
        <v>38002</v>
      </c>
      <c r="C111" s="69" t="s">
        <v>813</v>
      </c>
      <c r="D111" s="108" t="s">
        <v>289</v>
      </c>
      <c r="E111" s="108" t="s">
        <v>150</v>
      </c>
      <c r="F111" s="109">
        <v>22753069.079999998</v>
      </c>
      <c r="G111" s="109">
        <v>1476760.6</v>
      </c>
      <c r="H111" s="109">
        <v>-33884.259999999995</v>
      </c>
      <c r="I111" s="109">
        <v>0</v>
      </c>
      <c r="J111" s="109">
        <v>24195945.419999998</v>
      </c>
      <c r="K111" s="109">
        <v>23399266.920000002</v>
      </c>
      <c r="L111" s="110">
        <v>0</v>
      </c>
      <c r="M111" s="109">
        <v>-15011178.239999991</v>
      </c>
      <c r="N111" s="109">
        <v>-1166643.8500000001</v>
      </c>
      <c r="O111" s="109">
        <v>33884.259999999995</v>
      </c>
      <c r="P111" s="109">
        <v>137592.99000000002</v>
      </c>
      <c r="Q111" s="109">
        <v>0</v>
      </c>
      <c r="R111" s="109">
        <v>0</v>
      </c>
      <c r="S111" s="109">
        <v>-16006344.839999991</v>
      </c>
      <c r="T111" s="109">
        <v>-15539736.498461526</v>
      </c>
      <c r="U111" s="110">
        <v>0</v>
      </c>
      <c r="V111" s="111">
        <v>0.05</v>
      </c>
    </row>
    <row r="112" spans="1:22" x14ac:dyDescent="0.2">
      <c r="A112" s="69" t="s">
        <v>803</v>
      </c>
      <c r="B112" s="69">
        <v>38200</v>
      </c>
      <c r="C112" s="69" t="s">
        <v>814</v>
      </c>
      <c r="D112" s="108" t="s">
        <v>290</v>
      </c>
      <c r="E112" s="108" t="s">
        <v>152</v>
      </c>
      <c r="F112" s="109">
        <v>7065788.0700000031</v>
      </c>
      <c r="G112" s="109">
        <v>356295.66000000003</v>
      </c>
      <c r="H112" s="109">
        <v>-85516.09</v>
      </c>
      <c r="I112" s="109">
        <v>0</v>
      </c>
      <c r="J112" s="109">
        <v>7336567.6400000034</v>
      </c>
      <c r="K112" s="109">
        <v>7212414.2315384652</v>
      </c>
      <c r="L112" s="110">
        <v>0</v>
      </c>
      <c r="M112" s="109">
        <v>-5471762.290000001</v>
      </c>
      <c r="N112" s="109">
        <v>-324093.05000000005</v>
      </c>
      <c r="O112" s="109">
        <v>85516.09</v>
      </c>
      <c r="P112" s="109">
        <v>18570.29</v>
      </c>
      <c r="Q112" s="109">
        <v>0</v>
      </c>
      <c r="R112" s="109">
        <v>0</v>
      </c>
      <c r="S112" s="109">
        <v>-5691768.9600000009</v>
      </c>
      <c r="T112" s="109">
        <v>-5616714.0299999993</v>
      </c>
      <c r="U112" s="110">
        <v>0</v>
      </c>
      <c r="V112" s="111">
        <v>4.4999999999999998E-2</v>
      </c>
    </row>
    <row r="113" spans="1:22" x14ac:dyDescent="0.2">
      <c r="A113" s="69" t="s">
        <v>803</v>
      </c>
      <c r="B113" s="69">
        <v>38300</v>
      </c>
      <c r="C113" s="69" t="s">
        <v>815</v>
      </c>
      <c r="D113" s="108" t="s">
        <v>291</v>
      </c>
      <c r="E113" s="108" t="s">
        <v>153</v>
      </c>
      <c r="F113" s="109">
        <v>2086858.9399999997</v>
      </c>
      <c r="G113" s="109">
        <v>56074.76</v>
      </c>
      <c r="H113" s="109">
        <v>-3900.35</v>
      </c>
      <c r="I113" s="109">
        <v>0</v>
      </c>
      <c r="J113" s="109">
        <v>2139033.3499999996</v>
      </c>
      <c r="K113" s="109">
        <v>2099552.7653846154</v>
      </c>
      <c r="L113" s="110">
        <v>0</v>
      </c>
      <c r="M113" s="109">
        <v>-1129830.9100000004</v>
      </c>
      <c r="N113" s="109">
        <v>-75465.469999999987</v>
      </c>
      <c r="O113" s="109">
        <v>3900.35</v>
      </c>
      <c r="P113" s="109">
        <v>0</v>
      </c>
      <c r="Q113" s="109">
        <v>0</v>
      </c>
      <c r="R113" s="109">
        <v>0</v>
      </c>
      <c r="S113" s="109">
        <v>-1201396.0300000003</v>
      </c>
      <c r="T113" s="109">
        <v>-1167171.9169230775</v>
      </c>
      <c r="U113" s="110">
        <v>0</v>
      </c>
      <c r="V113" s="111">
        <v>3.5999999999999997E-2</v>
      </c>
    </row>
    <row r="114" spans="1:22" x14ac:dyDescent="0.2">
      <c r="A114" s="69" t="s">
        <v>803</v>
      </c>
      <c r="B114" s="69">
        <v>38400</v>
      </c>
      <c r="C114" s="69" t="s">
        <v>816</v>
      </c>
      <c r="D114" s="108" t="s">
        <v>292</v>
      </c>
      <c r="E114" s="108" t="s">
        <v>154</v>
      </c>
      <c r="F114" s="109">
        <v>2636134.9899999998</v>
      </c>
      <c r="G114" s="109">
        <v>118765.23999999999</v>
      </c>
      <c r="H114" s="109">
        <v>-7554.8</v>
      </c>
      <c r="I114" s="109">
        <v>0</v>
      </c>
      <c r="J114" s="109">
        <v>2747345.4299999997</v>
      </c>
      <c r="K114" s="109">
        <v>2700247.366153846</v>
      </c>
      <c r="L114" s="110">
        <v>0</v>
      </c>
      <c r="M114" s="109">
        <v>-1422672.169999999</v>
      </c>
      <c r="N114" s="109">
        <v>-121334.5</v>
      </c>
      <c r="O114" s="109">
        <v>7554.8</v>
      </c>
      <c r="P114" s="109">
        <v>298.85000000000002</v>
      </c>
      <c r="Q114" s="109">
        <v>0</v>
      </c>
      <c r="R114" s="109">
        <v>0</v>
      </c>
      <c r="S114" s="109">
        <v>-1536153.0199999989</v>
      </c>
      <c r="T114" s="109">
        <v>-1475706.37076923</v>
      </c>
      <c r="U114" s="110">
        <v>0</v>
      </c>
      <c r="V114" s="111">
        <v>4.4999999999999998E-2</v>
      </c>
    </row>
    <row r="115" spans="1:22" x14ac:dyDescent="0.2">
      <c r="A115" s="69" t="s">
        <v>803</v>
      </c>
      <c r="B115" s="69">
        <v>38500</v>
      </c>
      <c r="C115" s="69" t="s">
        <v>817</v>
      </c>
      <c r="D115" s="108" t="s">
        <v>293</v>
      </c>
      <c r="E115" s="108" t="s">
        <v>155</v>
      </c>
      <c r="F115" s="109">
        <v>2153954.4900000007</v>
      </c>
      <c r="G115" s="109">
        <v>0</v>
      </c>
      <c r="H115" s="109">
        <v>-1131.1300000000001</v>
      </c>
      <c r="I115" s="109">
        <v>0</v>
      </c>
      <c r="J115" s="109">
        <v>2152823.3600000008</v>
      </c>
      <c r="K115" s="109">
        <v>2152910.3700000006</v>
      </c>
      <c r="L115" s="110">
        <v>0</v>
      </c>
      <c r="M115" s="109">
        <v>-1183820.8599999992</v>
      </c>
      <c r="N115" s="109">
        <v>-66740.44</v>
      </c>
      <c r="O115" s="109">
        <v>1131.1300000000001</v>
      </c>
      <c r="P115" s="109">
        <v>10.07</v>
      </c>
      <c r="Q115" s="109">
        <v>0</v>
      </c>
      <c r="R115" s="109">
        <v>0</v>
      </c>
      <c r="S115" s="109">
        <v>-1249420.0999999992</v>
      </c>
      <c r="T115" s="109">
        <v>-1216138.899999999</v>
      </c>
      <c r="U115" s="110">
        <v>0</v>
      </c>
      <c r="V115" s="111">
        <v>3.1E-2</v>
      </c>
    </row>
    <row r="116" spans="1:22" x14ac:dyDescent="0.2">
      <c r="A116" s="69" t="s">
        <v>803</v>
      </c>
      <c r="B116" s="69">
        <v>38700</v>
      </c>
      <c r="C116" s="69" t="s">
        <v>818</v>
      </c>
      <c r="D116" s="108" t="s">
        <v>294</v>
      </c>
      <c r="E116" s="108" t="s">
        <v>156</v>
      </c>
      <c r="F116" s="109">
        <v>494507.76999999996</v>
      </c>
      <c r="G116" s="109">
        <v>80187.12</v>
      </c>
      <c r="H116" s="109">
        <v>0</v>
      </c>
      <c r="I116" s="109">
        <v>0</v>
      </c>
      <c r="J116" s="109">
        <v>574694.8899999999</v>
      </c>
      <c r="K116" s="109">
        <v>510684.85846153833</v>
      </c>
      <c r="L116" s="110">
        <v>0</v>
      </c>
      <c r="M116" s="109">
        <v>-204631.48999999964</v>
      </c>
      <c r="N116" s="109">
        <v>-31837.129999999997</v>
      </c>
      <c r="O116" s="109">
        <v>0</v>
      </c>
      <c r="P116" s="109">
        <v>0</v>
      </c>
      <c r="Q116" s="109">
        <v>0</v>
      </c>
      <c r="R116" s="109">
        <v>0</v>
      </c>
      <c r="S116" s="109">
        <v>-236468.61999999965</v>
      </c>
      <c r="T116" s="109">
        <v>-220285.92923076896</v>
      </c>
      <c r="U116" s="110">
        <v>0</v>
      </c>
      <c r="V116" s="111">
        <v>6.3E-2</v>
      </c>
    </row>
    <row r="117" spans="1:22" x14ac:dyDescent="0.2">
      <c r="A117" s="69" t="s">
        <v>803</v>
      </c>
      <c r="B117" s="69">
        <v>39002</v>
      </c>
      <c r="C117" s="69" t="s">
        <v>819</v>
      </c>
      <c r="D117" s="108" t="s">
        <v>295</v>
      </c>
      <c r="E117" s="108" t="s">
        <v>158</v>
      </c>
      <c r="F117" s="109">
        <v>0</v>
      </c>
      <c r="G117" s="109">
        <v>0</v>
      </c>
      <c r="H117" s="109">
        <v>0</v>
      </c>
      <c r="I117" s="109">
        <v>0</v>
      </c>
      <c r="J117" s="109">
        <v>0</v>
      </c>
      <c r="K117" s="109">
        <v>0</v>
      </c>
      <c r="L117" s="110">
        <v>0</v>
      </c>
      <c r="M117" s="109">
        <v>0</v>
      </c>
      <c r="N117" s="109">
        <v>0</v>
      </c>
      <c r="O117" s="109">
        <v>0</v>
      </c>
      <c r="P117" s="109">
        <v>0</v>
      </c>
      <c r="Q117" s="109">
        <v>0</v>
      </c>
      <c r="R117" s="109">
        <v>0</v>
      </c>
      <c r="S117" s="109">
        <v>0</v>
      </c>
      <c r="T117" s="109">
        <v>0</v>
      </c>
      <c r="U117" s="110">
        <v>0</v>
      </c>
      <c r="V117" s="111">
        <v>2.5000000000000001E-2</v>
      </c>
    </row>
    <row r="118" spans="1:22" x14ac:dyDescent="0.2">
      <c r="A118" s="69" t="s">
        <v>803</v>
      </c>
      <c r="B118" s="69">
        <v>39100</v>
      </c>
      <c r="C118" s="69" t="s">
        <v>820</v>
      </c>
      <c r="D118" s="108" t="s">
        <v>296</v>
      </c>
      <c r="E118" s="108" t="s">
        <v>159</v>
      </c>
      <c r="F118" s="109">
        <v>51200.880000000005</v>
      </c>
      <c r="G118" s="109">
        <v>18066.239999999998</v>
      </c>
      <c r="H118" s="109">
        <v>0</v>
      </c>
      <c r="I118" s="109">
        <v>0</v>
      </c>
      <c r="J118" s="109">
        <v>69267.12</v>
      </c>
      <c r="K118" s="109">
        <v>60878.498461538467</v>
      </c>
      <c r="L118" s="110">
        <v>0</v>
      </c>
      <c r="M118" s="109">
        <v>-102222.71</v>
      </c>
      <c r="N118" s="109">
        <v>-4032.0099999999993</v>
      </c>
      <c r="O118" s="109">
        <v>0</v>
      </c>
      <c r="P118" s="109">
        <v>0</v>
      </c>
      <c r="Q118" s="109">
        <v>0</v>
      </c>
      <c r="R118" s="109">
        <v>0</v>
      </c>
      <c r="S118" s="109">
        <v>-106254.72</v>
      </c>
      <c r="T118" s="109">
        <v>-104103.45846153844</v>
      </c>
      <c r="U118" s="110">
        <v>0</v>
      </c>
      <c r="V118" s="111">
        <v>6.7000000000000004E-2</v>
      </c>
    </row>
    <row r="119" spans="1:22" x14ac:dyDescent="0.2">
      <c r="A119" s="69" t="s">
        <v>803</v>
      </c>
      <c r="B119" s="69">
        <v>39101</v>
      </c>
      <c r="C119" s="69" t="s">
        <v>821</v>
      </c>
      <c r="D119" s="108" t="s">
        <v>297</v>
      </c>
      <c r="E119" s="108" t="s">
        <v>160</v>
      </c>
      <c r="F119" s="109">
        <v>355534.37999999995</v>
      </c>
      <c r="G119" s="109">
        <v>19230.939999999999</v>
      </c>
      <c r="H119" s="109">
        <v>-232825.11</v>
      </c>
      <c r="I119" s="109">
        <v>0</v>
      </c>
      <c r="J119" s="109">
        <v>141940.20999999996</v>
      </c>
      <c r="K119" s="109">
        <v>161487.12384615385</v>
      </c>
      <c r="L119" s="110">
        <v>0</v>
      </c>
      <c r="M119" s="109">
        <v>-197998.27000000002</v>
      </c>
      <c r="N119" s="109">
        <v>-20389.48</v>
      </c>
      <c r="O119" s="109">
        <v>232825.11</v>
      </c>
      <c r="P119" s="109">
        <v>0</v>
      </c>
      <c r="Q119" s="109">
        <v>0</v>
      </c>
      <c r="R119" s="109">
        <v>0</v>
      </c>
      <c r="S119" s="109">
        <v>14437.359999999957</v>
      </c>
      <c r="T119" s="109">
        <v>-12967.981538461583</v>
      </c>
      <c r="U119" s="110">
        <v>0</v>
      </c>
      <c r="V119" s="111">
        <v>0.125</v>
      </c>
    </row>
    <row r="120" spans="1:22" x14ac:dyDescent="0.2">
      <c r="A120" s="69" t="s">
        <v>803</v>
      </c>
      <c r="B120" s="69">
        <v>39102</v>
      </c>
      <c r="C120" s="69" t="s">
        <v>822</v>
      </c>
      <c r="D120" s="108" t="s">
        <v>298</v>
      </c>
      <c r="E120" s="108" t="s">
        <v>161</v>
      </c>
      <c r="F120" s="109">
        <v>6408.9800000000005</v>
      </c>
      <c r="G120" s="109">
        <v>9286.1299999999992</v>
      </c>
      <c r="H120" s="109">
        <v>0</v>
      </c>
      <c r="I120" s="109">
        <v>0</v>
      </c>
      <c r="J120" s="109">
        <v>15695.11</v>
      </c>
      <c r="K120" s="109">
        <v>10694.886153846155</v>
      </c>
      <c r="L120" s="110">
        <v>0</v>
      </c>
      <c r="M120" s="109">
        <v>12377.339999999989</v>
      </c>
      <c r="N120" s="109">
        <v>-688.61</v>
      </c>
      <c r="O120" s="109">
        <v>0</v>
      </c>
      <c r="P120" s="109">
        <v>0</v>
      </c>
      <c r="Q120" s="109">
        <v>0</v>
      </c>
      <c r="R120" s="109">
        <v>0</v>
      </c>
      <c r="S120" s="109">
        <v>11688.729999999989</v>
      </c>
      <c r="T120" s="109">
        <v>12102.833076923063</v>
      </c>
      <c r="U120" s="110">
        <v>0</v>
      </c>
      <c r="V120" s="111">
        <v>6.7000000000000004E-2</v>
      </c>
    </row>
    <row r="121" spans="1:22" x14ac:dyDescent="0.2">
      <c r="A121" s="69" t="s">
        <v>803</v>
      </c>
      <c r="B121" s="69">
        <v>39201</v>
      </c>
      <c r="C121" s="69" t="s">
        <v>823</v>
      </c>
      <c r="D121" s="108" t="s">
        <v>299</v>
      </c>
      <c r="E121" s="108" t="s">
        <v>163</v>
      </c>
      <c r="F121" s="109">
        <v>978760.2300000001</v>
      </c>
      <c r="G121" s="109">
        <v>257162.82</v>
      </c>
      <c r="H121" s="109">
        <v>0</v>
      </c>
      <c r="I121" s="109">
        <v>0</v>
      </c>
      <c r="J121" s="109">
        <v>1235923.05</v>
      </c>
      <c r="K121" s="109">
        <v>1052675.7476923079</v>
      </c>
      <c r="L121" s="110">
        <v>0</v>
      </c>
      <c r="M121" s="109">
        <v>-172053.13999999998</v>
      </c>
      <c r="N121" s="109">
        <v>-116189.41</v>
      </c>
      <c r="O121" s="109">
        <v>0</v>
      </c>
      <c r="P121" s="109">
        <v>424.45000000000005</v>
      </c>
      <c r="Q121" s="109">
        <v>-3634.45</v>
      </c>
      <c r="R121" s="109">
        <v>0</v>
      </c>
      <c r="S121" s="109">
        <v>-291452.55</v>
      </c>
      <c r="T121" s="109">
        <v>-228415.2276923077</v>
      </c>
      <c r="U121" s="110">
        <v>0</v>
      </c>
      <c r="V121" s="111">
        <v>0.112</v>
      </c>
    </row>
    <row r="122" spans="1:22" x14ac:dyDescent="0.2">
      <c r="A122" s="69" t="s">
        <v>803</v>
      </c>
      <c r="B122" s="69">
        <v>39202</v>
      </c>
      <c r="C122" s="69" t="s">
        <v>824</v>
      </c>
      <c r="D122" s="108" t="s">
        <v>300</v>
      </c>
      <c r="E122" s="108" t="s">
        <v>164</v>
      </c>
      <c r="F122" s="109">
        <v>661441.60999999987</v>
      </c>
      <c r="G122" s="109">
        <v>0</v>
      </c>
      <c r="H122" s="109">
        <v>0</v>
      </c>
      <c r="I122" s="109">
        <v>0</v>
      </c>
      <c r="J122" s="109">
        <v>661441.60999999987</v>
      </c>
      <c r="K122" s="109">
        <v>661441.60999999964</v>
      </c>
      <c r="L122" s="110">
        <v>0</v>
      </c>
      <c r="M122" s="109">
        <v>-400018.88999999949</v>
      </c>
      <c r="N122" s="109">
        <v>-84003.12</v>
      </c>
      <c r="O122" s="109">
        <v>0</v>
      </c>
      <c r="P122" s="109">
        <v>209.48</v>
      </c>
      <c r="Q122" s="109">
        <v>-1890.5500000000002</v>
      </c>
      <c r="R122" s="109">
        <v>0</v>
      </c>
      <c r="S122" s="109">
        <v>-485703.07999999949</v>
      </c>
      <c r="T122" s="109">
        <v>-442261.17538461491</v>
      </c>
      <c r="U122" s="110">
        <v>0</v>
      </c>
      <c r="V122" s="111">
        <v>0.127</v>
      </c>
    </row>
    <row r="123" spans="1:22" x14ac:dyDescent="0.2">
      <c r="A123" s="69" t="s">
        <v>803</v>
      </c>
      <c r="B123" s="69">
        <v>39204</v>
      </c>
      <c r="C123" s="69" t="s">
        <v>825</v>
      </c>
      <c r="D123" s="108" t="s">
        <v>301</v>
      </c>
      <c r="E123" s="108" t="s">
        <v>166</v>
      </c>
      <c r="F123" s="109">
        <v>11370</v>
      </c>
      <c r="G123" s="109">
        <v>5738.84</v>
      </c>
      <c r="H123" s="109">
        <v>0</v>
      </c>
      <c r="I123" s="109">
        <v>0</v>
      </c>
      <c r="J123" s="109">
        <v>17108.84</v>
      </c>
      <c r="K123" s="109">
        <v>12694.347692307692</v>
      </c>
      <c r="L123" s="110">
        <v>0</v>
      </c>
      <c r="M123" s="109">
        <v>-11843.470000000005</v>
      </c>
      <c r="N123" s="109">
        <v>-493.05999999999995</v>
      </c>
      <c r="O123" s="109">
        <v>0</v>
      </c>
      <c r="P123" s="109">
        <v>0</v>
      </c>
      <c r="Q123" s="109">
        <v>0</v>
      </c>
      <c r="R123" s="109">
        <v>0</v>
      </c>
      <c r="S123" s="109">
        <v>-12336.530000000004</v>
      </c>
      <c r="T123" s="109">
        <v>-12075.284615384619</v>
      </c>
      <c r="U123" s="110">
        <v>0</v>
      </c>
      <c r="V123" s="111">
        <v>0.04</v>
      </c>
    </row>
    <row r="124" spans="1:22" x14ac:dyDescent="0.2">
      <c r="A124" s="69" t="s">
        <v>803</v>
      </c>
      <c r="B124" s="69">
        <v>39205</v>
      </c>
      <c r="C124" s="69" t="s">
        <v>826</v>
      </c>
      <c r="D124" s="108" t="s">
        <v>302</v>
      </c>
      <c r="E124" s="108" t="s">
        <v>167</v>
      </c>
      <c r="F124" s="109">
        <v>142064.82999999999</v>
      </c>
      <c r="G124" s="109">
        <v>0</v>
      </c>
      <c r="H124" s="109">
        <v>0</v>
      </c>
      <c r="I124" s="109">
        <v>0</v>
      </c>
      <c r="J124" s="109">
        <v>142064.82999999999</v>
      </c>
      <c r="K124" s="109">
        <v>142064.83000000002</v>
      </c>
      <c r="L124" s="110">
        <v>0</v>
      </c>
      <c r="M124" s="109">
        <v>-120505.94000000018</v>
      </c>
      <c r="N124" s="109">
        <v>-10512.839999999998</v>
      </c>
      <c r="O124" s="109">
        <v>0</v>
      </c>
      <c r="P124" s="109">
        <v>0</v>
      </c>
      <c r="Q124" s="109">
        <v>0</v>
      </c>
      <c r="R124" s="109">
        <v>0</v>
      </c>
      <c r="S124" s="109">
        <v>-131018.78000000017</v>
      </c>
      <c r="T124" s="109">
        <v>-125762.3600000002</v>
      </c>
      <c r="U124" s="110">
        <v>0</v>
      </c>
      <c r="V124" s="111">
        <v>7.3999999999999996E-2</v>
      </c>
    </row>
    <row r="125" spans="1:22" x14ac:dyDescent="0.2">
      <c r="A125" s="69" t="s">
        <v>803</v>
      </c>
      <c r="B125" s="69">
        <v>39300</v>
      </c>
      <c r="C125" s="69" t="s">
        <v>827</v>
      </c>
      <c r="D125" s="108" t="s">
        <v>303</v>
      </c>
      <c r="E125" s="108" t="s">
        <v>168</v>
      </c>
      <c r="F125" s="109">
        <v>0</v>
      </c>
      <c r="G125" s="109">
        <v>0</v>
      </c>
      <c r="H125" s="109">
        <v>0</v>
      </c>
      <c r="I125" s="109">
        <v>0</v>
      </c>
      <c r="J125" s="109">
        <v>0</v>
      </c>
      <c r="K125" s="109">
        <v>0</v>
      </c>
      <c r="L125" s="110">
        <v>0</v>
      </c>
      <c r="M125" s="109">
        <v>-28.800000000000601</v>
      </c>
      <c r="N125" s="109">
        <v>0</v>
      </c>
      <c r="O125" s="109">
        <v>0</v>
      </c>
      <c r="P125" s="109">
        <v>0</v>
      </c>
      <c r="Q125" s="109">
        <v>0</v>
      </c>
      <c r="R125" s="109">
        <v>0</v>
      </c>
      <c r="S125" s="109">
        <v>-28.800000000000601</v>
      </c>
      <c r="T125" s="109">
        <v>-28.800000000000598</v>
      </c>
      <c r="U125" s="110">
        <v>0</v>
      </c>
      <c r="V125" s="111">
        <v>0.04</v>
      </c>
    </row>
    <row r="126" spans="1:22" x14ac:dyDescent="0.2">
      <c r="A126" s="69" t="s">
        <v>803</v>
      </c>
      <c r="B126" s="69">
        <v>39400</v>
      </c>
      <c r="C126" s="69" t="s">
        <v>828</v>
      </c>
      <c r="D126" s="108" t="s">
        <v>304</v>
      </c>
      <c r="E126" s="108" t="s">
        <v>169</v>
      </c>
      <c r="F126" s="109">
        <v>131356.64999999997</v>
      </c>
      <c r="G126" s="109">
        <v>57362.71</v>
      </c>
      <c r="H126" s="109">
        <v>0</v>
      </c>
      <c r="I126" s="109">
        <v>0</v>
      </c>
      <c r="J126" s="109">
        <v>188719.35999999996</v>
      </c>
      <c r="K126" s="109">
        <v>147280.26615384608</v>
      </c>
      <c r="L126" s="110">
        <v>0</v>
      </c>
      <c r="M126" s="109">
        <v>-93636.319999999745</v>
      </c>
      <c r="N126" s="109">
        <v>-9492.5799999999981</v>
      </c>
      <c r="O126" s="109">
        <v>0</v>
      </c>
      <c r="P126" s="109">
        <v>0</v>
      </c>
      <c r="Q126" s="109">
        <v>0</v>
      </c>
      <c r="R126" s="109">
        <v>0</v>
      </c>
      <c r="S126" s="109">
        <v>-103128.89999999975</v>
      </c>
      <c r="T126" s="109">
        <v>-98088.209230769018</v>
      </c>
      <c r="U126" s="110">
        <v>0</v>
      </c>
      <c r="V126" s="111">
        <v>6.6000000000000003E-2</v>
      </c>
    </row>
    <row r="127" spans="1:22" x14ac:dyDescent="0.2">
      <c r="A127" s="69" t="s">
        <v>803</v>
      </c>
      <c r="B127" s="69">
        <v>39600</v>
      </c>
      <c r="C127" s="69" t="s">
        <v>829</v>
      </c>
      <c r="D127" s="108" t="s">
        <v>305</v>
      </c>
      <c r="E127" s="108" t="s">
        <v>171</v>
      </c>
      <c r="F127" s="109">
        <v>158681.34</v>
      </c>
      <c r="G127" s="109">
        <v>0</v>
      </c>
      <c r="H127" s="109">
        <v>0</v>
      </c>
      <c r="I127" s="109">
        <v>0</v>
      </c>
      <c r="J127" s="109">
        <v>158681.34</v>
      </c>
      <c r="K127" s="109">
        <v>158681.34000000003</v>
      </c>
      <c r="L127" s="110">
        <v>0</v>
      </c>
      <c r="M127" s="109">
        <v>-151608.85</v>
      </c>
      <c r="N127" s="109">
        <v>-10155.599999999999</v>
      </c>
      <c r="O127" s="109">
        <v>0</v>
      </c>
      <c r="P127" s="109">
        <v>0</v>
      </c>
      <c r="Q127" s="109">
        <v>0</v>
      </c>
      <c r="R127" s="109">
        <v>0</v>
      </c>
      <c r="S127" s="109">
        <v>-161764.45000000001</v>
      </c>
      <c r="T127" s="109">
        <v>-156686.64999999994</v>
      </c>
      <c r="U127" s="110">
        <v>0</v>
      </c>
      <c r="V127" s="111">
        <v>6.4000000000000001E-2</v>
      </c>
    </row>
    <row r="128" spans="1:22" x14ac:dyDescent="0.2">
      <c r="A128" s="69" t="s">
        <v>803</v>
      </c>
      <c r="B128" s="69">
        <v>39700</v>
      </c>
      <c r="C128" s="69" t="s">
        <v>830</v>
      </c>
      <c r="D128" s="108" t="s">
        <v>306</v>
      </c>
      <c r="E128" s="108" t="s">
        <v>172</v>
      </c>
      <c r="F128" s="109">
        <v>170844.71000000002</v>
      </c>
      <c r="G128" s="109">
        <v>0</v>
      </c>
      <c r="H128" s="109">
        <v>0</v>
      </c>
      <c r="I128" s="109">
        <v>0</v>
      </c>
      <c r="J128" s="109">
        <v>170844.71000000002</v>
      </c>
      <c r="K128" s="109">
        <v>170844.71</v>
      </c>
      <c r="L128" s="110">
        <v>0</v>
      </c>
      <c r="M128" s="109">
        <v>-8416.1799999999967</v>
      </c>
      <c r="N128" s="109">
        <v>-14350.92</v>
      </c>
      <c r="O128" s="109">
        <v>0</v>
      </c>
      <c r="P128" s="109">
        <v>0</v>
      </c>
      <c r="Q128" s="109">
        <v>0</v>
      </c>
      <c r="R128" s="109">
        <v>0</v>
      </c>
      <c r="S128" s="109">
        <v>-22767.1</v>
      </c>
      <c r="T128" s="109">
        <v>-15591.639999999998</v>
      </c>
      <c r="U128" s="110">
        <v>0</v>
      </c>
      <c r="V128" s="111">
        <v>8.4000000000000005E-2</v>
      </c>
    </row>
    <row r="129" spans="1:22" x14ac:dyDescent="0.2">
      <c r="A129" s="69" t="s">
        <v>803</v>
      </c>
      <c r="B129" s="69">
        <v>39800</v>
      </c>
      <c r="C129" s="69" t="s">
        <v>831</v>
      </c>
      <c r="D129" s="108" t="s">
        <v>307</v>
      </c>
      <c r="E129" s="108" t="s">
        <v>173</v>
      </c>
      <c r="F129" s="109">
        <v>11711.39</v>
      </c>
      <c r="G129" s="109">
        <v>0</v>
      </c>
      <c r="H129" s="109">
        <v>0</v>
      </c>
      <c r="I129" s="109">
        <v>0</v>
      </c>
      <c r="J129" s="109">
        <v>11711.39</v>
      </c>
      <c r="K129" s="109">
        <v>11711.390000000001</v>
      </c>
      <c r="L129" s="110">
        <v>0</v>
      </c>
      <c r="M129" s="109">
        <v>30069.869999999912</v>
      </c>
      <c r="N129" s="109">
        <v>-690.96</v>
      </c>
      <c r="O129" s="109">
        <v>0</v>
      </c>
      <c r="P129" s="109">
        <v>0</v>
      </c>
      <c r="Q129" s="109">
        <v>0</v>
      </c>
      <c r="R129" s="109">
        <v>0</v>
      </c>
      <c r="S129" s="109">
        <v>29378.909999999913</v>
      </c>
      <c r="T129" s="109">
        <v>29724.389999999905</v>
      </c>
      <c r="U129" s="110">
        <v>0</v>
      </c>
      <c r="V129" s="111">
        <v>5.8999999999999997E-2</v>
      </c>
    </row>
    <row r="130" spans="1:22" x14ac:dyDescent="0.2">
      <c r="A130" s="69" t="s">
        <v>832</v>
      </c>
      <c r="B130" s="69">
        <v>30200</v>
      </c>
      <c r="C130" s="69" t="s">
        <v>833</v>
      </c>
      <c r="D130" s="108" t="s">
        <v>308</v>
      </c>
      <c r="E130" s="108" t="s">
        <v>139</v>
      </c>
      <c r="F130" s="109">
        <v>0</v>
      </c>
      <c r="G130" s="109">
        <v>0</v>
      </c>
      <c r="H130" s="109">
        <v>0</v>
      </c>
      <c r="I130" s="109">
        <v>0</v>
      </c>
      <c r="J130" s="109">
        <v>0</v>
      </c>
      <c r="K130" s="109">
        <v>0</v>
      </c>
      <c r="L130" s="110">
        <v>0</v>
      </c>
      <c r="M130" s="109">
        <v>0</v>
      </c>
      <c r="N130" s="109">
        <v>0</v>
      </c>
      <c r="O130" s="109">
        <v>0</v>
      </c>
      <c r="P130" s="109">
        <v>0</v>
      </c>
      <c r="Q130" s="109">
        <v>0</v>
      </c>
      <c r="R130" s="109">
        <v>0</v>
      </c>
      <c r="S130" s="109">
        <v>0</v>
      </c>
      <c r="T130" s="109">
        <v>0</v>
      </c>
      <c r="U130" s="110">
        <v>0</v>
      </c>
      <c r="V130" s="111">
        <v>0.04</v>
      </c>
    </row>
    <row r="131" spans="1:22" x14ac:dyDescent="0.2">
      <c r="A131" s="69" t="s">
        <v>832</v>
      </c>
      <c r="B131" s="69">
        <v>30301</v>
      </c>
      <c r="C131" s="69" t="s">
        <v>834</v>
      </c>
      <c r="D131" s="108" t="s">
        <v>309</v>
      </c>
      <c r="E131" s="108" t="s">
        <v>141</v>
      </c>
      <c r="F131" s="109">
        <v>20203.53</v>
      </c>
      <c r="G131" s="109">
        <v>3247.07</v>
      </c>
      <c r="H131" s="109">
        <v>-20203.53</v>
      </c>
      <c r="I131" s="109">
        <v>0</v>
      </c>
      <c r="J131" s="109">
        <v>3247.0699999999997</v>
      </c>
      <c r="K131" s="109">
        <v>4107.333846153846</v>
      </c>
      <c r="L131" s="110">
        <v>0</v>
      </c>
      <c r="M131" s="109">
        <v>-20203.53</v>
      </c>
      <c r="N131" s="109">
        <v>-54.39</v>
      </c>
      <c r="O131" s="109">
        <v>20203.53</v>
      </c>
      <c r="P131" s="109">
        <v>0</v>
      </c>
      <c r="Q131" s="109">
        <v>0</v>
      </c>
      <c r="R131" s="109">
        <v>0</v>
      </c>
      <c r="S131" s="109">
        <v>-54.389999999999418</v>
      </c>
      <c r="T131" s="109">
        <v>-3116.6030769230765</v>
      </c>
      <c r="U131" s="110">
        <v>-5.8264504332328215E-13</v>
      </c>
      <c r="V131" s="111">
        <v>6.7000000000000004E-2</v>
      </c>
    </row>
    <row r="132" spans="1:22" x14ac:dyDescent="0.2">
      <c r="A132" s="69" t="s">
        <v>832</v>
      </c>
      <c r="B132" s="69">
        <v>37400</v>
      </c>
      <c r="C132" s="69" t="s">
        <v>835</v>
      </c>
      <c r="D132" s="108" t="s">
        <v>310</v>
      </c>
      <c r="E132" s="108" t="s">
        <v>142</v>
      </c>
      <c r="F132" s="109">
        <v>18016.41</v>
      </c>
      <c r="G132" s="109">
        <v>0</v>
      </c>
      <c r="H132" s="109">
        <v>0</v>
      </c>
      <c r="I132" s="109">
        <v>0</v>
      </c>
      <c r="J132" s="109">
        <v>18016.41</v>
      </c>
      <c r="K132" s="109">
        <v>18016.41</v>
      </c>
      <c r="L132" s="110">
        <v>0</v>
      </c>
      <c r="M132" s="109">
        <v>0</v>
      </c>
      <c r="N132" s="109">
        <v>0</v>
      </c>
      <c r="O132" s="109">
        <v>0</v>
      </c>
      <c r="P132" s="109">
        <v>0</v>
      </c>
      <c r="Q132" s="109">
        <v>0</v>
      </c>
      <c r="R132" s="109">
        <v>0</v>
      </c>
      <c r="S132" s="109">
        <v>0</v>
      </c>
      <c r="T132" s="109">
        <v>0</v>
      </c>
      <c r="U132" s="110">
        <v>0</v>
      </c>
      <c r="V132" s="111">
        <v>0</v>
      </c>
    </row>
    <row r="133" spans="1:22" x14ac:dyDescent="0.2">
      <c r="A133" s="69" t="s">
        <v>832</v>
      </c>
      <c r="B133" s="69">
        <v>37402</v>
      </c>
      <c r="C133" s="69" t="s">
        <v>836</v>
      </c>
      <c r="D133" s="108" t="s">
        <v>311</v>
      </c>
      <c r="E133" s="108" t="s">
        <v>143</v>
      </c>
      <c r="F133" s="109">
        <v>7508.65</v>
      </c>
      <c r="G133" s="109">
        <v>0</v>
      </c>
      <c r="H133" s="109">
        <v>0</v>
      </c>
      <c r="I133" s="109">
        <v>0</v>
      </c>
      <c r="J133" s="109">
        <v>7508.65</v>
      </c>
      <c r="K133" s="109">
        <v>7508.6499999999987</v>
      </c>
      <c r="L133" s="110">
        <v>0</v>
      </c>
      <c r="M133" s="109">
        <v>-5919.7700000000032</v>
      </c>
      <c r="N133" s="109">
        <v>-97.559999999999988</v>
      </c>
      <c r="O133" s="109">
        <v>0</v>
      </c>
      <c r="P133" s="109">
        <v>0</v>
      </c>
      <c r="Q133" s="109">
        <v>0</v>
      </c>
      <c r="R133" s="109">
        <v>0</v>
      </c>
      <c r="S133" s="109">
        <v>-6017.3300000000036</v>
      </c>
      <c r="T133" s="109">
        <v>-5968.5500000000029</v>
      </c>
      <c r="U133" s="110">
        <v>0</v>
      </c>
      <c r="V133" s="111">
        <v>1.2999999999999999E-2</v>
      </c>
    </row>
    <row r="134" spans="1:22" x14ac:dyDescent="0.2">
      <c r="A134" s="69" t="s">
        <v>832</v>
      </c>
      <c r="B134" s="69">
        <v>37500</v>
      </c>
      <c r="C134" s="69" t="s">
        <v>837</v>
      </c>
      <c r="D134" s="108" t="s">
        <v>312</v>
      </c>
      <c r="E134" s="108" t="s">
        <v>144</v>
      </c>
      <c r="F134" s="109">
        <v>661724.6</v>
      </c>
      <c r="G134" s="109">
        <v>16241.05</v>
      </c>
      <c r="H134" s="109">
        <v>0</v>
      </c>
      <c r="I134" s="109">
        <v>0</v>
      </c>
      <c r="J134" s="109">
        <v>677965.65</v>
      </c>
      <c r="K134" s="109">
        <v>667438.71538461547</v>
      </c>
      <c r="L134" s="110">
        <v>0</v>
      </c>
      <c r="M134" s="109">
        <v>-257104.31000000008</v>
      </c>
      <c r="N134" s="109">
        <v>-16664.019999999997</v>
      </c>
      <c r="O134" s="109">
        <v>0</v>
      </c>
      <c r="P134" s="109">
        <v>0</v>
      </c>
      <c r="Q134" s="109">
        <v>0</v>
      </c>
      <c r="R134" s="109">
        <v>0</v>
      </c>
      <c r="S134" s="109">
        <v>-273768.33000000007</v>
      </c>
      <c r="T134" s="109">
        <v>-265398.19076923089</v>
      </c>
      <c r="U134" s="110">
        <v>0</v>
      </c>
      <c r="V134" s="111">
        <v>2.5000000000000001E-2</v>
      </c>
    </row>
    <row r="135" spans="1:22" x14ac:dyDescent="0.2">
      <c r="A135" s="69" t="s">
        <v>832</v>
      </c>
      <c r="B135" s="69">
        <v>37600</v>
      </c>
      <c r="C135" s="69" t="s">
        <v>838</v>
      </c>
      <c r="D135" s="108" t="s">
        <v>313</v>
      </c>
      <c r="E135" s="108" t="s">
        <v>145</v>
      </c>
      <c r="F135" s="109">
        <v>3036168.7499999986</v>
      </c>
      <c r="G135" s="109">
        <v>47609.37</v>
      </c>
      <c r="H135" s="109">
        <v>-37290.86</v>
      </c>
      <c r="I135" s="109">
        <v>0</v>
      </c>
      <c r="J135" s="109">
        <v>3046487.2599999988</v>
      </c>
      <c r="K135" s="109">
        <v>3045993.9130769204</v>
      </c>
      <c r="L135" s="110">
        <v>0</v>
      </c>
      <c r="M135" s="109">
        <v>-2163611.8600000003</v>
      </c>
      <c r="N135" s="109">
        <v>-127930.00999999998</v>
      </c>
      <c r="O135" s="109">
        <v>37290.86</v>
      </c>
      <c r="P135" s="109">
        <v>47518.879999999997</v>
      </c>
      <c r="Q135" s="109">
        <v>34.470000000000027</v>
      </c>
      <c r="R135" s="109">
        <v>0</v>
      </c>
      <c r="S135" s="109">
        <v>-2206697.66</v>
      </c>
      <c r="T135" s="109">
        <v>-2181801.30923077</v>
      </c>
      <c r="U135" s="110">
        <v>0</v>
      </c>
      <c r="V135" s="111">
        <v>4.2000000000000003E-2</v>
      </c>
    </row>
    <row r="136" spans="1:22" x14ac:dyDescent="0.2">
      <c r="A136" s="69" t="s">
        <v>832</v>
      </c>
      <c r="B136" s="69">
        <v>37602</v>
      </c>
      <c r="C136" s="69" t="s">
        <v>839</v>
      </c>
      <c r="D136" s="108" t="s">
        <v>314</v>
      </c>
      <c r="E136" s="108" t="s">
        <v>146</v>
      </c>
      <c r="F136" s="109">
        <v>5301134.2200000044</v>
      </c>
      <c r="G136" s="109">
        <v>990773.61</v>
      </c>
      <c r="H136" s="109">
        <v>-31710.280000000002</v>
      </c>
      <c r="I136" s="109">
        <v>0</v>
      </c>
      <c r="J136" s="109">
        <v>6260197.5500000045</v>
      </c>
      <c r="K136" s="109">
        <v>5781787.2438461576</v>
      </c>
      <c r="L136" s="110">
        <v>0</v>
      </c>
      <c r="M136" s="109">
        <v>-1449485.949999999</v>
      </c>
      <c r="N136" s="109">
        <v>-177999.48999999996</v>
      </c>
      <c r="O136" s="109">
        <v>31710.280000000002</v>
      </c>
      <c r="P136" s="109">
        <v>8828.2899999999972</v>
      </c>
      <c r="Q136" s="109">
        <v>-76.049999999999955</v>
      </c>
      <c r="R136" s="109">
        <v>0</v>
      </c>
      <c r="S136" s="109">
        <v>-1587022.919999999</v>
      </c>
      <c r="T136" s="109">
        <v>-1514272.5192307683</v>
      </c>
      <c r="U136" s="110">
        <v>0</v>
      </c>
      <c r="V136" s="111">
        <v>3.1E-2</v>
      </c>
    </row>
    <row r="137" spans="1:22" x14ac:dyDescent="0.2">
      <c r="A137" s="69" t="s">
        <v>832</v>
      </c>
      <c r="B137" s="69">
        <v>37602</v>
      </c>
      <c r="C137" s="69" t="s">
        <v>839</v>
      </c>
      <c r="D137" s="108" t="s">
        <v>315</v>
      </c>
      <c r="E137" s="108" t="s">
        <v>146</v>
      </c>
      <c r="F137" s="109">
        <v>0</v>
      </c>
      <c r="G137" s="109">
        <v>0</v>
      </c>
      <c r="H137" s="109">
        <v>0</v>
      </c>
      <c r="I137" s="109">
        <v>0</v>
      </c>
      <c r="J137" s="109">
        <v>0</v>
      </c>
      <c r="K137" s="109">
        <v>0</v>
      </c>
      <c r="L137" s="110">
        <v>0</v>
      </c>
      <c r="M137" s="109">
        <v>0</v>
      </c>
      <c r="N137" s="109">
        <v>0</v>
      </c>
      <c r="O137" s="109">
        <v>0</v>
      </c>
      <c r="P137" s="109">
        <v>0</v>
      </c>
      <c r="Q137" s="109">
        <v>0</v>
      </c>
      <c r="R137" s="109">
        <v>0</v>
      </c>
      <c r="S137" s="109">
        <v>0</v>
      </c>
      <c r="T137" s="109">
        <v>0</v>
      </c>
      <c r="U137" s="110">
        <v>0</v>
      </c>
      <c r="V137" s="111">
        <v>3.1E-2</v>
      </c>
    </row>
    <row r="138" spans="1:22" x14ac:dyDescent="0.2">
      <c r="A138" s="69" t="s">
        <v>832</v>
      </c>
      <c r="B138" s="69">
        <v>37800</v>
      </c>
      <c r="C138" s="69" t="s">
        <v>840</v>
      </c>
      <c r="D138" s="108" t="s">
        <v>316</v>
      </c>
      <c r="E138" s="108" t="s">
        <v>147</v>
      </c>
      <c r="F138" s="109">
        <v>108510.17</v>
      </c>
      <c r="G138" s="109">
        <v>8546.56</v>
      </c>
      <c r="H138" s="109">
        <v>0</v>
      </c>
      <c r="I138" s="109">
        <v>0</v>
      </c>
      <c r="J138" s="109">
        <v>117056.73</v>
      </c>
      <c r="K138" s="109">
        <v>113915.17</v>
      </c>
      <c r="L138" s="110">
        <v>0</v>
      </c>
      <c r="M138" s="109">
        <v>-24871.960000000036</v>
      </c>
      <c r="N138" s="109">
        <v>-3864.2199999999993</v>
      </c>
      <c r="O138" s="109">
        <v>0</v>
      </c>
      <c r="P138" s="109">
        <v>0</v>
      </c>
      <c r="Q138" s="109">
        <v>0</v>
      </c>
      <c r="R138" s="109">
        <v>0</v>
      </c>
      <c r="S138" s="109">
        <v>-28736.180000000037</v>
      </c>
      <c r="T138" s="109">
        <v>-26772.822307692342</v>
      </c>
      <c r="U138" s="110">
        <v>0</v>
      </c>
      <c r="V138" s="111">
        <v>3.4000000000000002E-2</v>
      </c>
    </row>
    <row r="139" spans="1:22" x14ac:dyDescent="0.2">
      <c r="A139" s="69" t="s">
        <v>832</v>
      </c>
      <c r="B139" s="69">
        <v>37900</v>
      </c>
      <c r="C139" s="69" t="s">
        <v>841</v>
      </c>
      <c r="D139" s="108" t="s">
        <v>317</v>
      </c>
      <c r="E139" s="108" t="s">
        <v>148</v>
      </c>
      <c r="F139" s="109">
        <v>817921.21</v>
      </c>
      <c r="G139" s="109">
        <v>33423.32</v>
      </c>
      <c r="H139" s="109">
        <v>0</v>
      </c>
      <c r="I139" s="109">
        <v>0</v>
      </c>
      <c r="J139" s="109">
        <v>851344.52999999991</v>
      </c>
      <c r="K139" s="109">
        <v>829261.98538461525</v>
      </c>
      <c r="L139" s="110">
        <v>0</v>
      </c>
      <c r="M139" s="109">
        <v>-341558.75000000047</v>
      </c>
      <c r="N139" s="109">
        <v>-28132.37</v>
      </c>
      <c r="O139" s="109">
        <v>0</v>
      </c>
      <c r="P139" s="109">
        <v>0</v>
      </c>
      <c r="Q139" s="109">
        <v>0</v>
      </c>
      <c r="R139" s="109">
        <v>0</v>
      </c>
      <c r="S139" s="109">
        <v>-369691.12000000046</v>
      </c>
      <c r="T139" s="109">
        <v>-355522.31000000058</v>
      </c>
      <c r="U139" s="110">
        <v>0</v>
      </c>
      <c r="V139" s="111">
        <v>3.4000000000000002E-2</v>
      </c>
    </row>
    <row r="140" spans="1:22" x14ac:dyDescent="0.2">
      <c r="A140" s="69" t="s">
        <v>832</v>
      </c>
      <c r="B140" s="69">
        <v>38000</v>
      </c>
      <c r="C140" s="69" t="s">
        <v>842</v>
      </c>
      <c r="D140" s="108" t="s">
        <v>318</v>
      </c>
      <c r="E140" s="108" t="s">
        <v>149</v>
      </c>
      <c r="F140" s="109">
        <v>495243.44999999984</v>
      </c>
      <c r="G140" s="109">
        <v>12638.77</v>
      </c>
      <c r="H140" s="109">
        <v>-4255.3899999999994</v>
      </c>
      <c r="I140" s="109">
        <v>0</v>
      </c>
      <c r="J140" s="109">
        <v>503626.82999999984</v>
      </c>
      <c r="K140" s="109">
        <v>499051.11615384597</v>
      </c>
      <c r="L140" s="110">
        <v>0</v>
      </c>
      <c r="M140" s="109">
        <v>-610090.33000000054</v>
      </c>
      <c r="N140" s="109">
        <v>-32912.210000000006</v>
      </c>
      <c r="O140" s="109">
        <v>4255.3899999999994</v>
      </c>
      <c r="P140" s="109">
        <v>20048.140000000003</v>
      </c>
      <c r="Q140" s="109">
        <v>4.6500000000000057</v>
      </c>
      <c r="R140" s="109">
        <v>0</v>
      </c>
      <c r="S140" s="109">
        <v>-618694.36000000045</v>
      </c>
      <c r="T140" s="109">
        <v>-605238.22769230849</v>
      </c>
      <c r="U140" s="110">
        <v>0</v>
      </c>
      <c r="V140" s="111">
        <v>6.5999999999999989E-2</v>
      </c>
    </row>
    <row r="141" spans="1:22" x14ac:dyDescent="0.2">
      <c r="A141" s="69" t="s">
        <v>832</v>
      </c>
      <c r="B141" s="69">
        <v>38002</v>
      </c>
      <c r="C141" s="69" t="s">
        <v>843</v>
      </c>
      <c r="D141" s="108" t="s">
        <v>319</v>
      </c>
      <c r="E141" s="108" t="s">
        <v>150</v>
      </c>
      <c r="F141" s="109">
        <v>3938146.7299999995</v>
      </c>
      <c r="G141" s="109">
        <v>84066.48000000001</v>
      </c>
      <c r="H141" s="109">
        <v>-16906.52</v>
      </c>
      <c r="I141" s="109">
        <v>0</v>
      </c>
      <c r="J141" s="109">
        <v>4005306.6899999995</v>
      </c>
      <c r="K141" s="109">
        <v>3961992.5261538452</v>
      </c>
      <c r="L141" s="110">
        <v>0</v>
      </c>
      <c r="M141" s="109">
        <v>-2251361.8400000008</v>
      </c>
      <c r="N141" s="109">
        <v>-197919.14999999997</v>
      </c>
      <c r="O141" s="109">
        <v>16906.52</v>
      </c>
      <c r="P141" s="109">
        <v>46095.659999999996</v>
      </c>
      <c r="Q141" s="109">
        <v>36.92999999999995</v>
      </c>
      <c r="R141" s="109">
        <v>0</v>
      </c>
      <c r="S141" s="109">
        <v>-2386241.8800000004</v>
      </c>
      <c r="T141" s="109">
        <v>-2297223.486153848</v>
      </c>
      <c r="U141" s="110">
        <v>0</v>
      </c>
      <c r="V141" s="111">
        <v>0.05</v>
      </c>
    </row>
    <row r="142" spans="1:22" x14ac:dyDescent="0.2">
      <c r="A142" s="69" t="s">
        <v>832</v>
      </c>
      <c r="B142" s="69">
        <v>38200</v>
      </c>
      <c r="C142" s="69" t="s">
        <v>844</v>
      </c>
      <c r="D142" s="108" t="s">
        <v>320</v>
      </c>
      <c r="E142" s="108" t="s">
        <v>152</v>
      </c>
      <c r="F142" s="109">
        <v>633141.56999999995</v>
      </c>
      <c r="G142" s="109">
        <v>19681.080000000002</v>
      </c>
      <c r="H142" s="109">
        <v>-233.97</v>
      </c>
      <c r="I142" s="109">
        <v>0</v>
      </c>
      <c r="J142" s="109">
        <v>652588.67999999993</v>
      </c>
      <c r="K142" s="109">
        <v>643468.12846153835</v>
      </c>
      <c r="L142" s="110">
        <v>0</v>
      </c>
      <c r="M142" s="109">
        <v>-336342.16999999987</v>
      </c>
      <c r="N142" s="109">
        <v>-28921.870000000003</v>
      </c>
      <c r="O142" s="109">
        <v>233.97</v>
      </c>
      <c r="P142" s="109">
        <v>20.41</v>
      </c>
      <c r="Q142" s="109">
        <v>0</v>
      </c>
      <c r="R142" s="109">
        <v>0</v>
      </c>
      <c r="S142" s="109">
        <v>-365009.65999999992</v>
      </c>
      <c r="T142" s="109">
        <v>-350506.97769230761</v>
      </c>
      <c r="U142" s="110">
        <v>0</v>
      </c>
      <c r="V142" s="111">
        <v>4.4999999999999998E-2</v>
      </c>
    </row>
    <row r="143" spans="1:22" x14ac:dyDescent="0.2">
      <c r="A143" s="69" t="s">
        <v>832</v>
      </c>
      <c r="B143" s="69">
        <v>38300</v>
      </c>
      <c r="C143" s="69" t="s">
        <v>845</v>
      </c>
      <c r="D143" s="108" t="s">
        <v>321</v>
      </c>
      <c r="E143" s="108" t="s">
        <v>153</v>
      </c>
      <c r="F143" s="109">
        <v>282297.39000000019</v>
      </c>
      <c r="G143" s="109">
        <v>0</v>
      </c>
      <c r="H143" s="109">
        <v>0</v>
      </c>
      <c r="I143" s="109">
        <v>0</v>
      </c>
      <c r="J143" s="109">
        <v>282297.39000000019</v>
      </c>
      <c r="K143" s="109">
        <v>282297.39000000019</v>
      </c>
      <c r="L143" s="110">
        <v>0</v>
      </c>
      <c r="M143" s="109">
        <v>-171406.67000000016</v>
      </c>
      <c r="N143" s="109">
        <v>-10162.68</v>
      </c>
      <c r="O143" s="109">
        <v>0</v>
      </c>
      <c r="P143" s="109">
        <v>0</v>
      </c>
      <c r="Q143" s="109">
        <v>0</v>
      </c>
      <c r="R143" s="109">
        <v>0</v>
      </c>
      <c r="S143" s="109">
        <v>-181569.35000000015</v>
      </c>
      <c r="T143" s="109">
        <v>-176488.01000000027</v>
      </c>
      <c r="U143" s="110">
        <v>0</v>
      </c>
      <c r="V143" s="111">
        <v>3.5999999999999997E-2</v>
      </c>
    </row>
    <row r="144" spans="1:22" x14ac:dyDescent="0.2">
      <c r="A144" s="69" t="s">
        <v>832</v>
      </c>
      <c r="B144" s="69">
        <v>38400</v>
      </c>
      <c r="C144" s="69" t="s">
        <v>846</v>
      </c>
      <c r="D144" s="108" t="s">
        <v>322</v>
      </c>
      <c r="E144" s="108" t="s">
        <v>154</v>
      </c>
      <c r="F144" s="109">
        <v>275414.15999999986</v>
      </c>
      <c r="G144" s="109">
        <v>10662.76</v>
      </c>
      <c r="H144" s="109">
        <v>-477.8</v>
      </c>
      <c r="I144" s="109">
        <v>0</v>
      </c>
      <c r="J144" s="109">
        <v>285599.11999999988</v>
      </c>
      <c r="K144" s="109">
        <v>279270.16615384596</v>
      </c>
      <c r="L144" s="110">
        <v>0</v>
      </c>
      <c r="M144" s="109">
        <v>-139364.86999999997</v>
      </c>
      <c r="N144" s="109">
        <v>-12543.43</v>
      </c>
      <c r="O144" s="109">
        <v>477.8</v>
      </c>
      <c r="P144" s="109">
        <v>20.399999999999999</v>
      </c>
      <c r="Q144" s="109">
        <v>0</v>
      </c>
      <c r="R144" s="109">
        <v>0</v>
      </c>
      <c r="S144" s="109">
        <v>-151410.09999999998</v>
      </c>
      <c r="T144" s="109">
        <v>-145152.14769230766</v>
      </c>
      <c r="U144" s="110">
        <v>0</v>
      </c>
      <c r="V144" s="111">
        <v>4.4999999999999998E-2</v>
      </c>
    </row>
    <row r="145" spans="1:22" x14ac:dyDescent="0.2">
      <c r="A145" s="69" t="s">
        <v>832</v>
      </c>
      <c r="B145" s="69">
        <v>38500</v>
      </c>
      <c r="C145" s="69" t="s">
        <v>847</v>
      </c>
      <c r="D145" s="108" t="s">
        <v>323</v>
      </c>
      <c r="E145" s="108" t="s">
        <v>155</v>
      </c>
      <c r="F145" s="109">
        <v>233682.26</v>
      </c>
      <c r="G145" s="109">
        <v>0</v>
      </c>
      <c r="H145" s="109">
        <v>-2599.19</v>
      </c>
      <c r="I145" s="109">
        <v>0</v>
      </c>
      <c r="J145" s="109">
        <v>231083.07</v>
      </c>
      <c r="K145" s="109">
        <v>231283.00769230767</v>
      </c>
      <c r="L145" s="110">
        <v>0</v>
      </c>
      <c r="M145" s="109">
        <v>-113135.29999999993</v>
      </c>
      <c r="N145" s="109">
        <v>-7170.2400000000007</v>
      </c>
      <c r="O145" s="109">
        <v>2599.19</v>
      </c>
      <c r="P145" s="109">
        <v>16.059999999999999</v>
      </c>
      <c r="Q145" s="109">
        <v>0</v>
      </c>
      <c r="R145" s="109">
        <v>0</v>
      </c>
      <c r="S145" s="109">
        <v>-117690.28999999994</v>
      </c>
      <c r="T145" s="109">
        <v>-114309.18615384611</v>
      </c>
      <c r="U145" s="110">
        <v>0</v>
      </c>
      <c r="V145" s="111">
        <v>3.1E-2</v>
      </c>
    </row>
    <row r="146" spans="1:22" x14ac:dyDescent="0.2">
      <c r="A146" s="69" t="s">
        <v>832</v>
      </c>
      <c r="B146" s="69">
        <v>38700</v>
      </c>
      <c r="C146" s="69" t="s">
        <v>848</v>
      </c>
      <c r="D146" s="108" t="s">
        <v>324</v>
      </c>
      <c r="E146" s="108" t="s">
        <v>156</v>
      </c>
      <c r="F146" s="109">
        <v>192309.34999999998</v>
      </c>
      <c r="G146" s="109">
        <v>12979.73</v>
      </c>
      <c r="H146" s="109">
        <v>0</v>
      </c>
      <c r="I146" s="109">
        <v>0</v>
      </c>
      <c r="J146" s="109">
        <v>205289.08</v>
      </c>
      <c r="K146" s="109">
        <v>196004.85692307694</v>
      </c>
      <c r="L146" s="110">
        <v>0</v>
      </c>
      <c r="M146" s="109">
        <v>-99570.889999999883</v>
      </c>
      <c r="N146" s="109">
        <v>-12299.53</v>
      </c>
      <c r="O146" s="109">
        <v>0</v>
      </c>
      <c r="P146" s="109">
        <v>0</v>
      </c>
      <c r="Q146" s="109">
        <v>0</v>
      </c>
      <c r="R146" s="109">
        <v>0</v>
      </c>
      <c r="S146" s="109">
        <v>-111870.41999999988</v>
      </c>
      <c r="T146" s="109">
        <v>-105655.36538461526</v>
      </c>
      <c r="U146" s="110">
        <v>0</v>
      </c>
      <c r="V146" s="111">
        <v>6.3E-2</v>
      </c>
    </row>
    <row r="147" spans="1:22" x14ac:dyDescent="0.2">
      <c r="A147" s="69" t="s">
        <v>832</v>
      </c>
      <c r="B147" s="69">
        <v>39000</v>
      </c>
      <c r="C147" s="69" t="s">
        <v>849</v>
      </c>
      <c r="D147" s="108" t="s">
        <v>325</v>
      </c>
      <c r="E147" s="108" t="s">
        <v>157</v>
      </c>
      <c r="F147" s="109">
        <v>0</v>
      </c>
      <c r="G147" s="109">
        <v>6208.5</v>
      </c>
      <c r="H147" s="109">
        <v>0</v>
      </c>
      <c r="I147" s="109">
        <v>0</v>
      </c>
      <c r="J147" s="109">
        <v>6208.5</v>
      </c>
      <c r="K147" s="109">
        <v>2564.1346153846152</v>
      </c>
      <c r="L147" s="110">
        <v>0</v>
      </c>
      <c r="M147" s="109">
        <v>0</v>
      </c>
      <c r="N147" s="109">
        <v>-56.49</v>
      </c>
      <c r="O147" s="109">
        <v>0</v>
      </c>
      <c r="P147" s="109">
        <v>0</v>
      </c>
      <c r="Q147" s="109">
        <v>0</v>
      </c>
      <c r="R147" s="109">
        <v>0</v>
      </c>
      <c r="S147" s="109">
        <v>-56.49</v>
      </c>
      <c r="T147" s="109">
        <v>-12.775384615384617</v>
      </c>
      <c r="U147" s="110">
        <v>0</v>
      </c>
      <c r="V147" s="111">
        <v>2.5000000000000001E-2</v>
      </c>
    </row>
    <row r="148" spans="1:22" x14ac:dyDescent="0.2">
      <c r="A148" s="69" t="s">
        <v>832</v>
      </c>
      <c r="B148" s="69">
        <v>39100</v>
      </c>
      <c r="C148" s="69" t="s">
        <v>850</v>
      </c>
      <c r="D148" s="108" t="s">
        <v>326</v>
      </c>
      <c r="E148" s="108" t="s">
        <v>159</v>
      </c>
      <c r="F148" s="109">
        <v>8236.07</v>
      </c>
      <c r="G148" s="109">
        <v>4173.04</v>
      </c>
      <c r="H148" s="109">
        <v>0</v>
      </c>
      <c r="I148" s="109">
        <v>0</v>
      </c>
      <c r="J148" s="109">
        <v>12409.11</v>
      </c>
      <c r="K148" s="109">
        <v>10233.316153846154</v>
      </c>
      <c r="L148" s="110">
        <v>0</v>
      </c>
      <c r="M148" s="109">
        <v>-11853.070000000011</v>
      </c>
      <c r="N148" s="109">
        <v>-673.43999999999994</v>
      </c>
      <c r="O148" s="109">
        <v>0</v>
      </c>
      <c r="P148" s="109">
        <v>0</v>
      </c>
      <c r="Q148" s="109">
        <v>0</v>
      </c>
      <c r="R148" s="109">
        <v>0</v>
      </c>
      <c r="S148" s="109">
        <v>-12526.510000000011</v>
      </c>
      <c r="T148" s="109">
        <v>-12159.619230769238</v>
      </c>
      <c r="U148" s="110">
        <v>0</v>
      </c>
      <c r="V148" s="111">
        <v>6.7000000000000004E-2</v>
      </c>
    </row>
    <row r="149" spans="1:22" x14ac:dyDescent="0.2">
      <c r="A149" s="69" t="s">
        <v>832</v>
      </c>
      <c r="B149" s="69">
        <v>39101</v>
      </c>
      <c r="C149" s="69" t="s">
        <v>851</v>
      </c>
      <c r="D149" s="108" t="s">
        <v>327</v>
      </c>
      <c r="E149" s="108" t="s">
        <v>160</v>
      </c>
      <c r="F149" s="109">
        <v>21803.62</v>
      </c>
      <c r="G149" s="109">
        <v>2160.52</v>
      </c>
      <c r="H149" s="109">
        <v>0</v>
      </c>
      <c r="I149" s="109">
        <v>0</v>
      </c>
      <c r="J149" s="109">
        <v>23964.14</v>
      </c>
      <c r="K149" s="109">
        <v>22468.395384615385</v>
      </c>
      <c r="L149" s="110">
        <v>0</v>
      </c>
      <c r="M149" s="109">
        <v>23438.320000000025</v>
      </c>
      <c r="N149" s="109">
        <v>-2792.97</v>
      </c>
      <c r="O149" s="109">
        <v>0</v>
      </c>
      <c r="P149" s="109">
        <v>0</v>
      </c>
      <c r="Q149" s="109">
        <v>0</v>
      </c>
      <c r="R149" s="109">
        <v>0</v>
      </c>
      <c r="S149" s="109">
        <v>20645.350000000024</v>
      </c>
      <c r="T149" s="109">
        <v>22065.210769230805</v>
      </c>
      <c r="U149" s="110">
        <v>0</v>
      </c>
      <c r="V149" s="111">
        <v>0.125</v>
      </c>
    </row>
    <row r="150" spans="1:22" x14ac:dyDescent="0.2">
      <c r="A150" s="69" t="s">
        <v>832</v>
      </c>
      <c r="B150" s="69">
        <v>39102</v>
      </c>
      <c r="C150" s="69" t="s">
        <v>852</v>
      </c>
      <c r="D150" s="108" t="s">
        <v>328</v>
      </c>
      <c r="E150" s="108" t="s">
        <v>161</v>
      </c>
      <c r="F150" s="109">
        <v>9420.7900000000009</v>
      </c>
      <c r="G150" s="109">
        <v>0</v>
      </c>
      <c r="H150" s="109">
        <v>0</v>
      </c>
      <c r="I150" s="109">
        <v>0</v>
      </c>
      <c r="J150" s="109">
        <v>9420.7900000000009</v>
      </c>
      <c r="K150" s="109">
        <v>9420.7900000000045</v>
      </c>
      <c r="L150" s="110">
        <v>0</v>
      </c>
      <c r="M150" s="109">
        <v>-2282.4099999999985</v>
      </c>
      <c r="N150" s="109">
        <v>-631.20000000000016</v>
      </c>
      <c r="O150" s="109">
        <v>0</v>
      </c>
      <c r="P150" s="109">
        <v>0</v>
      </c>
      <c r="Q150" s="109">
        <v>0</v>
      </c>
      <c r="R150" s="109">
        <v>0</v>
      </c>
      <c r="S150" s="109">
        <v>-2913.6099999999988</v>
      </c>
      <c r="T150" s="109">
        <v>-2598.0099999999979</v>
      </c>
      <c r="U150" s="110">
        <v>0</v>
      </c>
      <c r="V150" s="111">
        <v>6.7000000000000004E-2</v>
      </c>
    </row>
    <row r="151" spans="1:22" x14ac:dyDescent="0.2">
      <c r="A151" s="69" t="s">
        <v>832</v>
      </c>
      <c r="B151" s="69">
        <v>39201</v>
      </c>
      <c r="C151" s="69" t="s">
        <v>853</v>
      </c>
      <c r="D151" s="108" t="s">
        <v>329</v>
      </c>
      <c r="E151" s="108" t="s">
        <v>163</v>
      </c>
      <c r="F151" s="109">
        <v>79605.609999999986</v>
      </c>
      <c r="G151" s="109">
        <v>34518.379999999997</v>
      </c>
      <c r="H151" s="109">
        <v>0</v>
      </c>
      <c r="I151" s="109">
        <v>0</v>
      </c>
      <c r="J151" s="109">
        <v>114123.98999999999</v>
      </c>
      <c r="K151" s="109">
        <v>95491.320769230748</v>
      </c>
      <c r="L151" s="110">
        <v>0</v>
      </c>
      <c r="M151" s="109">
        <v>-67524.259999999878</v>
      </c>
      <c r="N151" s="109">
        <v>-10521.17</v>
      </c>
      <c r="O151" s="109">
        <v>0</v>
      </c>
      <c r="P151" s="109">
        <v>0</v>
      </c>
      <c r="Q151" s="109">
        <v>-1388.94</v>
      </c>
      <c r="R151" s="109">
        <v>0</v>
      </c>
      <c r="S151" s="109">
        <v>-79434.369999999879</v>
      </c>
      <c r="T151" s="109">
        <v>-72561.854615384538</v>
      </c>
      <c r="U151" s="110">
        <v>0</v>
      </c>
      <c r="V151" s="111">
        <v>0.112</v>
      </c>
    </row>
    <row r="152" spans="1:22" x14ac:dyDescent="0.2">
      <c r="A152" s="69" t="s">
        <v>832</v>
      </c>
      <c r="B152" s="69">
        <v>39202</v>
      </c>
      <c r="C152" s="69" t="s">
        <v>854</v>
      </c>
      <c r="D152" s="108" t="s">
        <v>330</v>
      </c>
      <c r="E152" s="108" t="s">
        <v>164</v>
      </c>
      <c r="F152" s="109">
        <v>319066.75</v>
      </c>
      <c r="G152" s="109">
        <v>0</v>
      </c>
      <c r="H152" s="109">
        <v>0</v>
      </c>
      <c r="I152" s="109">
        <v>0</v>
      </c>
      <c r="J152" s="109">
        <v>319066.75</v>
      </c>
      <c r="K152" s="109">
        <v>319066.75</v>
      </c>
      <c r="L152" s="110">
        <v>0</v>
      </c>
      <c r="M152" s="109">
        <v>-233027.25000000044</v>
      </c>
      <c r="N152" s="109">
        <v>-40521.480000000003</v>
      </c>
      <c r="O152" s="109">
        <v>0</v>
      </c>
      <c r="P152" s="109">
        <v>0</v>
      </c>
      <c r="Q152" s="109">
        <v>-3871.06</v>
      </c>
      <c r="R152" s="109">
        <v>0</v>
      </c>
      <c r="S152" s="109">
        <v>-277419.79000000044</v>
      </c>
      <c r="T152" s="109">
        <v>-253871.99153846197</v>
      </c>
      <c r="U152" s="110">
        <v>0</v>
      </c>
      <c r="V152" s="111">
        <v>0.127</v>
      </c>
    </row>
    <row r="153" spans="1:22" x14ac:dyDescent="0.2">
      <c r="A153" s="69" t="s">
        <v>832</v>
      </c>
      <c r="B153" s="69">
        <v>39204</v>
      </c>
      <c r="C153" s="69" t="s">
        <v>855</v>
      </c>
      <c r="D153" s="108" t="s">
        <v>331</v>
      </c>
      <c r="E153" s="108" t="s">
        <v>166</v>
      </c>
      <c r="F153" s="109">
        <v>9560.57</v>
      </c>
      <c r="G153" s="109">
        <v>0</v>
      </c>
      <c r="H153" s="109">
        <v>-2292.7399999999998</v>
      </c>
      <c r="I153" s="109">
        <v>0</v>
      </c>
      <c r="J153" s="109">
        <v>7267.83</v>
      </c>
      <c r="K153" s="109">
        <v>8502.3823076923072</v>
      </c>
      <c r="L153" s="110">
        <v>0</v>
      </c>
      <c r="M153" s="109">
        <v>-9557.2600000000257</v>
      </c>
      <c r="N153" s="109">
        <v>-344.24000000000007</v>
      </c>
      <c r="O153" s="109">
        <v>2292.7399999999998</v>
      </c>
      <c r="P153" s="109">
        <v>0</v>
      </c>
      <c r="Q153" s="109">
        <v>-50</v>
      </c>
      <c r="R153" s="109">
        <v>0</v>
      </c>
      <c r="S153" s="109">
        <v>-7658.7600000000257</v>
      </c>
      <c r="T153" s="109">
        <v>-8704.5538461538745</v>
      </c>
      <c r="U153" s="110">
        <v>0</v>
      </c>
      <c r="V153" s="111">
        <v>0.04</v>
      </c>
    </row>
    <row r="154" spans="1:22" x14ac:dyDescent="0.2">
      <c r="A154" s="69" t="s">
        <v>832</v>
      </c>
      <c r="B154" s="69">
        <v>39205</v>
      </c>
      <c r="C154" s="69" t="s">
        <v>856</v>
      </c>
      <c r="D154" s="108" t="s">
        <v>332</v>
      </c>
      <c r="E154" s="108" t="s">
        <v>167</v>
      </c>
      <c r="F154" s="109">
        <v>0</v>
      </c>
      <c r="G154" s="109">
        <v>0</v>
      </c>
      <c r="H154" s="109">
        <v>0</v>
      </c>
      <c r="I154" s="109">
        <v>0</v>
      </c>
      <c r="J154" s="109">
        <v>0</v>
      </c>
      <c r="K154" s="109">
        <v>0</v>
      </c>
      <c r="L154" s="110">
        <v>0</v>
      </c>
      <c r="M154" s="109">
        <v>-5966.7400000000116</v>
      </c>
      <c r="N154" s="109">
        <v>0</v>
      </c>
      <c r="O154" s="109">
        <v>0</v>
      </c>
      <c r="P154" s="109">
        <v>0</v>
      </c>
      <c r="Q154" s="109">
        <v>0</v>
      </c>
      <c r="R154" s="109">
        <v>0</v>
      </c>
      <c r="S154" s="109">
        <v>-5966.7400000000116</v>
      </c>
      <c r="T154" s="109">
        <v>-5966.7400000000107</v>
      </c>
      <c r="U154" s="110">
        <v>0</v>
      </c>
      <c r="V154" s="111">
        <v>7.3999999999999996E-2</v>
      </c>
    </row>
    <row r="155" spans="1:22" x14ac:dyDescent="0.2">
      <c r="A155" s="69" t="s">
        <v>832</v>
      </c>
      <c r="B155" s="69">
        <v>39300</v>
      </c>
      <c r="C155" s="69" t="s">
        <v>857</v>
      </c>
      <c r="D155" s="108" t="s">
        <v>333</v>
      </c>
      <c r="E155" s="108" t="s">
        <v>168</v>
      </c>
      <c r="F155" s="109">
        <v>0</v>
      </c>
      <c r="G155" s="109">
        <v>0</v>
      </c>
      <c r="H155" s="109">
        <v>0</v>
      </c>
      <c r="I155" s="109">
        <v>0</v>
      </c>
      <c r="J155" s="109">
        <v>0</v>
      </c>
      <c r="K155" s="109">
        <v>0</v>
      </c>
      <c r="L155" s="110">
        <v>0</v>
      </c>
      <c r="M155" s="109">
        <v>879.7199999999998</v>
      </c>
      <c r="N155" s="109">
        <v>0</v>
      </c>
      <c r="O155" s="109">
        <v>0</v>
      </c>
      <c r="P155" s="109">
        <v>0</v>
      </c>
      <c r="Q155" s="109">
        <v>0</v>
      </c>
      <c r="R155" s="109">
        <v>0</v>
      </c>
      <c r="S155" s="109">
        <v>879.7199999999998</v>
      </c>
      <c r="T155" s="109">
        <v>879.71999999999946</v>
      </c>
      <c r="U155" s="110">
        <v>0</v>
      </c>
      <c r="V155" s="111">
        <v>0.04</v>
      </c>
    </row>
    <row r="156" spans="1:22" x14ac:dyDescent="0.2">
      <c r="A156" s="69" t="s">
        <v>832</v>
      </c>
      <c r="B156" s="69">
        <v>39400</v>
      </c>
      <c r="C156" s="69" t="s">
        <v>858</v>
      </c>
      <c r="D156" s="108" t="s">
        <v>334</v>
      </c>
      <c r="E156" s="108" t="s">
        <v>169</v>
      </c>
      <c r="F156" s="109">
        <v>52965.62</v>
      </c>
      <c r="G156" s="109">
        <v>24532.71</v>
      </c>
      <c r="H156" s="109">
        <v>0</v>
      </c>
      <c r="I156" s="109">
        <v>0</v>
      </c>
      <c r="J156" s="109">
        <v>77498.33</v>
      </c>
      <c r="K156" s="109">
        <v>60514.146153846144</v>
      </c>
      <c r="L156" s="110">
        <v>0</v>
      </c>
      <c r="M156" s="109">
        <v>-36966.499999999898</v>
      </c>
      <c r="N156" s="109">
        <v>-3900.5099999999993</v>
      </c>
      <c r="O156" s="109">
        <v>0</v>
      </c>
      <c r="P156" s="109">
        <v>0</v>
      </c>
      <c r="Q156" s="109">
        <v>0</v>
      </c>
      <c r="R156" s="109">
        <v>0</v>
      </c>
      <c r="S156" s="109">
        <v>-40867.0099999999</v>
      </c>
      <c r="T156" s="109">
        <v>-38776.635384615263</v>
      </c>
      <c r="U156" s="110">
        <v>0</v>
      </c>
      <c r="V156" s="111">
        <v>6.6000000000000003E-2</v>
      </c>
    </row>
    <row r="157" spans="1:22" x14ac:dyDescent="0.2">
      <c r="A157" s="69" t="s">
        <v>832</v>
      </c>
      <c r="B157" s="69">
        <v>39600</v>
      </c>
      <c r="C157" s="69" t="s">
        <v>859</v>
      </c>
      <c r="D157" s="108" t="s">
        <v>335</v>
      </c>
      <c r="E157" s="108" t="s">
        <v>171</v>
      </c>
      <c r="F157" s="109">
        <v>86702.18</v>
      </c>
      <c r="G157" s="109">
        <v>30650.080000000002</v>
      </c>
      <c r="H157" s="109">
        <v>0</v>
      </c>
      <c r="I157" s="109">
        <v>0</v>
      </c>
      <c r="J157" s="109">
        <v>117352.26</v>
      </c>
      <c r="K157" s="109">
        <v>96132.973846153836</v>
      </c>
      <c r="L157" s="110">
        <v>0</v>
      </c>
      <c r="M157" s="109">
        <v>-68737.230000000098</v>
      </c>
      <c r="N157" s="109">
        <v>-6039.33</v>
      </c>
      <c r="O157" s="109">
        <v>0</v>
      </c>
      <c r="P157" s="109">
        <v>0</v>
      </c>
      <c r="Q157" s="109">
        <v>0</v>
      </c>
      <c r="R157" s="109">
        <v>0</v>
      </c>
      <c r="S157" s="109">
        <v>-74776.5600000001</v>
      </c>
      <c r="T157" s="109">
        <v>-71587.137692307821</v>
      </c>
      <c r="U157" s="110">
        <v>0</v>
      </c>
      <c r="V157" s="111">
        <v>6.4000000000000001E-2</v>
      </c>
    </row>
    <row r="158" spans="1:22" x14ac:dyDescent="0.2">
      <c r="A158" s="69" t="s">
        <v>832</v>
      </c>
      <c r="B158" s="69">
        <v>39700</v>
      </c>
      <c r="C158" s="69" t="s">
        <v>860</v>
      </c>
      <c r="D158" s="108" t="s">
        <v>336</v>
      </c>
      <c r="E158" s="108" t="s">
        <v>172</v>
      </c>
      <c r="F158" s="109">
        <v>25153.41</v>
      </c>
      <c r="G158" s="109">
        <v>0</v>
      </c>
      <c r="H158" s="109">
        <v>0</v>
      </c>
      <c r="I158" s="109">
        <v>0</v>
      </c>
      <c r="J158" s="109">
        <v>25153.41</v>
      </c>
      <c r="K158" s="109">
        <v>25153.409999999996</v>
      </c>
      <c r="L158" s="110">
        <v>0</v>
      </c>
      <c r="M158" s="109">
        <v>-15231.459999999972</v>
      </c>
      <c r="N158" s="109">
        <v>-2112.8399999999997</v>
      </c>
      <c r="O158" s="109">
        <v>0</v>
      </c>
      <c r="P158" s="109">
        <v>0</v>
      </c>
      <c r="Q158" s="109">
        <v>0</v>
      </c>
      <c r="R158" s="109">
        <v>0</v>
      </c>
      <c r="S158" s="109">
        <v>-17344.29999999997</v>
      </c>
      <c r="T158" s="109">
        <v>-16287.879999999972</v>
      </c>
      <c r="U158" s="110">
        <v>0</v>
      </c>
      <c r="V158" s="111">
        <v>8.4000000000000005E-2</v>
      </c>
    </row>
    <row r="159" spans="1:22" x14ac:dyDescent="0.2">
      <c r="A159" s="69" t="s">
        <v>832</v>
      </c>
      <c r="B159" s="69">
        <v>39800</v>
      </c>
      <c r="C159" s="69" t="s">
        <v>861</v>
      </c>
      <c r="D159" s="108" t="s">
        <v>337</v>
      </c>
      <c r="E159" s="108" t="s">
        <v>173</v>
      </c>
      <c r="F159" s="109">
        <v>2987.25</v>
      </c>
      <c r="G159" s="109">
        <v>5729.96</v>
      </c>
      <c r="H159" s="109">
        <v>0</v>
      </c>
      <c r="I159" s="109">
        <v>0</v>
      </c>
      <c r="J159" s="109">
        <v>8717.2099999999991</v>
      </c>
      <c r="K159" s="109">
        <v>5163.8807692307682</v>
      </c>
      <c r="L159" s="110">
        <v>0</v>
      </c>
      <c r="M159" s="109">
        <v>-822.5800000000022</v>
      </c>
      <c r="N159" s="109">
        <v>-287.22000000000003</v>
      </c>
      <c r="O159" s="109">
        <v>0</v>
      </c>
      <c r="P159" s="109">
        <v>0</v>
      </c>
      <c r="Q159" s="109">
        <v>0</v>
      </c>
      <c r="R159" s="109">
        <v>0</v>
      </c>
      <c r="S159" s="109">
        <v>-1109.8000000000022</v>
      </c>
      <c r="T159" s="109">
        <v>-933.88692307692565</v>
      </c>
      <c r="U159" s="110">
        <v>0</v>
      </c>
      <c r="V159" s="111">
        <v>5.8999999999999997E-2</v>
      </c>
    </row>
    <row r="160" spans="1:22" x14ac:dyDescent="0.2">
      <c r="A160" s="69" t="s">
        <v>862</v>
      </c>
      <c r="B160" s="69">
        <v>30301</v>
      </c>
      <c r="C160" s="69" t="s">
        <v>863</v>
      </c>
      <c r="D160" s="108" t="s">
        <v>338</v>
      </c>
      <c r="E160" s="108" t="s">
        <v>141</v>
      </c>
      <c r="F160" s="109">
        <v>0</v>
      </c>
      <c r="G160" s="109">
        <v>0</v>
      </c>
      <c r="H160" s="109">
        <v>0</v>
      </c>
      <c r="I160" s="109">
        <v>0</v>
      </c>
      <c r="J160" s="109">
        <v>0</v>
      </c>
      <c r="K160" s="109">
        <v>0</v>
      </c>
      <c r="L160" s="110">
        <v>0</v>
      </c>
      <c r="M160" s="109">
        <v>0</v>
      </c>
      <c r="N160" s="109">
        <v>0</v>
      </c>
      <c r="O160" s="109">
        <v>0</v>
      </c>
      <c r="P160" s="109">
        <v>0</v>
      </c>
      <c r="Q160" s="109">
        <v>0</v>
      </c>
      <c r="R160" s="109">
        <v>0</v>
      </c>
      <c r="S160" s="109">
        <v>0</v>
      </c>
      <c r="T160" s="109">
        <v>0</v>
      </c>
      <c r="U160" s="110">
        <v>0</v>
      </c>
      <c r="V160" s="111">
        <v>6.7000000000000004E-2</v>
      </c>
    </row>
    <row r="161" spans="1:22" x14ac:dyDescent="0.2">
      <c r="A161" s="69" t="s">
        <v>862</v>
      </c>
      <c r="B161" s="69">
        <v>37400</v>
      </c>
      <c r="C161" s="69" t="s">
        <v>864</v>
      </c>
      <c r="D161" s="108" t="s">
        <v>339</v>
      </c>
      <c r="E161" s="108" t="s">
        <v>142</v>
      </c>
      <c r="F161" s="109">
        <v>674938.15</v>
      </c>
      <c r="G161" s="109">
        <v>0</v>
      </c>
      <c r="H161" s="109">
        <v>0</v>
      </c>
      <c r="I161" s="109">
        <v>0</v>
      </c>
      <c r="J161" s="109">
        <v>674938.15</v>
      </c>
      <c r="K161" s="109">
        <v>674938.15000000014</v>
      </c>
      <c r="L161" s="110">
        <v>0</v>
      </c>
      <c r="M161" s="109">
        <v>0</v>
      </c>
      <c r="N161" s="109">
        <v>0</v>
      </c>
      <c r="O161" s="109">
        <v>0</v>
      </c>
      <c r="P161" s="109">
        <v>0</v>
      </c>
      <c r="Q161" s="109">
        <v>0</v>
      </c>
      <c r="R161" s="109">
        <v>0</v>
      </c>
      <c r="S161" s="109">
        <v>0</v>
      </c>
      <c r="T161" s="109">
        <v>0</v>
      </c>
      <c r="U161" s="110">
        <v>0</v>
      </c>
      <c r="V161" s="111">
        <v>0</v>
      </c>
    </row>
    <row r="162" spans="1:22" x14ac:dyDescent="0.2">
      <c r="A162" s="69" t="s">
        <v>862</v>
      </c>
      <c r="B162" s="69">
        <v>37402</v>
      </c>
      <c r="C162" s="69" t="s">
        <v>865</v>
      </c>
      <c r="D162" s="108" t="s">
        <v>340</v>
      </c>
      <c r="E162" s="108" t="s">
        <v>143</v>
      </c>
      <c r="F162" s="109">
        <v>130141.27</v>
      </c>
      <c r="G162" s="109">
        <v>9419.3099999999977</v>
      </c>
      <c r="H162" s="109">
        <v>0</v>
      </c>
      <c r="I162" s="109">
        <v>0</v>
      </c>
      <c r="J162" s="109">
        <v>139560.58000000002</v>
      </c>
      <c r="K162" s="109">
        <v>136767.48076923078</v>
      </c>
      <c r="L162" s="110">
        <v>0</v>
      </c>
      <c r="M162" s="109">
        <v>-68355.859999999957</v>
      </c>
      <c r="N162" s="109">
        <v>-1774.9399999999998</v>
      </c>
      <c r="O162" s="109">
        <v>0</v>
      </c>
      <c r="P162" s="109">
        <v>0</v>
      </c>
      <c r="Q162" s="109">
        <v>0</v>
      </c>
      <c r="R162" s="109">
        <v>0</v>
      </c>
      <c r="S162" s="109">
        <v>-70130.799999999959</v>
      </c>
      <c r="T162" s="109">
        <v>-69231.424615384574</v>
      </c>
      <c r="U162" s="110">
        <v>0</v>
      </c>
      <c r="V162" s="111">
        <v>1.2999999999999999E-2</v>
      </c>
    </row>
    <row r="163" spans="1:22" x14ac:dyDescent="0.2">
      <c r="A163" s="69" t="s">
        <v>862</v>
      </c>
      <c r="B163" s="69">
        <v>37500</v>
      </c>
      <c r="C163" s="69" t="s">
        <v>866</v>
      </c>
      <c r="D163" s="108" t="s">
        <v>341</v>
      </c>
      <c r="E163" s="108" t="s">
        <v>144</v>
      </c>
      <c r="F163" s="109">
        <v>3891502.6900000004</v>
      </c>
      <c r="G163" s="109">
        <v>197400.8</v>
      </c>
      <c r="H163" s="109">
        <v>0</v>
      </c>
      <c r="I163" s="109">
        <v>0</v>
      </c>
      <c r="J163" s="109">
        <v>4088903.49</v>
      </c>
      <c r="K163" s="109">
        <v>3950771.4915384627</v>
      </c>
      <c r="L163" s="110">
        <v>0</v>
      </c>
      <c r="M163" s="109">
        <v>-2027632.0000000007</v>
      </c>
      <c r="N163" s="109">
        <v>-98481.540000000023</v>
      </c>
      <c r="O163" s="109">
        <v>0</v>
      </c>
      <c r="P163" s="109">
        <v>0</v>
      </c>
      <c r="Q163" s="109">
        <v>0</v>
      </c>
      <c r="R163" s="109">
        <v>0</v>
      </c>
      <c r="S163" s="109">
        <v>-2126113.5400000005</v>
      </c>
      <c r="T163" s="109">
        <v>-2076456.4207692319</v>
      </c>
      <c r="U163" s="110">
        <v>0</v>
      </c>
      <c r="V163" s="111">
        <v>2.5000000000000001E-2</v>
      </c>
    </row>
    <row r="164" spans="1:22" x14ac:dyDescent="0.2">
      <c r="A164" s="69" t="s">
        <v>862</v>
      </c>
      <c r="B164" s="69">
        <v>37600</v>
      </c>
      <c r="C164" s="69" t="s">
        <v>867</v>
      </c>
      <c r="D164" s="108" t="s">
        <v>342</v>
      </c>
      <c r="E164" s="108" t="s">
        <v>145</v>
      </c>
      <c r="F164" s="109">
        <v>71059770.019999981</v>
      </c>
      <c r="G164" s="109">
        <v>2117618.67</v>
      </c>
      <c r="H164" s="109">
        <v>-115243.33</v>
      </c>
      <c r="I164" s="109">
        <v>0</v>
      </c>
      <c r="J164" s="109">
        <v>73062145.359999985</v>
      </c>
      <c r="K164" s="109">
        <v>71851706.013846129</v>
      </c>
      <c r="L164" s="110">
        <v>0</v>
      </c>
      <c r="M164" s="109">
        <v>-45965501.039999984</v>
      </c>
      <c r="N164" s="109">
        <v>-3013535.120000001</v>
      </c>
      <c r="O164" s="109">
        <v>115243.33</v>
      </c>
      <c r="P164" s="109">
        <v>586372.89</v>
      </c>
      <c r="Q164" s="109">
        <v>18.560000000000002</v>
      </c>
      <c r="R164" s="109">
        <v>0</v>
      </c>
      <c r="S164" s="109">
        <v>-48277401.37999998</v>
      </c>
      <c r="T164" s="109">
        <v>-47232648.445384614</v>
      </c>
      <c r="U164" s="110">
        <v>0</v>
      </c>
      <c r="V164" s="111">
        <v>4.2000000000000003E-2</v>
      </c>
    </row>
    <row r="165" spans="1:22" x14ac:dyDescent="0.2">
      <c r="A165" s="69" t="s">
        <v>862</v>
      </c>
      <c r="B165" s="69">
        <v>37602</v>
      </c>
      <c r="C165" s="69" t="s">
        <v>868</v>
      </c>
      <c r="D165" s="108" t="s">
        <v>343</v>
      </c>
      <c r="E165" s="108" t="s">
        <v>146</v>
      </c>
      <c r="F165" s="109">
        <v>39534340.149999999</v>
      </c>
      <c r="G165" s="109">
        <v>5393364.75</v>
      </c>
      <c r="H165" s="109">
        <v>-8773.380000000001</v>
      </c>
      <c r="I165" s="109">
        <v>0</v>
      </c>
      <c r="J165" s="109">
        <v>44918931.519999996</v>
      </c>
      <c r="K165" s="109">
        <v>41033029.967692308</v>
      </c>
      <c r="L165" s="110">
        <v>0</v>
      </c>
      <c r="M165" s="109">
        <v>-15447859.500000019</v>
      </c>
      <c r="N165" s="109">
        <v>-1261985.3600000001</v>
      </c>
      <c r="O165" s="109">
        <v>8773.380000000001</v>
      </c>
      <c r="P165" s="109">
        <v>99741.200000000012</v>
      </c>
      <c r="Q165" s="109">
        <v>-16.410000000000025</v>
      </c>
      <c r="R165" s="109">
        <v>0</v>
      </c>
      <c r="S165" s="109">
        <v>-16601346.690000018</v>
      </c>
      <c r="T165" s="109">
        <v>-16027901.388461556</v>
      </c>
      <c r="U165" s="110">
        <v>0</v>
      </c>
      <c r="V165" s="111">
        <v>3.1E-2</v>
      </c>
    </row>
    <row r="166" spans="1:22" x14ac:dyDescent="0.2">
      <c r="A166" s="69" t="s">
        <v>862</v>
      </c>
      <c r="B166" s="69">
        <v>37602</v>
      </c>
      <c r="C166" s="69" t="s">
        <v>868</v>
      </c>
      <c r="D166" s="108" t="s">
        <v>344</v>
      </c>
      <c r="E166" s="108" t="s">
        <v>146</v>
      </c>
      <c r="F166" s="109">
        <v>0</v>
      </c>
      <c r="G166" s="109">
        <v>0</v>
      </c>
      <c r="H166" s="109">
        <v>0</v>
      </c>
      <c r="I166" s="109">
        <v>0</v>
      </c>
      <c r="J166" s="109">
        <v>0</v>
      </c>
      <c r="K166" s="109">
        <v>0</v>
      </c>
      <c r="L166" s="110">
        <v>0</v>
      </c>
      <c r="M166" s="109">
        <v>0</v>
      </c>
      <c r="N166" s="109">
        <v>0</v>
      </c>
      <c r="O166" s="109">
        <v>0</v>
      </c>
      <c r="P166" s="109">
        <v>0</v>
      </c>
      <c r="Q166" s="109">
        <v>0</v>
      </c>
      <c r="R166" s="109">
        <v>0</v>
      </c>
      <c r="S166" s="109">
        <v>0</v>
      </c>
      <c r="T166" s="109">
        <v>0</v>
      </c>
      <c r="U166" s="110">
        <v>0</v>
      </c>
      <c r="V166" s="111">
        <v>3.1E-2</v>
      </c>
    </row>
    <row r="167" spans="1:22" x14ac:dyDescent="0.2">
      <c r="A167" s="69" t="s">
        <v>862</v>
      </c>
      <c r="B167" s="69">
        <v>37602</v>
      </c>
      <c r="C167" s="69" t="s">
        <v>868</v>
      </c>
      <c r="D167" s="108" t="s">
        <v>345</v>
      </c>
      <c r="E167" s="108" t="s">
        <v>146</v>
      </c>
      <c r="F167" s="109">
        <v>0</v>
      </c>
      <c r="G167" s="109">
        <v>0</v>
      </c>
      <c r="H167" s="109">
        <v>0</v>
      </c>
      <c r="I167" s="109">
        <v>0</v>
      </c>
      <c r="J167" s="109">
        <v>0</v>
      </c>
      <c r="K167" s="109">
        <v>0</v>
      </c>
      <c r="L167" s="110">
        <v>0</v>
      </c>
      <c r="M167" s="109">
        <v>0</v>
      </c>
      <c r="N167" s="109">
        <v>0</v>
      </c>
      <c r="O167" s="109">
        <v>0</v>
      </c>
      <c r="P167" s="109">
        <v>0</v>
      </c>
      <c r="Q167" s="109">
        <v>0</v>
      </c>
      <c r="R167" s="109">
        <v>0</v>
      </c>
      <c r="S167" s="109">
        <v>0</v>
      </c>
      <c r="T167" s="109">
        <v>0</v>
      </c>
      <c r="U167" s="110">
        <v>0</v>
      </c>
      <c r="V167" s="111">
        <v>3.1E-2</v>
      </c>
    </row>
    <row r="168" spans="1:22" x14ac:dyDescent="0.2">
      <c r="A168" s="69" t="s">
        <v>862</v>
      </c>
      <c r="B168" s="69">
        <v>37800</v>
      </c>
      <c r="C168" s="69" t="s">
        <v>869</v>
      </c>
      <c r="D168" s="108" t="s">
        <v>346</v>
      </c>
      <c r="E168" s="108" t="s">
        <v>147</v>
      </c>
      <c r="F168" s="109">
        <v>3244693.7599999988</v>
      </c>
      <c r="G168" s="109">
        <v>152198.88</v>
      </c>
      <c r="H168" s="109">
        <v>0</v>
      </c>
      <c r="I168" s="109">
        <v>0</v>
      </c>
      <c r="J168" s="109">
        <v>3396892.6399999987</v>
      </c>
      <c r="K168" s="109">
        <v>3306103.9253846151</v>
      </c>
      <c r="L168" s="110">
        <v>0</v>
      </c>
      <c r="M168" s="109">
        <v>-556730.87999999966</v>
      </c>
      <c r="N168" s="109">
        <v>-112150.3</v>
      </c>
      <c r="O168" s="109">
        <v>0</v>
      </c>
      <c r="P168" s="109">
        <v>0</v>
      </c>
      <c r="Q168" s="109">
        <v>0</v>
      </c>
      <c r="R168" s="109">
        <v>0</v>
      </c>
      <c r="S168" s="109">
        <v>-668881.1799999997</v>
      </c>
      <c r="T168" s="109">
        <v>-612372.69769230741</v>
      </c>
      <c r="U168" s="110">
        <v>0</v>
      </c>
      <c r="V168" s="111">
        <v>3.4000000000000002E-2</v>
      </c>
    </row>
    <row r="169" spans="1:22" x14ac:dyDescent="0.2">
      <c r="A169" s="69" t="s">
        <v>862</v>
      </c>
      <c r="B169" s="69">
        <v>37900</v>
      </c>
      <c r="C169" s="69" t="s">
        <v>870</v>
      </c>
      <c r="D169" s="108" t="s">
        <v>347</v>
      </c>
      <c r="E169" s="108" t="s">
        <v>148</v>
      </c>
      <c r="F169" s="109">
        <v>3162507.75</v>
      </c>
      <c r="G169" s="109">
        <v>92431.74</v>
      </c>
      <c r="H169" s="109">
        <v>0</v>
      </c>
      <c r="I169" s="109">
        <v>0</v>
      </c>
      <c r="J169" s="109">
        <v>3254939.49</v>
      </c>
      <c r="K169" s="109">
        <v>3190820.2546153846</v>
      </c>
      <c r="L169" s="110">
        <v>0</v>
      </c>
      <c r="M169" s="109">
        <v>-715558.66999999911</v>
      </c>
      <c r="N169" s="109">
        <v>-108306.23999999999</v>
      </c>
      <c r="O169" s="109">
        <v>0</v>
      </c>
      <c r="P169" s="109">
        <v>0</v>
      </c>
      <c r="Q169" s="109">
        <v>0</v>
      </c>
      <c r="R169" s="109">
        <v>0</v>
      </c>
      <c r="S169" s="109">
        <v>-823864.9099999991</v>
      </c>
      <c r="T169" s="109">
        <v>-769451.12230769102</v>
      </c>
      <c r="U169" s="110">
        <v>0</v>
      </c>
      <c r="V169" s="111">
        <v>3.4000000000000002E-2</v>
      </c>
    </row>
    <row r="170" spans="1:22" x14ac:dyDescent="0.2">
      <c r="A170" s="69" t="s">
        <v>862</v>
      </c>
      <c r="B170" s="69">
        <v>38000</v>
      </c>
      <c r="C170" s="69" t="s">
        <v>871</v>
      </c>
      <c r="D170" s="108" t="s">
        <v>348</v>
      </c>
      <c r="E170" s="108" t="s">
        <v>149</v>
      </c>
      <c r="F170" s="109">
        <v>3888534.0300000007</v>
      </c>
      <c r="G170" s="109">
        <v>203663.33000000002</v>
      </c>
      <c r="H170" s="109">
        <v>-18528.98</v>
      </c>
      <c r="I170" s="109">
        <v>0</v>
      </c>
      <c r="J170" s="109">
        <v>4073668.3800000008</v>
      </c>
      <c r="K170" s="109">
        <v>3980757.0623076926</v>
      </c>
      <c r="L170" s="110">
        <v>0</v>
      </c>
      <c r="M170" s="109">
        <v>-5811691.2099999962</v>
      </c>
      <c r="N170" s="109">
        <v>-262218.98</v>
      </c>
      <c r="O170" s="109">
        <v>18528.98</v>
      </c>
      <c r="P170" s="109">
        <v>45553.520000000004</v>
      </c>
      <c r="Q170" s="109">
        <v>0.53999999999999915</v>
      </c>
      <c r="R170" s="109">
        <v>0</v>
      </c>
      <c r="S170" s="109">
        <v>-6009827.1499999957</v>
      </c>
      <c r="T170" s="109">
        <v>-5921818.3999999957</v>
      </c>
      <c r="U170" s="110">
        <v>0</v>
      </c>
      <c r="V170" s="111">
        <v>6.5999999999999989E-2</v>
      </c>
    </row>
    <row r="171" spans="1:22" x14ac:dyDescent="0.2">
      <c r="A171" s="69" t="s">
        <v>862</v>
      </c>
      <c r="B171" s="69">
        <v>38002</v>
      </c>
      <c r="C171" s="69" t="s">
        <v>872</v>
      </c>
      <c r="D171" s="108" t="s">
        <v>349</v>
      </c>
      <c r="E171" s="108" t="s">
        <v>150</v>
      </c>
      <c r="F171" s="109">
        <v>25136932.209999997</v>
      </c>
      <c r="G171" s="109">
        <v>2214905.4499999997</v>
      </c>
      <c r="H171" s="109">
        <v>-29105.98</v>
      </c>
      <c r="I171" s="109">
        <v>0</v>
      </c>
      <c r="J171" s="109">
        <v>27322731.679999996</v>
      </c>
      <c r="K171" s="109">
        <v>26209990.755384617</v>
      </c>
      <c r="L171" s="110">
        <v>0</v>
      </c>
      <c r="M171" s="109">
        <v>-13553989.42999999</v>
      </c>
      <c r="N171" s="109">
        <v>-1305863.1199999999</v>
      </c>
      <c r="O171" s="109">
        <v>29105.98</v>
      </c>
      <c r="P171" s="109">
        <v>169784.72999999998</v>
      </c>
      <c r="Q171" s="109">
        <v>-2.6900000000000261</v>
      </c>
      <c r="R171" s="109">
        <v>0</v>
      </c>
      <c r="S171" s="109">
        <v>-14660964.529999988</v>
      </c>
      <c r="T171" s="109">
        <v>-14136880.594615377</v>
      </c>
      <c r="U171" s="110">
        <v>0</v>
      </c>
      <c r="V171" s="111">
        <v>0.05</v>
      </c>
    </row>
    <row r="172" spans="1:22" x14ac:dyDescent="0.2">
      <c r="A172" s="69" t="s">
        <v>862</v>
      </c>
      <c r="B172" s="69">
        <v>38200</v>
      </c>
      <c r="C172" s="69" t="s">
        <v>873</v>
      </c>
      <c r="D172" s="108" t="s">
        <v>350</v>
      </c>
      <c r="E172" s="108" t="s">
        <v>152</v>
      </c>
      <c r="F172" s="109">
        <v>3793517.709999999</v>
      </c>
      <c r="G172" s="109">
        <v>257754.23</v>
      </c>
      <c r="H172" s="109">
        <v>-35462.32</v>
      </c>
      <c r="I172" s="109">
        <v>0</v>
      </c>
      <c r="J172" s="109">
        <v>4015809.6199999992</v>
      </c>
      <c r="K172" s="109">
        <v>3902557.5361538446</v>
      </c>
      <c r="L172" s="110">
        <v>0</v>
      </c>
      <c r="M172" s="109">
        <v>-1167944.6099999999</v>
      </c>
      <c r="N172" s="109">
        <v>-175190.38</v>
      </c>
      <c r="O172" s="109">
        <v>35462.32</v>
      </c>
      <c r="P172" s="109">
        <v>3339.1099999999997</v>
      </c>
      <c r="Q172" s="109">
        <v>0</v>
      </c>
      <c r="R172" s="109">
        <v>0</v>
      </c>
      <c r="S172" s="109">
        <v>-1304333.5599999996</v>
      </c>
      <c r="T172" s="109">
        <v>-1236831.7915384616</v>
      </c>
      <c r="U172" s="110">
        <v>0</v>
      </c>
      <c r="V172" s="111">
        <v>4.4999999999999998E-2</v>
      </c>
    </row>
    <row r="173" spans="1:22" x14ac:dyDescent="0.2">
      <c r="A173" s="69" t="s">
        <v>862</v>
      </c>
      <c r="B173" s="69">
        <v>38300</v>
      </c>
      <c r="C173" s="69" t="s">
        <v>874</v>
      </c>
      <c r="D173" s="108" t="s">
        <v>351</v>
      </c>
      <c r="E173" s="108" t="s">
        <v>153</v>
      </c>
      <c r="F173" s="109">
        <v>2043967</v>
      </c>
      <c r="G173" s="109">
        <v>146286.38999999998</v>
      </c>
      <c r="H173" s="109">
        <v>-9036.07</v>
      </c>
      <c r="I173" s="109">
        <v>0</v>
      </c>
      <c r="J173" s="109">
        <v>2181217.3200000003</v>
      </c>
      <c r="K173" s="109">
        <v>2100527.7969230767</v>
      </c>
      <c r="L173" s="110">
        <v>0</v>
      </c>
      <c r="M173" s="109">
        <v>-912958.56000000017</v>
      </c>
      <c r="N173" s="109">
        <v>-75376.94</v>
      </c>
      <c r="O173" s="109">
        <v>9036.07</v>
      </c>
      <c r="P173" s="109">
        <v>0</v>
      </c>
      <c r="Q173" s="109">
        <v>0</v>
      </c>
      <c r="R173" s="109">
        <v>0</v>
      </c>
      <c r="S173" s="109">
        <v>-979299.43000000028</v>
      </c>
      <c r="T173" s="109">
        <v>-949513.59384615393</v>
      </c>
      <c r="U173" s="110">
        <v>0</v>
      </c>
      <c r="V173" s="111">
        <v>3.5999999999999997E-2</v>
      </c>
    </row>
    <row r="174" spans="1:22" x14ac:dyDescent="0.2">
      <c r="A174" s="69" t="s">
        <v>862</v>
      </c>
      <c r="B174" s="69">
        <v>38400</v>
      </c>
      <c r="C174" s="69" t="s">
        <v>875</v>
      </c>
      <c r="D174" s="108" t="s">
        <v>352</v>
      </c>
      <c r="E174" s="108" t="s">
        <v>154</v>
      </c>
      <c r="F174" s="109">
        <v>1589713.5999999987</v>
      </c>
      <c r="G174" s="109">
        <v>85918.12</v>
      </c>
      <c r="H174" s="109">
        <v>-19861.41</v>
      </c>
      <c r="I174" s="109">
        <v>0</v>
      </c>
      <c r="J174" s="109">
        <v>1655770.3099999989</v>
      </c>
      <c r="K174" s="109">
        <v>1632767.4315384601</v>
      </c>
      <c r="L174" s="110">
        <v>0</v>
      </c>
      <c r="M174" s="109">
        <v>-597415.24000000034</v>
      </c>
      <c r="N174" s="109">
        <v>-73388.26999999999</v>
      </c>
      <c r="O174" s="109">
        <v>19861.41</v>
      </c>
      <c r="P174" s="109">
        <v>2402.2799999999997</v>
      </c>
      <c r="Q174" s="109">
        <v>0</v>
      </c>
      <c r="R174" s="109">
        <v>0</v>
      </c>
      <c r="S174" s="109">
        <v>-648539.8200000003</v>
      </c>
      <c r="T174" s="109">
        <v>-621040.42153846193</v>
      </c>
      <c r="U174" s="110">
        <v>0</v>
      </c>
      <c r="V174" s="111">
        <v>4.4999999999999998E-2</v>
      </c>
    </row>
    <row r="175" spans="1:22" x14ac:dyDescent="0.2">
      <c r="A175" s="69" t="s">
        <v>862</v>
      </c>
      <c r="B175" s="69">
        <v>38500</v>
      </c>
      <c r="C175" s="69" t="s">
        <v>876</v>
      </c>
      <c r="D175" s="108" t="s">
        <v>353</v>
      </c>
      <c r="E175" s="108" t="s">
        <v>155</v>
      </c>
      <c r="F175" s="109">
        <v>2751712.5100000002</v>
      </c>
      <c r="G175" s="109">
        <v>0</v>
      </c>
      <c r="H175" s="109">
        <v>0</v>
      </c>
      <c r="I175" s="109">
        <v>0</v>
      </c>
      <c r="J175" s="109">
        <v>2751712.5100000002</v>
      </c>
      <c r="K175" s="109">
        <v>2751712.5100000007</v>
      </c>
      <c r="L175" s="110">
        <v>0</v>
      </c>
      <c r="M175" s="109">
        <v>-1685581.9300000011</v>
      </c>
      <c r="N175" s="109">
        <v>-85303.079999999973</v>
      </c>
      <c r="O175" s="109">
        <v>0</v>
      </c>
      <c r="P175" s="109">
        <v>0</v>
      </c>
      <c r="Q175" s="109">
        <v>0</v>
      </c>
      <c r="R175" s="109">
        <v>0</v>
      </c>
      <c r="S175" s="109">
        <v>-1770885.0100000012</v>
      </c>
      <c r="T175" s="109">
        <v>-1728233.4700000016</v>
      </c>
      <c r="U175" s="110">
        <v>0</v>
      </c>
      <c r="V175" s="111">
        <v>3.1E-2</v>
      </c>
    </row>
    <row r="176" spans="1:22" x14ac:dyDescent="0.2">
      <c r="A176" s="69" t="s">
        <v>862</v>
      </c>
      <c r="B176" s="69">
        <v>38700</v>
      </c>
      <c r="C176" s="69" t="s">
        <v>877</v>
      </c>
      <c r="D176" s="108" t="s">
        <v>354</v>
      </c>
      <c r="E176" s="108" t="s">
        <v>156</v>
      </c>
      <c r="F176" s="109">
        <v>410283.36</v>
      </c>
      <c r="G176" s="109">
        <v>44803.77</v>
      </c>
      <c r="H176" s="109">
        <v>0</v>
      </c>
      <c r="I176" s="109">
        <v>0</v>
      </c>
      <c r="J176" s="109">
        <v>455087.13</v>
      </c>
      <c r="K176" s="109">
        <v>413729.80384615378</v>
      </c>
      <c r="L176" s="110">
        <v>0</v>
      </c>
      <c r="M176" s="109">
        <v>-178447.43999999986</v>
      </c>
      <c r="N176" s="109">
        <v>-25847.87999999999</v>
      </c>
      <c r="O176" s="109">
        <v>0</v>
      </c>
      <c r="P176" s="109">
        <v>0</v>
      </c>
      <c r="Q176" s="109">
        <v>0</v>
      </c>
      <c r="R176" s="109">
        <v>0</v>
      </c>
      <c r="S176" s="109">
        <v>-204295.31999999983</v>
      </c>
      <c r="T176" s="109">
        <v>-191371.37999999986</v>
      </c>
      <c r="U176" s="110">
        <v>0</v>
      </c>
      <c r="V176" s="111">
        <v>6.3E-2</v>
      </c>
    </row>
    <row r="177" spans="1:22" x14ac:dyDescent="0.2">
      <c r="A177" s="69" t="s">
        <v>862</v>
      </c>
      <c r="B177" s="69">
        <v>39000</v>
      </c>
      <c r="C177" s="69" t="s">
        <v>878</v>
      </c>
      <c r="D177" s="108" t="s">
        <v>355</v>
      </c>
      <c r="E177" s="108" t="s">
        <v>157</v>
      </c>
      <c r="F177" s="109">
        <v>0</v>
      </c>
      <c r="G177" s="109">
        <v>0</v>
      </c>
      <c r="H177" s="109">
        <v>0</v>
      </c>
      <c r="I177" s="109">
        <v>0</v>
      </c>
      <c r="J177" s="109">
        <v>0</v>
      </c>
      <c r="K177" s="109">
        <v>0</v>
      </c>
      <c r="L177" s="110">
        <v>0</v>
      </c>
      <c r="M177" s="109">
        <v>0</v>
      </c>
      <c r="N177" s="109">
        <v>0</v>
      </c>
      <c r="O177" s="109">
        <v>0</v>
      </c>
      <c r="P177" s="109">
        <v>0</v>
      </c>
      <c r="Q177" s="109">
        <v>0</v>
      </c>
      <c r="R177" s="109">
        <v>0</v>
      </c>
      <c r="S177" s="109">
        <v>0</v>
      </c>
      <c r="T177" s="109">
        <v>0</v>
      </c>
      <c r="U177" s="110">
        <v>0</v>
      </c>
      <c r="V177" s="111">
        <v>2.5000000000000001E-2</v>
      </c>
    </row>
    <row r="178" spans="1:22" x14ac:dyDescent="0.2">
      <c r="A178" s="69" t="s">
        <v>862</v>
      </c>
      <c r="B178" s="69">
        <v>39100</v>
      </c>
      <c r="C178" s="69" t="s">
        <v>879</v>
      </c>
      <c r="D178" s="108" t="s">
        <v>356</v>
      </c>
      <c r="E178" s="108" t="s">
        <v>159</v>
      </c>
      <c r="F178" s="109">
        <v>33160.339999999997</v>
      </c>
      <c r="G178" s="109">
        <v>0</v>
      </c>
      <c r="H178" s="109">
        <v>0</v>
      </c>
      <c r="I178" s="109">
        <v>0</v>
      </c>
      <c r="J178" s="109">
        <v>33160.339999999997</v>
      </c>
      <c r="K178" s="109">
        <v>33160.339999999982</v>
      </c>
      <c r="L178" s="110">
        <v>0</v>
      </c>
      <c r="M178" s="109">
        <v>-184739.33999999988</v>
      </c>
      <c r="N178" s="109">
        <v>-2221.8000000000006</v>
      </c>
      <c r="O178" s="109">
        <v>0</v>
      </c>
      <c r="P178" s="109">
        <v>0</v>
      </c>
      <c r="Q178" s="109">
        <v>0</v>
      </c>
      <c r="R178" s="109">
        <v>0</v>
      </c>
      <c r="S178" s="109">
        <v>-186961.13999999987</v>
      </c>
      <c r="T178" s="109">
        <v>-185850.23999999982</v>
      </c>
      <c r="U178" s="110">
        <v>0</v>
      </c>
      <c r="V178" s="111">
        <v>6.7000000000000004E-2</v>
      </c>
    </row>
    <row r="179" spans="1:22" x14ac:dyDescent="0.2">
      <c r="A179" s="69" t="s">
        <v>862</v>
      </c>
      <c r="B179" s="69">
        <v>39101</v>
      </c>
      <c r="C179" s="69" t="s">
        <v>880</v>
      </c>
      <c r="D179" s="108" t="s">
        <v>357</v>
      </c>
      <c r="E179" s="108" t="s">
        <v>160</v>
      </c>
      <c r="F179" s="109">
        <v>22854.589999999978</v>
      </c>
      <c r="G179" s="109">
        <v>12717.23</v>
      </c>
      <c r="H179" s="109">
        <v>0</v>
      </c>
      <c r="I179" s="109">
        <v>0</v>
      </c>
      <c r="J179" s="109">
        <v>35571.819999999978</v>
      </c>
      <c r="K179" s="109">
        <v>31658.826153846127</v>
      </c>
      <c r="L179" s="110">
        <v>0</v>
      </c>
      <c r="M179" s="109">
        <v>12290.740000000034</v>
      </c>
      <c r="N179" s="109">
        <v>-3916.6</v>
      </c>
      <c r="O179" s="109">
        <v>0</v>
      </c>
      <c r="P179" s="109">
        <v>0</v>
      </c>
      <c r="Q179" s="109">
        <v>0</v>
      </c>
      <c r="R179" s="109">
        <v>0</v>
      </c>
      <c r="S179" s="109">
        <v>8374.140000000034</v>
      </c>
      <c r="T179" s="109">
        <v>10495.48000000003</v>
      </c>
      <c r="U179" s="110">
        <v>0</v>
      </c>
      <c r="V179" s="111">
        <v>0.125</v>
      </c>
    </row>
    <row r="180" spans="1:22" x14ac:dyDescent="0.2">
      <c r="A180" s="69" t="s">
        <v>862</v>
      </c>
      <c r="B180" s="69">
        <v>39102</v>
      </c>
      <c r="C180" s="69" t="s">
        <v>881</v>
      </c>
      <c r="D180" s="108" t="s">
        <v>358</v>
      </c>
      <c r="E180" s="108" t="s">
        <v>161</v>
      </c>
      <c r="F180" s="109">
        <v>5727.07</v>
      </c>
      <c r="G180" s="109">
        <v>12739.31</v>
      </c>
      <c r="H180" s="109">
        <v>0</v>
      </c>
      <c r="I180" s="109">
        <v>0</v>
      </c>
      <c r="J180" s="109">
        <v>18466.379999999997</v>
      </c>
      <c r="K180" s="109">
        <v>7686.9638461538461</v>
      </c>
      <c r="L180" s="110">
        <v>0</v>
      </c>
      <c r="M180" s="109">
        <v>-1693.8000000000018</v>
      </c>
      <c r="N180" s="109">
        <v>-454.88</v>
      </c>
      <c r="O180" s="109">
        <v>0</v>
      </c>
      <c r="P180" s="109">
        <v>0</v>
      </c>
      <c r="Q180" s="109">
        <v>0</v>
      </c>
      <c r="R180" s="109">
        <v>0</v>
      </c>
      <c r="S180" s="109">
        <v>-2148.6800000000017</v>
      </c>
      <c r="T180" s="109">
        <v>-1891.1507692307714</v>
      </c>
      <c r="U180" s="110">
        <v>0</v>
      </c>
      <c r="V180" s="111">
        <v>6.7000000000000004E-2</v>
      </c>
    </row>
    <row r="181" spans="1:22" x14ac:dyDescent="0.2">
      <c r="A181" s="69" t="s">
        <v>862</v>
      </c>
      <c r="B181" s="69">
        <v>39201</v>
      </c>
      <c r="C181" s="69" t="s">
        <v>882</v>
      </c>
      <c r="D181" s="108" t="s">
        <v>359</v>
      </c>
      <c r="E181" s="108" t="s">
        <v>163</v>
      </c>
      <c r="F181" s="109">
        <v>638350.24000000011</v>
      </c>
      <c r="G181" s="109">
        <v>206175.21999999997</v>
      </c>
      <c r="H181" s="109">
        <v>0</v>
      </c>
      <c r="I181" s="109">
        <v>0</v>
      </c>
      <c r="J181" s="109">
        <v>844525.46000000008</v>
      </c>
      <c r="K181" s="109">
        <v>698479.61461538472</v>
      </c>
      <c r="L181" s="110">
        <v>0</v>
      </c>
      <c r="M181" s="109">
        <v>-138157.69000000003</v>
      </c>
      <c r="N181" s="109">
        <v>-76866.650000000009</v>
      </c>
      <c r="O181" s="109">
        <v>0</v>
      </c>
      <c r="P181" s="109">
        <v>4297.3500000000004</v>
      </c>
      <c r="Q181" s="109">
        <v>-2092.0100000000002</v>
      </c>
      <c r="R181" s="109">
        <v>0</v>
      </c>
      <c r="S181" s="109">
        <v>-212819.00000000003</v>
      </c>
      <c r="T181" s="109">
        <v>-174726.89692307694</v>
      </c>
      <c r="U181" s="110">
        <v>0</v>
      </c>
      <c r="V181" s="111">
        <v>0.112</v>
      </c>
    </row>
    <row r="182" spans="1:22" x14ac:dyDescent="0.2">
      <c r="A182" s="69" t="s">
        <v>862</v>
      </c>
      <c r="B182" s="69">
        <v>39202</v>
      </c>
      <c r="C182" s="69" t="s">
        <v>883</v>
      </c>
      <c r="D182" s="108" t="s">
        <v>360</v>
      </c>
      <c r="E182" s="108" t="s">
        <v>164</v>
      </c>
      <c r="F182" s="109">
        <v>329418.99999999988</v>
      </c>
      <c r="G182" s="109">
        <v>52052.33</v>
      </c>
      <c r="H182" s="109">
        <v>-27035.29</v>
      </c>
      <c r="I182" s="109">
        <v>0</v>
      </c>
      <c r="J182" s="109">
        <v>354436.03999999992</v>
      </c>
      <c r="K182" s="109">
        <v>324638.72461538453</v>
      </c>
      <c r="L182" s="110">
        <v>0</v>
      </c>
      <c r="M182" s="109">
        <v>-228530.07999999987</v>
      </c>
      <c r="N182" s="109">
        <v>-40913.759999999995</v>
      </c>
      <c r="O182" s="109">
        <v>27035.29</v>
      </c>
      <c r="P182" s="109">
        <v>1803.54</v>
      </c>
      <c r="Q182" s="109">
        <v>-4762.99</v>
      </c>
      <c r="R182" s="109">
        <v>0</v>
      </c>
      <c r="S182" s="109">
        <v>-245367.99999999983</v>
      </c>
      <c r="T182" s="109">
        <v>-230858.69384615371</v>
      </c>
      <c r="U182" s="110">
        <v>0</v>
      </c>
      <c r="V182" s="111">
        <v>0.127</v>
      </c>
    </row>
    <row r="183" spans="1:22" x14ac:dyDescent="0.2">
      <c r="A183" s="69" t="s">
        <v>862</v>
      </c>
      <c r="B183" s="69">
        <v>39204</v>
      </c>
      <c r="C183" s="69" t="s">
        <v>884</v>
      </c>
      <c r="D183" s="108" t="s">
        <v>361</v>
      </c>
      <c r="E183" s="108" t="s">
        <v>166</v>
      </c>
      <c r="F183" s="109">
        <v>17075.449999999997</v>
      </c>
      <c r="G183" s="109">
        <v>0</v>
      </c>
      <c r="H183" s="109">
        <v>0</v>
      </c>
      <c r="I183" s="109">
        <v>0</v>
      </c>
      <c r="J183" s="109">
        <v>17075.449999999997</v>
      </c>
      <c r="K183" s="109">
        <v>17075.450000000004</v>
      </c>
      <c r="L183" s="110">
        <v>0</v>
      </c>
      <c r="M183" s="109">
        <v>-4743.579999999989</v>
      </c>
      <c r="N183" s="109">
        <v>-683.04</v>
      </c>
      <c r="O183" s="109">
        <v>0</v>
      </c>
      <c r="P183" s="109">
        <v>0</v>
      </c>
      <c r="Q183" s="109">
        <v>0</v>
      </c>
      <c r="R183" s="109">
        <v>0</v>
      </c>
      <c r="S183" s="109">
        <v>-5426.619999999989</v>
      </c>
      <c r="T183" s="109">
        <v>-5085.0999999999904</v>
      </c>
      <c r="U183" s="110">
        <v>0</v>
      </c>
      <c r="V183" s="111">
        <v>0.04</v>
      </c>
    </row>
    <row r="184" spans="1:22" x14ac:dyDescent="0.2">
      <c r="A184" s="69" t="s">
        <v>862</v>
      </c>
      <c r="B184" s="69">
        <v>39205</v>
      </c>
      <c r="C184" s="69" t="s">
        <v>885</v>
      </c>
      <c r="D184" s="108" t="s">
        <v>362</v>
      </c>
      <c r="E184" s="108" t="s">
        <v>167</v>
      </c>
      <c r="F184" s="109">
        <v>94582.68</v>
      </c>
      <c r="G184" s="109">
        <v>0</v>
      </c>
      <c r="H184" s="109">
        <v>0</v>
      </c>
      <c r="I184" s="109">
        <v>0</v>
      </c>
      <c r="J184" s="109">
        <v>94582.68</v>
      </c>
      <c r="K184" s="109">
        <v>94582.679999999964</v>
      </c>
      <c r="L184" s="110">
        <v>0</v>
      </c>
      <c r="M184" s="109">
        <v>-11697.979999999947</v>
      </c>
      <c r="N184" s="109">
        <v>-6999.1200000000017</v>
      </c>
      <c r="O184" s="109">
        <v>0</v>
      </c>
      <c r="P184" s="109">
        <v>0</v>
      </c>
      <c r="Q184" s="109">
        <v>0</v>
      </c>
      <c r="R184" s="109">
        <v>0</v>
      </c>
      <c r="S184" s="109">
        <v>-18697.099999999948</v>
      </c>
      <c r="T184" s="109">
        <v>-15197.539999999948</v>
      </c>
      <c r="U184" s="110">
        <v>0</v>
      </c>
      <c r="V184" s="111">
        <v>7.3999999999999996E-2</v>
      </c>
    </row>
    <row r="185" spans="1:22" x14ac:dyDescent="0.2">
      <c r="A185" s="69" t="s">
        <v>862</v>
      </c>
      <c r="B185" s="69">
        <v>39300</v>
      </c>
      <c r="C185" s="69" t="s">
        <v>886</v>
      </c>
      <c r="D185" s="108" t="s">
        <v>363</v>
      </c>
      <c r="E185" s="108" t="s">
        <v>168</v>
      </c>
      <c r="F185" s="109">
        <v>0</v>
      </c>
      <c r="G185" s="109">
        <v>0</v>
      </c>
      <c r="H185" s="109">
        <v>0</v>
      </c>
      <c r="I185" s="109">
        <v>0</v>
      </c>
      <c r="J185" s="109">
        <v>0</v>
      </c>
      <c r="K185" s="109">
        <v>0</v>
      </c>
      <c r="L185" s="110">
        <v>0</v>
      </c>
      <c r="M185" s="109">
        <v>0</v>
      </c>
      <c r="N185" s="109">
        <v>0</v>
      </c>
      <c r="O185" s="109">
        <v>0</v>
      </c>
      <c r="P185" s="109">
        <v>0</v>
      </c>
      <c r="Q185" s="109">
        <v>0</v>
      </c>
      <c r="R185" s="109">
        <v>0</v>
      </c>
      <c r="S185" s="109">
        <v>0</v>
      </c>
      <c r="T185" s="109">
        <v>0</v>
      </c>
      <c r="U185" s="110">
        <v>0</v>
      </c>
      <c r="V185" s="111">
        <v>0.04</v>
      </c>
    </row>
    <row r="186" spans="1:22" x14ac:dyDescent="0.2">
      <c r="A186" s="69" t="s">
        <v>862</v>
      </c>
      <c r="B186" s="69">
        <v>39400</v>
      </c>
      <c r="C186" s="69" t="s">
        <v>887</v>
      </c>
      <c r="D186" s="108" t="s">
        <v>364</v>
      </c>
      <c r="E186" s="108" t="s">
        <v>169</v>
      </c>
      <c r="F186" s="109">
        <v>230203.53999999992</v>
      </c>
      <c r="G186" s="109">
        <v>66193.569999999992</v>
      </c>
      <c r="H186" s="109">
        <v>0</v>
      </c>
      <c r="I186" s="109">
        <v>0</v>
      </c>
      <c r="J186" s="109">
        <v>296397.10999999993</v>
      </c>
      <c r="K186" s="109">
        <v>249646.3453846153</v>
      </c>
      <c r="L186" s="110">
        <v>0</v>
      </c>
      <c r="M186" s="109">
        <v>-62531.450000000361</v>
      </c>
      <c r="N186" s="109">
        <v>-16219.55</v>
      </c>
      <c r="O186" s="109">
        <v>0</v>
      </c>
      <c r="P186" s="109">
        <v>0</v>
      </c>
      <c r="Q186" s="109">
        <v>0</v>
      </c>
      <c r="R186" s="109">
        <v>0</v>
      </c>
      <c r="S186" s="109">
        <v>-78751.000000000364</v>
      </c>
      <c r="T186" s="109">
        <v>-70343.904615384963</v>
      </c>
      <c r="U186" s="110">
        <v>0</v>
      </c>
      <c r="V186" s="111">
        <v>6.6000000000000003E-2</v>
      </c>
    </row>
    <row r="187" spans="1:22" x14ac:dyDescent="0.2">
      <c r="A187" s="69" t="s">
        <v>862</v>
      </c>
      <c r="B187" s="69">
        <v>39600</v>
      </c>
      <c r="C187" s="69" t="s">
        <v>888</v>
      </c>
      <c r="D187" s="108" t="s">
        <v>365</v>
      </c>
      <c r="E187" s="108" t="s">
        <v>171</v>
      </c>
      <c r="F187" s="109">
        <v>232248.72999999998</v>
      </c>
      <c r="G187" s="109">
        <v>22099.27</v>
      </c>
      <c r="H187" s="109">
        <v>0</v>
      </c>
      <c r="I187" s="109">
        <v>0</v>
      </c>
      <c r="J187" s="109">
        <v>254347.99999999997</v>
      </c>
      <c r="K187" s="109">
        <v>242448.39307692306</v>
      </c>
      <c r="L187" s="110">
        <v>0</v>
      </c>
      <c r="M187" s="109">
        <v>-126621.81000000014</v>
      </c>
      <c r="N187" s="109">
        <v>-15453.220000000003</v>
      </c>
      <c r="O187" s="109">
        <v>0</v>
      </c>
      <c r="P187" s="109">
        <v>0</v>
      </c>
      <c r="Q187" s="109">
        <v>0</v>
      </c>
      <c r="R187" s="109">
        <v>0</v>
      </c>
      <c r="S187" s="109">
        <v>-142075.03000000014</v>
      </c>
      <c r="T187" s="109">
        <v>-134189.76230769244</v>
      </c>
      <c r="U187" s="110">
        <v>0</v>
      </c>
      <c r="V187" s="111">
        <v>6.4000000000000001E-2</v>
      </c>
    </row>
    <row r="188" spans="1:22" x14ac:dyDescent="0.2">
      <c r="A188" s="69" t="s">
        <v>862</v>
      </c>
      <c r="B188" s="69">
        <v>39700</v>
      </c>
      <c r="C188" s="69" t="s">
        <v>889</v>
      </c>
      <c r="D188" s="108" t="s">
        <v>366</v>
      </c>
      <c r="E188" s="108" t="s">
        <v>172</v>
      </c>
      <c r="F188" s="109">
        <v>30307.829999999987</v>
      </c>
      <c r="G188" s="109">
        <v>0</v>
      </c>
      <c r="H188" s="109">
        <v>0</v>
      </c>
      <c r="I188" s="109">
        <v>0</v>
      </c>
      <c r="J188" s="109">
        <v>30307.829999999987</v>
      </c>
      <c r="K188" s="109">
        <v>30307.829999999976</v>
      </c>
      <c r="L188" s="110">
        <v>0</v>
      </c>
      <c r="M188" s="109">
        <v>-82314.740000000078</v>
      </c>
      <c r="N188" s="109">
        <v>-2545.8000000000006</v>
      </c>
      <c r="O188" s="109">
        <v>0</v>
      </c>
      <c r="P188" s="109">
        <v>0</v>
      </c>
      <c r="Q188" s="109">
        <v>0</v>
      </c>
      <c r="R188" s="109">
        <v>0</v>
      </c>
      <c r="S188" s="109">
        <v>-84860.540000000081</v>
      </c>
      <c r="T188" s="109">
        <v>-83587.640000000043</v>
      </c>
      <c r="U188" s="110">
        <v>0</v>
      </c>
      <c r="V188" s="111">
        <v>8.4000000000000005E-2</v>
      </c>
    </row>
    <row r="189" spans="1:22" x14ac:dyDescent="0.2">
      <c r="A189" s="69" t="s">
        <v>862</v>
      </c>
      <c r="B189" s="69">
        <v>39800</v>
      </c>
      <c r="C189" s="69" t="s">
        <v>890</v>
      </c>
      <c r="D189" s="108" t="s">
        <v>367</v>
      </c>
      <c r="E189" s="108" t="s">
        <v>173</v>
      </c>
      <c r="F189" s="109">
        <v>8409.5</v>
      </c>
      <c r="G189" s="109">
        <v>4027.95</v>
      </c>
      <c r="H189" s="109">
        <v>-2010.66</v>
      </c>
      <c r="I189" s="109">
        <v>0</v>
      </c>
      <c r="J189" s="109">
        <v>10426.790000000001</v>
      </c>
      <c r="K189" s="109">
        <v>7018.0146153846135</v>
      </c>
      <c r="L189" s="110">
        <v>0</v>
      </c>
      <c r="M189" s="109">
        <v>-4948.0900000000092</v>
      </c>
      <c r="N189" s="109">
        <v>-397.29999999999995</v>
      </c>
      <c r="O189" s="109">
        <v>2010.66</v>
      </c>
      <c r="P189" s="109">
        <v>0</v>
      </c>
      <c r="Q189" s="109">
        <v>0</v>
      </c>
      <c r="R189" s="109">
        <v>0</v>
      </c>
      <c r="S189" s="109">
        <v>-3334.7300000000096</v>
      </c>
      <c r="T189" s="109">
        <v>-3453.0200000000104</v>
      </c>
      <c r="U189" s="110">
        <v>0</v>
      </c>
      <c r="V189" s="111">
        <v>5.8999999999999997E-2</v>
      </c>
    </row>
    <row r="190" spans="1:22" x14ac:dyDescent="0.2">
      <c r="A190" s="69" t="s">
        <v>891</v>
      </c>
      <c r="B190" s="69">
        <v>37500</v>
      </c>
      <c r="C190" s="69" t="s">
        <v>892</v>
      </c>
      <c r="D190" s="108" t="s">
        <v>368</v>
      </c>
      <c r="E190" s="108" t="s">
        <v>144</v>
      </c>
      <c r="F190" s="109">
        <v>0</v>
      </c>
      <c r="G190" s="109">
        <v>0</v>
      </c>
      <c r="H190" s="109">
        <v>0</v>
      </c>
      <c r="I190" s="109">
        <v>0</v>
      </c>
      <c r="J190" s="109">
        <v>0</v>
      </c>
      <c r="K190" s="109">
        <v>0</v>
      </c>
      <c r="L190" s="110">
        <v>0</v>
      </c>
      <c r="M190" s="109">
        <v>0</v>
      </c>
      <c r="N190" s="109">
        <v>0</v>
      </c>
      <c r="O190" s="109">
        <v>0</v>
      </c>
      <c r="P190" s="109">
        <v>0</v>
      </c>
      <c r="Q190" s="109">
        <v>0</v>
      </c>
      <c r="R190" s="109">
        <v>0</v>
      </c>
      <c r="S190" s="109">
        <v>0</v>
      </c>
      <c r="T190" s="109">
        <v>0</v>
      </c>
      <c r="U190" s="110">
        <v>0</v>
      </c>
      <c r="V190" s="111">
        <v>0</v>
      </c>
    </row>
    <row r="191" spans="1:22" x14ac:dyDescent="0.2">
      <c r="A191" s="69" t="s">
        <v>891</v>
      </c>
      <c r="B191" s="69">
        <v>37600</v>
      </c>
      <c r="C191" s="69" t="s">
        <v>893</v>
      </c>
      <c r="D191" s="108" t="s">
        <v>369</v>
      </c>
      <c r="E191" s="108" t="s">
        <v>145</v>
      </c>
      <c r="F191" s="109">
        <v>0</v>
      </c>
      <c r="G191" s="109">
        <v>0</v>
      </c>
      <c r="H191" s="109">
        <v>0</v>
      </c>
      <c r="I191" s="109">
        <v>0</v>
      </c>
      <c r="J191" s="109">
        <v>0</v>
      </c>
      <c r="K191" s="109">
        <v>0</v>
      </c>
      <c r="L191" s="110">
        <v>0</v>
      </c>
      <c r="M191" s="109">
        <v>0</v>
      </c>
      <c r="N191" s="109">
        <v>0</v>
      </c>
      <c r="O191" s="109">
        <v>0</v>
      </c>
      <c r="P191" s="109">
        <v>0</v>
      </c>
      <c r="Q191" s="109">
        <v>0</v>
      </c>
      <c r="R191" s="109">
        <v>0</v>
      </c>
      <c r="S191" s="109">
        <v>0</v>
      </c>
      <c r="T191" s="109">
        <v>0</v>
      </c>
      <c r="U191" s="110">
        <v>0</v>
      </c>
      <c r="V191" s="111">
        <v>0</v>
      </c>
    </row>
    <row r="192" spans="1:22" x14ac:dyDescent="0.2">
      <c r="A192" s="69" t="s">
        <v>891</v>
      </c>
      <c r="B192" s="69">
        <v>37602</v>
      </c>
      <c r="C192" s="69" t="s">
        <v>894</v>
      </c>
      <c r="D192" s="108" t="s">
        <v>370</v>
      </c>
      <c r="E192" s="108" t="s">
        <v>146</v>
      </c>
      <c r="F192" s="109">
        <v>0</v>
      </c>
      <c r="G192" s="109">
        <v>0</v>
      </c>
      <c r="H192" s="109">
        <v>0</v>
      </c>
      <c r="I192" s="109">
        <v>0</v>
      </c>
      <c r="J192" s="109">
        <v>0</v>
      </c>
      <c r="K192" s="109">
        <v>0</v>
      </c>
      <c r="L192" s="110">
        <v>0</v>
      </c>
      <c r="M192" s="109">
        <v>0</v>
      </c>
      <c r="N192" s="109">
        <v>0</v>
      </c>
      <c r="O192" s="109">
        <v>0</v>
      </c>
      <c r="P192" s="109">
        <v>0</v>
      </c>
      <c r="Q192" s="109">
        <v>0</v>
      </c>
      <c r="R192" s="109">
        <v>0</v>
      </c>
      <c r="S192" s="109">
        <v>0</v>
      </c>
      <c r="T192" s="109">
        <v>0</v>
      </c>
      <c r="U192" s="110">
        <v>0</v>
      </c>
      <c r="V192" s="111">
        <v>0</v>
      </c>
    </row>
    <row r="193" spans="1:22" x14ac:dyDescent="0.2">
      <c r="A193" s="69" t="s">
        <v>891</v>
      </c>
      <c r="B193" s="69">
        <v>37800</v>
      </c>
      <c r="C193" s="69" t="s">
        <v>895</v>
      </c>
      <c r="D193" s="108" t="s">
        <v>371</v>
      </c>
      <c r="E193" s="108" t="s">
        <v>147</v>
      </c>
      <c r="F193" s="109">
        <v>0</v>
      </c>
      <c r="G193" s="109">
        <v>0</v>
      </c>
      <c r="H193" s="109">
        <v>0</v>
      </c>
      <c r="I193" s="109">
        <v>0</v>
      </c>
      <c r="J193" s="109">
        <v>0</v>
      </c>
      <c r="K193" s="109">
        <v>0</v>
      </c>
      <c r="L193" s="110">
        <v>0</v>
      </c>
      <c r="M193" s="109">
        <v>0</v>
      </c>
      <c r="N193" s="109">
        <v>0</v>
      </c>
      <c r="O193" s="109">
        <v>0</v>
      </c>
      <c r="P193" s="109">
        <v>0</v>
      </c>
      <c r="Q193" s="109">
        <v>0</v>
      </c>
      <c r="R193" s="109">
        <v>0</v>
      </c>
      <c r="S193" s="109">
        <v>0</v>
      </c>
      <c r="T193" s="109">
        <v>0</v>
      </c>
      <c r="U193" s="110">
        <v>0</v>
      </c>
      <c r="V193" s="111">
        <v>0</v>
      </c>
    </row>
    <row r="194" spans="1:22" x14ac:dyDescent="0.2">
      <c r="A194" s="69" t="s">
        <v>896</v>
      </c>
      <c r="B194" s="69">
        <v>30301</v>
      </c>
      <c r="C194" s="69" t="s">
        <v>897</v>
      </c>
      <c r="D194" s="108" t="s">
        <v>372</v>
      </c>
      <c r="E194" s="108" t="s">
        <v>141</v>
      </c>
      <c r="F194" s="109">
        <v>102312.47</v>
      </c>
      <c r="G194" s="109">
        <v>12013.46</v>
      </c>
      <c r="H194" s="109">
        <v>-41289.39</v>
      </c>
      <c r="I194" s="109">
        <v>0</v>
      </c>
      <c r="J194" s="109">
        <v>73036.539999999994</v>
      </c>
      <c r="K194" s="109">
        <v>71071.743076923085</v>
      </c>
      <c r="L194" s="110">
        <v>0</v>
      </c>
      <c r="M194" s="109">
        <v>-100363.19000000026</v>
      </c>
      <c r="N194" s="109">
        <v>-3513.3599999999997</v>
      </c>
      <c r="O194" s="109">
        <v>41289.39</v>
      </c>
      <c r="P194" s="109">
        <v>0</v>
      </c>
      <c r="Q194" s="109">
        <v>0</v>
      </c>
      <c r="R194" s="109">
        <v>0</v>
      </c>
      <c r="S194" s="109">
        <v>-62587.160000000265</v>
      </c>
      <c r="T194" s="109">
        <v>-67304.831538461804</v>
      </c>
      <c r="U194" s="110">
        <v>0</v>
      </c>
      <c r="V194" s="111">
        <v>6.7000000000000004E-2</v>
      </c>
    </row>
    <row r="195" spans="1:22" x14ac:dyDescent="0.2">
      <c r="A195" s="69" t="s">
        <v>896</v>
      </c>
      <c r="B195" s="69">
        <v>37400</v>
      </c>
      <c r="C195" s="69" t="s">
        <v>898</v>
      </c>
      <c r="D195" s="108" t="s">
        <v>373</v>
      </c>
      <c r="E195" s="108" t="s">
        <v>142</v>
      </c>
      <c r="F195" s="109">
        <v>919.23</v>
      </c>
      <c r="G195" s="109">
        <v>0</v>
      </c>
      <c r="H195" s="109">
        <v>0</v>
      </c>
      <c r="I195" s="109">
        <v>0</v>
      </c>
      <c r="J195" s="109">
        <v>919.23</v>
      </c>
      <c r="K195" s="109">
        <v>919.22999999999968</v>
      </c>
      <c r="L195" s="110">
        <v>0</v>
      </c>
      <c r="M195" s="109">
        <v>0</v>
      </c>
      <c r="N195" s="109">
        <v>0</v>
      </c>
      <c r="O195" s="109">
        <v>0</v>
      </c>
      <c r="P195" s="109">
        <v>0</v>
      </c>
      <c r="Q195" s="109">
        <v>0</v>
      </c>
      <c r="R195" s="109">
        <v>0</v>
      </c>
      <c r="S195" s="109">
        <v>0</v>
      </c>
      <c r="T195" s="109">
        <v>0</v>
      </c>
      <c r="U195" s="110">
        <v>0</v>
      </c>
      <c r="V195" s="111">
        <v>0</v>
      </c>
    </row>
    <row r="196" spans="1:22" x14ac:dyDescent="0.2">
      <c r="A196" s="69" t="s">
        <v>896</v>
      </c>
      <c r="B196" s="69">
        <v>37402</v>
      </c>
      <c r="C196" s="69" t="s">
        <v>899</v>
      </c>
      <c r="D196" s="108" t="s">
        <v>374</v>
      </c>
      <c r="E196" s="108" t="s">
        <v>143</v>
      </c>
      <c r="F196" s="109">
        <v>51174.63</v>
      </c>
      <c r="G196" s="109">
        <v>0</v>
      </c>
      <c r="H196" s="109">
        <v>0</v>
      </c>
      <c r="I196" s="109">
        <v>0</v>
      </c>
      <c r="J196" s="109">
        <v>51174.63</v>
      </c>
      <c r="K196" s="109">
        <v>51174.63</v>
      </c>
      <c r="L196" s="110">
        <v>0</v>
      </c>
      <c r="M196" s="109">
        <v>-27695.939999999915</v>
      </c>
      <c r="N196" s="109">
        <v>-665.28</v>
      </c>
      <c r="O196" s="109">
        <v>0</v>
      </c>
      <c r="P196" s="109">
        <v>0</v>
      </c>
      <c r="Q196" s="109">
        <v>0</v>
      </c>
      <c r="R196" s="109">
        <v>0</v>
      </c>
      <c r="S196" s="109">
        <v>-28361.219999999914</v>
      </c>
      <c r="T196" s="109">
        <v>-28028.579999999907</v>
      </c>
      <c r="U196" s="110">
        <v>0</v>
      </c>
      <c r="V196" s="111">
        <v>1.2999999999999999E-2</v>
      </c>
    </row>
    <row r="197" spans="1:22" x14ac:dyDescent="0.2">
      <c r="A197" s="69" t="s">
        <v>896</v>
      </c>
      <c r="B197" s="69">
        <v>37500</v>
      </c>
      <c r="C197" s="69" t="s">
        <v>900</v>
      </c>
      <c r="D197" s="108" t="s">
        <v>375</v>
      </c>
      <c r="E197" s="108" t="s">
        <v>144</v>
      </c>
      <c r="F197" s="109">
        <v>677226.67999999993</v>
      </c>
      <c r="G197" s="109">
        <v>60348.93</v>
      </c>
      <c r="H197" s="109">
        <v>0</v>
      </c>
      <c r="I197" s="109">
        <v>0</v>
      </c>
      <c r="J197" s="109">
        <v>737575.61</v>
      </c>
      <c r="K197" s="109">
        <v>697257.68461538467</v>
      </c>
      <c r="L197" s="110">
        <v>0</v>
      </c>
      <c r="M197" s="109">
        <v>-250082.55000000063</v>
      </c>
      <c r="N197" s="109">
        <v>-17347.469999999998</v>
      </c>
      <c r="O197" s="109">
        <v>0</v>
      </c>
      <c r="P197" s="109">
        <v>0</v>
      </c>
      <c r="Q197" s="109">
        <v>0</v>
      </c>
      <c r="R197" s="109">
        <v>0</v>
      </c>
      <c r="S197" s="109">
        <v>-267430.0200000006</v>
      </c>
      <c r="T197" s="109">
        <v>-258621.15000000066</v>
      </c>
      <c r="U197" s="110">
        <v>0</v>
      </c>
      <c r="V197" s="111">
        <v>2.5000000000000001E-2</v>
      </c>
    </row>
    <row r="198" spans="1:22" x14ac:dyDescent="0.2">
      <c r="A198" s="69" t="s">
        <v>896</v>
      </c>
      <c r="B198" s="69">
        <v>37600</v>
      </c>
      <c r="C198" s="69" t="s">
        <v>901</v>
      </c>
      <c r="D198" s="108" t="s">
        <v>376</v>
      </c>
      <c r="E198" s="108" t="s">
        <v>145</v>
      </c>
      <c r="F198" s="109">
        <v>6847184.2300000004</v>
      </c>
      <c r="G198" s="109">
        <v>461127.11</v>
      </c>
      <c r="H198" s="109">
        <v>0</v>
      </c>
      <c r="I198" s="109">
        <v>0</v>
      </c>
      <c r="J198" s="109">
        <v>7308311.3400000008</v>
      </c>
      <c r="K198" s="109">
        <v>6913213.4292307701</v>
      </c>
      <c r="L198" s="110">
        <v>0</v>
      </c>
      <c r="M198" s="109">
        <v>-4963274.8100000015</v>
      </c>
      <c r="N198" s="109">
        <v>-288972.11000000004</v>
      </c>
      <c r="O198" s="109">
        <v>0</v>
      </c>
      <c r="P198" s="109">
        <v>38494.44</v>
      </c>
      <c r="Q198" s="109">
        <v>0</v>
      </c>
      <c r="R198" s="109">
        <v>0</v>
      </c>
      <c r="S198" s="109">
        <v>-5213752.4800000014</v>
      </c>
      <c r="T198" s="109">
        <v>-5096725.2461538473</v>
      </c>
      <c r="U198" s="110">
        <v>0</v>
      </c>
      <c r="V198" s="111">
        <v>4.2000000000000003E-2</v>
      </c>
    </row>
    <row r="199" spans="1:22" x14ac:dyDescent="0.2">
      <c r="A199" s="69" t="s">
        <v>896</v>
      </c>
      <c r="B199" s="69">
        <v>37602</v>
      </c>
      <c r="C199" s="69" t="s">
        <v>902</v>
      </c>
      <c r="D199" s="108" t="s">
        <v>377</v>
      </c>
      <c r="E199" s="108" t="s">
        <v>146</v>
      </c>
      <c r="F199" s="109">
        <v>9851471.349999994</v>
      </c>
      <c r="G199" s="109">
        <v>2334044.3199999998</v>
      </c>
      <c r="H199" s="109">
        <v>0</v>
      </c>
      <c r="I199" s="109">
        <v>0</v>
      </c>
      <c r="J199" s="109">
        <v>12185515.669999994</v>
      </c>
      <c r="K199" s="109">
        <v>11099776.396923069</v>
      </c>
      <c r="L199" s="110">
        <v>0</v>
      </c>
      <c r="M199" s="109">
        <v>-2714491.0900000031</v>
      </c>
      <c r="N199" s="109">
        <v>-341288.23999999993</v>
      </c>
      <c r="O199" s="109">
        <v>0</v>
      </c>
      <c r="P199" s="109">
        <v>70012.459999999992</v>
      </c>
      <c r="Q199" s="109">
        <v>0</v>
      </c>
      <c r="R199" s="109">
        <v>0</v>
      </c>
      <c r="S199" s="109">
        <v>-2985766.8700000029</v>
      </c>
      <c r="T199" s="109">
        <v>-2856082.9592307713</v>
      </c>
      <c r="U199" s="110">
        <v>0</v>
      </c>
      <c r="V199" s="111">
        <v>3.1E-2</v>
      </c>
    </row>
    <row r="200" spans="1:22" x14ac:dyDescent="0.2">
      <c r="A200" s="69" t="s">
        <v>896</v>
      </c>
      <c r="B200" s="69">
        <v>37602</v>
      </c>
      <c r="C200" s="69" t="s">
        <v>902</v>
      </c>
      <c r="D200" s="108" t="s">
        <v>378</v>
      </c>
      <c r="E200" s="108" t="s">
        <v>146</v>
      </c>
      <c r="F200" s="109">
        <v>0</v>
      </c>
      <c r="G200" s="109">
        <v>0</v>
      </c>
      <c r="H200" s="109">
        <v>0</v>
      </c>
      <c r="I200" s="109">
        <v>0</v>
      </c>
      <c r="J200" s="109">
        <v>0</v>
      </c>
      <c r="K200" s="109">
        <v>0</v>
      </c>
      <c r="L200" s="110">
        <v>0</v>
      </c>
      <c r="M200" s="109">
        <v>0</v>
      </c>
      <c r="N200" s="109">
        <v>0</v>
      </c>
      <c r="O200" s="109">
        <v>0</v>
      </c>
      <c r="P200" s="109">
        <v>0</v>
      </c>
      <c r="Q200" s="109">
        <v>0</v>
      </c>
      <c r="R200" s="109">
        <v>0</v>
      </c>
      <c r="S200" s="109">
        <v>0</v>
      </c>
      <c r="T200" s="109">
        <v>0</v>
      </c>
      <c r="U200" s="110">
        <v>0</v>
      </c>
      <c r="V200" s="111">
        <v>3.1E-2</v>
      </c>
    </row>
    <row r="201" spans="1:22" x14ac:dyDescent="0.2">
      <c r="A201" s="69" t="s">
        <v>896</v>
      </c>
      <c r="B201" s="69">
        <v>37800</v>
      </c>
      <c r="C201" s="69" t="s">
        <v>903</v>
      </c>
      <c r="D201" s="108" t="s">
        <v>379</v>
      </c>
      <c r="E201" s="108" t="s">
        <v>147</v>
      </c>
      <c r="F201" s="109">
        <v>270066.96999999997</v>
      </c>
      <c r="G201" s="109">
        <v>57873.85</v>
      </c>
      <c r="H201" s="109">
        <v>-16528.93</v>
      </c>
      <c r="I201" s="109">
        <v>0</v>
      </c>
      <c r="J201" s="109">
        <v>311411.88999999996</v>
      </c>
      <c r="K201" s="109">
        <v>273743.29769230768</v>
      </c>
      <c r="L201" s="110">
        <v>0</v>
      </c>
      <c r="M201" s="109">
        <v>-61077.93000000016</v>
      </c>
      <c r="N201" s="109">
        <v>-9200.5800000000017</v>
      </c>
      <c r="O201" s="109">
        <v>16528.93</v>
      </c>
      <c r="P201" s="109">
        <v>907.08</v>
      </c>
      <c r="Q201" s="109">
        <v>0</v>
      </c>
      <c r="R201" s="109">
        <v>0</v>
      </c>
      <c r="S201" s="109">
        <v>-52842.500000000153</v>
      </c>
      <c r="T201" s="109">
        <v>-56255.477692307861</v>
      </c>
      <c r="U201" s="110">
        <v>0</v>
      </c>
      <c r="V201" s="111">
        <v>3.4000000000000002E-2</v>
      </c>
    </row>
    <row r="202" spans="1:22" x14ac:dyDescent="0.2">
      <c r="A202" s="69" t="s">
        <v>896</v>
      </c>
      <c r="B202" s="69">
        <v>37900</v>
      </c>
      <c r="C202" s="69" t="s">
        <v>904</v>
      </c>
      <c r="D202" s="108" t="s">
        <v>380</v>
      </c>
      <c r="E202" s="108" t="s">
        <v>148</v>
      </c>
      <c r="F202" s="109">
        <v>1733681.5</v>
      </c>
      <c r="G202" s="109">
        <v>191152.37</v>
      </c>
      <c r="H202" s="109">
        <v>0</v>
      </c>
      <c r="I202" s="109">
        <v>0</v>
      </c>
      <c r="J202" s="109">
        <v>1924833.87</v>
      </c>
      <c r="K202" s="109">
        <v>1762091.5561538462</v>
      </c>
      <c r="L202" s="110">
        <v>0</v>
      </c>
      <c r="M202" s="109">
        <v>-287963.27999999933</v>
      </c>
      <c r="N202" s="109">
        <v>-59450.039999999994</v>
      </c>
      <c r="O202" s="109">
        <v>0</v>
      </c>
      <c r="P202" s="109">
        <v>0</v>
      </c>
      <c r="Q202" s="109">
        <v>0</v>
      </c>
      <c r="R202" s="109">
        <v>0</v>
      </c>
      <c r="S202" s="109">
        <v>-347413.31999999931</v>
      </c>
      <c r="T202" s="109">
        <v>-317495.67230769148</v>
      </c>
      <c r="U202" s="110">
        <v>0</v>
      </c>
      <c r="V202" s="111">
        <v>3.4000000000000002E-2</v>
      </c>
    </row>
    <row r="203" spans="1:22" x14ac:dyDescent="0.2">
      <c r="A203" s="69" t="s">
        <v>896</v>
      </c>
      <c r="B203" s="69">
        <v>38000</v>
      </c>
      <c r="C203" s="69" t="s">
        <v>905</v>
      </c>
      <c r="D203" s="108" t="s">
        <v>381</v>
      </c>
      <c r="E203" s="108" t="s">
        <v>149</v>
      </c>
      <c r="F203" s="109">
        <v>1042135.65</v>
      </c>
      <c r="G203" s="109">
        <v>24408.45</v>
      </c>
      <c r="H203" s="109">
        <v>-343.53</v>
      </c>
      <c r="I203" s="109">
        <v>0</v>
      </c>
      <c r="J203" s="109">
        <v>1066200.57</v>
      </c>
      <c r="K203" s="109">
        <v>1054747.1984615382</v>
      </c>
      <c r="L203" s="110">
        <v>0</v>
      </c>
      <c r="M203" s="109">
        <v>-1417684.1100000006</v>
      </c>
      <c r="N203" s="109">
        <v>-69550.34</v>
      </c>
      <c r="O203" s="109">
        <v>343.53</v>
      </c>
      <c r="P203" s="109">
        <v>9572.6</v>
      </c>
      <c r="Q203" s="109">
        <v>0</v>
      </c>
      <c r="R203" s="109">
        <v>0</v>
      </c>
      <c r="S203" s="109">
        <v>-1477318.3200000005</v>
      </c>
      <c r="T203" s="109">
        <v>-1446643.6669230771</v>
      </c>
      <c r="U203" s="110">
        <v>0</v>
      </c>
      <c r="V203" s="111">
        <v>6.5999999999999989E-2</v>
      </c>
    </row>
    <row r="204" spans="1:22" x14ac:dyDescent="0.2">
      <c r="A204" s="69" t="s">
        <v>896</v>
      </c>
      <c r="B204" s="69">
        <v>38002</v>
      </c>
      <c r="C204" s="69" t="s">
        <v>906</v>
      </c>
      <c r="D204" s="108" t="s">
        <v>382</v>
      </c>
      <c r="E204" s="108" t="s">
        <v>150</v>
      </c>
      <c r="F204" s="109">
        <v>4938772.4099999964</v>
      </c>
      <c r="G204" s="109">
        <v>86369.02</v>
      </c>
      <c r="H204" s="109">
        <v>-2466.7199999999998</v>
      </c>
      <c r="I204" s="109">
        <v>0</v>
      </c>
      <c r="J204" s="109">
        <v>5022674.7099999962</v>
      </c>
      <c r="K204" s="109">
        <v>4976198.8707692269</v>
      </c>
      <c r="L204" s="110">
        <v>0</v>
      </c>
      <c r="M204" s="109">
        <v>-2405783.200000002</v>
      </c>
      <c r="N204" s="109">
        <v>-248616.28000000003</v>
      </c>
      <c r="O204" s="109">
        <v>2466.7199999999998</v>
      </c>
      <c r="P204" s="109">
        <v>33083.75</v>
      </c>
      <c r="Q204" s="109">
        <v>0</v>
      </c>
      <c r="R204" s="109">
        <v>0</v>
      </c>
      <c r="S204" s="109">
        <v>-2618849.0100000021</v>
      </c>
      <c r="T204" s="109">
        <v>-2513230.4930769242</v>
      </c>
      <c r="U204" s="110">
        <v>0</v>
      </c>
      <c r="V204" s="111">
        <v>0.05</v>
      </c>
    </row>
    <row r="205" spans="1:22" x14ac:dyDescent="0.2">
      <c r="A205" s="69" t="s">
        <v>896</v>
      </c>
      <c r="B205" s="69">
        <v>38200</v>
      </c>
      <c r="C205" s="69" t="s">
        <v>907</v>
      </c>
      <c r="D205" s="108" t="s">
        <v>383</v>
      </c>
      <c r="E205" s="108" t="s">
        <v>152</v>
      </c>
      <c r="F205" s="109">
        <v>577672.45999999973</v>
      </c>
      <c r="G205" s="109">
        <v>16365.889999999998</v>
      </c>
      <c r="H205" s="109">
        <v>-81.81</v>
      </c>
      <c r="I205" s="109">
        <v>0</v>
      </c>
      <c r="J205" s="109">
        <v>593956.53999999969</v>
      </c>
      <c r="K205" s="109">
        <v>584049.37615384581</v>
      </c>
      <c r="L205" s="110">
        <v>0</v>
      </c>
      <c r="M205" s="109">
        <v>-239258.79999999984</v>
      </c>
      <c r="N205" s="109">
        <v>-26245.069999999996</v>
      </c>
      <c r="O205" s="109">
        <v>81.81</v>
      </c>
      <c r="P205" s="109">
        <v>107.53</v>
      </c>
      <c r="Q205" s="109">
        <v>0</v>
      </c>
      <c r="R205" s="109">
        <v>0</v>
      </c>
      <c r="S205" s="109">
        <v>-265314.5299999998</v>
      </c>
      <c r="T205" s="109">
        <v>-252151.5407692306</v>
      </c>
      <c r="U205" s="110">
        <v>0</v>
      </c>
      <c r="V205" s="111">
        <v>4.4999999999999998E-2</v>
      </c>
    </row>
    <row r="206" spans="1:22" x14ac:dyDescent="0.2">
      <c r="A206" s="69" t="s">
        <v>896</v>
      </c>
      <c r="B206" s="69">
        <v>38300</v>
      </c>
      <c r="C206" s="69" t="s">
        <v>908</v>
      </c>
      <c r="D206" s="108" t="s">
        <v>384</v>
      </c>
      <c r="E206" s="108" t="s">
        <v>153</v>
      </c>
      <c r="F206" s="109">
        <v>383415.85</v>
      </c>
      <c r="G206" s="109">
        <v>50492.4</v>
      </c>
      <c r="H206" s="109">
        <v>0</v>
      </c>
      <c r="I206" s="109">
        <v>0</v>
      </c>
      <c r="J206" s="109">
        <v>433908.25</v>
      </c>
      <c r="K206" s="109">
        <v>403745.23999999993</v>
      </c>
      <c r="L206" s="110">
        <v>0</v>
      </c>
      <c r="M206" s="109">
        <v>-217897.71000000008</v>
      </c>
      <c r="N206" s="109">
        <v>-14444.34</v>
      </c>
      <c r="O206" s="109">
        <v>0</v>
      </c>
      <c r="P206" s="109">
        <v>0</v>
      </c>
      <c r="Q206" s="109">
        <v>0</v>
      </c>
      <c r="R206" s="109">
        <v>0</v>
      </c>
      <c r="S206" s="109">
        <v>-232342.05000000008</v>
      </c>
      <c r="T206" s="109">
        <v>-224957.76769230774</v>
      </c>
      <c r="U206" s="110">
        <v>0</v>
      </c>
      <c r="V206" s="111">
        <v>3.5999999999999997E-2</v>
      </c>
    </row>
    <row r="207" spans="1:22" x14ac:dyDescent="0.2">
      <c r="A207" s="69" t="s">
        <v>896</v>
      </c>
      <c r="B207" s="69">
        <v>38400</v>
      </c>
      <c r="C207" s="69" t="s">
        <v>909</v>
      </c>
      <c r="D207" s="108" t="s">
        <v>385</v>
      </c>
      <c r="E207" s="108" t="s">
        <v>154</v>
      </c>
      <c r="F207" s="109">
        <v>233234.43000000002</v>
      </c>
      <c r="G207" s="109">
        <v>11568.91</v>
      </c>
      <c r="H207" s="109">
        <v>-145.36000000000001</v>
      </c>
      <c r="I207" s="109">
        <v>0</v>
      </c>
      <c r="J207" s="109">
        <v>244657.98000000004</v>
      </c>
      <c r="K207" s="109">
        <v>236788.39615384623</v>
      </c>
      <c r="L207" s="110">
        <v>0</v>
      </c>
      <c r="M207" s="109">
        <v>-133856.66999999995</v>
      </c>
      <c r="N207" s="109">
        <v>-10625.970000000001</v>
      </c>
      <c r="O207" s="109">
        <v>145.36000000000001</v>
      </c>
      <c r="P207" s="109">
        <v>107.55000000000001</v>
      </c>
      <c r="Q207" s="109">
        <v>0</v>
      </c>
      <c r="R207" s="109">
        <v>0</v>
      </c>
      <c r="S207" s="109">
        <v>-144229.72999999998</v>
      </c>
      <c r="T207" s="109">
        <v>-138905.06230769231</v>
      </c>
      <c r="U207" s="110">
        <v>0</v>
      </c>
      <c r="V207" s="111">
        <v>4.4999999999999998E-2</v>
      </c>
    </row>
    <row r="208" spans="1:22" x14ac:dyDescent="0.2">
      <c r="A208" s="69" t="s">
        <v>896</v>
      </c>
      <c r="B208" s="69">
        <v>38500</v>
      </c>
      <c r="C208" s="69" t="s">
        <v>910</v>
      </c>
      <c r="D208" s="108" t="s">
        <v>386</v>
      </c>
      <c r="E208" s="108" t="s">
        <v>155</v>
      </c>
      <c r="F208" s="109">
        <v>765485.79999999993</v>
      </c>
      <c r="G208" s="109">
        <v>0</v>
      </c>
      <c r="H208" s="109">
        <v>0</v>
      </c>
      <c r="I208" s="109">
        <v>0</v>
      </c>
      <c r="J208" s="109">
        <v>765485.79999999993</v>
      </c>
      <c r="K208" s="109">
        <v>765485.8</v>
      </c>
      <c r="L208" s="110">
        <v>0</v>
      </c>
      <c r="M208" s="109">
        <v>-381772.11000000057</v>
      </c>
      <c r="N208" s="109">
        <v>-23730</v>
      </c>
      <c r="O208" s="109">
        <v>0</v>
      </c>
      <c r="P208" s="109">
        <v>0</v>
      </c>
      <c r="Q208" s="109">
        <v>0</v>
      </c>
      <c r="R208" s="109">
        <v>0</v>
      </c>
      <c r="S208" s="109">
        <v>-405502.11000000057</v>
      </c>
      <c r="T208" s="109">
        <v>-393637.11000000045</v>
      </c>
      <c r="U208" s="110">
        <v>0</v>
      </c>
      <c r="V208" s="111">
        <v>3.1E-2</v>
      </c>
    </row>
    <row r="209" spans="1:22" x14ac:dyDescent="0.2">
      <c r="A209" s="69" t="s">
        <v>896</v>
      </c>
      <c r="B209" s="69">
        <v>38700</v>
      </c>
      <c r="C209" s="69" t="s">
        <v>911</v>
      </c>
      <c r="D209" s="108" t="s">
        <v>387</v>
      </c>
      <c r="E209" s="108" t="s">
        <v>156</v>
      </c>
      <c r="F209" s="109">
        <v>136665.94999999998</v>
      </c>
      <c r="G209" s="109">
        <v>46869.45</v>
      </c>
      <c r="H209" s="109">
        <v>0</v>
      </c>
      <c r="I209" s="109">
        <v>0</v>
      </c>
      <c r="J209" s="109">
        <v>183535.39999999997</v>
      </c>
      <c r="K209" s="109">
        <v>163964.43769230766</v>
      </c>
      <c r="L209" s="110">
        <v>0</v>
      </c>
      <c r="M209" s="109">
        <v>-77294.830000000016</v>
      </c>
      <c r="N209" s="109">
        <v>-10227</v>
      </c>
      <c r="O209" s="109">
        <v>0</v>
      </c>
      <c r="P209" s="109">
        <v>0</v>
      </c>
      <c r="Q209" s="109">
        <v>0</v>
      </c>
      <c r="R209" s="109">
        <v>0</v>
      </c>
      <c r="S209" s="109">
        <v>-87521.830000000016</v>
      </c>
      <c r="T209" s="109">
        <v>-82346.137692307733</v>
      </c>
      <c r="U209" s="110">
        <v>0</v>
      </c>
      <c r="V209" s="111">
        <v>6.3E-2</v>
      </c>
    </row>
    <row r="210" spans="1:22" x14ac:dyDescent="0.2">
      <c r="A210" s="69" t="s">
        <v>896</v>
      </c>
      <c r="B210" s="69">
        <v>39100</v>
      </c>
      <c r="C210" s="69" t="s">
        <v>912</v>
      </c>
      <c r="D210" s="108" t="s">
        <v>388</v>
      </c>
      <c r="E210" s="108" t="s">
        <v>159</v>
      </c>
      <c r="F210" s="109">
        <v>0</v>
      </c>
      <c r="G210" s="109">
        <v>4004.49</v>
      </c>
      <c r="H210" s="109">
        <v>0</v>
      </c>
      <c r="I210" s="109">
        <v>0</v>
      </c>
      <c r="J210" s="109">
        <v>4004.49</v>
      </c>
      <c r="K210" s="109">
        <v>1232.1507692307691</v>
      </c>
      <c r="L210" s="110">
        <v>0</v>
      </c>
      <c r="M210" s="109">
        <v>-10159.399999999985</v>
      </c>
      <c r="N210" s="109">
        <v>-67.08</v>
      </c>
      <c r="O210" s="109">
        <v>0</v>
      </c>
      <c r="P210" s="109">
        <v>0</v>
      </c>
      <c r="Q210" s="109">
        <v>0</v>
      </c>
      <c r="R210" s="109">
        <v>0</v>
      </c>
      <c r="S210" s="109">
        <v>-10226.479999999985</v>
      </c>
      <c r="T210" s="109">
        <v>-10169.719999999983</v>
      </c>
      <c r="U210" s="110">
        <v>0</v>
      </c>
      <c r="V210" s="111">
        <v>6.7000000000000004E-2</v>
      </c>
    </row>
    <row r="211" spans="1:22" x14ac:dyDescent="0.2">
      <c r="A211" s="69" t="s">
        <v>896</v>
      </c>
      <c r="B211" s="69">
        <v>39101</v>
      </c>
      <c r="C211" s="69" t="s">
        <v>913</v>
      </c>
      <c r="D211" s="108" t="s">
        <v>389</v>
      </c>
      <c r="E211" s="108" t="s">
        <v>160</v>
      </c>
      <c r="F211" s="109">
        <v>17164.609999999997</v>
      </c>
      <c r="G211" s="109">
        <v>2160.5300000000002</v>
      </c>
      <c r="H211" s="109">
        <v>-6863.99</v>
      </c>
      <c r="I211" s="109">
        <v>0</v>
      </c>
      <c r="J211" s="109">
        <v>12461.149999999996</v>
      </c>
      <c r="K211" s="109">
        <v>11522.813076923074</v>
      </c>
      <c r="L211" s="110">
        <v>0</v>
      </c>
      <c r="M211" s="109">
        <v>-27872.189999999973</v>
      </c>
      <c r="N211" s="109">
        <v>-1430.5999999999997</v>
      </c>
      <c r="O211" s="109">
        <v>6863.99</v>
      </c>
      <c r="P211" s="109">
        <v>0</v>
      </c>
      <c r="Q211" s="109">
        <v>0</v>
      </c>
      <c r="R211" s="109">
        <v>0</v>
      </c>
      <c r="S211" s="109">
        <v>-22438.799999999974</v>
      </c>
      <c r="T211" s="109">
        <v>-22834.498461538427</v>
      </c>
      <c r="U211" s="110">
        <v>0</v>
      </c>
      <c r="V211" s="111">
        <v>0.125</v>
      </c>
    </row>
    <row r="212" spans="1:22" x14ac:dyDescent="0.2">
      <c r="A212" s="69" t="s">
        <v>896</v>
      </c>
      <c r="B212" s="69">
        <v>39102</v>
      </c>
      <c r="C212" s="69" t="s">
        <v>914</v>
      </c>
      <c r="D212" s="108" t="s">
        <v>390</v>
      </c>
      <c r="E212" s="108" t="s">
        <v>161</v>
      </c>
      <c r="F212" s="109">
        <v>6708.9699999999993</v>
      </c>
      <c r="G212" s="109">
        <v>0</v>
      </c>
      <c r="H212" s="109">
        <v>0</v>
      </c>
      <c r="I212" s="109">
        <v>0</v>
      </c>
      <c r="J212" s="109">
        <v>6708.9699999999993</v>
      </c>
      <c r="K212" s="109">
        <v>6708.97</v>
      </c>
      <c r="L212" s="110">
        <v>0</v>
      </c>
      <c r="M212" s="109">
        <v>-6636.8600000000006</v>
      </c>
      <c r="N212" s="109">
        <v>-449.51999999999992</v>
      </c>
      <c r="O212" s="109">
        <v>0</v>
      </c>
      <c r="P212" s="109">
        <v>0</v>
      </c>
      <c r="Q212" s="109">
        <v>0</v>
      </c>
      <c r="R212" s="109">
        <v>0</v>
      </c>
      <c r="S212" s="109">
        <v>-7086.38</v>
      </c>
      <c r="T212" s="109">
        <v>-6861.6200000000017</v>
      </c>
      <c r="U212" s="110">
        <v>0</v>
      </c>
      <c r="V212" s="111">
        <v>6.7000000000000004E-2</v>
      </c>
    </row>
    <row r="213" spans="1:22" x14ac:dyDescent="0.2">
      <c r="A213" s="69" t="s">
        <v>896</v>
      </c>
      <c r="B213" s="69">
        <v>39201</v>
      </c>
      <c r="C213" s="69" t="s">
        <v>915</v>
      </c>
      <c r="D213" s="108" t="s">
        <v>391</v>
      </c>
      <c r="E213" s="108" t="s">
        <v>163</v>
      </c>
      <c r="F213" s="109">
        <v>98432.48000000001</v>
      </c>
      <c r="G213" s="109">
        <v>0</v>
      </c>
      <c r="H213" s="109">
        <v>-17992.91</v>
      </c>
      <c r="I213" s="109">
        <v>0</v>
      </c>
      <c r="J213" s="109">
        <v>80439.570000000007</v>
      </c>
      <c r="K213" s="109">
        <v>92896.200000000012</v>
      </c>
      <c r="L213" s="110">
        <v>0</v>
      </c>
      <c r="M213" s="109">
        <v>-78084.309999999736</v>
      </c>
      <c r="N213" s="109">
        <v>-10520.61</v>
      </c>
      <c r="O213" s="109">
        <v>17992.91</v>
      </c>
      <c r="P213" s="109">
        <v>0</v>
      </c>
      <c r="Q213" s="109">
        <v>-700</v>
      </c>
      <c r="R213" s="109">
        <v>0</v>
      </c>
      <c r="S213" s="109">
        <v>-71312.009999999733</v>
      </c>
      <c r="T213" s="109">
        <v>-78209.599999999715</v>
      </c>
      <c r="U213" s="110">
        <v>0</v>
      </c>
      <c r="V213" s="111">
        <v>0.112</v>
      </c>
    </row>
    <row r="214" spans="1:22" x14ac:dyDescent="0.2">
      <c r="A214" s="69" t="s">
        <v>896</v>
      </c>
      <c r="B214" s="69">
        <v>39202</v>
      </c>
      <c r="C214" s="69" t="s">
        <v>916</v>
      </c>
      <c r="D214" s="108" t="s">
        <v>392</v>
      </c>
      <c r="E214" s="108" t="s">
        <v>164</v>
      </c>
      <c r="F214" s="109">
        <v>420092.25999999989</v>
      </c>
      <c r="G214" s="109">
        <v>-734.62</v>
      </c>
      <c r="H214" s="109">
        <v>-57308.4</v>
      </c>
      <c r="I214" s="109">
        <v>0</v>
      </c>
      <c r="J214" s="109">
        <v>362049.23999999987</v>
      </c>
      <c r="K214" s="109">
        <v>375895.85692307685</v>
      </c>
      <c r="L214" s="110">
        <v>0</v>
      </c>
      <c r="M214" s="109">
        <v>-233446.74000000002</v>
      </c>
      <c r="N214" s="109">
        <v>-47885.31</v>
      </c>
      <c r="O214" s="109">
        <v>57308.4</v>
      </c>
      <c r="P214" s="109">
        <v>0</v>
      </c>
      <c r="Q214" s="109">
        <v>-9100</v>
      </c>
      <c r="R214" s="109">
        <v>0</v>
      </c>
      <c r="S214" s="109">
        <v>-233123.65000000005</v>
      </c>
      <c r="T214" s="109">
        <v>-220981.5</v>
      </c>
      <c r="U214" s="110">
        <v>0</v>
      </c>
      <c r="V214" s="111">
        <v>0.127</v>
      </c>
    </row>
    <row r="215" spans="1:22" x14ac:dyDescent="0.2">
      <c r="A215" s="69" t="s">
        <v>896</v>
      </c>
      <c r="B215" s="69">
        <v>39204</v>
      </c>
      <c r="C215" s="69" t="s">
        <v>917</v>
      </c>
      <c r="D215" s="108" t="s">
        <v>393</v>
      </c>
      <c r="E215" s="108" t="s">
        <v>166</v>
      </c>
      <c r="F215" s="109">
        <v>12948.28</v>
      </c>
      <c r="G215" s="109">
        <v>0</v>
      </c>
      <c r="H215" s="109">
        <v>0</v>
      </c>
      <c r="I215" s="109">
        <v>0</v>
      </c>
      <c r="J215" s="109">
        <v>12948.28</v>
      </c>
      <c r="K215" s="109">
        <v>12948.28</v>
      </c>
      <c r="L215" s="110">
        <v>0</v>
      </c>
      <c r="M215" s="109">
        <v>-7066.7199999999893</v>
      </c>
      <c r="N215" s="109">
        <v>-517.91999999999985</v>
      </c>
      <c r="O215" s="109">
        <v>0</v>
      </c>
      <c r="P215" s="109">
        <v>0</v>
      </c>
      <c r="Q215" s="109">
        <v>0</v>
      </c>
      <c r="R215" s="109">
        <v>0</v>
      </c>
      <c r="S215" s="109">
        <v>-7584.6399999999894</v>
      </c>
      <c r="T215" s="109">
        <v>-7325.6799999999876</v>
      </c>
      <c r="U215" s="110">
        <v>0</v>
      </c>
      <c r="V215" s="111">
        <v>0.04</v>
      </c>
    </row>
    <row r="216" spans="1:22" x14ac:dyDescent="0.2">
      <c r="A216" s="69" t="s">
        <v>896</v>
      </c>
      <c r="B216" s="69">
        <v>39205</v>
      </c>
      <c r="C216" s="69" t="s">
        <v>918</v>
      </c>
      <c r="D216" s="108" t="s">
        <v>394</v>
      </c>
      <c r="E216" s="108" t="s">
        <v>167</v>
      </c>
      <c r="F216" s="109">
        <v>69236.51999999999</v>
      </c>
      <c r="G216" s="109">
        <v>0</v>
      </c>
      <c r="H216" s="109">
        <v>0</v>
      </c>
      <c r="I216" s="109">
        <v>0</v>
      </c>
      <c r="J216" s="109">
        <v>69236.51999999999</v>
      </c>
      <c r="K216" s="109">
        <v>69236.52</v>
      </c>
      <c r="L216" s="110">
        <v>0</v>
      </c>
      <c r="M216" s="109">
        <v>-69748.270000000237</v>
      </c>
      <c r="N216" s="109">
        <v>-5123.5199999999995</v>
      </c>
      <c r="O216" s="109">
        <v>0</v>
      </c>
      <c r="P216" s="109">
        <v>0</v>
      </c>
      <c r="Q216" s="109">
        <v>0</v>
      </c>
      <c r="R216" s="109">
        <v>0</v>
      </c>
      <c r="S216" s="109">
        <v>-74871.790000000241</v>
      </c>
      <c r="T216" s="109">
        <v>-72310.030000000275</v>
      </c>
      <c r="U216" s="110">
        <v>0</v>
      </c>
      <c r="V216" s="111">
        <v>7.3999999999999996E-2</v>
      </c>
    </row>
    <row r="217" spans="1:22" x14ac:dyDescent="0.2">
      <c r="A217" s="69" t="s">
        <v>896</v>
      </c>
      <c r="B217" s="69">
        <v>39300</v>
      </c>
      <c r="C217" s="69" t="s">
        <v>919</v>
      </c>
      <c r="D217" s="108" t="s">
        <v>395</v>
      </c>
      <c r="E217" s="108" t="s">
        <v>168</v>
      </c>
      <c r="F217" s="109">
        <v>0</v>
      </c>
      <c r="G217" s="109">
        <v>0</v>
      </c>
      <c r="H217" s="109">
        <v>0</v>
      </c>
      <c r="I217" s="109">
        <v>0</v>
      </c>
      <c r="J217" s="109">
        <v>0</v>
      </c>
      <c r="K217" s="109">
        <v>0</v>
      </c>
      <c r="L217" s="110">
        <v>0</v>
      </c>
      <c r="M217" s="109">
        <v>1099.539999999997</v>
      </c>
      <c r="N217" s="109">
        <v>0</v>
      </c>
      <c r="O217" s="109">
        <v>0</v>
      </c>
      <c r="P217" s="109">
        <v>0</v>
      </c>
      <c r="Q217" s="109">
        <v>0</v>
      </c>
      <c r="R217" s="109">
        <v>0</v>
      </c>
      <c r="S217" s="109">
        <v>1099.539999999997</v>
      </c>
      <c r="T217" s="109">
        <v>1099.539999999997</v>
      </c>
      <c r="U217" s="110">
        <v>0</v>
      </c>
      <c r="V217" s="111">
        <v>0.04</v>
      </c>
    </row>
    <row r="218" spans="1:22" x14ac:dyDescent="0.2">
      <c r="A218" s="69" t="s">
        <v>896</v>
      </c>
      <c r="B218" s="69">
        <v>39400</v>
      </c>
      <c r="C218" s="69" t="s">
        <v>920</v>
      </c>
      <c r="D218" s="108" t="s">
        <v>396</v>
      </c>
      <c r="E218" s="108" t="s">
        <v>169</v>
      </c>
      <c r="F218" s="109">
        <v>24302.439999999988</v>
      </c>
      <c r="G218" s="109">
        <v>38266.239999999998</v>
      </c>
      <c r="H218" s="109">
        <v>0</v>
      </c>
      <c r="I218" s="109">
        <v>0</v>
      </c>
      <c r="J218" s="109">
        <v>62568.679999999986</v>
      </c>
      <c r="K218" s="109">
        <v>36687.481538461529</v>
      </c>
      <c r="L218" s="110">
        <v>0</v>
      </c>
      <c r="M218" s="109">
        <v>-39995.619999999915</v>
      </c>
      <c r="N218" s="109">
        <v>-2279.0099999999998</v>
      </c>
      <c r="O218" s="109">
        <v>0</v>
      </c>
      <c r="P218" s="109">
        <v>0</v>
      </c>
      <c r="Q218" s="109">
        <v>0</v>
      </c>
      <c r="R218" s="109">
        <v>0</v>
      </c>
      <c r="S218" s="109">
        <v>-42274.629999999917</v>
      </c>
      <c r="T218" s="109">
        <v>-40974.750769230683</v>
      </c>
      <c r="U218" s="110">
        <v>0</v>
      </c>
      <c r="V218" s="111">
        <v>6.6000000000000003E-2</v>
      </c>
    </row>
    <row r="219" spans="1:22" x14ac:dyDescent="0.2">
      <c r="A219" s="69" t="s">
        <v>896</v>
      </c>
      <c r="B219" s="69">
        <v>39600</v>
      </c>
      <c r="C219" s="69" t="s">
        <v>921</v>
      </c>
      <c r="D219" s="108" t="s">
        <v>397</v>
      </c>
      <c r="E219" s="108" t="s">
        <v>171</v>
      </c>
      <c r="F219" s="109">
        <v>25918.77</v>
      </c>
      <c r="G219" s="109">
        <v>0</v>
      </c>
      <c r="H219" s="109">
        <v>0</v>
      </c>
      <c r="I219" s="109">
        <v>0</v>
      </c>
      <c r="J219" s="109">
        <v>25918.77</v>
      </c>
      <c r="K219" s="109">
        <v>25918.77</v>
      </c>
      <c r="L219" s="110">
        <v>0</v>
      </c>
      <c r="M219" s="109">
        <v>-19742.929999999978</v>
      </c>
      <c r="N219" s="109">
        <v>-1658.76</v>
      </c>
      <c r="O219" s="109">
        <v>0</v>
      </c>
      <c r="P219" s="109">
        <v>0</v>
      </c>
      <c r="Q219" s="109">
        <v>0</v>
      </c>
      <c r="R219" s="109">
        <v>0</v>
      </c>
      <c r="S219" s="109">
        <v>-21401.689999999977</v>
      </c>
      <c r="T219" s="109">
        <v>-20572.309999999976</v>
      </c>
      <c r="U219" s="110">
        <v>0</v>
      </c>
      <c r="V219" s="111">
        <v>6.4000000000000001E-2</v>
      </c>
    </row>
    <row r="220" spans="1:22" x14ac:dyDescent="0.2">
      <c r="A220" s="69" t="s">
        <v>896</v>
      </c>
      <c r="B220" s="69">
        <v>39700</v>
      </c>
      <c r="C220" s="69" t="s">
        <v>922</v>
      </c>
      <c r="D220" s="108" t="s">
        <v>398</v>
      </c>
      <c r="E220" s="108" t="s">
        <v>172</v>
      </c>
      <c r="F220" s="109">
        <v>17161.330000000016</v>
      </c>
      <c r="G220" s="109">
        <v>0</v>
      </c>
      <c r="H220" s="109">
        <v>0</v>
      </c>
      <c r="I220" s="109">
        <v>0</v>
      </c>
      <c r="J220" s="109">
        <v>17161.330000000016</v>
      </c>
      <c r="K220" s="109">
        <v>17161.330000000016</v>
      </c>
      <c r="L220" s="110">
        <v>0</v>
      </c>
      <c r="M220" s="109">
        <v>-18734.989999999998</v>
      </c>
      <c r="N220" s="109">
        <v>-1441.5600000000004</v>
      </c>
      <c r="O220" s="109">
        <v>0</v>
      </c>
      <c r="P220" s="109">
        <v>0</v>
      </c>
      <c r="Q220" s="109">
        <v>0</v>
      </c>
      <c r="R220" s="109">
        <v>0</v>
      </c>
      <c r="S220" s="109">
        <v>-20176.55</v>
      </c>
      <c r="T220" s="109">
        <v>-19455.770000000004</v>
      </c>
      <c r="U220" s="110">
        <v>0</v>
      </c>
      <c r="V220" s="111">
        <v>8.4000000000000005E-2</v>
      </c>
    </row>
    <row r="221" spans="1:22" x14ac:dyDescent="0.2">
      <c r="A221" s="69" t="s">
        <v>896</v>
      </c>
      <c r="B221" s="69">
        <v>39800</v>
      </c>
      <c r="C221" s="69" t="s">
        <v>923</v>
      </c>
      <c r="D221" s="108" t="s">
        <v>399</v>
      </c>
      <c r="E221" s="108" t="s">
        <v>173</v>
      </c>
      <c r="F221" s="109">
        <v>2931.76</v>
      </c>
      <c r="G221" s="109">
        <v>8182.03</v>
      </c>
      <c r="H221" s="109">
        <v>0</v>
      </c>
      <c r="I221" s="109">
        <v>0</v>
      </c>
      <c r="J221" s="109">
        <v>11113.79</v>
      </c>
      <c r="K221" s="109">
        <v>5449.3076923076924</v>
      </c>
      <c r="L221" s="110">
        <v>0</v>
      </c>
      <c r="M221" s="109">
        <v>1895.9199999999994</v>
      </c>
      <c r="N221" s="109">
        <v>-293.60999999999996</v>
      </c>
      <c r="O221" s="109">
        <v>0</v>
      </c>
      <c r="P221" s="109">
        <v>0</v>
      </c>
      <c r="Q221" s="109">
        <v>0</v>
      </c>
      <c r="R221" s="109">
        <v>0</v>
      </c>
      <c r="S221" s="109">
        <v>1602.3099999999995</v>
      </c>
      <c r="T221" s="109">
        <v>1790.8923076923068</v>
      </c>
      <c r="U221" s="110">
        <v>0</v>
      </c>
      <c r="V221" s="111">
        <v>5.8999999999999997E-2</v>
      </c>
    </row>
    <row r="222" spans="1:22" x14ac:dyDescent="0.2">
      <c r="A222" s="69" t="s">
        <v>924</v>
      </c>
      <c r="B222" s="69">
        <v>30200</v>
      </c>
      <c r="C222" s="69" t="s">
        <v>925</v>
      </c>
      <c r="D222" s="108" t="s">
        <v>400</v>
      </c>
      <c r="E222" s="108" t="s">
        <v>139</v>
      </c>
      <c r="F222" s="109">
        <v>0</v>
      </c>
      <c r="G222" s="109">
        <v>0</v>
      </c>
      <c r="H222" s="109">
        <v>0</v>
      </c>
      <c r="I222" s="109">
        <v>0</v>
      </c>
      <c r="J222" s="109">
        <v>0</v>
      </c>
      <c r="K222" s="109">
        <v>0</v>
      </c>
      <c r="L222" s="110">
        <v>0</v>
      </c>
      <c r="M222" s="109">
        <v>-1.1823431123048067E-11</v>
      </c>
      <c r="N222" s="109">
        <v>0</v>
      </c>
      <c r="O222" s="109">
        <v>0</v>
      </c>
      <c r="P222" s="109">
        <v>0</v>
      </c>
      <c r="Q222" s="109">
        <v>0</v>
      </c>
      <c r="R222" s="109">
        <v>0</v>
      </c>
      <c r="S222" s="109">
        <v>-1.1823431123048067E-11</v>
      </c>
      <c r="T222" s="109">
        <v>-1.1823431123048067E-11</v>
      </c>
      <c r="U222" s="110">
        <v>0</v>
      </c>
      <c r="V222" s="111">
        <v>0.04</v>
      </c>
    </row>
    <row r="223" spans="1:22" x14ac:dyDescent="0.2">
      <c r="A223" s="69" t="s">
        <v>924</v>
      </c>
      <c r="B223" s="69">
        <v>37400</v>
      </c>
      <c r="C223" s="69" t="s">
        <v>926</v>
      </c>
      <c r="D223" s="108" t="s">
        <v>401</v>
      </c>
      <c r="E223" s="108" t="s">
        <v>142</v>
      </c>
      <c r="F223" s="109">
        <v>160616.45000000001</v>
      </c>
      <c r="G223" s="109">
        <v>0</v>
      </c>
      <c r="H223" s="109">
        <v>0</v>
      </c>
      <c r="I223" s="109">
        <v>0</v>
      </c>
      <c r="J223" s="109">
        <v>160616.45000000001</v>
      </c>
      <c r="K223" s="109">
        <v>160616.44999999998</v>
      </c>
      <c r="L223" s="110">
        <v>0</v>
      </c>
      <c r="M223" s="109">
        <v>0</v>
      </c>
      <c r="N223" s="109">
        <v>0</v>
      </c>
      <c r="O223" s="109">
        <v>0</v>
      </c>
      <c r="P223" s="109">
        <v>0</v>
      </c>
      <c r="Q223" s="109">
        <v>0</v>
      </c>
      <c r="R223" s="109">
        <v>0</v>
      </c>
      <c r="S223" s="109">
        <v>0</v>
      </c>
      <c r="T223" s="109">
        <v>0</v>
      </c>
      <c r="U223" s="110">
        <v>0</v>
      </c>
      <c r="V223" s="111">
        <v>0</v>
      </c>
    </row>
    <row r="224" spans="1:22" x14ac:dyDescent="0.2">
      <c r="A224" s="69" t="s">
        <v>924</v>
      </c>
      <c r="B224" s="69">
        <v>37402</v>
      </c>
      <c r="C224" s="69" t="s">
        <v>927</v>
      </c>
      <c r="D224" s="108" t="s">
        <v>402</v>
      </c>
      <c r="E224" s="108" t="s">
        <v>143</v>
      </c>
      <c r="F224" s="109">
        <v>33302.080000000002</v>
      </c>
      <c r="G224" s="109">
        <v>0</v>
      </c>
      <c r="H224" s="109">
        <v>0</v>
      </c>
      <c r="I224" s="109">
        <v>0</v>
      </c>
      <c r="J224" s="109">
        <v>33302.080000000002</v>
      </c>
      <c r="K224" s="109">
        <v>33302.080000000009</v>
      </c>
      <c r="L224" s="110">
        <v>0</v>
      </c>
      <c r="M224" s="109">
        <v>-26295.460000000057</v>
      </c>
      <c r="N224" s="109">
        <v>-432.95999999999987</v>
      </c>
      <c r="O224" s="109">
        <v>0</v>
      </c>
      <c r="P224" s="109">
        <v>0</v>
      </c>
      <c r="Q224" s="109">
        <v>0</v>
      </c>
      <c r="R224" s="109">
        <v>0</v>
      </c>
      <c r="S224" s="109">
        <v>-26728.420000000056</v>
      </c>
      <c r="T224" s="109">
        <v>-26511.940000000068</v>
      </c>
      <c r="U224" s="110">
        <v>0</v>
      </c>
      <c r="V224" s="111">
        <v>1.2999999999999999E-2</v>
      </c>
    </row>
    <row r="225" spans="1:22" x14ac:dyDescent="0.2">
      <c r="A225" s="69" t="s">
        <v>924</v>
      </c>
      <c r="B225" s="69">
        <v>37500</v>
      </c>
      <c r="C225" s="69" t="s">
        <v>928</v>
      </c>
      <c r="D225" s="108" t="s">
        <v>403</v>
      </c>
      <c r="E225" s="108" t="s">
        <v>144</v>
      </c>
      <c r="F225" s="109">
        <v>507399.29</v>
      </c>
      <c r="G225" s="109">
        <v>19058.02</v>
      </c>
      <c r="H225" s="109">
        <v>0</v>
      </c>
      <c r="I225" s="109">
        <v>0</v>
      </c>
      <c r="J225" s="109">
        <v>526457.30999999994</v>
      </c>
      <c r="K225" s="109">
        <v>514742.89153846138</v>
      </c>
      <c r="L225" s="110">
        <v>0</v>
      </c>
      <c r="M225" s="109">
        <v>-170626.90999999942</v>
      </c>
      <c r="N225" s="109">
        <v>-12844.170000000002</v>
      </c>
      <c r="O225" s="109">
        <v>0</v>
      </c>
      <c r="P225" s="109">
        <v>0</v>
      </c>
      <c r="Q225" s="109">
        <v>0</v>
      </c>
      <c r="R225" s="109">
        <v>0</v>
      </c>
      <c r="S225" s="109">
        <v>-183471.07999999943</v>
      </c>
      <c r="T225" s="109">
        <v>-177003.13307692247</v>
      </c>
      <c r="U225" s="110">
        <v>0</v>
      </c>
      <c r="V225" s="111">
        <v>2.5000000000000001E-2</v>
      </c>
    </row>
    <row r="226" spans="1:22" x14ac:dyDescent="0.2">
      <c r="A226" s="69" t="s">
        <v>924</v>
      </c>
      <c r="B226" s="69">
        <v>37600</v>
      </c>
      <c r="C226" s="69" t="s">
        <v>929</v>
      </c>
      <c r="D226" s="108" t="s">
        <v>404</v>
      </c>
      <c r="E226" s="108" t="s">
        <v>145</v>
      </c>
      <c r="F226" s="109">
        <v>16052247.139999999</v>
      </c>
      <c r="G226" s="109">
        <v>183931.12000000002</v>
      </c>
      <c r="H226" s="109">
        <v>-24995.29</v>
      </c>
      <c r="I226" s="109">
        <v>0</v>
      </c>
      <c r="J226" s="109">
        <v>16211182.969999999</v>
      </c>
      <c r="K226" s="109">
        <v>16091158.679230768</v>
      </c>
      <c r="L226" s="110">
        <v>0</v>
      </c>
      <c r="M226" s="109">
        <v>-8449516.2399999984</v>
      </c>
      <c r="N226" s="109">
        <v>-675408.60000000009</v>
      </c>
      <c r="O226" s="109">
        <v>24995.29</v>
      </c>
      <c r="P226" s="109">
        <v>207535.61</v>
      </c>
      <c r="Q226" s="109">
        <v>-301.33</v>
      </c>
      <c r="R226" s="109">
        <v>0</v>
      </c>
      <c r="S226" s="109">
        <v>-8892695.2699999996</v>
      </c>
      <c r="T226" s="109">
        <v>-8719752.8769230731</v>
      </c>
      <c r="U226" s="110">
        <v>0</v>
      </c>
      <c r="V226" s="111">
        <v>4.2000000000000003E-2</v>
      </c>
    </row>
    <row r="227" spans="1:22" x14ac:dyDescent="0.2">
      <c r="A227" s="69" t="s">
        <v>924</v>
      </c>
      <c r="B227" s="69">
        <v>37602</v>
      </c>
      <c r="C227" s="69" t="s">
        <v>930</v>
      </c>
      <c r="D227" s="108" t="s">
        <v>405</v>
      </c>
      <c r="E227" s="108" t="s">
        <v>146</v>
      </c>
      <c r="F227" s="109">
        <v>8769554.2199999988</v>
      </c>
      <c r="G227" s="109">
        <v>1054105.8800000001</v>
      </c>
      <c r="H227" s="109">
        <v>0</v>
      </c>
      <c r="I227" s="109">
        <v>0</v>
      </c>
      <c r="J227" s="109">
        <v>9823660.0999999996</v>
      </c>
      <c r="K227" s="109">
        <v>9098193.4253846109</v>
      </c>
      <c r="L227" s="110">
        <v>0</v>
      </c>
      <c r="M227" s="109">
        <v>-3616773.9999999967</v>
      </c>
      <c r="N227" s="109">
        <v>-280169.88</v>
      </c>
      <c r="O227" s="109">
        <v>0</v>
      </c>
      <c r="P227" s="109">
        <v>113062.04</v>
      </c>
      <c r="Q227" s="109">
        <v>-182.6</v>
      </c>
      <c r="R227" s="109">
        <v>0</v>
      </c>
      <c r="S227" s="109">
        <v>-3784064.4399999967</v>
      </c>
      <c r="T227" s="109">
        <v>-3718889.8953846125</v>
      </c>
      <c r="U227" s="110">
        <v>0</v>
      </c>
      <c r="V227" s="111">
        <v>3.1E-2</v>
      </c>
    </row>
    <row r="228" spans="1:22" x14ac:dyDescent="0.2">
      <c r="A228" s="69" t="s">
        <v>924</v>
      </c>
      <c r="B228" s="69">
        <v>37800</v>
      </c>
      <c r="C228" s="69" t="s">
        <v>931</v>
      </c>
      <c r="D228" s="108" t="s">
        <v>406</v>
      </c>
      <c r="E228" s="108" t="s">
        <v>147</v>
      </c>
      <c r="F228" s="109">
        <v>234300.96</v>
      </c>
      <c r="G228" s="109">
        <v>126009.51999999999</v>
      </c>
      <c r="H228" s="109">
        <v>0</v>
      </c>
      <c r="I228" s="109">
        <v>0</v>
      </c>
      <c r="J228" s="109">
        <v>360310.48</v>
      </c>
      <c r="K228" s="109">
        <v>251167.31076923077</v>
      </c>
      <c r="L228" s="110">
        <v>0</v>
      </c>
      <c r="M228" s="109">
        <v>-60311.059999999889</v>
      </c>
      <c r="N228" s="109">
        <v>-8230.42</v>
      </c>
      <c r="O228" s="109">
        <v>0</v>
      </c>
      <c r="P228" s="109">
        <v>0</v>
      </c>
      <c r="Q228" s="109">
        <v>0</v>
      </c>
      <c r="R228" s="109">
        <v>0</v>
      </c>
      <c r="S228" s="109">
        <v>-68541.479999999894</v>
      </c>
      <c r="T228" s="109">
        <v>-64344.945384615268</v>
      </c>
      <c r="U228" s="110">
        <v>0</v>
      </c>
      <c r="V228" s="111">
        <v>3.4000000000000002E-2</v>
      </c>
    </row>
    <row r="229" spans="1:22" x14ac:dyDescent="0.2">
      <c r="A229" s="69" t="s">
        <v>924</v>
      </c>
      <c r="B229" s="69">
        <v>37900</v>
      </c>
      <c r="C229" s="69" t="s">
        <v>932</v>
      </c>
      <c r="D229" s="108" t="s">
        <v>407</v>
      </c>
      <c r="E229" s="108" t="s">
        <v>148</v>
      </c>
      <c r="F229" s="109">
        <v>48394.5</v>
      </c>
      <c r="G229" s="109">
        <v>209726.96</v>
      </c>
      <c r="H229" s="109">
        <v>0</v>
      </c>
      <c r="I229" s="109">
        <v>0</v>
      </c>
      <c r="J229" s="109">
        <v>258121.46</v>
      </c>
      <c r="K229" s="109">
        <v>88334.789999999979</v>
      </c>
      <c r="L229" s="110">
        <v>0</v>
      </c>
      <c r="M229" s="109">
        <v>-23926.499999999938</v>
      </c>
      <c r="N229" s="109">
        <v>-2522.3399999999997</v>
      </c>
      <c r="O229" s="109">
        <v>0</v>
      </c>
      <c r="P229" s="109">
        <v>0</v>
      </c>
      <c r="Q229" s="109">
        <v>0</v>
      </c>
      <c r="R229" s="109">
        <v>0</v>
      </c>
      <c r="S229" s="109">
        <v>-26448.839999999938</v>
      </c>
      <c r="T229" s="109">
        <v>-24868.232307692237</v>
      </c>
      <c r="U229" s="110">
        <v>0</v>
      </c>
      <c r="V229" s="111">
        <v>3.4000000000000002E-2</v>
      </c>
    </row>
    <row r="230" spans="1:22" x14ac:dyDescent="0.2">
      <c r="A230" s="69" t="s">
        <v>924</v>
      </c>
      <c r="B230" s="69">
        <v>38000</v>
      </c>
      <c r="C230" s="69" t="s">
        <v>933</v>
      </c>
      <c r="D230" s="108" t="s">
        <v>408</v>
      </c>
      <c r="E230" s="108" t="s">
        <v>149</v>
      </c>
      <c r="F230" s="109">
        <v>1788033.8600000003</v>
      </c>
      <c r="G230" s="109">
        <v>143602.77000000002</v>
      </c>
      <c r="H230" s="109">
        <v>-3007.19</v>
      </c>
      <c r="I230" s="109">
        <v>0</v>
      </c>
      <c r="J230" s="109">
        <v>1928629.4400000004</v>
      </c>
      <c r="K230" s="109">
        <v>1865827.5269230769</v>
      </c>
      <c r="L230" s="110">
        <v>0</v>
      </c>
      <c r="M230" s="109">
        <v>-2072166.8699999994</v>
      </c>
      <c r="N230" s="109">
        <v>-122799.19</v>
      </c>
      <c r="O230" s="109">
        <v>3007.19</v>
      </c>
      <c r="P230" s="109">
        <v>23551.99</v>
      </c>
      <c r="Q230" s="109">
        <v>-35.85</v>
      </c>
      <c r="R230" s="109">
        <v>0</v>
      </c>
      <c r="S230" s="109">
        <v>-2168442.7299999995</v>
      </c>
      <c r="T230" s="109">
        <v>-2121449.3369230768</v>
      </c>
      <c r="U230" s="110">
        <v>0</v>
      </c>
      <c r="V230" s="111">
        <v>6.5999999999999989E-2</v>
      </c>
    </row>
    <row r="231" spans="1:22" x14ac:dyDescent="0.2">
      <c r="A231" s="69" t="s">
        <v>924</v>
      </c>
      <c r="B231" s="69">
        <v>38002</v>
      </c>
      <c r="C231" s="69" t="s">
        <v>934</v>
      </c>
      <c r="D231" s="108" t="s">
        <v>409</v>
      </c>
      <c r="E231" s="108" t="s">
        <v>150</v>
      </c>
      <c r="F231" s="109">
        <v>6035793.4799999995</v>
      </c>
      <c r="G231" s="109">
        <v>172051.26999999996</v>
      </c>
      <c r="H231" s="109">
        <v>-8847.26</v>
      </c>
      <c r="I231" s="109">
        <v>0</v>
      </c>
      <c r="J231" s="109">
        <v>6198997.4899999993</v>
      </c>
      <c r="K231" s="109">
        <v>6132947.8146153828</v>
      </c>
      <c r="L231" s="110">
        <v>0</v>
      </c>
      <c r="M231" s="109">
        <v>-3220923.9000000032</v>
      </c>
      <c r="N231" s="109">
        <v>-306372.18</v>
      </c>
      <c r="O231" s="109">
        <v>8847.26</v>
      </c>
      <c r="P231" s="109">
        <v>102659.97999999998</v>
      </c>
      <c r="Q231" s="109">
        <v>-115.22</v>
      </c>
      <c r="R231" s="109">
        <v>0</v>
      </c>
      <c r="S231" s="109">
        <v>-3415904.0600000038</v>
      </c>
      <c r="T231" s="109">
        <v>-3312647.3184615416</v>
      </c>
      <c r="U231" s="110">
        <v>0</v>
      </c>
      <c r="V231" s="111">
        <v>0.05</v>
      </c>
    </row>
    <row r="232" spans="1:22" x14ac:dyDescent="0.2">
      <c r="A232" s="69" t="s">
        <v>924</v>
      </c>
      <c r="B232" s="69">
        <v>38200</v>
      </c>
      <c r="C232" s="69" t="s">
        <v>935</v>
      </c>
      <c r="D232" s="108" t="s">
        <v>410</v>
      </c>
      <c r="E232" s="108" t="s">
        <v>152</v>
      </c>
      <c r="F232" s="109">
        <v>891947.75000000035</v>
      </c>
      <c r="G232" s="109">
        <v>28521.63</v>
      </c>
      <c r="H232" s="109">
        <v>-253.24</v>
      </c>
      <c r="I232" s="109">
        <v>0</v>
      </c>
      <c r="J232" s="109">
        <v>920216.14000000036</v>
      </c>
      <c r="K232" s="109">
        <v>911975.81000000041</v>
      </c>
      <c r="L232" s="110">
        <v>0</v>
      </c>
      <c r="M232" s="109">
        <v>-341485.29999999993</v>
      </c>
      <c r="N232" s="109">
        <v>-41008.01</v>
      </c>
      <c r="O232" s="109">
        <v>253.24</v>
      </c>
      <c r="P232" s="109">
        <v>425.91</v>
      </c>
      <c r="Q232" s="109">
        <v>0</v>
      </c>
      <c r="R232" s="109">
        <v>0</v>
      </c>
      <c r="S232" s="109">
        <v>-381814.16</v>
      </c>
      <c r="T232" s="109">
        <v>-361275.78846153838</v>
      </c>
      <c r="U232" s="110">
        <v>0</v>
      </c>
      <c r="V232" s="111">
        <v>4.4999999999999998E-2</v>
      </c>
    </row>
    <row r="233" spans="1:22" x14ac:dyDescent="0.2">
      <c r="A233" s="69" t="s">
        <v>924</v>
      </c>
      <c r="B233" s="69">
        <v>38300</v>
      </c>
      <c r="C233" s="69" t="s">
        <v>936</v>
      </c>
      <c r="D233" s="108" t="s">
        <v>411</v>
      </c>
      <c r="E233" s="108" t="s">
        <v>153</v>
      </c>
      <c r="F233" s="109">
        <v>341820.12999999989</v>
      </c>
      <c r="G233" s="109">
        <v>26663.64</v>
      </c>
      <c r="H233" s="109">
        <v>0</v>
      </c>
      <c r="I233" s="109">
        <v>0</v>
      </c>
      <c r="J233" s="109">
        <v>368483.7699999999</v>
      </c>
      <c r="K233" s="109">
        <v>355090.7623076922</v>
      </c>
      <c r="L233" s="110">
        <v>0</v>
      </c>
      <c r="M233" s="109">
        <v>27626.510000000013</v>
      </c>
      <c r="N233" s="109">
        <v>-12743.11</v>
      </c>
      <c r="O233" s="109">
        <v>0</v>
      </c>
      <c r="P233" s="109">
        <v>0</v>
      </c>
      <c r="Q233" s="109">
        <v>0</v>
      </c>
      <c r="R233" s="109">
        <v>0</v>
      </c>
      <c r="S233" s="109">
        <v>14883.400000000012</v>
      </c>
      <c r="T233" s="109">
        <v>21315.633846153862</v>
      </c>
      <c r="U233" s="110">
        <v>0</v>
      </c>
      <c r="V233" s="111">
        <v>3.5999999999999997E-2</v>
      </c>
    </row>
    <row r="234" spans="1:22" x14ac:dyDescent="0.2">
      <c r="A234" s="69" t="s">
        <v>924</v>
      </c>
      <c r="B234" s="69">
        <v>38400</v>
      </c>
      <c r="C234" s="69" t="s">
        <v>937</v>
      </c>
      <c r="D234" s="108" t="s">
        <v>412</v>
      </c>
      <c r="E234" s="108" t="s">
        <v>154</v>
      </c>
      <c r="F234" s="109">
        <v>348564.1100000001</v>
      </c>
      <c r="G234" s="109">
        <v>12501.06</v>
      </c>
      <c r="H234" s="109">
        <v>-1513.75</v>
      </c>
      <c r="I234" s="109">
        <v>0</v>
      </c>
      <c r="J234" s="109">
        <v>359551.4200000001</v>
      </c>
      <c r="K234" s="109">
        <v>354817.33923076931</v>
      </c>
      <c r="L234" s="110">
        <v>0</v>
      </c>
      <c r="M234" s="109">
        <v>-168921.65999999989</v>
      </c>
      <c r="N234" s="109">
        <v>-15949.030000000002</v>
      </c>
      <c r="O234" s="109">
        <v>1513.75</v>
      </c>
      <c r="P234" s="109">
        <v>425.93</v>
      </c>
      <c r="Q234" s="109">
        <v>0</v>
      </c>
      <c r="R234" s="109">
        <v>0</v>
      </c>
      <c r="S234" s="109">
        <v>-182931.00999999989</v>
      </c>
      <c r="T234" s="109">
        <v>-175070.29384615371</v>
      </c>
      <c r="U234" s="110">
        <v>0</v>
      </c>
      <c r="V234" s="111">
        <v>4.4999999999999998E-2</v>
      </c>
    </row>
    <row r="235" spans="1:22" x14ac:dyDescent="0.2">
      <c r="A235" s="69" t="s">
        <v>924</v>
      </c>
      <c r="B235" s="69">
        <v>38500</v>
      </c>
      <c r="C235" s="69" t="s">
        <v>938</v>
      </c>
      <c r="D235" s="108" t="s">
        <v>413</v>
      </c>
      <c r="E235" s="108" t="s">
        <v>155</v>
      </c>
      <c r="F235" s="109">
        <v>89112.959999999992</v>
      </c>
      <c r="G235" s="109">
        <v>0</v>
      </c>
      <c r="H235" s="109">
        <v>-744.02</v>
      </c>
      <c r="I235" s="109">
        <v>0</v>
      </c>
      <c r="J235" s="109">
        <v>88368.939999999988</v>
      </c>
      <c r="K235" s="109">
        <v>88426.172307692264</v>
      </c>
      <c r="L235" s="110">
        <v>0</v>
      </c>
      <c r="M235" s="109">
        <v>-42570.529999999984</v>
      </c>
      <c r="N235" s="109">
        <v>-2741.3999999999996</v>
      </c>
      <c r="O235" s="109">
        <v>744.02</v>
      </c>
      <c r="P235" s="109">
        <v>51.36</v>
      </c>
      <c r="Q235" s="109">
        <v>0</v>
      </c>
      <c r="R235" s="109">
        <v>0</v>
      </c>
      <c r="S235" s="109">
        <v>-44516.549999999988</v>
      </c>
      <c r="T235" s="109">
        <v>-43207.845384615372</v>
      </c>
      <c r="U235" s="110">
        <v>0</v>
      </c>
      <c r="V235" s="111">
        <v>3.1E-2</v>
      </c>
    </row>
    <row r="236" spans="1:22" x14ac:dyDescent="0.2">
      <c r="A236" s="69" t="s">
        <v>924</v>
      </c>
      <c r="B236" s="69">
        <v>38700</v>
      </c>
      <c r="C236" s="69" t="s">
        <v>939</v>
      </c>
      <c r="D236" s="108" t="s">
        <v>414</v>
      </c>
      <c r="E236" s="108" t="s">
        <v>156</v>
      </c>
      <c r="F236" s="109">
        <v>118930.73999999999</v>
      </c>
      <c r="G236" s="109">
        <v>0</v>
      </c>
      <c r="H236" s="109">
        <v>0</v>
      </c>
      <c r="I236" s="109">
        <v>0</v>
      </c>
      <c r="J236" s="109">
        <v>118930.73999999999</v>
      </c>
      <c r="K236" s="109">
        <v>118930.73999999999</v>
      </c>
      <c r="L236" s="110">
        <v>0</v>
      </c>
      <c r="M236" s="109">
        <v>-43695.429999999978</v>
      </c>
      <c r="N236" s="109">
        <v>-7492.6800000000012</v>
      </c>
      <c r="O236" s="109">
        <v>0</v>
      </c>
      <c r="P236" s="109">
        <v>0</v>
      </c>
      <c r="Q236" s="109">
        <v>0</v>
      </c>
      <c r="R236" s="109">
        <v>0</v>
      </c>
      <c r="S236" s="109">
        <v>-51188.109999999979</v>
      </c>
      <c r="T236" s="109">
        <v>-47441.769999999975</v>
      </c>
      <c r="U236" s="110">
        <v>0</v>
      </c>
      <c r="V236" s="111">
        <v>6.3E-2</v>
      </c>
    </row>
    <row r="237" spans="1:22" x14ac:dyDescent="0.2">
      <c r="A237" s="69" t="s">
        <v>924</v>
      </c>
      <c r="B237" s="69">
        <v>39002</v>
      </c>
      <c r="C237" s="69" t="s">
        <v>940</v>
      </c>
      <c r="D237" s="108" t="s">
        <v>415</v>
      </c>
      <c r="E237" s="108" t="s">
        <v>158</v>
      </c>
      <c r="F237" s="109">
        <v>0</v>
      </c>
      <c r="G237" s="109">
        <v>0</v>
      </c>
      <c r="H237" s="109">
        <v>0</v>
      </c>
      <c r="I237" s="109">
        <v>0</v>
      </c>
      <c r="J237" s="109">
        <v>0</v>
      </c>
      <c r="K237" s="109">
        <v>0</v>
      </c>
      <c r="L237" s="110">
        <v>0</v>
      </c>
      <c r="M237" s="109">
        <v>-0.45</v>
      </c>
      <c r="N237" s="109">
        <v>0</v>
      </c>
      <c r="O237" s="109">
        <v>0</v>
      </c>
      <c r="P237" s="109">
        <v>0</v>
      </c>
      <c r="Q237" s="109">
        <v>0</v>
      </c>
      <c r="R237" s="109">
        <v>0</v>
      </c>
      <c r="S237" s="109">
        <v>-0.45</v>
      </c>
      <c r="T237" s="109">
        <v>-0.45000000000000012</v>
      </c>
      <c r="U237" s="110">
        <v>0</v>
      </c>
      <c r="V237" s="111">
        <v>2.5000000000000001E-2</v>
      </c>
    </row>
    <row r="238" spans="1:22" x14ac:dyDescent="0.2">
      <c r="A238" s="69" t="s">
        <v>924</v>
      </c>
      <c r="B238" s="69">
        <v>39100</v>
      </c>
      <c r="C238" s="69" t="s">
        <v>941</v>
      </c>
      <c r="D238" s="108" t="s">
        <v>416</v>
      </c>
      <c r="E238" s="108" t="s">
        <v>159</v>
      </c>
      <c r="F238" s="109">
        <v>15653.699999999999</v>
      </c>
      <c r="G238" s="109">
        <v>0</v>
      </c>
      <c r="H238" s="109">
        <v>0</v>
      </c>
      <c r="I238" s="109">
        <v>0</v>
      </c>
      <c r="J238" s="109">
        <v>15653.699999999999</v>
      </c>
      <c r="K238" s="109">
        <v>15653.700000000003</v>
      </c>
      <c r="L238" s="110">
        <v>0</v>
      </c>
      <c r="M238" s="109">
        <v>-13956.029999999988</v>
      </c>
      <c r="N238" s="109">
        <v>-1048.8</v>
      </c>
      <c r="O238" s="109">
        <v>0</v>
      </c>
      <c r="P238" s="109">
        <v>0</v>
      </c>
      <c r="Q238" s="109">
        <v>0</v>
      </c>
      <c r="R238" s="109">
        <v>0</v>
      </c>
      <c r="S238" s="109">
        <v>-15004.829999999987</v>
      </c>
      <c r="T238" s="109">
        <v>-14480.429999999986</v>
      </c>
      <c r="U238" s="110">
        <v>0</v>
      </c>
      <c r="V238" s="111">
        <v>6.7000000000000004E-2</v>
      </c>
    </row>
    <row r="239" spans="1:22" x14ac:dyDescent="0.2">
      <c r="A239" s="69" t="s">
        <v>924</v>
      </c>
      <c r="B239" s="69">
        <v>39101</v>
      </c>
      <c r="C239" s="69" t="s">
        <v>942</v>
      </c>
      <c r="D239" s="108" t="s">
        <v>417</v>
      </c>
      <c r="E239" s="108" t="s">
        <v>160</v>
      </c>
      <c r="F239" s="109">
        <v>-1.8189894035458565E-12</v>
      </c>
      <c r="G239" s="109">
        <v>34356.43</v>
      </c>
      <c r="H239" s="109">
        <v>0</v>
      </c>
      <c r="I239" s="109">
        <v>0</v>
      </c>
      <c r="J239" s="109">
        <v>34356.43</v>
      </c>
      <c r="K239" s="109">
        <v>23813.396923076922</v>
      </c>
      <c r="L239" s="110">
        <v>0</v>
      </c>
      <c r="M239" s="109">
        <v>39772.770000000033</v>
      </c>
      <c r="N239" s="109">
        <v>-2866.8300000000004</v>
      </c>
      <c r="O239" s="109">
        <v>0</v>
      </c>
      <c r="P239" s="109">
        <v>0</v>
      </c>
      <c r="Q239" s="109">
        <v>0</v>
      </c>
      <c r="R239" s="109">
        <v>0</v>
      </c>
      <c r="S239" s="109">
        <v>36905.940000000031</v>
      </c>
      <c r="T239" s="109">
        <v>38696.506153846174</v>
      </c>
      <c r="U239" s="110">
        <v>0</v>
      </c>
      <c r="V239" s="111">
        <v>0.125</v>
      </c>
    </row>
    <row r="240" spans="1:22" x14ac:dyDescent="0.2">
      <c r="A240" s="69" t="s">
        <v>924</v>
      </c>
      <c r="B240" s="69">
        <v>39102</v>
      </c>
      <c r="C240" s="69" t="s">
        <v>943</v>
      </c>
      <c r="D240" s="108" t="s">
        <v>418</v>
      </c>
      <c r="E240" s="108" t="s">
        <v>161</v>
      </c>
      <c r="F240" s="109">
        <v>1555.67</v>
      </c>
      <c r="G240" s="109">
        <v>7028.14</v>
      </c>
      <c r="H240" s="109">
        <v>0</v>
      </c>
      <c r="I240" s="109">
        <v>0</v>
      </c>
      <c r="J240" s="109">
        <v>8583.8100000000013</v>
      </c>
      <c r="K240" s="109">
        <v>3177.5484615384621</v>
      </c>
      <c r="L240" s="110">
        <v>0</v>
      </c>
      <c r="M240" s="109">
        <v>760.54</v>
      </c>
      <c r="N240" s="109">
        <v>-182.76</v>
      </c>
      <c r="O240" s="109">
        <v>0</v>
      </c>
      <c r="P240" s="109">
        <v>0</v>
      </c>
      <c r="Q240" s="109">
        <v>0</v>
      </c>
      <c r="R240" s="109">
        <v>0</v>
      </c>
      <c r="S240" s="109">
        <v>577.78</v>
      </c>
      <c r="T240" s="109">
        <v>699.34461538461494</v>
      </c>
      <c r="U240" s="110">
        <v>0</v>
      </c>
      <c r="V240" s="111">
        <v>6.7000000000000004E-2</v>
      </c>
    </row>
    <row r="241" spans="1:22" x14ac:dyDescent="0.2">
      <c r="A241" s="69" t="s">
        <v>924</v>
      </c>
      <c r="B241" s="69">
        <v>39201</v>
      </c>
      <c r="C241" s="69" t="s">
        <v>944</v>
      </c>
      <c r="D241" s="108" t="s">
        <v>419</v>
      </c>
      <c r="E241" s="108" t="s">
        <v>163</v>
      </c>
      <c r="F241" s="109">
        <v>118330.56999999999</v>
      </c>
      <c r="G241" s="109">
        <v>0</v>
      </c>
      <c r="H241" s="109">
        <v>0</v>
      </c>
      <c r="I241" s="109">
        <v>0</v>
      </c>
      <c r="J241" s="109">
        <v>118330.56999999999</v>
      </c>
      <c r="K241" s="109">
        <v>118330.57</v>
      </c>
      <c r="L241" s="110">
        <v>0</v>
      </c>
      <c r="M241" s="109">
        <v>-5289.8900000000222</v>
      </c>
      <c r="N241" s="109">
        <v>-13253.04</v>
      </c>
      <c r="O241" s="109">
        <v>0</v>
      </c>
      <c r="P241" s="109">
        <v>0</v>
      </c>
      <c r="Q241" s="109">
        <v>-2490.7000000000003</v>
      </c>
      <c r="R241" s="109">
        <v>0</v>
      </c>
      <c r="S241" s="109">
        <v>-21033.630000000023</v>
      </c>
      <c r="T241" s="109">
        <v>-12342.748461538487</v>
      </c>
      <c r="U241" s="110">
        <v>0</v>
      </c>
      <c r="V241" s="111">
        <v>0.112</v>
      </c>
    </row>
    <row r="242" spans="1:22" x14ac:dyDescent="0.2">
      <c r="A242" s="69" t="s">
        <v>924</v>
      </c>
      <c r="B242" s="69">
        <v>39202</v>
      </c>
      <c r="C242" s="69" t="s">
        <v>945</v>
      </c>
      <c r="D242" s="108" t="s">
        <v>420</v>
      </c>
      <c r="E242" s="108" t="s">
        <v>164</v>
      </c>
      <c r="F242" s="109">
        <v>290370.38999999996</v>
      </c>
      <c r="G242" s="109">
        <v>45423.62</v>
      </c>
      <c r="H242" s="109">
        <v>-25117.52</v>
      </c>
      <c r="I242" s="109">
        <v>0</v>
      </c>
      <c r="J242" s="109">
        <v>310676.48999999993</v>
      </c>
      <c r="K242" s="109">
        <v>302414.77153846144</v>
      </c>
      <c r="L242" s="110">
        <v>0</v>
      </c>
      <c r="M242" s="109">
        <v>-142773.93000000011</v>
      </c>
      <c r="N242" s="109">
        <v>-38319.270000000004</v>
      </c>
      <c r="O242" s="109">
        <v>25117.52</v>
      </c>
      <c r="P242" s="109">
        <v>0</v>
      </c>
      <c r="Q242" s="109">
        <v>-6544.3</v>
      </c>
      <c r="R242" s="109">
        <v>0</v>
      </c>
      <c r="S242" s="109">
        <v>-162519.98000000013</v>
      </c>
      <c r="T242" s="109">
        <v>-160674.35153846166</v>
      </c>
      <c r="U242" s="110">
        <v>0</v>
      </c>
      <c r="V242" s="111">
        <v>0.127</v>
      </c>
    </row>
    <row r="243" spans="1:22" x14ac:dyDescent="0.2">
      <c r="A243" s="69" t="s">
        <v>924</v>
      </c>
      <c r="B243" s="69">
        <v>39204</v>
      </c>
      <c r="C243" s="69" t="s">
        <v>946</v>
      </c>
      <c r="D243" s="108" t="s">
        <v>421</v>
      </c>
      <c r="E243" s="108" t="s">
        <v>166</v>
      </c>
      <c r="F243" s="109">
        <v>13859.710000000001</v>
      </c>
      <c r="G243" s="109">
        <v>0</v>
      </c>
      <c r="H243" s="109">
        <v>0</v>
      </c>
      <c r="I243" s="109">
        <v>0</v>
      </c>
      <c r="J243" s="109">
        <v>13859.710000000001</v>
      </c>
      <c r="K243" s="109">
        <v>13859.710000000001</v>
      </c>
      <c r="L243" s="110">
        <v>0</v>
      </c>
      <c r="M243" s="109">
        <v>-13120.640000000021</v>
      </c>
      <c r="N243" s="109">
        <v>-554.4</v>
      </c>
      <c r="O243" s="109">
        <v>0</v>
      </c>
      <c r="P243" s="109">
        <v>0</v>
      </c>
      <c r="Q243" s="109">
        <v>0</v>
      </c>
      <c r="R243" s="109">
        <v>0</v>
      </c>
      <c r="S243" s="109">
        <v>-13675.040000000021</v>
      </c>
      <c r="T243" s="109">
        <v>-13397.840000000026</v>
      </c>
      <c r="U243" s="110">
        <v>0</v>
      </c>
      <c r="V243" s="111">
        <v>0.04</v>
      </c>
    </row>
    <row r="244" spans="1:22" x14ac:dyDescent="0.2">
      <c r="A244" s="69" t="s">
        <v>924</v>
      </c>
      <c r="B244" s="69">
        <v>39205</v>
      </c>
      <c r="C244" s="69" t="s">
        <v>947</v>
      </c>
      <c r="D244" s="108" t="s">
        <v>422</v>
      </c>
      <c r="E244" s="108" t="s">
        <v>167</v>
      </c>
      <c r="F244" s="109">
        <v>0</v>
      </c>
      <c r="G244" s="109">
        <v>0</v>
      </c>
      <c r="H244" s="109">
        <v>0</v>
      </c>
      <c r="I244" s="109">
        <v>0</v>
      </c>
      <c r="J244" s="109">
        <v>0</v>
      </c>
      <c r="K244" s="109">
        <v>0</v>
      </c>
      <c r="L244" s="110">
        <v>0</v>
      </c>
      <c r="M244" s="109">
        <v>12190.05</v>
      </c>
      <c r="N244" s="109">
        <v>0</v>
      </c>
      <c r="O244" s="109">
        <v>0</v>
      </c>
      <c r="P244" s="109">
        <v>0</v>
      </c>
      <c r="Q244" s="109">
        <v>0</v>
      </c>
      <c r="R244" s="109">
        <v>0</v>
      </c>
      <c r="S244" s="109">
        <v>12190.05</v>
      </c>
      <c r="T244" s="109">
        <v>12190.05</v>
      </c>
      <c r="U244" s="110">
        <v>0</v>
      </c>
      <c r="V244" s="111">
        <v>7.3999999999999996E-2</v>
      </c>
    </row>
    <row r="245" spans="1:22" x14ac:dyDescent="0.2">
      <c r="A245" s="69" t="s">
        <v>924</v>
      </c>
      <c r="B245" s="69">
        <v>39400</v>
      </c>
      <c r="C245" s="69" t="s">
        <v>948</v>
      </c>
      <c r="D245" s="108" t="s">
        <v>423</v>
      </c>
      <c r="E245" s="108" t="s">
        <v>169</v>
      </c>
      <c r="F245" s="109">
        <v>121771.26</v>
      </c>
      <c r="G245" s="109">
        <v>52552.23</v>
      </c>
      <c r="H245" s="109">
        <v>0</v>
      </c>
      <c r="I245" s="109">
        <v>0</v>
      </c>
      <c r="J245" s="109">
        <v>174323.49</v>
      </c>
      <c r="K245" s="109">
        <v>137769.65461538458</v>
      </c>
      <c r="L245" s="110">
        <v>0</v>
      </c>
      <c r="M245" s="109">
        <v>-55875.689999999864</v>
      </c>
      <c r="N245" s="109">
        <v>-8891.739999999998</v>
      </c>
      <c r="O245" s="109">
        <v>0</v>
      </c>
      <c r="P245" s="109">
        <v>0</v>
      </c>
      <c r="Q245" s="109">
        <v>0</v>
      </c>
      <c r="R245" s="109">
        <v>0</v>
      </c>
      <c r="S245" s="109">
        <v>-64767.429999999862</v>
      </c>
      <c r="T245" s="109">
        <v>-60024.703846153694</v>
      </c>
      <c r="U245" s="110">
        <v>0</v>
      </c>
      <c r="V245" s="111">
        <v>6.6000000000000003E-2</v>
      </c>
    </row>
    <row r="246" spans="1:22" x14ac:dyDescent="0.2">
      <c r="A246" s="69" t="s">
        <v>924</v>
      </c>
      <c r="B246" s="69">
        <v>39600</v>
      </c>
      <c r="C246" s="69" t="s">
        <v>949</v>
      </c>
      <c r="D246" s="108" t="s">
        <v>424</v>
      </c>
      <c r="E246" s="108" t="s">
        <v>171</v>
      </c>
      <c r="F246" s="109">
        <v>91324.180000000008</v>
      </c>
      <c r="G246" s="109">
        <v>2794.91</v>
      </c>
      <c r="H246" s="109">
        <v>0</v>
      </c>
      <c r="I246" s="109">
        <v>0</v>
      </c>
      <c r="J246" s="109">
        <v>94119.090000000011</v>
      </c>
      <c r="K246" s="109">
        <v>91754.166153846178</v>
      </c>
      <c r="L246" s="110">
        <v>0</v>
      </c>
      <c r="M246" s="109">
        <v>-79604.42</v>
      </c>
      <c r="N246" s="109">
        <v>-5859.630000000001</v>
      </c>
      <c r="O246" s="109">
        <v>0</v>
      </c>
      <c r="P246" s="109">
        <v>0</v>
      </c>
      <c r="Q246" s="109">
        <v>0</v>
      </c>
      <c r="R246" s="109">
        <v>0</v>
      </c>
      <c r="S246" s="109">
        <v>-85464.05</v>
      </c>
      <c r="T246" s="109">
        <v>-82527.926923076913</v>
      </c>
      <c r="U246" s="110">
        <v>0</v>
      </c>
      <c r="V246" s="111">
        <v>6.4000000000000001E-2</v>
      </c>
    </row>
    <row r="247" spans="1:22" x14ac:dyDescent="0.2">
      <c r="A247" s="69" t="s">
        <v>924</v>
      </c>
      <c r="B247" s="69">
        <v>39700</v>
      </c>
      <c r="C247" s="69" t="s">
        <v>950</v>
      </c>
      <c r="D247" s="108" t="s">
        <v>425</v>
      </c>
      <c r="E247" s="108" t="s">
        <v>172</v>
      </c>
      <c r="F247" s="109">
        <v>19924.220000000005</v>
      </c>
      <c r="G247" s="109">
        <v>0</v>
      </c>
      <c r="H247" s="109">
        <v>0</v>
      </c>
      <c r="I247" s="109">
        <v>0</v>
      </c>
      <c r="J247" s="109">
        <v>19924.220000000005</v>
      </c>
      <c r="K247" s="109">
        <v>19924.220000000005</v>
      </c>
      <c r="L247" s="110">
        <v>0</v>
      </c>
      <c r="M247" s="109">
        <v>-22756.249999999945</v>
      </c>
      <c r="N247" s="109">
        <v>-1673.64</v>
      </c>
      <c r="O247" s="109">
        <v>0</v>
      </c>
      <c r="P247" s="109">
        <v>0</v>
      </c>
      <c r="Q247" s="109">
        <v>0</v>
      </c>
      <c r="R247" s="109">
        <v>0</v>
      </c>
      <c r="S247" s="109">
        <v>-24429.889999999945</v>
      </c>
      <c r="T247" s="109">
        <v>-23593.069999999952</v>
      </c>
      <c r="U247" s="110">
        <v>0</v>
      </c>
      <c r="V247" s="111">
        <v>8.4000000000000005E-2</v>
      </c>
    </row>
    <row r="248" spans="1:22" x14ac:dyDescent="0.2">
      <c r="A248" s="69" t="s">
        <v>924</v>
      </c>
      <c r="B248" s="69">
        <v>39800</v>
      </c>
      <c r="C248" s="69" t="s">
        <v>951</v>
      </c>
      <c r="D248" s="108" t="s">
        <v>426</v>
      </c>
      <c r="E248" s="108" t="s">
        <v>173</v>
      </c>
      <c r="F248" s="109">
        <v>5617.94</v>
      </c>
      <c r="G248" s="109">
        <v>8603.7200000000012</v>
      </c>
      <c r="H248" s="109">
        <v>0</v>
      </c>
      <c r="I248" s="109">
        <v>0</v>
      </c>
      <c r="J248" s="109">
        <v>14221.66</v>
      </c>
      <c r="K248" s="109">
        <v>7940.5169230769243</v>
      </c>
      <c r="L248" s="110">
        <v>0</v>
      </c>
      <c r="M248" s="109">
        <v>-1540.56</v>
      </c>
      <c r="N248" s="109">
        <v>-437.59000000000003</v>
      </c>
      <c r="O248" s="109">
        <v>0</v>
      </c>
      <c r="P248" s="109">
        <v>0</v>
      </c>
      <c r="Q248" s="109">
        <v>0</v>
      </c>
      <c r="R248" s="109">
        <v>0</v>
      </c>
      <c r="S248" s="109">
        <v>-1978.15</v>
      </c>
      <c r="T248" s="109">
        <v>-1721.0146153846144</v>
      </c>
      <c r="U248" s="110">
        <v>0</v>
      </c>
      <c r="V248" s="111">
        <v>5.8999999999999997E-2</v>
      </c>
    </row>
    <row r="249" spans="1:22" x14ac:dyDescent="0.2">
      <c r="A249" s="69" t="s">
        <v>952</v>
      </c>
      <c r="B249" s="69">
        <v>30301</v>
      </c>
      <c r="C249" s="69" t="s">
        <v>953</v>
      </c>
      <c r="D249" s="108" t="s">
        <v>427</v>
      </c>
      <c r="E249" s="108" t="s">
        <v>141</v>
      </c>
      <c r="F249" s="109">
        <v>14728.11</v>
      </c>
      <c r="G249" s="109">
        <v>0</v>
      </c>
      <c r="H249" s="109">
        <v>-14728.11</v>
      </c>
      <c r="I249" s="109">
        <v>0</v>
      </c>
      <c r="J249" s="109">
        <v>0</v>
      </c>
      <c r="K249" s="109">
        <v>2265.8630769230772</v>
      </c>
      <c r="L249" s="110">
        <v>0</v>
      </c>
      <c r="M249" s="109">
        <v>-1351.4200000000039</v>
      </c>
      <c r="N249" s="109">
        <v>-164.46</v>
      </c>
      <c r="O249" s="109">
        <v>14728.11</v>
      </c>
      <c r="P249" s="109">
        <v>0</v>
      </c>
      <c r="Q249" s="109">
        <v>0</v>
      </c>
      <c r="R249" s="109">
        <v>0</v>
      </c>
      <c r="S249" s="109">
        <v>13212.229999999996</v>
      </c>
      <c r="T249" s="109">
        <v>10965.343076923074</v>
      </c>
      <c r="U249" s="110">
        <v>0</v>
      </c>
      <c r="V249" s="111">
        <v>6.7000000000000004E-2</v>
      </c>
    </row>
    <row r="250" spans="1:22" x14ac:dyDescent="0.2">
      <c r="A250" s="69" t="s">
        <v>952</v>
      </c>
      <c r="B250" s="69">
        <v>37402</v>
      </c>
      <c r="C250" s="69" t="s">
        <v>954</v>
      </c>
      <c r="D250" s="108" t="s">
        <v>428</v>
      </c>
      <c r="E250" s="108" t="s">
        <v>143</v>
      </c>
      <c r="F250" s="109">
        <v>562.91</v>
      </c>
      <c r="G250" s="109">
        <v>0</v>
      </c>
      <c r="H250" s="109">
        <v>0</v>
      </c>
      <c r="I250" s="109">
        <v>0</v>
      </c>
      <c r="J250" s="109">
        <v>562.91</v>
      </c>
      <c r="K250" s="109">
        <v>562.91</v>
      </c>
      <c r="L250" s="110">
        <v>0</v>
      </c>
      <c r="M250" s="109">
        <v>-443.21000000000038</v>
      </c>
      <c r="N250" s="109">
        <v>-7.3200000000000012</v>
      </c>
      <c r="O250" s="109">
        <v>0</v>
      </c>
      <c r="P250" s="109">
        <v>0</v>
      </c>
      <c r="Q250" s="109">
        <v>0</v>
      </c>
      <c r="R250" s="109">
        <v>0</v>
      </c>
      <c r="S250" s="109">
        <v>-450.53000000000037</v>
      </c>
      <c r="T250" s="109">
        <v>-446.87000000000052</v>
      </c>
      <c r="U250" s="110">
        <v>0</v>
      </c>
      <c r="V250" s="111">
        <v>1.2999999999999999E-2</v>
      </c>
    </row>
    <row r="251" spans="1:22" x14ac:dyDescent="0.2">
      <c r="A251" s="69" t="s">
        <v>952</v>
      </c>
      <c r="B251" s="69">
        <v>37500</v>
      </c>
      <c r="C251" s="69" t="s">
        <v>955</v>
      </c>
      <c r="D251" s="108" t="s">
        <v>429</v>
      </c>
      <c r="E251" s="108" t="s">
        <v>144</v>
      </c>
      <c r="F251" s="109">
        <v>1173.7</v>
      </c>
      <c r="G251" s="109">
        <v>0</v>
      </c>
      <c r="H251" s="109">
        <v>0</v>
      </c>
      <c r="I251" s="109">
        <v>0</v>
      </c>
      <c r="J251" s="109">
        <v>1173.7</v>
      </c>
      <c r="K251" s="109">
        <v>1173.7000000000003</v>
      </c>
      <c r="L251" s="110">
        <v>0</v>
      </c>
      <c r="M251" s="109">
        <v>-1312.8800000000017</v>
      </c>
      <c r="N251" s="109">
        <v>-29.399999999999995</v>
      </c>
      <c r="O251" s="109">
        <v>0</v>
      </c>
      <c r="P251" s="109">
        <v>0</v>
      </c>
      <c r="Q251" s="109">
        <v>0</v>
      </c>
      <c r="R251" s="109">
        <v>0</v>
      </c>
      <c r="S251" s="109">
        <v>-1342.2800000000018</v>
      </c>
      <c r="T251" s="109">
        <v>-1327.580000000002</v>
      </c>
      <c r="U251" s="110">
        <v>0</v>
      </c>
      <c r="V251" s="111">
        <v>2.5000000000000001E-2</v>
      </c>
    </row>
    <row r="252" spans="1:22" x14ac:dyDescent="0.2">
      <c r="A252" s="69" t="s">
        <v>952</v>
      </c>
      <c r="B252" s="69">
        <v>37600</v>
      </c>
      <c r="C252" s="69" t="s">
        <v>956</v>
      </c>
      <c r="D252" s="108" t="s">
        <v>430</v>
      </c>
      <c r="E252" s="108" t="s">
        <v>145</v>
      </c>
      <c r="F252" s="109">
        <v>736046.21</v>
      </c>
      <c r="G252" s="109">
        <v>17110.400000000001</v>
      </c>
      <c r="H252" s="109">
        <v>0</v>
      </c>
      <c r="I252" s="109">
        <v>0</v>
      </c>
      <c r="J252" s="109">
        <v>753156.61</v>
      </c>
      <c r="K252" s="109">
        <v>741043.4484615383</v>
      </c>
      <c r="L252" s="110">
        <v>0</v>
      </c>
      <c r="M252" s="109">
        <v>-726299.54000000074</v>
      </c>
      <c r="N252" s="109">
        <v>-31081.390000000003</v>
      </c>
      <c r="O252" s="109">
        <v>0</v>
      </c>
      <c r="P252" s="109">
        <v>8645.9699999999993</v>
      </c>
      <c r="Q252" s="109">
        <v>0</v>
      </c>
      <c r="R252" s="109">
        <v>0</v>
      </c>
      <c r="S252" s="109">
        <v>-748734.96000000078</v>
      </c>
      <c r="T252" s="109">
        <v>-738736.40538461588</v>
      </c>
      <c r="U252" s="110">
        <v>0</v>
      </c>
      <c r="V252" s="111">
        <v>4.2000000000000003E-2</v>
      </c>
    </row>
    <row r="253" spans="1:22" x14ac:dyDescent="0.2">
      <c r="A253" s="69" t="s">
        <v>952</v>
      </c>
      <c r="B253" s="69">
        <v>37602</v>
      </c>
      <c r="C253" s="69" t="s">
        <v>957</v>
      </c>
      <c r="D253" s="108" t="s">
        <v>431</v>
      </c>
      <c r="E253" s="108" t="s">
        <v>146</v>
      </c>
      <c r="F253" s="109">
        <v>1330629.8699999999</v>
      </c>
      <c r="G253" s="109">
        <v>82394.42</v>
      </c>
      <c r="H253" s="109">
        <v>0</v>
      </c>
      <c r="I253" s="109">
        <v>0</v>
      </c>
      <c r="J253" s="109">
        <v>1413024.2899999998</v>
      </c>
      <c r="K253" s="109">
        <v>1345186.9161538458</v>
      </c>
      <c r="L253" s="110">
        <v>0</v>
      </c>
      <c r="M253" s="109">
        <v>-682665.88999999862</v>
      </c>
      <c r="N253" s="109">
        <v>-41525.539999999994</v>
      </c>
      <c r="O253" s="109">
        <v>0</v>
      </c>
      <c r="P253" s="109">
        <v>16378.099999999999</v>
      </c>
      <c r="Q253" s="109">
        <v>0</v>
      </c>
      <c r="R253" s="109">
        <v>0</v>
      </c>
      <c r="S253" s="109">
        <v>-707813.32999999868</v>
      </c>
      <c r="T253" s="109">
        <v>-697736.06307692139</v>
      </c>
      <c r="U253" s="110">
        <v>0</v>
      </c>
      <c r="V253" s="111">
        <v>3.1E-2</v>
      </c>
    </row>
    <row r="254" spans="1:22" x14ac:dyDescent="0.2">
      <c r="A254" s="69" t="s">
        <v>952</v>
      </c>
      <c r="B254" s="69">
        <v>37800</v>
      </c>
      <c r="C254" s="69" t="s">
        <v>958</v>
      </c>
      <c r="D254" s="108" t="s">
        <v>432</v>
      </c>
      <c r="E254" s="108" t="s">
        <v>147</v>
      </c>
      <c r="F254" s="109">
        <v>27543.010000000002</v>
      </c>
      <c r="G254" s="109">
        <v>26165.86</v>
      </c>
      <c r="H254" s="109">
        <v>0</v>
      </c>
      <c r="I254" s="109">
        <v>0</v>
      </c>
      <c r="J254" s="109">
        <v>53708.87</v>
      </c>
      <c r="K254" s="109">
        <v>33581.285384615388</v>
      </c>
      <c r="L254" s="110">
        <v>0</v>
      </c>
      <c r="M254" s="109">
        <v>-18357.359999999957</v>
      </c>
      <c r="N254" s="109">
        <v>-1084.6599999999999</v>
      </c>
      <c r="O254" s="109">
        <v>0</v>
      </c>
      <c r="P254" s="109">
        <v>0</v>
      </c>
      <c r="Q254" s="109">
        <v>0</v>
      </c>
      <c r="R254" s="109">
        <v>0</v>
      </c>
      <c r="S254" s="109">
        <v>-19442.019999999957</v>
      </c>
      <c r="T254" s="109">
        <v>-18842.651538461487</v>
      </c>
      <c r="U254" s="110">
        <v>0</v>
      </c>
      <c r="V254" s="111">
        <v>3.4000000000000002E-2</v>
      </c>
    </row>
    <row r="255" spans="1:22" x14ac:dyDescent="0.2">
      <c r="A255" s="69" t="s">
        <v>952</v>
      </c>
      <c r="B255" s="69">
        <v>37900</v>
      </c>
      <c r="C255" s="69" t="s">
        <v>959</v>
      </c>
      <c r="D255" s="108" t="s">
        <v>433</v>
      </c>
      <c r="E255" s="108" t="s">
        <v>148</v>
      </c>
      <c r="F255" s="109">
        <v>82423.460000000006</v>
      </c>
      <c r="G255" s="109">
        <v>7716.05</v>
      </c>
      <c r="H255" s="109">
        <v>0</v>
      </c>
      <c r="I255" s="109">
        <v>0</v>
      </c>
      <c r="J255" s="109">
        <v>90139.510000000009</v>
      </c>
      <c r="K255" s="109">
        <v>84797.629230769249</v>
      </c>
      <c r="L255" s="110">
        <v>0</v>
      </c>
      <c r="M255" s="109">
        <v>16677.61000000007</v>
      </c>
      <c r="N255" s="109">
        <v>-2867.9700000000003</v>
      </c>
      <c r="O255" s="109">
        <v>0</v>
      </c>
      <c r="P255" s="109">
        <v>0</v>
      </c>
      <c r="Q255" s="109">
        <v>0</v>
      </c>
      <c r="R255" s="109">
        <v>0</v>
      </c>
      <c r="S255" s="109">
        <v>13809.640000000069</v>
      </c>
      <c r="T255" s="109">
        <v>15266.336153846221</v>
      </c>
      <c r="U255" s="110">
        <v>0</v>
      </c>
      <c r="V255" s="111">
        <v>3.4000000000000002E-2</v>
      </c>
    </row>
    <row r="256" spans="1:22" x14ac:dyDescent="0.2">
      <c r="A256" s="69" t="s">
        <v>952</v>
      </c>
      <c r="B256" s="69">
        <v>38000</v>
      </c>
      <c r="C256" s="69" t="s">
        <v>960</v>
      </c>
      <c r="D256" s="108" t="s">
        <v>434</v>
      </c>
      <c r="E256" s="108" t="s">
        <v>149</v>
      </c>
      <c r="F256" s="109">
        <v>142813.32999999999</v>
      </c>
      <c r="G256" s="109">
        <v>582.92999999999995</v>
      </c>
      <c r="H256" s="109">
        <v>-1317.83</v>
      </c>
      <c r="I256" s="109">
        <v>0</v>
      </c>
      <c r="J256" s="109">
        <v>142078.43</v>
      </c>
      <c r="K256" s="109">
        <v>141776.2346153846</v>
      </c>
      <c r="L256" s="110">
        <v>0</v>
      </c>
      <c r="M256" s="109">
        <v>-259521.87999999954</v>
      </c>
      <c r="N256" s="109">
        <v>-9355.5300000000007</v>
      </c>
      <c r="O256" s="109">
        <v>1317.83</v>
      </c>
      <c r="P256" s="109">
        <v>3299.45</v>
      </c>
      <c r="Q256" s="109">
        <v>0</v>
      </c>
      <c r="R256" s="109">
        <v>0</v>
      </c>
      <c r="S256" s="109">
        <v>-264260.12999999954</v>
      </c>
      <c r="T256" s="109">
        <v>-260860.59461538415</v>
      </c>
      <c r="U256" s="110">
        <v>0</v>
      </c>
      <c r="V256" s="111">
        <v>6.5999999999999989E-2</v>
      </c>
    </row>
    <row r="257" spans="1:22" x14ac:dyDescent="0.2">
      <c r="A257" s="69" t="s">
        <v>952</v>
      </c>
      <c r="B257" s="69">
        <v>38002</v>
      </c>
      <c r="C257" s="69" t="s">
        <v>961</v>
      </c>
      <c r="D257" s="108" t="s">
        <v>435</v>
      </c>
      <c r="E257" s="108" t="s">
        <v>150</v>
      </c>
      <c r="F257" s="109">
        <v>423457.2</v>
      </c>
      <c r="G257" s="109">
        <v>8794.119999999999</v>
      </c>
      <c r="H257" s="109">
        <v>0</v>
      </c>
      <c r="I257" s="109">
        <v>0</v>
      </c>
      <c r="J257" s="109">
        <v>432251.32</v>
      </c>
      <c r="K257" s="109">
        <v>428246.1838461539</v>
      </c>
      <c r="L257" s="110">
        <v>0</v>
      </c>
      <c r="M257" s="109">
        <v>-344016.88999999978</v>
      </c>
      <c r="N257" s="109">
        <v>-21395.63</v>
      </c>
      <c r="O257" s="109">
        <v>0</v>
      </c>
      <c r="P257" s="109">
        <v>4958.8899999999994</v>
      </c>
      <c r="Q257" s="109">
        <v>0</v>
      </c>
      <c r="R257" s="109">
        <v>0</v>
      </c>
      <c r="S257" s="109">
        <v>-360453.62999999977</v>
      </c>
      <c r="T257" s="109">
        <v>-352918.9699999998</v>
      </c>
      <c r="U257" s="110">
        <v>0</v>
      </c>
      <c r="V257" s="111">
        <v>0.05</v>
      </c>
    </row>
    <row r="258" spans="1:22" x14ac:dyDescent="0.2">
      <c r="A258" s="69" t="s">
        <v>952</v>
      </c>
      <c r="B258" s="69">
        <v>38200</v>
      </c>
      <c r="C258" s="69" t="s">
        <v>962</v>
      </c>
      <c r="D258" s="108" t="s">
        <v>436</v>
      </c>
      <c r="E258" s="108" t="s">
        <v>152</v>
      </c>
      <c r="F258" s="109">
        <v>57909.19000000001</v>
      </c>
      <c r="G258" s="109">
        <v>988.58</v>
      </c>
      <c r="H258" s="109">
        <v>-73.64</v>
      </c>
      <c r="I258" s="109">
        <v>0</v>
      </c>
      <c r="J258" s="109">
        <v>58824.130000000012</v>
      </c>
      <c r="K258" s="109">
        <v>58404.75615384616</v>
      </c>
      <c r="L258" s="110">
        <v>0</v>
      </c>
      <c r="M258" s="109">
        <v>-45725.89</v>
      </c>
      <c r="N258" s="109">
        <v>-2626.6300000000006</v>
      </c>
      <c r="O258" s="109">
        <v>73.64</v>
      </c>
      <c r="P258" s="109">
        <v>0</v>
      </c>
      <c r="Q258" s="109">
        <v>0</v>
      </c>
      <c r="R258" s="109">
        <v>0</v>
      </c>
      <c r="S258" s="109">
        <v>-48278.879999999997</v>
      </c>
      <c r="T258" s="109">
        <v>-46966.756923076922</v>
      </c>
      <c r="U258" s="110">
        <v>0</v>
      </c>
      <c r="V258" s="111">
        <v>4.4999999999999998E-2</v>
      </c>
    </row>
    <row r="259" spans="1:22" x14ac:dyDescent="0.2">
      <c r="A259" s="69" t="s">
        <v>952</v>
      </c>
      <c r="B259" s="69">
        <v>38300</v>
      </c>
      <c r="C259" s="69" t="s">
        <v>963</v>
      </c>
      <c r="D259" s="108" t="s">
        <v>437</v>
      </c>
      <c r="E259" s="108" t="s">
        <v>153</v>
      </c>
      <c r="F259" s="109">
        <v>20913.5</v>
      </c>
      <c r="G259" s="109">
        <v>0</v>
      </c>
      <c r="H259" s="109">
        <v>0</v>
      </c>
      <c r="I259" s="109">
        <v>0</v>
      </c>
      <c r="J259" s="109">
        <v>20913.5</v>
      </c>
      <c r="K259" s="109">
        <v>20913.5</v>
      </c>
      <c r="L259" s="110">
        <v>0</v>
      </c>
      <c r="M259" s="109">
        <v>-11912.400000000007</v>
      </c>
      <c r="N259" s="109">
        <v>-752.88</v>
      </c>
      <c r="O259" s="109">
        <v>0</v>
      </c>
      <c r="P259" s="109">
        <v>0</v>
      </c>
      <c r="Q259" s="109">
        <v>0</v>
      </c>
      <c r="R259" s="109">
        <v>0</v>
      </c>
      <c r="S259" s="109">
        <v>-12665.280000000006</v>
      </c>
      <c r="T259" s="109">
        <v>-12288.840000000006</v>
      </c>
      <c r="U259" s="110">
        <v>0</v>
      </c>
      <c r="V259" s="111">
        <v>3.5999999999999997E-2</v>
      </c>
    </row>
    <row r="260" spans="1:22" x14ac:dyDescent="0.2">
      <c r="A260" s="69" t="s">
        <v>952</v>
      </c>
      <c r="B260" s="69">
        <v>38400</v>
      </c>
      <c r="C260" s="69" t="s">
        <v>964</v>
      </c>
      <c r="D260" s="108" t="s">
        <v>438</v>
      </c>
      <c r="E260" s="108" t="s">
        <v>154</v>
      </c>
      <c r="F260" s="109">
        <v>20198.220000000012</v>
      </c>
      <c r="G260" s="109">
        <v>436.18</v>
      </c>
      <c r="H260" s="109">
        <v>-12.66</v>
      </c>
      <c r="I260" s="109">
        <v>0</v>
      </c>
      <c r="J260" s="109">
        <v>20621.740000000013</v>
      </c>
      <c r="K260" s="109">
        <v>20423.604615384633</v>
      </c>
      <c r="L260" s="110">
        <v>0</v>
      </c>
      <c r="M260" s="109">
        <v>-14261.920000000004</v>
      </c>
      <c r="N260" s="109">
        <v>-918.31000000000017</v>
      </c>
      <c r="O260" s="109">
        <v>12.66</v>
      </c>
      <c r="P260" s="109">
        <v>0</v>
      </c>
      <c r="Q260" s="109">
        <v>0</v>
      </c>
      <c r="R260" s="109">
        <v>0</v>
      </c>
      <c r="S260" s="109">
        <v>-15167.570000000003</v>
      </c>
      <c r="T260" s="109">
        <v>-14707.343846153848</v>
      </c>
      <c r="U260" s="110">
        <v>0</v>
      </c>
      <c r="V260" s="111">
        <v>4.4999999999999998E-2</v>
      </c>
    </row>
    <row r="261" spans="1:22" x14ac:dyDescent="0.2">
      <c r="A261" s="69" t="s">
        <v>952</v>
      </c>
      <c r="B261" s="69">
        <v>38500</v>
      </c>
      <c r="C261" s="69" t="s">
        <v>965</v>
      </c>
      <c r="D261" s="108" t="s">
        <v>439</v>
      </c>
      <c r="E261" s="108" t="s">
        <v>155</v>
      </c>
      <c r="F261" s="109">
        <v>16211.04</v>
      </c>
      <c r="G261" s="109">
        <v>0</v>
      </c>
      <c r="H261" s="109">
        <v>0</v>
      </c>
      <c r="I261" s="109">
        <v>0</v>
      </c>
      <c r="J261" s="109">
        <v>16211.04</v>
      </c>
      <c r="K261" s="109">
        <v>16211.040000000006</v>
      </c>
      <c r="L261" s="110">
        <v>0</v>
      </c>
      <c r="M261" s="109">
        <v>-500.03000000000105</v>
      </c>
      <c r="N261" s="109">
        <v>-502.56</v>
      </c>
      <c r="O261" s="109">
        <v>0</v>
      </c>
      <c r="P261" s="109">
        <v>0</v>
      </c>
      <c r="Q261" s="109">
        <v>0</v>
      </c>
      <c r="R261" s="109">
        <v>0</v>
      </c>
      <c r="S261" s="109">
        <v>-1002.5900000000011</v>
      </c>
      <c r="T261" s="109">
        <v>-751.31000000000108</v>
      </c>
      <c r="U261" s="110">
        <v>0</v>
      </c>
      <c r="V261" s="111">
        <v>3.1E-2</v>
      </c>
    </row>
    <row r="262" spans="1:22" x14ac:dyDescent="0.2">
      <c r="A262" s="69" t="s">
        <v>952</v>
      </c>
      <c r="B262" s="69">
        <v>38700</v>
      </c>
      <c r="C262" s="69" t="s">
        <v>966</v>
      </c>
      <c r="D262" s="108" t="s">
        <v>440</v>
      </c>
      <c r="E262" s="108" t="s">
        <v>156</v>
      </c>
      <c r="F262" s="109">
        <v>40050.639999999999</v>
      </c>
      <c r="G262" s="109">
        <v>17473.75</v>
      </c>
      <c r="H262" s="109">
        <v>0</v>
      </c>
      <c r="I262" s="109">
        <v>0</v>
      </c>
      <c r="J262" s="109">
        <v>57524.39</v>
      </c>
      <c r="K262" s="109">
        <v>49678.81538461538</v>
      </c>
      <c r="L262" s="110">
        <v>0</v>
      </c>
      <c r="M262" s="109">
        <v>-26072.290000000052</v>
      </c>
      <c r="N262" s="109">
        <v>-3088.53</v>
      </c>
      <c r="O262" s="109">
        <v>0</v>
      </c>
      <c r="P262" s="109">
        <v>0</v>
      </c>
      <c r="Q262" s="109">
        <v>0</v>
      </c>
      <c r="R262" s="109">
        <v>0</v>
      </c>
      <c r="S262" s="109">
        <v>-29160.820000000051</v>
      </c>
      <c r="T262" s="109">
        <v>-27594.813076923128</v>
      </c>
      <c r="U262" s="110">
        <v>0</v>
      </c>
      <c r="V262" s="111">
        <v>6.3E-2</v>
      </c>
    </row>
    <row r="263" spans="1:22" x14ac:dyDescent="0.2">
      <c r="A263" s="69" t="s">
        <v>952</v>
      </c>
      <c r="B263" s="69">
        <v>39002</v>
      </c>
      <c r="C263" s="69" t="s">
        <v>967</v>
      </c>
      <c r="D263" s="108" t="s">
        <v>441</v>
      </c>
      <c r="E263" s="108" t="s">
        <v>158</v>
      </c>
      <c r="F263" s="109">
        <v>8753.67</v>
      </c>
      <c r="G263" s="109">
        <v>0</v>
      </c>
      <c r="H263" s="109">
        <v>0</v>
      </c>
      <c r="I263" s="109">
        <v>0</v>
      </c>
      <c r="J263" s="109">
        <v>8753.67</v>
      </c>
      <c r="K263" s="109">
        <v>8753.67</v>
      </c>
      <c r="L263" s="110">
        <v>0</v>
      </c>
      <c r="M263" s="109">
        <v>6145.9300000000167</v>
      </c>
      <c r="N263" s="109">
        <v>-218.88000000000002</v>
      </c>
      <c r="O263" s="109">
        <v>0</v>
      </c>
      <c r="P263" s="109">
        <v>0</v>
      </c>
      <c r="Q263" s="109">
        <v>0</v>
      </c>
      <c r="R263" s="109">
        <v>0</v>
      </c>
      <c r="S263" s="109">
        <v>5927.0500000000166</v>
      </c>
      <c r="T263" s="109">
        <v>6036.4900000000189</v>
      </c>
      <c r="U263" s="110">
        <v>0</v>
      </c>
      <c r="V263" s="111">
        <v>2.5000000000000001E-2</v>
      </c>
    </row>
    <row r="264" spans="1:22" x14ac:dyDescent="0.2">
      <c r="A264" s="69" t="s">
        <v>952</v>
      </c>
      <c r="B264" s="69">
        <v>39100</v>
      </c>
      <c r="C264" s="69" t="s">
        <v>968</v>
      </c>
      <c r="D264" s="108" t="s">
        <v>442</v>
      </c>
      <c r="E264" s="108" t="s">
        <v>159</v>
      </c>
      <c r="F264" s="109">
        <v>0</v>
      </c>
      <c r="G264" s="109">
        <v>0</v>
      </c>
      <c r="H264" s="109">
        <v>0</v>
      </c>
      <c r="I264" s="109">
        <v>0</v>
      </c>
      <c r="J264" s="109">
        <v>0</v>
      </c>
      <c r="K264" s="109">
        <v>0</v>
      </c>
      <c r="L264" s="110">
        <v>0</v>
      </c>
      <c r="M264" s="109">
        <v>-3623.8699999999894</v>
      </c>
      <c r="N264" s="109">
        <v>0</v>
      </c>
      <c r="O264" s="109">
        <v>0</v>
      </c>
      <c r="P264" s="109">
        <v>0</v>
      </c>
      <c r="Q264" s="109">
        <v>0</v>
      </c>
      <c r="R264" s="109">
        <v>0</v>
      </c>
      <c r="S264" s="109">
        <v>-3623.8699999999894</v>
      </c>
      <c r="T264" s="109">
        <v>-3623.8699999999885</v>
      </c>
      <c r="U264" s="110">
        <v>0</v>
      </c>
      <c r="V264" s="111">
        <v>6.7000000000000004E-2</v>
      </c>
    </row>
    <row r="265" spans="1:22" x14ac:dyDescent="0.2">
      <c r="A265" s="69" t="s">
        <v>952</v>
      </c>
      <c r="B265" s="69">
        <v>39101</v>
      </c>
      <c r="C265" s="69" t="s">
        <v>969</v>
      </c>
      <c r="D265" s="108" t="s">
        <v>443</v>
      </c>
      <c r="E265" s="108" t="s">
        <v>160</v>
      </c>
      <c r="F265" s="109">
        <v>1164.1300000000001</v>
      </c>
      <c r="G265" s="109">
        <v>0</v>
      </c>
      <c r="H265" s="109">
        <v>0</v>
      </c>
      <c r="I265" s="109">
        <v>0</v>
      </c>
      <c r="J265" s="109">
        <v>1164.1300000000001</v>
      </c>
      <c r="K265" s="109">
        <v>1164.1300000000006</v>
      </c>
      <c r="L265" s="110">
        <v>0</v>
      </c>
      <c r="M265" s="109">
        <v>-18383.540000000026</v>
      </c>
      <c r="N265" s="109">
        <v>-145.55999999999997</v>
      </c>
      <c r="O265" s="109">
        <v>0</v>
      </c>
      <c r="P265" s="109">
        <v>0</v>
      </c>
      <c r="Q265" s="109">
        <v>0</v>
      </c>
      <c r="R265" s="109">
        <v>0</v>
      </c>
      <c r="S265" s="109">
        <v>-18529.100000000028</v>
      </c>
      <c r="T265" s="109">
        <v>-18456.320000000032</v>
      </c>
      <c r="U265" s="110">
        <v>0</v>
      </c>
      <c r="V265" s="111">
        <v>0.125</v>
      </c>
    </row>
    <row r="266" spans="1:22" x14ac:dyDescent="0.2">
      <c r="A266" s="69" t="s">
        <v>952</v>
      </c>
      <c r="B266" s="69">
        <v>39102</v>
      </c>
      <c r="C266" s="69" t="s">
        <v>970</v>
      </c>
      <c r="D266" s="108" t="s">
        <v>444</v>
      </c>
      <c r="E266" s="108" t="s">
        <v>161</v>
      </c>
      <c r="F266" s="109">
        <v>3492.36</v>
      </c>
      <c r="G266" s="109">
        <v>0</v>
      </c>
      <c r="H266" s="109">
        <v>0</v>
      </c>
      <c r="I266" s="109">
        <v>0</v>
      </c>
      <c r="J266" s="109">
        <v>3492.36</v>
      </c>
      <c r="K266" s="109">
        <v>3492.36</v>
      </c>
      <c r="L266" s="110">
        <v>0</v>
      </c>
      <c r="M266" s="109">
        <v>-215.79000000000008</v>
      </c>
      <c r="N266" s="109">
        <v>-234</v>
      </c>
      <c r="O266" s="109">
        <v>0</v>
      </c>
      <c r="P266" s="109">
        <v>0</v>
      </c>
      <c r="Q266" s="109">
        <v>0</v>
      </c>
      <c r="R266" s="109">
        <v>0</v>
      </c>
      <c r="S266" s="109">
        <v>-449.79000000000008</v>
      </c>
      <c r="T266" s="109">
        <v>-332.79</v>
      </c>
      <c r="U266" s="110">
        <v>0</v>
      </c>
      <c r="V266" s="111">
        <v>6.7000000000000004E-2</v>
      </c>
    </row>
    <row r="267" spans="1:22" x14ac:dyDescent="0.2">
      <c r="A267" s="69" t="s">
        <v>952</v>
      </c>
      <c r="B267" s="69">
        <v>39201</v>
      </c>
      <c r="C267" s="69" t="s">
        <v>971</v>
      </c>
      <c r="D267" s="108" t="s">
        <v>445</v>
      </c>
      <c r="E267" s="108" t="s">
        <v>163</v>
      </c>
      <c r="F267" s="109">
        <v>0</v>
      </c>
      <c r="G267" s="109">
        <v>0</v>
      </c>
      <c r="H267" s="109">
        <v>0</v>
      </c>
      <c r="I267" s="109">
        <v>0</v>
      </c>
      <c r="J267" s="109">
        <v>0</v>
      </c>
      <c r="K267" s="109">
        <v>0</v>
      </c>
      <c r="L267" s="110">
        <v>0</v>
      </c>
      <c r="M267" s="109">
        <v>-4393.54000000001</v>
      </c>
      <c r="N267" s="109">
        <v>0</v>
      </c>
      <c r="O267" s="109">
        <v>0</v>
      </c>
      <c r="P267" s="109">
        <v>0</v>
      </c>
      <c r="Q267" s="109">
        <v>0</v>
      </c>
      <c r="R267" s="109">
        <v>0</v>
      </c>
      <c r="S267" s="109">
        <v>-4393.54000000001</v>
      </c>
      <c r="T267" s="109">
        <v>-4393.5400000000091</v>
      </c>
      <c r="U267" s="110">
        <v>0</v>
      </c>
      <c r="V267" s="111">
        <v>0.112</v>
      </c>
    </row>
    <row r="268" spans="1:22" x14ac:dyDescent="0.2">
      <c r="A268" s="69" t="s">
        <v>952</v>
      </c>
      <c r="B268" s="69">
        <v>39202</v>
      </c>
      <c r="C268" s="69" t="s">
        <v>972</v>
      </c>
      <c r="D268" s="108" t="s">
        <v>446</v>
      </c>
      <c r="E268" s="108" t="s">
        <v>164</v>
      </c>
      <c r="F268" s="109">
        <v>64896.66</v>
      </c>
      <c r="G268" s="109">
        <v>-629.23</v>
      </c>
      <c r="H268" s="109">
        <v>0</v>
      </c>
      <c r="I268" s="109">
        <v>0</v>
      </c>
      <c r="J268" s="109">
        <v>64267.43</v>
      </c>
      <c r="K268" s="109">
        <v>64799.85538461541</v>
      </c>
      <c r="L268" s="110">
        <v>0</v>
      </c>
      <c r="M268" s="109">
        <v>-17853.159999999989</v>
      </c>
      <c r="N268" s="109">
        <v>-8235.1799999999985</v>
      </c>
      <c r="O268" s="109">
        <v>0</v>
      </c>
      <c r="P268" s="109">
        <v>0</v>
      </c>
      <c r="Q268" s="109">
        <v>0</v>
      </c>
      <c r="R268" s="109">
        <v>0</v>
      </c>
      <c r="S268" s="109">
        <v>-26088.339999999989</v>
      </c>
      <c r="T268" s="109">
        <v>-21973.567692307679</v>
      </c>
      <c r="U268" s="110">
        <v>0</v>
      </c>
      <c r="V268" s="111">
        <v>0.127</v>
      </c>
    </row>
    <row r="269" spans="1:22" x14ac:dyDescent="0.2">
      <c r="A269" s="69" t="s">
        <v>952</v>
      </c>
      <c r="B269" s="69">
        <v>39204</v>
      </c>
      <c r="C269" s="69" t="s">
        <v>973</v>
      </c>
      <c r="D269" s="108" t="s">
        <v>447</v>
      </c>
      <c r="E269" s="108" t="s">
        <v>166</v>
      </c>
      <c r="F269" s="109">
        <v>7515.5</v>
      </c>
      <c r="G269" s="109">
        <v>0</v>
      </c>
      <c r="H269" s="109">
        <v>0</v>
      </c>
      <c r="I269" s="109">
        <v>0</v>
      </c>
      <c r="J269" s="109">
        <v>7515.5</v>
      </c>
      <c r="K269" s="109">
        <v>7515.5</v>
      </c>
      <c r="L269" s="110">
        <v>0</v>
      </c>
      <c r="M269" s="109">
        <v>-580.62999999999988</v>
      </c>
      <c r="N269" s="109">
        <v>-300.60000000000008</v>
      </c>
      <c r="O269" s="109">
        <v>0</v>
      </c>
      <c r="P269" s="109">
        <v>0</v>
      </c>
      <c r="Q269" s="109">
        <v>0</v>
      </c>
      <c r="R269" s="109">
        <v>0</v>
      </c>
      <c r="S269" s="109">
        <v>-881.23</v>
      </c>
      <c r="T269" s="109">
        <v>-730.92999999999972</v>
      </c>
      <c r="U269" s="110">
        <v>0</v>
      </c>
      <c r="V269" s="111">
        <v>0.04</v>
      </c>
    </row>
    <row r="270" spans="1:22" x14ac:dyDescent="0.2">
      <c r="A270" s="69" t="s">
        <v>952</v>
      </c>
      <c r="B270" s="69">
        <v>39400</v>
      </c>
      <c r="C270" s="69" t="s">
        <v>974</v>
      </c>
      <c r="D270" s="108" t="s">
        <v>448</v>
      </c>
      <c r="E270" s="108" t="s">
        <v>169</v>
      </c>
      <c r="F270" s="109">
        <v>2919.2200000000012</v>
      </c>
      <c r="G270" s="109">
        <v>2113.77</v>
      </c>
      <c r="H270" s="109">
        <v>0</v>
      </c>
      <c r="I270" s="109">
        <v>0</v>
      </c>
      <c r="J270" s="109">
        <v>5032.9900000000016</v>
      </c>
      <c r="K270" s="109">
        <v>3569.6107692307705</v>
      </c>
      <c r="L270" s="110">
        <v>0</v>
      </c>
      <c r="M270" s="109">
        <v>-8440.8000000000029</v>
      </c>
      <c r="N270" s="109">
        <v>-227.58</v>
      </c>
      <c r="O270" s="109">
        <v>0</v>
      </c>
      <c r="P270" s="109">
        <v>0</v>
      </c>
      <c r="Q270" s="109">
        <v>0</v>
      </c>
      <c r="R270" s="109">
        <v>0</v>
      </c>
      <c r="S270" s="109">
        <v>-8668.3800000000028</v>
      </c>
      <c r="T270" s="109">
        <v>-8542.5230769230766</v>
      </c>
      <c r="U270" s="110">
        <v>0</v>
      </c>
      <c r="V270" s="111">
        <v>6.6000000000000003E-2</v>
      </c>
    </row>
    <row r="271" spans="1:22" x14ac:dyDescent="0.2">
      <c r="A271" s="69" t="s">
        <v>952</v>
      </c>
      <c r="B271" s="69">
        <v>39600</v>
      </c>
      <c r="C271" s="69" t="s">
        <v>975</v>
      </c>
      <c r="D271" s="108" t="s">
        <v>449</v>
      </c>
      <c r="E271" s="108" t="s">
        <v>171</v>
      </c>
      <c r="F271" s="109">
        <v>45864.66</v>
      </c>
      <c r="G271" s="109">
        <v>0</v>
      </c>
      <c r="H271" s="109">
        <v>0</v>
      </c>
      <c r="I271" s="109">
        <v>0</v>
      </c>
      <c r="J271" s="109">
        <v>45864.66</v>
      </c>
      <c r="K271" s="109">
        <v>45864.660000000018</v>
      </c>
      <c r="L271" s="110">
        <v>0</v>
      </c>
      <c r="M271" s="109">
        <v>-60836.94</v>
      </c>
      <c r="N271" s="109">
        <v>-2935.3200000000011</v>
      </c>
      <c r="O271" s="109">
        <v>0</v>
      </c>
      <c r="P271" s="109">
        <v>0</v>
      </c>
      <c r="Q271" s="109">
        <v>0</v>
      </c>
      <c r="R271" s="109">
        <v>0</v>
      </c>
      <c r="S271" s="109">
        <v>-63772.26</v>
      </c>
      <c r="T271" s="109">
        <v>-62304.600000000013</v>
      </c>
      <c r="U271" s="110">
        <v>0</v>
      </c>
      <c r="V271" s="111">
        <v>6.4000000000000001E-2</v>
      </c>
    </row>
    <row r="272" spans="1:22" x14ac:dyDescent="0.2">
      <c r="A272" s="69" t="s">
        <v>952</v>
      </c>
      <c r="B272" s="69">
        <v>39700</v>
      </c>
      <c r="C272" s="69" t="s">
        <v>976</v>
      </c>
      <c r="D272" s="108" t="s">
        <v>450</v>
      </c>
      <c r="E272" s="108" t="s">
        <v>172</v>
      </c>
      <c r="F272" s="109">
        <v>0</v>
      </c>
      <c r="G272" s="109">
        <v>0</v>
      </c>
      <c r="H272" s="109">
        <v>0</v>
      </c>
      <c r="I272" s="109">
        <v>0</v>
      </c>
      <c r="J272" s="109">
        <v>0</v>
      </c>
      <c r="K272" s="109">
        <v>0</v>
      </c>
      <c r="L272" s="110">
        <v>0</v>
      </c>
      <c r="M272" s="109">
        <v>17233.439999999999</v>
      </c>
      <c r="N272" s="109">
        <v>0</v>
      </c>
      <c r="O272" s="109">
        <v>0</v>
      </c>
      <c r="P272" s="109">
        <v>0</v>
      </c>
      <c r="Q272" s="109">
        <v>0</v>
      </c>
      <c r="R272" s="109">
        <v>0</v>
      </c>
      <c r="S272" s="109">
        <v>17233.439999999999</v>
      </c>
      <c r="T272" s="109">
        <v>17233.439999999999</v>
      </c>
      <c r="U272" s="110">
        <v>0</v>
      </c>
      <c r="V272" s="111">
        <v>8.4000000000000005E-2</v>
      </c>
    </row>
    <row r="273" spans="1:22" x14ac:dyDescent="0.2">
      <c r="A273" s="69" t="s">
        <v>952</v>
      </c>
      <c r="B273" s="69">
        <v>39800</v>
      </c>
      <c r="C273" s="69" t="s">
        <v>977</v>
      </c>
      <c r="D273" s="108" t="s">
        <v>451</v>
      </c>
      <c r="E273" s="108" t="s">
        <v>173</v>
      </c>
      <c r="F273" s="109">
        <v>2865.0400000000004</v>
      </c>
      <c r="G273" s="109">
        <v>309.21000000000004</v>
      </c>
      <c r="H273" s="109">
        <v>0</v>
      </c>
      <c r="I273" s="109">
        <v>0</v>
      </c>
      <c r="J273" s="109">
        <v>3174.2500000000005</v>
      </c>
      <c r="K273" s="109">
        <v>1817.5623076923077</v>
      </c>
      <c r="L273" s="110">
        <v>0</v>
      </c>
      <c r="M273" s="109">
        <v>435.02999999999827</v>
      </c>
      <c r="N273" s="109">
        <v>-100.58999999999997</v>
      </c>
      <c r="O273" s="109">
        <v>0</v>
      </c>
      <c r="P273" s="109">
        <v>0</v>
      </c>
      <c r="Q273" s="109">
        <v>0</v>
      </c>
      <c r="R273" s="109">
        <v>0</v>
      </c>
      <c r="S273" s="109">
        <v>334.43999999999829</v>
      </c>
      <c r="T273" s="109">
        <v>383.50384615384439</v>
      </c>
      <c r="U273" s="110">
        <v>0</v>
      </c>
      <c r="V273" s="111">
        <v>5.8999999999999997E-2</v>
      </c>
    </row>
    <row r="274" spans="1:22" x14ac:dyDescent="0.2">
      <c r="A274" s="69" t="s">
        <v>978</v>
      </c>
      <c r="B274" s="69">
        <v>30301</v>
      </c>
      <c r="C274" s="69" t="s">
        <v>979</v>
      </c>
      <c r="D274" s="108" t="s">
        <v>452</v>
      </c>
      <c r="E274" s="108" t="s">
        <v>141</v>
      </c>
      <c r="F274" s="109">
        <v>90051.489999999991</v>
      </c>
      <c r="G274" s="109">
        <v>0</v>
      </c>
      <c r="H274" s="109">
        <v>0</v>
      </c>
      <c r="I274" s="109">
        <v>0</v>
      </c>
      <c r="J274" s="109">
        <v>90051.489999999991</v>
      </c>
      <c r="K274" s="109">
        <v>90309.873076923061</v>
      </c>
      <c r="L274" s="110">
        <v>0</v>
      </c>
      <c r="M274" s="109">
        <v>-85129.219999999812</v>
      </c>
      <c r="N274" s="109">
        <v>-4922.2700000000004</v>
      </c>
      <c r="O274" s="109">
        <v>0</v>
      </c>
      <c r="P274" s="109">
        <v>0</v>
      </c>
      <c r="Q274" s="109">
        <v>0</v>
      </c>
      <c r="R274" s="109">
        <v>0</v>
      </c>
      <c r="S274" s="109">
        <v>-90051.489999999816</v>
      </c>
      <c r="T274" s="109">
        <v>-88009.882307692067</v>
      </c>
      <c r="U274" s="110">
        <v>0</v>
      </c>
      <c r="V274" s="111">
        <v>6.7000000000000004E-2</v>
      </c>
    </row>
    <row r="275" spans="1:22" x14ac:dyDescent="0.2">
      <c r="A275" s="69" t="s">
        <v>978</v>
      </c>
      <c r="B275" s="69">
        <v>37400</v>
      </c>
      <c r="C275" s="69" t="s">
        <v>980</v>
      </c>
      <c r="D275" s="108" t="s">
        <v>453</v>
      </c>
      <c r="E275" s="108" t="s">
        <v>142</v>
      </c>
      <c r="F275" s="109">
        <v>292426.59999999998</v>
      </c>
      <c r="G275" s="109">
        <v>-21805.23</v>
      </c>
      <c r="H275" s="109">
        <v>0</v>
      </c>
      <c r="I275" s="109">
        <v>0</v>
      </c>
      <c r="J275" s="109">
        <v>270621.37</v>
      </c>
      <c r="K275" s="109">
        <v>280685.32230769238</v>
      </c>
      <c r="L275" s="110">
        <v>0</v>
      </c>
      <c r="M275" s="109">
        <v>0</v>
      </c>
      <c r="N275" s="109">
        <v>0</v>
      </c>
      <c r="O275" s="109">
        <v>0</v>
      </c>
      <c r="P275" s="109">
        <v>0</v>
      </c>
      <c r="Q275" s="109">
        <v>0</v>
      </c>
      <c r="R275" s="109">
        <v>0</v>
      </c>
      <c r="S275" s="109">
        <v>0</v>
      </c>
      <c r="T275" s="109">
        <v>0</v>
      </c>
      <c r="U275" s="110">
        <v>0</v>
      </c>
      <c r="V275" s="111">
        <v>0</v>
      </c>
    </row>
    <row r="276" spans="1:22" x14ac:dyDescent="0.2">
      <c r="A276" s="69" t="s">
        <v>978</v>
      </c>
      <c r="B276" s="69">
        <v>37402</v>
      </c>
      <c r="C276" s="69" t="s">
        <v>981</v>
      </c>
      <c r="D276" s="108" t="s">
        <v>454</v>
      </c>
      <c r="E276" s="108" t="s">
        <v>143</v>
      </c>
      <c r="F276" s="109">
        <v>78599.64</v>
      </c>
      <c r="G276" s="109">
        <v>0</v>
      </c>
      <c r="H276" s="109">
        <v>0</v>
      </c>
      <c r="I276" s="109">
        <v>0</v>
      </c>
      <c r="J276" s="109">
        <v>78599.64</v>
      </c>
      <c r="K276" s="109">
        <v>78599.64</v>
      </c>
      <c r="L276" s="110">
        <v>0</v>
      </c>
      <c r="M276" s="109">
        <v>7455.0600000000195</v>
      </c>
      <c r="N276" s="109">
        <v>-1021.7999999999998</v>
      </c>
      <c r="O276" s="109">
        <v>0</v>
      </c>
      <c r="P276" s="109">
        <v>0</v>
      </c>
      <c r="Q276" s="109">
        <v>0</v>
      </c>
      <c r="R276" s="109">
        <v>0</v>
      </c>
      <c r="S276" s="109">
        <v>6433.2600000000193</v>
      </c>
      <c r="T276" s="109">
        <v>6944.1600000000226</v>
      </c>
      <c r="U276" s="110">
        <v>0</v>
      </c>
      <c r="V276" s="111">
        <v>1.2999999999999999E-2</v>
      </c>
    </row>
    <row r="277" spans="1:22" x14ac:dyDescent="0.2">
      <c r="A277" s="69" t="s">
        <v>978</v>
      </c>
      <c r="B277" s="69">
        <v>37500</v>
      </c>
      <c r="C277" s="69" t="s">
        <v>982</v>
      </c>
      <c r="D277" s="108" t="s">
        <v>455</v>
      </c>
      <c r="E277" s="108" t="s">
        <v>144</v>
      </c>
      <c r="F277" s="109">
        <v>1163233.4400000002</v>
      </c>
      <c r="G277" s="109">
        <v>8545.58</v>
      </c>
      <c r="H277" s="109">
        <v>0</v>
      </c>
      <c r="I277" s="109">
        <v>0</v>
      </c>
      <c r="J277" s="109">
        <v>1171779.0200000003</v>
      </c>
      <c r="K277" s="109">
        <v>1167834.9061538461</v>
      </c>
      <c r="L277" s="110">
        <v>0</v>
      </c>
      <c r="M277" s="109">
        <v>-376972.14000000065</v>
      </c>
      <c r="N277" s="109">
        <v>-29187.659999999996</v>
      </c>
      <c r="O277" s="109">
        <v>0</v>
      </c>
      <c r="P277" s="109">
        <v>0</v>
      </c>
      <c r="Q277" s="109">
        <v>0</v>
      </c>
      <c r="R277" s="109">
        <v>0</v>
      </c>
      <c r="S277" s="109">
        <v>-406159.80000000063</v>
      </c>
      <c r="T277" s="109">
        <v>-391541.31000000081</v>
      </c>
      <c r="U277" s="110">
        <v>0</v>
      </c>
      <c r="V277" s="111">
        <v>2.5000000000000001E-2</v>
      </c>
    </row>
    <row r="278" spans="1:22" x14ac:dyDescent="0.2">
      <c r="A278" s="69" t="s">
        <v>978</v>
      </c>
      <c r="B278" s="69">
        <v>37600</v>
      </c>
      <c r="C278" s="69" t="s">
        <v>983</v>
      </c>
      <c r="D278" s="108" t="s">
        <v>456</v>
      </c>
      <c r="E278" s="108" t="s">
        <v>145</v>
      </c>
      <c r="F278" s="109">
        <v>13435251.010000005</v>
      </c>
      <c r="G278" s="109">
        <v>580102.26</v>
      </c>
      <c r="H278" s="109">
        <v>-98619.680000000008</v>
      </c>
      <c r="I278" s="109">
        <v>0</v>
      </c>
      <c r="J278" s="109">
        <v>13916733.590000005</v>
      </c>
      <c r="K278" s="109">
        <v>13842717.501538465</v>
      </c>
      <c r="L278" s="110">
        <v>0</v>
      </c>
      <c r="M278" s="109">
        <v>-6733290.7599999988</v>
      </c>
      <c r="N278" s="109">
        <v>-581135.1</v>
      </c>
      <c r="O278" s="109">
        <v>98619.680000000008</v>
      </c>
      <c r="P278" s="109">
        <v>199752.03</v>
      </c>
      <c r="Q278" s="109">
        <v>0</v>
      </c>
      <c r="R278" s="109">
        <v>0</v>
      </c>
      <c r="S278" s="109">
        <v>-7016054.1499999985</v>
      </c>
      <c r="T278" s="109">
        <v>-6833079.0299999975</v>
      </c>
      <c r="U278" s="110">
        <v>0</v>
      </c>
      <c r="V278" s="111">
        <v>4.2000000000000003E-2</v>
      </c>
    </row>
    <row r="279" spans="1:22" x14ac:dyDescent="0.2">
      <c r="A279" s="69" t="s">
        <v>978</v>
      </c>
      <c r="B279" s="69">
        <v>37602</v>
      </c>
      <c r="C279" s="69" t="s">
        <v>984</v>
      </c>
      <c r="D279" s="108" t="s">
        <v>457</v>
      </c>
      <c r="E279" s="108" t="s">
        <v>146</v>
      </c>
      <c r="F279" s="109">
        <v>45733757.459999964</v>
      </c>
      <c r="G279" s="109">
        <v>5047615.08</v>
      </c>
      <c r="H279" s="109">
        <v>-49554.670000000006</v>
      </c>
      <c r="I279" s="109">
        <v>0</v>
      </c>
      <c r="J279" s="109">
        <v>50731817.86999996</v>
      </c>
      <c r="K279" s="109">
        <v>48121319.769999973</v>
      </c>
      <c r="L279" s="110">
        <v>0</v>
      </c>
      <c r="M279" s="109">
        <v>-16188210.460000006</v>
      </c>
      <c r="N279" s="109">
        <v>-1485017.1199999999</v>
      </c>
      <c r="O279" s="109">
        <v>49554.670000000006</v>
      </c>
      <c r="P279" s="109">
        <v>189680.82</v>
      </c>
      <c r="Q279" s="109">
        <v>0</v>
      </c>
      <c r="R279" s="109">
        <v>0</v>
      </c>
      <c r="S279" s="109">
        <v>-17433992.090000004</v>
      </c>
      <c r="T279" s="109">
        <v>-16803374.420769237</v>
      </c>
      <c r="U279" s="110">
        <v>0</v>
      </c>
      <c r="V279" s="111">
        <v>3.1E-2</v>
      </c>
    </row>
    <row r="280" spans="1:22" x14ac:dyDescent="0.2">
      <c r="A280" s="69" t="s">
        <v>978</v>
      </c>
      <c r="B280" s="69">
        <v>37602</v>
      </c>
      <c r="C280" s="69" t="s">
        <v>984</v>
      </c>
      <c r="D280" s="108" t="s">
        <v>458</v>
      </c>
      <c r="E280" s="108" t="s">
        <v>146</v>
      </c>
      <c r="F280" s="109">
        <v>0</v>
      </c>
      <c r="G280" s="109">
        <v>0</v>
      </c>
      <c r="H280" s="109">
        <v>0</v>
      </c>
      <c r="I280" s="109">
        <v>0</v>
      </c>
      <c r="J280" s="109">
        <v>0</v>
      </c>
      <c r="K280" s="109">
        <v>0</v>
      </c>
      <c r="L280" s="110">
        <v>0</v>
      </c>
      <c r="M280" s="109">
        <v>0</v>
      </c>
      <c r="N280" s="109">
        <v>0</v>
      </c>
      <c r="O280" s="109">
        <v>0</v>
      </c>
      <c r="P280" s="109">
        <v>0</v>
      </c>
      <c r="Q280" s="109">
        <v>0</v>
      </c>
      <c r="R280" s="109">
        <v>0</v>
      </c>
      <c r="S280" s="109">
        <v>0</v>
      </c>
      <c r="T280" s="109">
        <v>0</v>
      </c>
      <c r="U280" s="110">
        <v>0</v>
      </c>
      <c r="V280" s="111">
        <v>3.1E-2</v>
      </c>
    </row>
    <row r="281" spans="1:22" x14ac:dyDescent="0.2">
      <c r="A281" s="69" t="s">
        <v>978</v>
      </c>
      <c r="B281" s="69">
        <v>37602</v>
      </c>
      <c r="C281" s="69" t="s">
        <v>984</v>
      </c>
      <c r="D281" s="108" t="s">
        <v>459</v>
      </c>
      <c r="E281" s="108" t="s">
        <v>146</v>
      </c>
      <c r="F281" s="109">
        <v>0</v>
      </c>
      <c r="G281" s="109">
        <v>0</v>
      </c>
      <c r="H281" s="109">
        <v>0</v>
      </c>
      <c r="I281" s="109">
        <v>0</v>
      </c>
      <c r="J281" s="109">
        <v>0</v>
      </c>
      <c r="K281" s="109">
        <v>0</v>
      </c>
      <c r="L281" s="110">
        <v>0</v>
      </c>
      <c r="M281" s="109">
        <v>0</v>
      </c>
      <c r="N281" s="109">
        <v>0</v>
      </c>
      <c r="O281" s="109">
        <v>0</v>
      </c>
      <c r="P281" s="109">
        <v>0</v>
      </c>
      <c r="Q281" s="109">
        <v>0</v>
      </c>
      <c r="R281" s="109">
        <v>0</v>
      </c>
      <c r="S281" s="109">
        <v>0</v>
      </c>
      <c r="T281" s="109">
        <v>0</v>
      </c>
      <c r="U281" s="110">
        <v>0</v>
      </c>
      <c r="V281" s="111">
        <v>3.1E-2</v>
      </c>
    </row>
    <row r="282" spans="1:22" x14ac:dyDescent="0.2">
      <c r="A282" s="69" t="s">
        <v>978</v>
      </c>
      <c r="B282" s="69">
        <v>37800</v>
      </c>
      <c r="C282" s="69" t="s">
        <v>985</v>
      </c>
      <c r="D282" s="108" t="s">
        <v>460</v>
      </c>
      <c r="E282" s="108" t="s">
        <v>147</v>
      </c>
      <c r="F282" s="109">
        <v>918278.89999999991</v>
      </c>
      <c r="G282" s="109">
        <v>191688.46</v>
      </c>
      <c r="H282" s="109">
        <v>-45188.4</v>
      </c>
      <c r="I282" s="109">
        <v>0</v>
      </c>
      <c r="J282" s="109">
        <v>1064778.96</v>
      </c>
      <c r="K282" s="109">
        <v>957262.97846153833</v>
      </c>
      <c r="L282" s="110">
        <v>0</v>
      </c>
      <c r="M282" s="109">
        <v>-296213.84999999974</v>
      </c>
      <c r="N282" s="109">
        <v>-32242.280000000002</v>
      </c>
      <c r="O282" s="109">
        <v>45188.4</v>
      </c>
      <c r="P282" s="109">
        <v>6963.91</v>
      </c>
      <c r="Q282" s="109">
        <v>0</v>
      </c>
      <c r="R282" s="109">
        <v>0</v>
      </c>
      <c r="S282" s="109">
        <v>-276303.81999999977</v>
      </c>
      <c r="T282" s="109">
        <v>-280973.07461538434</v>
      </c>
      <c r="U282" s="110">
        <v>0</v>
      </c>
      <c r="V282" s="111">
        <v>3.4000000000000002E-2</v>
      </c>
    </row>
    <row r="283" spans="1:22" x14ac:dyDescent="0.2">
      <c r="A283" s="69" t="s">
        <v>978</v>
      </c>
      <c r="B283" s="69">
        <v>37900</v>
      </c>
      <c r="C283" s="69" t="s">
        <v>986</v>
      </c>
      <c r="D283" s="108" t="s">
        <v>461</v>
      </c>
      <c r="E283" s="108" t="s">
        <v>148</v>
      </c>
      <c r="F283" s="109">
        <v>2585082.39</v>
      </c>
      <c r="G283" s="109">
        <v>40424.010000000009</v>
      </c>
      <c r="H283" s="109">
        <v>0</v>
      </c>
      <c r="I283" s="109">
        <v>0</v>
      </c>
      <c r="J283" s="109">
        <v>2625506.4000000004</v>
      </c>
      <c r="K283" s="109">
        <v>2615184.2861538464</v>
      </c>
      <c r="L283" s="110">
        <v>0</v>
      </c>
      <c r="M283" s="109">
        <v>-391196.9000000002</v>
      </c>
      <c r="N283" s="109">
        <v>-88887.010000000009</v>
      </c>
      <c r="O283" s="109">
        <v>0</v>
      </c>
      <c r="P283" s="109">
        <v>0</v>
      </c>
      <c r="Q283" s="109">
        <v>0</v>
      </c>
      <c r="R283" s="109">
        <v>0</v>
      </c>
      <c r="S283" s="109">
        <v>-480083.91000000021</v>
      </c>
      <c r="T283" s="109">
        <v>-435476.85846153874</v>
      </c>
      <c r="U283" s="110">
        <v>0</v>
      </c>
      <c r="V283" s="111">
        <v>3.4000000000000002E-2</v>
      </c>
    </row>
    <row r="284" spans="1:22" x14ac:dyDescent="0.2">
      <c r="A284" s="69" t="s">
        <v>978</v>
      </c>
      <c r="B284" s="69">
        <v>38000</v>
      </c>
      <c r="C284" s="69" t="s">
        <v>987</v>
      </c>
      <c r="D284" s="108" t="s">
        <v>462</v>
      </c>
      <c r="E284" s="108" t="s">
        <v>149</v>
      </c>
      <c r="F284" s="109">
        <v>551112.63000000024</v>
      </c>
      <c r="G284" s="109">
        <v>14003.369999999999</v>
      </c>
      <c r="H284" s="109">
        <v>-16256.84</v>
      </c>
      <c r="I284" s="109">
        <v>0</v>
      </c>
      <c r="J284" s="109">
        <v>548859.16000000027</v>
      </c>
      <c r="K284" s="109">
        <v>552127.71307692339</v>
      </c>
      <c r="L284" s="110">
        <v>0</v>
      </c>
      <c r="M284" s="109">
        <v>-23625.490000000034</v>
      </c>
      <c r="N284" s="109">
        <v>-36458.420000000006</v>
      </c>
      <c r="O284" s="109">
        <v>16256.84</v>
      </c>
      <c r="P284" s="109">
        <v>23924.1</v>
      </c>
      <c r="Q284" s="109">
        <v>0</v>
      </c>
      <c r="R284" s="109">
        <v>0</v>
      </c>
      <c r="S284" s="109">
        <v>-19902.970000000038</v>
      </c>
      <c r="T284" s="109">
        <v>-24014.404615384647</v>
      </c>
      <c r="U284" s="110">
        <v>0</v>
      </c>
      <c r="V284" s="111">
        <v>6.5999999999999989E-2</v>
      </c>
    </row>
    <row r="285" spans="1:22" x14ac:dyDescent="0.2">
      <c r="A285" s="69" t="s">
        <v>978</v>
      </c>
      <c r="B285" s="69">
        <v>38002</v>
      </c>
      <c r="C285" s="69" t="s">
        <v>988</v>
      </c>
      <c r="D285" s="108" t="s">
        <v>463</v>
      </c>
      <c r="E285" s="108" t="s">
        <v>150</v>
      </c>
      <c r="F285" s="109">
        <v>25081534.859999981</v>
      </c>
      <c r="G285" s="109">
        <v>2000893.9900000002</v>
      </c>
      <c r="H285" s="109">
        <v>-39532.620000000003</v>
      </c>
      <c r="I285" s="109">
        <v>0</v>
      </c>
      <c r="J285" s="109">
        <v>27042896.229999978</v>
      </c>
      <c r="K285" s="109">
        <v>25971769.3353846</v>
      </c>
      <c r="L285" s="110">
        <v>0</v>
      </c>
      <c r="M285" s="109">
        <v>-13324581.619999999</v>
      </c>
      <c r="N285" s="109">
        <v>-1294125.45</v>
      </c>
      <c r="O285" s="109">
        <v>39532.620000000003</v>
      </c>
      <c r="P285" s="109">
        <v>118301.03999999998</v>
      </c>
      <c r="Q285" s="109">
        <v>0</v>
      </c>
      <c r="R285" s="109">
        <v>0</v>
      </c>
      <c r="S285" s="109">
        <v>-14460873.41</v>
      </c>
      <c r="T285" s="109">
        <v>-13894549.126923077</v>
      </c>
      <c r="U285" s="110">
        <v>0</v>
      </c>
      <c r="V285" s="111">
        <v>0.05</v>
      </c>
    </row>
    <row r="286" spans="1:22" x14ac:dyDescent="0.2">
      <c r="A286" s="69" t="s">
        <v>978</v>
      </c>
      <c r="B286" s="69">
        <v>38200</v>
      </c>
      <c r="C286" s="69" t="s">
        <v>989</v>
      </c>
      <c r="D286" s="108" t="s">
        <v>464</v>
      </c>
      <c r="E286" s="108" t="s">
        <v>152</v>
      </c>
      <c r="F286" s="109">
        <v>4268218.7400000012</v>
      </c>
      <c r="G286" s="109">
        <v>240187.19999999995</v>
      </c>
      <c r="H286" s="109">
        <v>-17154.46</v>
      </c>
      <c r="I286" s="109">
        <v>0</v>
      </c>
      <c r="J286" s="109">
        <v>4491251.4800000014</v>
      </c>
      <c r="K286" s="109">
        <v>4369655.3900000015</v>
      </c>
      <c r="L286" s="110">
        <v>0</v>
      </c>
      <c r="M286" s="109">
        <v>-2209216.9399999995</v>
      </c>
      <c r="N286" s="109">
        <v>-196178.53</v>
      </c>
      <c r="O286" s="109">
        <v>17154.46</v>
      </c>
      <c r="P286" s="109">
        <v>4948.57</v>
      </c>
      <c r="Q286" s="109">
        <v>0</v>
      </c>
      <c r="R286" s="109">
        <v>0</v>
      </c>
      <c r="S286" s="109">
        <v>-2383292.4399999995</v>
      </c>
      <c r="T286" s="109">
        <v>-2299296.6230769227</v>
      </c>
      <c r="U286" s="110">
        <v>0</v>
      </c>
      <c r="V286" s="111">
        <v>4.4999999999999998E-2</v>
      </c>
    </row>
    <row r="287" spans="1:22" x14ac:dyDescent="0.2">
      <c r="A287" s="69" t="s">
        <v>978</v>
      </c>
      <c r="B287" s="69">
        <v>38300</v>
      </c>
      <c r="C287" s="69" t="s">
        <v>990</v>
      </c>
      <c r="D287" s="108" t="s">
        <v>465</v>
      </c>
      <c r="E287" s="108" t="s">
        <v>153</v>
      </c>
      <c r="F287" s="109">
        <v>648327.99999999988</v>
      </c>
      <c r="G287" s="109">
        <v>20879.57</v>
      </c>
      <c r="H287" s="109">
        <v>-1151.27</v>
      </c>
      <c r="I287" s="109">
        <v>0</v>
      </c>
      <c r="J287" s="109">
        <v>668056.29999999981</v>
      </c>
      <c r="K287" s="109">
        <v>656751.74615384615</v>
      </c>
      <c r="L287" s="110">
        <v>0</v>
      </c>
      <c r="M287" s="109">
        <v>-292497.39999999967</v>
      </c>
      <c r="N287" s="109">
        <v>-23609.17</v>
      </c>
      <c r="O287" s="109">
        <v>1151.27</v>
      </c>
      <c r="P287" s="109">
        <v>0</v>
      </c>
      <c r="Q287" s="109">
        <v>0</v>
      </c>
      <c r="R287" s="109">
        <v>0</v>
      </c>
      <c r="S287" s="109">
        <v>-314955.29999999964</v>
      </c>
      <c r="T287" s="109">
        <v>-304173.02461538423</v>
      </c>
      <c r="U287" s="110">
        <v>0</v>
      </c>
      <c r="V287" s="111">
        <v>3.5999999999999997E-2</v>
      </c>
    </row>
    <row r="288" spans="1:22" x14ac:dyDescent="0.2">
      <c r="A288" s="69" t="s">
        <v>978</v>
      </c>
      <c r="B288" s="69">
        <v>38400</v>
      </c>
      <c r="C288" s="69" t="s">
        <v>991</v>
      </c>
      <c r="D288" s="108" t="s">
        <v>466</v>
      </c>
      <c r="E288" s="108" t="s">
        <v>154</v>
      </c>
      <c r="F288" s="109">
        <v>1840531.3399999989</v>
      </c>
      <c r="G288" s="109">
        <v>80062.44</v>
      </c>
      <c r="H288" s="109">
        <v>-1703.88</v>
      </c>
      <c r="I288" s="109">
        <v>0</v>
      </c>
      <c r="J288" s="109">
        <v>1918889.899999999</v>
      </c>
      <c r="K288" s="109">
        <v>1888194.4807692298</v>
      </c>
      <c r="L288" s="110">
        <v>0</v>
      </c>
      <c r="M288" s="109">
        <v>-1017939.8499999996</v>
      </c>
      <c r="N288" s="109">
        <v>-84853.639999999985</v>
      </c>
      <c r="O288" s="109">
        <v>1703.88</v>
      </c>
      <c r="P288" s="109">
        <v>1019.3299999999999</v>
      </c>
      <c r="Q288" s="109">
        <v>0</v>
      </c>
      <c r="R288" s="109">
        <v>0</v>
      </c>
      <c r="S288" s="109">
        <v>-1100070.2799999996</v>
      </c>
      <c r="T288" s="109">
        <v>-1057691.0361538457</v>
      </c>
      <c r="U288" s="110">
        <v>0</v>
      </c>
      <c r="V288" s="111">
        <v>4.4999999999999998E-2</v>
      </c>
    </row>
    <row r="289" spans="1:23" x14ac:dyDescent="0.2">
      <c r="A289" s="69" t="s">
        <v>978</v>
      </c>
      <c r="B289" s="69">
        <v>38500</v>
      </c>
      <c r="C289" s="69" t="s">
        <v>992</v>
      </c>
      <c r="D289" s="108" t="s">
        <v>467</v>
      </c>
      <c r="E289" s="108" t="s">
        <v>155</v>
      </c>
      <c r="F289" s="109">
        <v>360759.32999999996</v>
      </c>
      <c r="G289" s="109">
        <v>0</v>
      </c>
      <c r="H289" s="109">
        <v>0</v>
      </c>
      <c r="I289" s="109">
        <v>0</v>
      </c>
      <c r="J289" s="109">
        <v>360759.32999999996</v>
      </c>
      <c r="K289" s="109">
        <v>360759.33</v>
      </c>
      <c r="L289" s="110">
        <v>0</v>
      </c>
      <c r="M289" s="109">
        <v>-173787.14999999982</v>
      </c>
      <c r="N289" s="109">
        <v>-11183.519999999997</v>
      </c>
      <c r="O289" s="109">
        <v>0</v>
      </c>
      <c r="P289" s="109">
        <v>0</v>
      </c>
      <c r="Q289" s="109">
        <v>0</v>
      </c>
      <c r="R289" s="109">
        <v>0</v>
      </c>
      <c r="S289" s="109">
        <v>-184970.66999999981</v>
      </c>
      <c r="T289" s="109">
        <v>-179378.9099999998</v>
      </c>
      <c r="U289" s="110">
        <v>0</v>
      </c>
      <c r="V289" s="111">
        <v>3.1E-2</v>
      </c>
    </row>
    <row r="290" spans="1:23" x14ac:dyDescent="0.2">
      <c r="A290" s="69" t="s">
        <v>978</v>
      </c>
      <c r="B290" s="69">
        <v>38700</v>
      </c>
      <c r="C290" s="69" t="s">
        <v>993</v>
      </c>
      <c r="D290" s="108" t="s">
        <v>468</v>
      </c>
      <c r="E290" s="108" t="s">
        <v>156</v>
      </c>
      <c r="F290" s="109">
        <v>228722.22</v>
      </c>
      <c r="G290" s="109">
        <v>139871.48000000001</v>
      </c>
      <c r="H290" s="109">
        <v>0</v>
      </c>
      <c r="I290" s="109">
        <v>0</v>
      </c>
      <c r="J290" s="109">
        <v>368593.7</v>
      </c>
      <c r="K290" s="109">
        <v>343028.0446153846</v>
      </c>
      <c r="L290" s="110">
        <v>0</v>
      </c>
      <c r="M290" s="109">
        <v>-95433.940000000017</v>
      </c>
      <c r="N290" s="109">
        <v>-21476.589999999997</v>
      </c>
      <c r="O290" s="109">
        <v>0</v>
      </c>
      <c r="P290" s="109">
        <v>0</v>
      </c>
      <c r="Q290" s="109">
        <v>0</v>
      </c>
      <c r="R290" s="109">
        <v>0</v>
      </c>
      <c r="S290" s="109">
        <v>-116910.53000000001</v>
      </c>
      <c r="T290" s="109">
        <v>-105706.09230769231</v>
      </c>
      <c r="U290" s="110">
        <v>0</v>
      </c>
      <c r="V290" s="111">
        <v>6.3E-2</v>
      </c>
    </row>
    <row r="291" spans="1:23" x14ac:dyDescent="0.2">
      <c r="A291" s="69" t="s">
        <v>978</v>
      </c>
      <c r="B291" s="69">
        <v>39100</v>
      </c>
      <c r="C291" s="69" t="s">
        <v>994</v>
      </c>
      <c r="D291" s="108" t="s">
        <v>469</v>
      </c>
      <c r="E291" s="108" t="s">
        <v>159</v>
      </c>
      <c r="F291" s="109">
        <v>61457.98</v>
      </c>
      <c r="G291" s="109">
        <v>0</v>
      </c>
      <c r="H291" s="109">
        <v>0</v>
      </c>
      <c r="I291" s="109">
        <v>0</v>
      </c>
      <c r="J291" s="109">
        <v>61457.98</v>
      </c>
      <c r="K291" s="109">
        <v>61457.979999999989</v>
      </c>
      <c r="L291" s="110">
        <v>0</v>
      </c>
      <c r="M291" s="109">
        <v>-54160.980000000069</v>
      </c>
      <c r="N291" s="109">
        <v>-4117.6799999999994</v>
      </c>
      <c r="O291" s="109">
        <v>0</v>
      </c>
      <c r="P291" s="109">
        <v>0</v>
      </c>
      <c r="Q291" s="109">
        <v>0</v>
      </c>
      <c r="R291" s="109">
        <v>0</v>
      </c>
      <c r="S291" s="109">
        <v>-58278.660000000069</v>
      </c>
      <c r="T291" s="109">
        <v>-56219.820000000072</v>
      </c>
      <c r="U291" s="110">
        <v>0</v>
      </c>
      <c r="V291" s="111">
        <v>6.7000000000000004E-2</v>
      </c>
    </row>
    <row r="292" spans="1:23" x14ac:dyDescent="0.2">
      <c r="A292" s="69" t="s">
        <v>978</v>
      </c>
      <c r="B292" s="69">
        <v>39101</v>
      </c>
      <c r="C292" s="69" t="s">
        <v>995</v>
      </c>
      <c r="D292" s="108" t="s">
        <v>470</v>
      </c>
      <c r="E292" s="108" t="s">
        <v>160</v>
      </c>
      <c r="F292" s="109">
        <v>131418.64000000001</v>
      </c>
      <c r="G292" s="109">
        <v>26337.599999999999</v>
      </c>
      <c r="H292" s="109">
        <v>-25000</v>
      </c>
      <c r="I292" s="109">
        <v>0</v>
      </c>
      <c r="J292" s="109">
        <v>132756.24000000002</v>
      </c>
      <c r="K292" s="109">
        <v>128198.89153846154</v>
      </c>
      <c r="L292" s="110">
        <v>0</v>
      </c>
      <c r="M292" s="109">
        <v>-117465.37999999998</v>
      </c>
      <c r="N292" s="109">
        <v>-15977.400000000005</v>
      </c>
      <c r="O292" s="109">
        <v>25000</v>
      </c>
      <c r="P292" s="109">
        <v>0</v>
      </c>
      <c r="Q292" s="109">
        <v>0</v>
      </c>
      <c r="R292" s="109">
        <v>0</v>
      </c>
      <c r="S292" s="109">
        <v>-108442.77999999997</v>
      </c>
      <c r="T292" s="109">
        <v>-104226.47153846153</v>
      </c>
      <c r="U292" s="110">
        <v>0</v>
      </c>
      <c r="V292" s="111">
        <v>0.125</v>
      </c>
    </row>
    <row r="293" spans="1:23" x14ac:dyDescent="0.2">
      <c r="A293" s="69" t="s">
        <v>978</v>
      </c>
      <c r="B293" s="69">
        <v>39102</v>
      </c>
      <c r="C293" s="69" t="s">
        <v>996</v>
      </c>
      <c r="D293" s="108" t="s">
        <v>471</v>
      </c>
      <c r="E293" s="108" t="s">
        <v>161</v>
      </c>
      <c r="F293" s="109">
        <v>45218.59</v>
      </c>
      <c r="G293" s="109">
        <v>0</v>
      </c>
      <c r="H293" s="109">
        <v>0</v>
      </c>
      <c r="I293" s="109">
        <v>0</v>
      </c>
      <c r="J293" s="109">
        <v>45218.59</v>
      </c>
      <c r="K293" s="109">
        <v>45218.589999999982</v>
      </c>
      <c r="L293" s="110">
        <v>0</v>
      </c>
      <c r="M293" s="109">
        <v>40558.870000000039</v>
      </c>
      <c r="N293" s="109">
        <v>-3029.6399999999994</v>
      </c>
      <c r="O293" s="109">
        <v>0</v>
      </c>
      <c r="P293" s="109">
        <v>0</v>
      </c>
      <c r="Q293" s="109">
        <v>0</v>
      </c>
      <c r="R293" s="109">
        <v>0</v>
      </c>
      <c r="S293" s="109">
        <v>37529.23000000004</v>
      </c>
      <c r="T293" s="109">
        <v>39044.050000000032</v>
      </c>
      <c r="U293" s="110">
        <v>0</v>
      </c>
      <c r="V293" s="111">
        <v>6.7000000000000004E-2</v>
      </c>
    </row>
    <row r="294" spans="1:23" x14ac:dyDescent="0.2">
      <c r="A294" s="69" t="s">
        <v>978</v>
      </c>
      <c r="B294" s="69">
        <v>39201</v>
      </c>
      <c r="C294" s="69" t="s">
        <v>997</v>
      </c>
      <c r="D294" s="108" t="s">
        <v>472</v>
      </c>
      <c r="E294" s="108" t="s">
        <v>163</v>
      </c>
      <c r="F294" s="109">
        <v>361328.44000000006</v>
      </c>
      <c r="G294" s="109">
        <v>32454.82</v>
      </c>
      <c r="H294" s="109">
        <v>-40462.589999999997</v>
      </c>
      <c r="I294" s="109">
        <v>0</v>
      </c>
      <c r="J294" s="109">
        <v>353320.67000000004</v>
      </c>
      <c r="K294" s="109">
        <v>352725.20615384623</v>
      </c>
      <c r="L294" s="110">
        <v>0</v>
      </c>
      <c r="M294" s="109">
        <v>-167224.76999999987</v>
      </c>
      <c r="N294" s="109">
        <v>-39499.660000000003</v>
      </c>
      <c r="O294" s="109">
        <v>40462.589999999997</v>
      </c>
      <c r="P294" s="109">
        <v>-345.65</v>
      </c>
      <c r="Q294" s="109">
        <v>-7610</v>
      </c>
      <c r="R294" s="109">
        <v>0</v>
      </c>
      <c r="S294" s="109">
        <v>-174217.48999999987</v>
      </c>
      <c r="T294" s="109">
        <v>-168109.80999999985</v>
      </c>
      <c r="U294" s="110">
        <v>0</v>
      </c>
      <c r="V294" s="111">
        <v>0.112</v>
      </c>
    </row>
    <row r="295" spans="1:23" x14ac:dyDescent="0.2">
      <c r="A295" s="69" t="s">
        <v>978</v>
      </c>
      <c r="B295" s="69">
        <v>39202</v>
      </c>
      <c r="C295" s="69" t="s">
        <v>998</v>
      </c>
      <c r="D295" s="108" t="s">
        <v>473</v>
      </c>
      <c r="E295" s="108" t="s">
        <v>164</v>
      </c>
      <c r="F295" s="109">
        <v>676431.93</v>
      </c>
      <c r="G295" s="109">
        <v>0</v>
      </c>
      <c r="H295" s="109">
        <v>-97071.679999999993</v>
      </c>
      <c r="I295" s="109">
        <v>0</v>
      </c>
      <c r="J295" s="109">
        <v>579360.25</v>
      </c>
      <c r="K295" s="109">
        <v>601761.40692307695</v>
      </c>
      <c r="L295" s="110">
        <v>0</v>
      </c>
      <c r="M295" s="109">
        <v>-310364.23999999987</v>
      </c>
      <c r="N295" s="109">
        <v>-76660.739999999991</v>
      </c>
      <c r="O295" s="109">
        <v>97071.679999999993</v>
      </c>
      <c r="P295" s="109">
        <v>-541.32000000000005</v>
      </c>
      <c r="Q295" s="109">
        <v>-15170</v>
      </c>
      <c r="R295" s="109">
        <v>0</v>
      </c>
      <c r="S295" s="109">
        <v>-305664.61999999988</v>
      </c>
      <c r="T295" s="109">
        <v>-287870.27692307683</v>
      </c>
      <c r="U295" s="110">
        <v>0</v>
      </c>
      <c r="V295" s="111">
        <v>0.127</v>
      </c>
    </row>
    <row r="296" spans="1:23" x14ac:dyDescent="0.2">
      <c r="A296" s="69" t="s">
        <v>978</v>
      </c>
      <c r="B296" s="69">
        <v>39204</v>
      </c>
      <c r="C296" s="69" t="s">
        <v>999</v>
      </c>
      <c r="D296" s="108" t="s">
        <v>474</v>
      </c>
      <c r="E296" s="108" t="s">
        <v>166</v>
      </c>
      <c r="F296" s="109">
        <v>10440.9</v>
      </c>
      <c r="G296" s="109">
        <v>0</v>
      </c>
      <c r="H296" s="109">
        <v>0</v>
      </c>
      <c r="I296" s="109">
        <v>0</v>
      </c>
      <c r="J296" s="109">
        <v>10440.9</v>
      </c>
      <c r="K296" s="109">
        <v>10440.899999999998</v>
      </c>
      <c r="L296" s="110">
        <v>0</v>
      </c>
      <c r="M296" s="109">
        <v>8683.8100000000086</v>
      </c>
      <c r="N296" s="109">
        <v>-417.60000000000008</v>
      </c>
      <c r="O296" s="109">
        <v>0</v>
      </c>
      <c r="P296" s="109">
        <v>0</v>
      </c>
      <c r="Q296" s="109">
        <v>0</v>
      </c>
      <c r="R296" s="109">
        <v>0</v>
      </c>
      <c r="S296" s="109">
        <v>8266.2100000000082</v>
      </c>
      <c r="T296" s="109">
        <v>8475.0100000000111</v>
      </c>
      <c r="U296" s="110">
        <v>0</v>
      </c>
      <c r="V296" s="111">
        <v>0.04</v>
      </c>
    </row>
    <row r="297" spans="1:23" x14ac:dyDescent="0.2">
      <c r="A297" s="69" t="s">
        <v>978</v>
      </c>
      <c r="B297" s="69">
        <v>39300</v>
      </c>
      <c r="C297" s="69" t="s">
        <v>1000</v>
      </c>
      <c r="D297" s="108" t="s">
        <v>668</v>
      </c>
      <c r="E297" s="108" t="s">
        <v>168</v>
      </c>
      <c r="F297" s="109">
        <v>0</v>
      </c>
      <c r="G297" s="109">
        <v>1283.3900000000001</v>
      </c>
      <c r="H297" s="109">
        <v>0</v>
      </c>
      <c r="I297" s="109">
        <v>0</v>
      </c>
      <c r="J297" s="109">
        <v>1283.3900000000001</v>
      </c>
      <c r="K297" s="109">
        <v>1184.6676923076923</v>
      </c>
      <c r="L297" s="110">
        <v>0</v>
      </c>
      <c r="M297" s="109">
        <v>0</v>
      </c>
      <c r="N297" s="109">
        <v>-47.080000000000005</v>
      </c>
      <c r="O297" s="109">
        <v>0</v>
      </c>
      <c r="P297" s="109">
        <v>0</v>
      </c>
      <c r="Q297" s="109">
        <v>0</v>
      </c>
      <c r="R297" s="109">
        <v>0</v>
      </c>
      <c r="S297" s="109">
        <v>-47.080000000000005</v>
      </c>
      <c r="T297" s="109">
        <v>-21.729230769230771</v>
      </c>
      <c r="U297" s="110">
        <v>0</v>
      </c>
      <c r="V297" s="111">
        <v>0.04</v>
      </c>
      <c r="W297" s="115"/>
    </row>
    <row r="298" spans="1:23" x14ac:dyDescent="0.2">
      <c r="A298" s="69" t="s">
        <v>978</v>
      </c>
      <c r="B298" s="69">
        <v>39400</v>
      </c>
      <c r="C298" s="69" t="s">
        <v>1001</v>
      </c>
      <c r="D298" s="108" t="s">
        <v>475</v>
      </c>
      <c r="E298" s="108" t="s">
        <v>169</v>
      </c>
      <c r="F298" s="109">
        <v>134574.13000000006</v>
      </c>
      <c r="G298" s="109">
        <v>27588.949999999997</v>
      </c>
      <c r="H298" s="109">
        <v>0</v>
      </c>
      <c r="I298" s="109">
        <v>0</v>
      </c>
      <c r="J298" s="109">
        <v>162163.08000000007</v>
      </c>
      <c r="K298" s="109">
        <v>148420.83538461544</v>
      </c>
      <c r="L298" s="110">
        <v>0</v>
      </c>
      <c r="M298" s="109">
        <v>-44964.719999999994</v>
      </c>
      <c r="N298" s="109">
        <v>-9720.16</v>
      </c>
      <c r="O298" s="109">
        <v>0</v>
      </c>
      <c r="P298" s="109">
        <v>0</v>
      </c>
      <c r="Q298" s="109">
        <v>0</v>
      </c>
      <c r="R298" s="109">
        <v>0</v>
      </c>
      <c r="S298" s="109">
        <v>-54684.87999999999</v>
      </c>
      <c r="T298" s="109">
        <v>-49785.859999999986</v>
      </c>
      <c r="U298" s="110">
        <v>0</v>
      </c>
      <c r="V298" s="111">
        <v>6.6000000000000003E-2</v>
      </c>
    </row>
    <row r="299" spans="1:23" x14ac:dyDescent="0.2">
      <c r="A299" s="69" t="s">
        <v>978</v>
      </c>
      <c r="B299" s="69">
        <v>39600</v>
      </c>
      <c r="C299" s="69" t="s">
        <v>1002</v>
      </c>
      <c r="D299" s="108" t="s">
        <v>476</v>
      </c>
      <c r="E299" s="108" t="s">
        <v>171</v>
      </c>
      <c r="F299" s="109">
        <v>24579.420000000002</v>
      </c>
      <c r="G299" s="109">
        <v>0</v>
      </c>
      <c r="H299" s="109">
        <v>0</v>
      </c>
      <c r="I299" s="109">
        <v>0</v>
      </c>
      <c r="J299" s="109">
        <v>24579.420000000002</v>
      </c>
      <c r="K299" s="109">
        <v>24579.420000000002</v>
      </c>
      <c r="L299" s="110">
        <v>0</v>
      </c>
      <c r="M299" s="109">
        <v>13045.999999999984</v>
      </c>
      <c r="N299" s="109">
        <v>-1573.0799999999997</v>
      </c>
      <c r="O299" s="109">
        <v>0</v>
      </c>
      <c r="P299" s="109">
        <v>0</v>
      </c>
      <c r="Q299" s="109">
        <v>0</v>
      </c>
      <c r="R299" s="109">
        <v>0</v>
      </c>
      <c r="S299" s="109">
        <v>11472.919999999984</v>
      </c>
      <c r="T299" s="109">
        <v>12259.459999999983</v>
      </c>
      <c r="U299" s="110">
        <v>0</v>
      </c>
      <c r="V299" s="111">
        <v>6.4000000000000001E-2</v>
      </c>
    </row>
    <row r="300" spans="1:23" x14ac:dyDescent="0.2">
      <c r="A300" s="69" t="s">
        <v>978</v>
      </c>
      <c r="B300" s="69">
        <v>39700</v>
      </c>
      <c r="C300" s="69" t="s">
        <v>1003</v>
      </c>
      <c r="D300" s="108" t="s">
        <v>477</v>
      </c>
      <c r="E300" s="108" t="s">
        <v>172</v>
      </c>
      <c r="F300" s="109">
        <v>60737.869999999981</v>
      </c>
      <c r="G300" s="109">
        <v>3821.47</v>
      </c>
      <c r="H300" s="109">
        <v>-24296.83</v>
      </c>
      <c r="I300" s="109">
        <v>0</v>
      </c>
      <c r="J300" s="109">
        <v>40262.50999999998</v>
      </c>
      <c r="K300" s="109">
        <v>43706.524615384609</v>
      </c>
      <c r="L300" s="110">
        <v>0</v>
      </c>
      <c r="M300" s="109">
        <v>-67450.749999999985</v>
      </c>
      <c r="N300" s="109">
        <v>-3695.4900000000007</v>
      </c>
      <c r="O300" s="109">
        <v>24296.83</v>
      </c>
      <c r="P300" s="109">
        <v>0</v>
      </c>
      <c r="Q300" s="109">
        <v>0</v>
      </c>
      <c r="R300" s="109">
        <v>0</v>
      </c>
      <c r="S300" s="109">
        <v>-46849.409999999989</v>
      </c>
      <c r="T300" s="109">
        <v>-48859.152307692268</v>
      </c>
      <c r="U300" s="110">
        <v>0</v>
      </c>
      <c r="V300" s="111">
        <v>8.4000000000000005E-2</v>
      </c>
    </row>
    <row r="301" spans="1:23" x14ac:dyDescent="0.2">
      <c r="A301" s="69" t="s">
        <v>978</v>
      </c>
      <c r="B301" s="69">
        <v>39800</v>
      </c>
      <c r="C301" s="69" t="s">
        <v>1004</v>
      </c>
      <c r="D301" s="108" t="s">
        <v>478</v>
      </c>
      <c r="E301" s="108" t="s">
        <v>173</v>
      </c>
      <c r="F301" s="109">
        <v>140577.21</v>
      </c>
      <c r="G301" s="109">
        <v>0</v>
      </c>
      <c r="H301" s="109">
        <v>-18461.400000000001</v>
      </c>
      <c r="I301" s="109">
        <v>0</v>
      </c>
      <c r="J301" s="109">
        <v>122115.81</v>
      </c>
      <c r="K301" s="109">
        <v>124956.02538461542</v>
      </c>
      <c r="L301" s="110">
        <v>0</v>
      </c>
      <c r="M301" s="109">
        <v>-125353.9800000001</v>
      </c>
      <c r="N301" s="109">
        <v>-7386.3399999999983</v>
      </c>
      <c r="O301" s="109">
        <v>18461.400000000001</v>
      </c>
      <c r="P301" s="109">
        <v>0</v>
      </c>
      <c r="Q301" s="109">
        <v>0</v>
      </c>
      <c r="R301" s="109">
        <v>0</v>
      </c>
      <c r="S301" s="109">
        <v>-114278.9200000001</v>
      </c>
      <c r="T301" s="109">
        <v>-113495.78846153851</v>
      </c>
      <c r="U301" s="110">
        <v>0</v>
      </c>
      <c r="V301" s="111">
        <v>5.8999999999999997E-2</v>
      </c>
    </row>
    <row r="302" spans="1:23" x14ac:dyDescent="0.2">
      <c r="A302" s="69" t="s">
        <v>1005</v>
      </c>
      <c r="B302" s="69">
        <v>30301</v>
      </c>
      <c r="C302" s="69" t="s">
        <v>1006</v>
      </c>
      <c r="D302" s="108" t="s">
        <v>479</v>
      </c>
      <c r="E302" s="108" t="s">
        <v>141</v>
      </c>
      <c r="F302" s="109">
        <v>19823.400000000001</v>
      </c>
      <c r="G302" s="109">
        <v>0</v>
      </c>
      <c r="H302" s="109">
        <v>-19823.400000000001</v>
      </c>
      <c r="I302" s="109">
        <v>0</v>
      </c>
      <c r="J302" s="109">
        <v>0</v>
      </c>
      <c r="K302" s="109">
        <v>3049.7538461538466</v>
      </c>
      <c r="L302" s="110">
        <v>0</v>
      </c>
      <c r="M302" s="109">
        <v>-19823.400000000001</v>
      </c>
      <c r="N302" s="109">
        <v>0</v>
      </c>
      <c r="O302" s="109">
        <v>19823.400000000001</v>
      </c>
      <c r="P302" s="109">
        <v>0</v>
      </c>
      <c r="Q302" s="109">
        <v>0</v>
      </c>
      <c r="R302" s="109">
        <v>0</v>
      </c>
      <c r="S302" s="109">
        <v>0</v>
      </c>
      <c r="T302" s="109">
        <v>-3049.7538461538466</v>
      </c>
      <c r="U302" s="110">
        <v>0</v>
      </c>
      <c r="V302" s="111">
        <v>6.7000000000000004E-2</v>
      </c>
    </row>
    <row r="303" spans="1:23" x14ac:dyDescent="0.2">
      <c r="A303" s="69" t="s">
        <v>1005</v>
      </c>
      <c r="B303" s="69">
        <v>37400</v>
      </c>
      <c r="C303" s="69" t="s">
        <v>1007</v>
      </c>
      <c r="D303" s="108" t="s">
        <v>480</v>
      </c>
      <c r="E303" s="108" t="s">
        <v>142</v>
      </c>
      <c r="F303" s="109">
        <v>230941.37</v>
      </c>
      <c r="G303" s="109">
        <v>0</v>
      </c>
      <c r="H303" s="109">
        <v>0</v>
      </c>
      <c r="I303" s="109">
        <v>0</v>
      </c>
      <c r="J303" s="109">
        <v>230941.37</v>
      </c>
      <c r="K303" s="109">
        <v>230941.37000000008</v>
      </c>
      <c r="L303" s="110">
        <v>0</v>
      </c>
      <c r="M303" s="109">
        <v>0</v>
      </c>
      <c r="N303" s="109">
        <v>0</v>
      </c>
      <c r="O303" s="109">
        <v>0</v>
      </c>
      <c r="P303" s="109">
        <v>0</v>
      </c>
      <c r="Q303" s="109">
        <v>0</v>
      </c>
      <c r="R303" s="109">
        <v>0</v>
      </c>
      <c r="S303" s="109">
        <v>0</v>
      </c>
      <c r="T303" s="109">
        <v>0</v>
      </c>
      <c r="U303" s="110">
        <v>0</v>
      </c>
      <c r="V303" s="111">
        <v>0</v>
      </c>
    </row>
    <row r="304" spans="1:23" x14ac:dyDescent="0.2">
      <c r="A304" s="69" t="s">
        <v>1005</v>
      </c>
      <c r="B304" s="69">
        <v>37402</v>
      </c>
      <c r="C304" s="69" t="s">
        <v>1008</v>
      </c>
      <c r="D304" s="108" t="s">
        <v>481</v>
      </c>
      <c r="E304" s="108" t="s">
        <v>143</v>
      </c>
      <c r="F304" s="109">
        <v>71001.27</v>
      </c>
      <c r="G304" s="109">
        <v>0</v>
      </c>
      <c r="H304" s="109">
        <v>0</v>
      </c>
      <c r="I304" s="109">
        <v>0</v>
      </c>
      <c r="J304" s="109">
        <v>71001.27</v>
      </c>
      <c r="K304" s="109">
        <v>71001.27</v>
      </c>
      <c r="L304" s="110">
        <v>0</v>
      </c>
      <c r="M304" s="109">
        <v>1328.919999999991</v>
      </c>
      <c r="N304" s="109">
        <v>-923.03999999999985</v>
      </c>
      <c r="O304" s="109">
        <v>0</v>
      </c>
      <c r="P304" s="109">
        <v>0</v>
      </c>
      <c r="Q304" s="109">
        <v>0</v>
      </c>
      <c r="R304" s="109">
        <v>0</v>
      </c>
      <c r="S304" s="109">
        <v>405.87999999999113</v>
      </c>
      <c r="T304" s="109">
        <v>867.39999999999054</v>
      </c>
      <c r="U304" s="110">
        <v>0</v>
      </c>
      <c r="V304" s="111">
        <v>1.2999999999999999E-2</v>
      </c>
    </row>
    <row r="305" spans="1:22" x14ac:dyDescent="0.2">
      <c r="A305" s="69" t="s">
        <v>1005</v>
      </c>
      <c r="B305" s="69">
        <v>37500</v>
      </c>
      <c r="C305" s="69" t="s">
        <v>1009</v>
      </c>
      <c r="D305" s="108" t="s">
        <v>482</v>
      </c>
      <c r="E305" s="108" t="s">
        <v>144</v>
      </c>
      <c r="F305" s="109">
        <v>830970.18</v>
      </c>
      <c r="G305" s="109">
        <v>0</v>
      </c>
      <c r="H305" s="109">
        <v>0</v>
      </c>
      <c r="I305" s="109">
        <v>0</v>
      </c>
      <c r="J305" s="109">
        <v>830970.18</v>
      </c>
      <c r="K305" s="109">
        <v>830970.17999999982</v>
      </c>
      <c r="L305" s="110">
        <v>0</v>
      </c>
      <c r="M305" s="109">
        <v>-291164.34999999992</v>
      </c>
      <c r="N305" s="109">
        <v>-20774.28</v>
      </c>
      <c r="O305" s="109">
        <v>0</v>
      </c>
      <c r="P305" s="109">
        <v>0</v>
      </c>
      <c r="Q305" s="109">
        <v>0</v>
      </c>
      <c r="R305" s="109">
        <v>0</v>
      </c>
      <c r="S305" s="109">
        <v>-311938.62999999989</v>
      </c>
      <c r="T305" s="109">
        <v>-301551.49</v>
      </c>
      <c r="U305" s="110">
        <v>0</v>
      </c>
      <c r="V305" s="111">
        <v>2.5000000000000001E-2</v>
      </c>
    </row>
    <row r="306" spans="1:22" x14ac:dyDescent="0.2">
      <c r="A306" s="69" t="s">
        <v>1005</v>
      </c>
      <c r="B306" s="69">
        <v>37600</v>
      </c>
      <c r="C306" s="69" t="s">
        <v>1010</v>
      </c>
      <c r="D306" s="108" t="s">
        <v>483</v>
      </c>
      <c r="E306" s="108" t="s">
        <v>145</v>
      </c>
      <c r="F306" s="109">
        <v>2884809.45</v>
      </c>
      <c r="G306" s="109">
        <v>482.08000000000015</v>
      </c>
      <c r="H306" s="109">
        <v>0</v>
      </c>
      <c r="I306" s="109">
        <v>0</v>
      </c>
      <c r="J306" s="109">
        <v>2885291.5300000003</v>
      </c>
      <c r="K306" s="109">
        <v>2884463.0284615383</v>
      </c>
      <c r="L306" s="110">
        <v>0</v>
      </c>
      <c r="M306" s="109">
        <v>-1771911.6699999971</v>
      </c>
      <c r="N306" s="109">
        <v>-121144.55</v>
      </c>
      <c r="O306" s="109">
        <v>0</v>
      </c>
      <c r="P306" s="109">
        <v>665.85000000000036</v>
      </c>
      <c r="Q306" s="109">
        <v>0</v>
      </c>
      <c r="R306" s="109">
        <v>0</v>
      </c>
      <c r="S306" s="109">
        <v>-1892390.3699999971</v>
      </c>
      <c r="T306" s="109">
        <v>-1833049.2769230744</v>
      </c>
      <c r="U306" s="110">
        <v>0</v>
      </c>
      <c r="V306" s="111">
        <v>4.2000000000000003E-2</v>
      </c>
    </row>
    <row r="307" spans="1:22" x14ac:dyDescent="0.2">
      <c r="A307" s="69" t="s">
        <v>1005</v>
      </c>
      <c r="B307" s="69">
        <v>37602</v>
      </c>
      <c r="C307" s="69" t="s">
        <v>1011</v>
      </c>
      <c r="D307" s="108" t="s">
        <v>484</v>
      </c>
      <c r="E307" s="108" t="s">
        <v>146</v>
      </c>
      <c r="F307" s="109">
        <v>14809491.009999998</v>
      </c>
      <c r="G307" s="109">
        <v>517811.24</v>
      </c>
      <c r="H307" s="109">
        <v>-585</v>
      </c>
      <c r="I307" s="109">
        <v>0</v>
      </c>
      <c r="J307" s="109">
        <v>15326717.249999998</v>
      </c>
      <c r="K307" s="109">
        <v>15092740.780769229</v>
      </c>
      <c r="L307" s="110">
        <v>0</v>
      </c>
      <c r="M307" s="109">
        <v>-4728210.72</v>
      </c>
      <c r="N307" s="109">
        <v>-467270.52999999991</v>
      </c>
      <c r="O307" s="109">
        <v>585</v>
      </c>
      <c r="P307" s="109">
        <v>4443.8799999999983</v>
      </c>
      <c r="Q307" s="109">
        <v>0</v>
      </c>
      <c r="R307" s="109">
        <v>0</v>
      </c>
      <c r="S307" s="109">
        <v>-5190452.37</v>
      </c>
      <c r="T307" s="109">
        <v>-4962346.6361538451</v>
      </c>
      <c r="U307" s="110">
        <v>0</v>
      </c>
      <c r="V307" s="111">
        <v>3.1E-2</v>
      </c>
    </row>
    <row r="308" spans="1:22" x14ac:dyDescent="0.2">
      <c r="A308" s="69" t="s">
        <v>1005</v>
      </c>
      <c r="B308" s="69">
        <v>37602</v>
      </c>
      <c r="C308" s="69" t="s">
        <v>1011</v>
      </c>
      <c r="D308" s="108" t="s">
        <v>485</v>
      </c>
      <c r="E308" s="108" t="s">
        <v>146</v>
      </c>
      <c r="F308" s="109">
        <v>0</v>
      </c>
      <c r="G308" s="109">
        <v>0</v>
      </c>
      <c r="H308" s="109">
        <v>0</v>
      </c>
      <c r="I308" s="109">
        <v>0</v>
      </c>
      <c r="J308" s="109">
        <v>0</v>
      </c>
      <c r="K308" s="109">
        <v>0</v>
      </c>
      <c r="L308" s="110">
        <v>0</v>
      </c>
      <c r="M308" s="109">
        <v>-75095.53</v>
      </c>
      <c r="N308" s="109">
        <v>0</v>
      </c>
      <c r="O308" s="109">
        <v>0</v>
      </c>
      <c r="P308" s="109">
        <v>0</v>
      </c>
      <c r="Q308" s="109">
        <v>0</v>
      </c>
      <c r="R308" s="109">
        <v>0</v>
      </c>
      <c r="S308" s="109">
        <v>-75095.53</v>
      </c>
      <c r="T308" s="109">
        <v>-75095.530000000013</v>
      </c>
      <c r="U308" s="110">
        <v>0</v>
      </c>
      <c r="V308" s="111">
        <v>3.1E-2</v>
      </c>
    </row>
    <row r="309" spans="1:22" x14ac:dyDescent="0.2">
      <c r="A309" s="69" t="s">
        <v>1005</v>
      </c>
      <c r="B309" s="69">
        <v>37602</v>
      </c>
      <c r="C309" s="69" t="s">
        <v>1011</v>
      </c>
      <c r="D309" s="108" t="s">
        <v>486</v>
      </c>
      <c r="E309" s="108" t="s">
        <v>146</v>
      </c>
      <c r="F309" s="109">
        <v>0</v>
      </c>
      <c r="G309" s="109">
        <v>0</v>
      </c>
      <c r="H309" s="109">
        <v>0</v>
      </c>
      <c r="I309" s="109">
        <v>0</v>
      </c>
      <c r="J309" s="109">
        <v>0</v>
      </c>
      <c r="K309" s="109">
        <v>0</v>
      </c>
      <c r="L309" s="110">
        <v>0</v>
      </c>
      <c r="M309" s="109">
        <v>-16900.54</v>
      </c>
      <c r="N309" s="109">
        <v>0</v>
      </c>
      <c r="O309" s="109">
        <v>0</v>
      </c>
      <c r="P309" s="109">
        <v>0</v>
      </c>
      <c r="Q309" s="109">
        <v>0</v>
      </c>
      <c r="R309" s="109">
        <v>0</v>
      </c>
      <c r="S309" s="109">
        <v>-16900.54</v>
      </c>
      <c r="T309" s="109">
        <v>-16900.540000000005</v>
      </c>
      <c r="U309" s="110">
        <v>0</v>
      </c>
      <c r="V309" s="111">
        <v>3.1E-2</v>
      </c>
    </row>
    <row r="310" spans="1:22" x14ac:dyDescent="0.2">
      <c r="A310" s="69" t="s">
        <v>1005</v>
      </c>
      <c r="B310" s="69">
        <v>37800</v>
      </c>
      <c r="C310" s="69" t="s">
        <v>1012</v>
      </c>
      <c r="D310" s="108" t="s">
        <v>487</v>
      </c>
      <c r="E310" s="108" t="s">
        <v>147</v>
      </c>
      <c r="F310" s="109">
        <v>4034.82</v>
      </c>
      <c r="G310" s="109">
        <v>547.42999999999995</v>
      </c>
      <c r="H310" s="109">
        <v>0</v>
      </c>
      <c r="I310" s="109">
        <v>0</v>
      </c>
      <c r="J310" s="109">
        <v>4582.25</v>
      </c>
      <c r="K310" s="109">
        <v>4371.7000000000007</v>
      </c>
      <c r="L310" s="110">
        <v>0</v>
      </c>
      <c r="M310" s="109">
        <v>77944.96000000005</v>
      </c>
      <c r="N310" s="109">
        <v>-148.07999999999998</v>
      </c>
      <c r="O310" s="109">
        <v>0</v>
      </c>
      <c r="P310" s="109">
        <v>0</v>
      </c>
      <c r="Q310" s="109">
        <v>0</v>
      </c>
      <c r="R310" s="109">
        <v>0</v>
      </c>
      <c r="S310" s="109">
        <v>77796.880000000048</v>
      </c>
      <c r="T310" s="109">
        <v>77873.020000000062</v>
      </c>
      <c r="U310" s="110">
        <v>0</v>
      </c>
      <c r="V310" s="111">
        <v>3.4000000000000002E-2</v>
      </c>
    </row>
    <row r="311" spans="1:22" x14ac:dyDescent="0.2">
      <c r="A311" s="69" t="s">
        <v>1005</v>
      </c>
      <c r="B311" s="69">
        <v>37900</v>
      </c>
      <c r="C311" s="69" t="s">
        <v>1013</v>
      </c>
      <c r="D311" s="108" t="s">
        <v>488</v>
      </c>
      <c r="E311" s="108" t="s">
        <v>148</v>
      </c>
      <c r="F311" s="109">
        <v>2408220.5699999998</v>
      </c>
      <c r="G311" s="109">
        <v>-2165.83</v>
      </c>
      <c r="H311" s="109">
        <v>0</v>
      </c>
      <c r="I311" s="109">
        <v>0</v>
      </c>
      <c r="J311" s="109">
        <v>2406054.7399999998</v>
      </c>
      <c r="K311" s="109">
        <v>2407220.9561538454</v>
      </c>
      <c r="L311" s="110">
        <v>0</v>
      </c>
      <c r="M311" s="109">
        <v>-614280.59999999963</v>
      </c>
      <c r="N311" s="109">
        <v>-81848.830000000016</v>
      </c>
      <c r="O311" s="109">
        <v>0</v>
      </c>
      <c r="P311" s="109">
        <v>0</v>
      </c>
      <c r="Q311" s="109">
        <v>0</v>
      </c>
      <c r="R311" s="109">
        <v>0</v>
      </c>
      <c r="S311" s="109">
        <v>-696129.4299999997</v>
      </c>
      <c r="T311" s="109">
        <v>-655213.26692307682</v>
      </c>
      <c r="U311" s="110">
        <v>0</v>
      </c>
      <c r="V311" s="111">
        <v>3.4000000000000002E-2</v>
      </c>
    </row>
    <row r="312" spans="1:22" x14ac:dyDescent="0.2">
      <c r="A312" s="69" t="s">
        <v>1005</v>
      </c>
      <c r="B312" s="69">
        <v>38000</v>
      </c>
      <c r="C312" s="69" t="s">
        <v>1014</v>
      </c>
      <c r="D312" s="108" t="s">
        <v>489</v>
      </c>
      <c r="E312" s="108" t="s">
        <v>149</v>
      </c>
      <c r="F312" s="109">
        <v>56223.390000000007</v>
      </c>
      <c r="G312" s="109">
        <v>887.71</v>
      </c>
      <c r="H312" s="109">
        <v>0</v>
      </c>
      <c r="I312" s="109">
        <v>0</v>
      </c>
      <c r="J312" s="109">
        <v>57111.100000000006</v>
      </c>
      <c r="K312" s="109">
        <v>56291.675384615388</v>
      </c>
      <c r="L312" s="110">
        <v>0</v>
      </c>
      <c r="M312" s="109">
        <v>-64949.310000000005</v>
      </c>
      <c r="N312" s="109">
        <v>-3710.76</v>
      </c>
      <c r="O312" s="109">
        <v>0</v>
      </c>
      <c r="P312" s="109">
        <v>14.480000000000004</v>
      </c>
      <c r="Q312" s="109">
        <v>0</v>
      </c>
      <c r="R312" s="109">
        <v>0</v>
      </c>
      <c r="S312" s="109">
        <v>-68645.590000000011</v>
      </c>
      <c r="T312" s="109">
        <v>-66815.527692307689</v>
      </c>
      <c r="U312" s="110">
        <v>0</v>
      </c>
      <c r="V312" s="111">
        <v>6.5999999999999989E-2</v>
      </c>
    </row>
    <row r="313" spans="1:22" x14ac:dyDescent="0.2">
      <c r="A313" s="69" t="s">
        <v>1005</v>
      </c>
      <c r="B313" s="69">
        <v>38002</v>
      </c>
      <c r="C313" s="69" t="s">
        <v>1015</v>
      </c>
      <c r="D313" s="108" t="s">
        <v>490</v>
      </c>
      <c r="E313" s="108" t="s">
        <v>150</v>
      </c>
      <c r="F313" s="109">
        <v>7006697.330000001</v>
      </c>
      <c r="G313" s="109">
        <v>208828.59999999998</v>
      </c>
      <c r="H313" s="109">
        <v>-7527.37</v>
      </c>
      <c r="I313" s="109">
        <v>0</v>
      </c>
      <c r="J313" s="109">
        <v>7207998.5600000005</v>
      </c>
      <c r="K313" s="109">
        <v>7097350.1884615403</v>
      </c>
      <c r="L313" s="110">
        <v>0</v>
      </c>
      <c r="M313" s="109">
        <v>-3982623.0799999996</v>
      </c>
      <c r="N313" s="109">
        <v>-354406.5</v>
      </c>
      <c r="O313" s="109">
        <v>7527.37</v>
      </c>
      <c r="P313" s="109">
        <v>24225.07</v>
      </c>
      <c r="Q313" s="109">
        <v>0</v>
      </c>
      <c r="R313" s="109">
        <v>0</v>
      </c>
      <c r="S313" s="109">
        <v>-4305277.1399999997</v>
      </c>
      <c r="T313" s="109">
        <v>-4135559.8507692316</v>
      </c>
      <c r="U313" s="110">
        <v>0</v>
      </c>
      <c r="V313" s="111">
        <v>0.05</v>
      </c>
    </row>
    <row r="314" spans="1:22" x14ac:dyDescent="0.2">
      <c r="A314" s="69" t="s">
        <v>1005</v>
      </c>
      <c r="B314" s="69">
        <v>38200</v>
      </c>
      <c r="C314" s="69" t="s">
        <v>1016</v>
      </c>
      <c r="D314" s="108" t="s">
        <v>491</v>
      </c>
      <c r="E314" s="108" t="s">
        <v>152</v>
      </c>
      <c r="F314" s="109">
        <v>1369048.1800000002</v>
      </c>
      <c r="G314" s="109">
        <v>42339.289999999994</v>
      </c>
      <c r="H314" s="109">
        <v>0</v>
      </c>
      <c r="I314" s="109">
        <v>0</v>
      </c>
      <c r="J314" s="109">
        <v>1411387.4700000002</v>
      </c>
      <c r="K314" s="109">
        <v>1387008.5592307693</v>
      </c>
      <c r="L314" s="110">
        <v>0</v>
      </c>
      <c r="M314" s="109">
        <v>-967804.48000000021</v>
      </c>
      <c r="N314" s="109">
        <v>-62323.96</v>
      </c>
      <c r="O314" s="109">
        <v>0</v>
      </c>
      <c r="P314" s="109">
        <v>0</v>
      </c>
      <c r="Q314" s="109">
        <v>0</v>
      </c>
      <c r="R314" s="109">
        <v>0</v>
      </c>
      <c r="S314" s="109">
        <v>-1030128.4400000002</v>
      </c>
      <c r="T314" s="109">
        <v>-998835.07615384634</v>
      </c>
      <c r="U314" s="110">
        <v>0</v>
      </c>
      <c r="V314" s="111">
        <v>4.4999999999999998E-2</v>
      </c>
    </row>
    <row r="315" spans="1:22" x14ac:dyDescent="0.2">
      <c r="A315" s="69" t="s">
        <v>1005</v>
      </c>
      <c r="B315" s="69">
        <v>38300</v>
      </c>
      <c r="C315" s="69" t="s">
        <v>1017</v>
      </c>
      <c r="D315" s="108" t="s">
        <v>492</v>
      </c>
      <c r="E315" s="108" t="s">
        <v>153</v>
      </c>
      <c r="F315" s="109">
        <v>242853.09999999995</v>
      </c>
      <c r="G315" s="109">
        <v>1125.56</v>
      </c>
      <c r="H315" s="109">
        <v>0</v>
      </c>
      <c r="I315" s="109">
        <v>0</v>
      </c>
      <c r="J315" s="109">
        <v>243978.65999999995</v>
      </c>
      <c r="K315" s="109">
        <v>243711.78153846154</v>
      </c>
      <c r="L315" s="110">
        <v>0</v>
      </c>
      <c r="M315" s="109">
        <v>-120710.58</v>
      </c>
      <c r="N315" s="109">
        <v>-8772.8600000000024</v>
      </c>
      <c r="O315" s="109">
        <v>0</v>
      </c>
      <c r="P315" s="109">
        <v>0</v>
      </c>
      <c r="Q315" s="109">
        <v>0</v>
      </c>
      <c r="R315" s="109">
        <v>0</v>
      </c>
      <c r="S315" s="109">
        <v>-129483.44</v>
      </c>
      <c r="T315" s="109">
        <v>-125093.56538461539</v>
      </c>
      <c r="U315" s="110">
        <v>0</v>
      </c>
      <c r="V315" s="111">
        <v>3.5999999999999997E-2</v>
      </c>
    </row>
    <row r="316" spans="1:22" x14ac:dyDescent="0.2">
      <c r="A316" s="69" t="s">
        <v>1005</v>
      </c>
      <c r="B316" s="69">
        <v>38400</v>
      </c>
      <c r="C316" s="69" t="s">
        <v>1018</v>
      </c>
      <c r="D316" s="108" t="s">
        <v>493</v>
      </c>
      <c r="E316" s="108" t="s">
        <v>154</v>
      </c>
      <c r="F316" s="109">
        <v>518455.64</v>
      </c>
      <c r="G316" s="109">
        <v>29360.569999999996</v>
      </c>
      <c r="H316" s="109">
        <v>0</v>
      </c>
      <c r="I316" s="109">
        <v>0</v>
      </c>
      <c r="J316" s="109">
        <v>547816.21</v>
      </c>
      <c r="K316" s="109">
        <v>527669.956923077</v>
      </c>
      <c r="L316" s="110">
        <v>0</v>
      </c>
      <c r="M316" s="109">
        <v>-359512.48000000016</v>
      </c>
      <c r="N316" s="109">
        <v>-23669.62</v>
      </c>
      <c r="O316" s="109">
        <v>0</v>
      </c>
      <c r="P316" s="109">
        <v>0</v>
      </c>
      <c r="Q316" s="109">
        <v>0</v>
      </c>
      <c r="R316" s="109">
        <v>0</v>
      </c>
      <c r="S316" s="109">
        <v>-383182.10000000015</v>
      </c>
      <c r="T316" s="109">
        <v>-371271.43230769254</v>
      </c>
      <c r="U316" s="110">
        <v>0</v>
      </c>
      <c r="V316" s="111">
        <v>4.4999999999999998E-2</v>
      </c>
    </row>
    <row r="317" spans="1:22" x14ac:dyDescent="0.2">
      <c r="A317" s="69" t="s">
        <v>1005</v>
      </c>
      <c r="B317" s="69">
        <v>38500</v>
      </c>
      <c r="C317" s="69" t="s">
        <v>1019</v>
      </c>
      <c r="D317" s="108" t="s">
        <v>494</v>
      </c>
      <c r="E317" s="108" t="s">
        <v>155</v>
      </c>
      <c r="F317" s="109">
        <v>43028.87</v>
      </c>
      <c r="G317" s="109">
        <v>0</v>
      </c>
      <c r="H317" s="109">
        <v>0</v>
      </c>
      <c r="I317" s="109">
        <v>0</v>
      </c>
      <c r="J317" s="109">
        <v>43028.87</v>
      </c>
      <c r="K317" s="109">
        <v>43028.87</v>
      </c>
      <c r="L317" s="110">
        <v>0</v>
      </c>
      <c r="M317" s="109">
        <v>-9333.6299999999974</v>
      </c>
      <c r="N317" s="109">
        <v>-1333.92</v>
      </c>
      <c r="O317" s="109">
        <v>0</v>
      </c>
      <c r="P317" s="109">
        <v>0</v>
      </c>
      <c r="Q317" s="109">
        <v>0</v>
      </c>
      <c r="R317" s="109">
        <v>0</v>
      </c>
      <c r="S317" s="109">
        <v>-10667.549999999997</v>
      </c>
      <c r="T317" s="109">
        <v>-10000.589999999997</v>
      </c>
      <c r="U317" s="110">
        <v>0</v>
      </c>
      <c r="V317" s="111">
        <v>3.1E-2</v>
      </c>
    </row>
    <row r="318" spans="1:22" x14ac:dyDescent="0.2">
      <c r="A318" s="69" t="s">
        <v>1005</v>
      </c>
      <c r="B318" s="69">
        <v>38700</v>
      </c>
      <c r="C318" s="69" t="s">
        <v>1020</v>
      </c>
      <c r="D318" s="108" t="s">
        <v>495</v>
      </c>
      <c r="E318" s="108" t="s">
        <v>156</v>
      </c>
      <c r="F318" s="109">
        <v>75627.679999999993</v>
      </c>
      <c r="G318" s="109">
        <v>7898.66</v>
      </c>
      <c r="H318" s="109">
        <v>0</v>
      </c>
      <c r="I318" s="109">
        <v>0</v>
      </c>
      <c r="J318" s="109">
        <v>83526.34</v>
      </c>
      <c r="K318" s="109">
        <v>79880.804615384593</v>
      </c>
      <c r="L318" s="110">
        <v>0</v>
      </c>
      <c r="M318" s="109">
        <v>-41947.410000000025</v>
      </c>
      <c r="N318" s="109">
        <v>-5013.3600000000015</v>
      </c>
      <c r="O318" s="109">
        <v>0</v>
      </c>
      <c r="P318" s="109">
        <v>0</v>
      </c>
      <c r="Q318" s="109">
        <v>0</v>
      </c>
      <c r="R318" s="109">
        <v>0</v>
      </c>
      <c r="S318" s="109">
        <v>-46960.770000000026</v>
      </c>
      <c r="T318" s="109">
        <v>-44396.683846153886</v>
      </c>
      <c r="U318" s="110">
        <v>0</v>
      </c>
      <c r="V318" s="111">
        <v>6.3E-2</v>
      </c>
    </row>
    <row r="319" spans="1:22" x14ac:dyDescent="0.2">
      <c r="A319" s="69" t="s">
        <v>1005</v>
      </c>
      <c r="B319" s="69">
        <v>39000</v>
      </c>
      <c r="C319" s="69" t="s">
        <v>1021</v>
      </c>
      <c r="D319" s="108" t="s">
        <v>496</v>
      </c>
      <c r="E319" s="108" t="s">
        <v>157</v>
      </c>
      <c r="F319" s="109">
        <v>9582.32</v>
      </c>
      <c r="G319" s="109">
        <v>0</v>
      </c>
      <c r="H319" s="109">
        <v>0</v>
      </c>
      <c r="I319" s="109">
        <v>0</v>
      </c>
      <c r="J319" s="109">
        <v>9582.32</v>
      </c>
      <c r="K319" s="109">
        <v>9582.3200000000033</v>
      </c>
      <c r="L319" s="110">
        <v>0</v>
      </c>
      <c r="M319" s="109">
        <v>32391.280000000028</v>
      </c>
      <c r="N319" s="109">
        <v>-239.52000000000007</v>
      </c>
      <c r="O319" s="109">
        <v>0</v>
      </c>
      <c r="P319" s="109">
        <v>0</v>
      </c>
      <c r="Q319" s="109">
        <v>0</v>
      </c>
      <c r="R319" s="109">
        <v>0</v>
      </c>
      <c r="S319" s="109">
        <v>32151.760000000028</v>
      </c>
      <c r="T319" s="109">
        <v>32271.520000000037</v>
      </c>
      <c r="U319" s="110">
        <v>0</v>
      </c>
      <c r="V319" s="111">
        <v>2.5000000000000001E-2</v>
      </c>
    </row>
    <row r="320" spans="1:22" x14ac:dyDescent="0.2">
      <c r="A320" s="69" t="s">
        <v>1005</v>
      </c>
      <c r="B320" s="69">
        <v>39002</v>
      </c>
      <c r="C320" s="69" t="s">
        <v>1022</v>
      </c>
      <c r="D320" s="108" t="s">
        <v>497</v>
      </c>
      <c r="E320" s="108" t="s">
        <v>158</v>
      </c>
      <c r="F320" s="109">
        <v>0</v>
      </c>
      <c r="G320" s="109">
        <v>0</v>
      </c>
      <c r="H320" s="109">
        <v>0</v>
      </c>
      <c r="I320" s="109">
        <v>0</v>
      </c>
      <c r="J320" s="109">
        <v>0</v>
      </c>
      <c r="K320" s="109">
        <v>0</v>
      </c>
      <c r="L320" s="110">
        <v>0</v>
      </c>
      <c r="M320" s="109">
        <v>0</v>
      </c>
      <c r="N320" s="109">
        <v>0</v>
      </c>
      <c r="O320" s="109">
        <v>0</v>
      </c>
      <c r="P320" s="109">
        <v>0</v>
      </c>
      <c r="Q320" s="109">
        <v>0</v>
      </c>
      <c r="R320" s="109">
        <v>0</v>
      </c>
      <c r="S320" s="109">
        <v>0</v>
      </c>
      <c r="T320" s="109">
        <v>0</v>
      </c>
      <c r="U320" s="110">
        <v>0</v>
      </c>
      <c r="V320" s="111">
        <v>2.5000000000000001E-2</v>
      </c>
    </row>
    <row r="321" spans="1:22" x14ac:dyDescent="0.2">
      <c r="A321" s="69" t="s">
        <v>1005</v>
      </c>
      <c r="B321" s="69">
        <v>39100</v>
      </c>
      <c r="C321" s="69" t="s">
        <v>1023</v>
      </c>
      <c r="D321" s="108" t="s">
        <v>498</v>
      </c>
      <c r="E321" s="108" t="s">
        <v>159</v>
      </c>
      <c r="F321" s="109">
        <v>73604.08</v>
      </c>
      <c r="G321" s="109">
        <v>0</v>
      </c>
      <c r="H321" s="109">
        <v>0</v>
      </c>
      <c r="I321" s="109">
        <v>0</v>
      </c>
      <c r="J321" s="109">
        <v>73604.08</v>
      </c>
      <c r="K321" s="109">
        <v>73604.079999999987</v>
      </c>
      <c r="L321" s="110">
        <v>0</v>
      </c>
      <c r="M321" s="109">
        <v>-64364.719999999928</v>
      </c>
      <c r="N321" s="109">
        <v>-4931.5199999999995</v>
      </c>
      <c r="O321" s="109">
        <v>0</v>
      </c>
      <c r="P321" s="109">
        <v>0</v>
      </c>
      <c r="Q321" s="109">
        <v>0</v>
      </c>
      <c r="R321" s="109">
        <v>0</v>
      </c>
      <c r="S321" s="109">
        <v>-69296.239999999932</v>
      </c>
      <c r="T321" s="109">
        <v>-66830.479999999967</v>
      </c>
      <c r="U321" s="110">
        <v>0</v>
      </c>
      <c r="V321" s="111">
        <v>6.7000000000000004E-2</v>
      </c>
    </row>
    <row r="322" spans="1:22" x14ac:dyDescent="0.2">
      <c r="A322" s="69" t="s">
        <v>1005</v>
      </c>
      <c r="B322" s="69">
        <v>39101</v>
      </c>
      <c r="C322" s="69" t="s">
        <v>1024</v>
      </c>
      <c r="D322" s="108" t="s">
        <v>499</v>
      </c>
      <c r="E322" s="108" t="s">
        <v>160</v>
      </c>
      <c r="F322" s="109">
        <v>21643.679999999993</v>
      </c>
      <c r="G322" s="109">
        <v>0</v>
      </c>
      <c r="H322" s="109">
        <v>0</v>
      </c>
      <c r="I322" s="109">
        <v>0</v>
      </c>
      <c r="J322" s="109">
        <v>21643.679999999993</v>
      </c>
      <c r="K322" s="109">
        <v>21643.679999999993</v>
      </c>
      <c r="L322" s="110">
        <v>0</v>
      </c>
      <c r="M322" s="109">
        <v>18883.500000000025</v>
      </c>
      <c r="N322" s="109">
        <v>-2705.52</v>
      </c>
      <c r="O322" s="109">
        <v>0</v>
      </c>
      <c r="P322" s="109">
        <v>0</v>
      </c>
      <c r="Q322" s="109">
        <v>0</v>
      </c>
      <c r="R322" s="109">
        <v>0</v>
      </c>
      <c r="S322" s="109">
        <v>16177.980000000025</v>
      </c>
      <c r="T322" s="109">
        <v>17530.740000000031</v>
      </c>
      <c r="U322" s="110">
        <v>0</v>
      </c>
      <c r="V322" s="111">
        <v>0.125</v>
      </c>
    </row>
    <row r="323" spans="1:22" x14ac:dyDescent="0.2">
      <c r="A323" s="69" t="s">
        <v>1005</v>
      </c>
      <c r="B323" s="69">
        <v>39102</v>
      </c>
      <c r="C323" s="69" t="s">
        <v>1025</v>
      </c>
      <c r="D323" s="108" t="s">
        <v>500</v>
      </c>
      <c r="E323" s="108" t="s">
        <v>161</v>
      </c>
      <c r="F323" s="109">
        <v>4367.43</v>
      </c>
      <c r="G323" s="109">
        <v>0</v>
      </c>
      <c r="H323" s="109">
        <v>0</v>
      </c>
      <c r="I323" s="109">
        <v>0</v>
      </c>
      <c r="J323" s="109">
        <v>4367.43</v>
      </c>
      <c r="K323" s="109">
        <v>4367.43</v>
      </c>
      <c r="L323" s="110">
        <v>0</v>
      </c>
      <c r="M323" s="109">
        <v>-2436.5500000000038</v>
      </c>
      <c r="N323" s="109">
        <v>-292.56</v>
      </c>
      <c r="O323" s="109">
        <v>0</v>
      </c>
      <c r="P323" s="109">
        <v>0</v>
      </c>
      <c r="Q323" s="109">
        <v>0</v>
      </c>
      <c r="R323" s="109">
        <v>0</v>
      </c>
      <c r="S323" s="109">
        <v>-2729.1100000000038</v>
      </c>
      <c r="T323" s="109">
        <v>-2582.8300000000049</v>
      </c>
      <c r="U323" s="110">
        <v>0</v>
      </c>
      <c r="V323" s="111">
        <v>6.7000000000000004E-2</v>
      </c>
    </row>
    <row r="324" spans="1:22" x14ac:dyDescent="0.2">
      <c r="A324" s="69" t="s">
        <v>1005</v>
      </c>
      <c r="B324" s="69">
        <v>39201</v>
      </c>
      <c r="C324" s="69" t="s">
        <v>1026</v>
      </c>
      <c r="D324" s="108" t="s">
        <v>501</v>
      </c>
      <c r="E324" s="108" t="s">
        <v>163</v>
      </c>
      <c r="F324" s="109">
        <v>141315.93000000002</v>
      </c>
      <c r="G324" s="109">
        <v>33878.22</v>
      </c>
      <c r="H324" s="109">
        <v>0</v>
      </c>
      <c r="I324" s="109">
        <v>-30266.58</v>
      </c>
      <c r="J324" s="109">
        <v>144927.57</v>
      </c>
      <c r="K324" s="109">
        <v>132558.77307692313</v>
      </c>
      <c r="L324" s="110">
        <v>0</v>
      </c>
      <c r="M324" s="109">
        <v>-68273.75</v>
      </c>
      <c r="N324" s="109">
        <v>-14731.149999999998</v>
      </c>
      <c r="O324" s="109">
        <v>0</v>
      </c>
      <c r="P324" s="109">
        <v>0</v>
      </c>
      <c r="Q324" s="109">
        <v>0</v>
      </c>
      <c r="R324" s="109">
        <v>9482.7899999999991</v>
      </c>
      <c r="S324" s="109">
        <v>-73522.11</v>
      </c>
      <c r="T324" s="109">
        <v>-71509.150769230764</v>
      </c>
      <c r="U324" s="110">
        <v>0</v>
      </c>
      <c r="V324" s="111">
        <v>0.112</v>
      </c>
    </row>
    <row r="325" spans="1:22" x14ac:dyDescent="0.2">
      <c r="A325" s="69" t="s">
        <v>1005</v>
      </c>
      <c r="B325" s="69">
        <v>39202</v>
      </c>
      <c r="C325" s="69" t="s">
        <v>1027</v>
      </c>
      <c r="D325" s="108" t="s">
        <v>502</v>
      </c>
      <c r="E325" s="108" t="s">
        <v>164</v>
      </c>
      <c r="F325" s="109">
        <v>140211.22</v>
      </c>
      <c r="G325" s="109">
        <v>45384.55</v>
      </c>
      <c r="H325" s="109">
        <v>0</v>
      </c>
      <c r="I325" s="109">
        <v>0</v>
      </c>
      <c r="J325" s="109">
        <v>185595.77000000002</v>
      </c>
      <c r="K325" s="109">
        <v>157791.56000000003</v>
      </c>
      <c r="L325" s="110">
        <v>0</v>
      </c>
      <c r="M325" s="109">
        <v>-63182.939999999995</v>
      </c>
      <c r="N325" s="109">
        <v>-19745.25</v>
      </c>
      <c r="O325" s="109">
        <v>0</v>
      </c>
      <c r="P325" s="109">
        <v>0</v>
      </c>
      <c r="Q325" s="109">
        <v>0</v>
      </c>
      <c r="R325" s="109">
        <v>0</v>
      </c>
      <c r="S325" s="109">
        <v>-82928.19</v>
      </c>
      <c r="T325" s="109">
        <v>-72459.50769230767</v>
      </c>
      <c r="U325" s="110">
        <v>0</v>
      </c>
      <c r="V325" s="111">
        <v>0.127</v>
      </c>
    </row>
    <row r="326" spans="1:22" x14ac:dyDescent="0.2">
      <c r="A326" s="69" t="s">
        <v>1005</v>
      </c>
      <c r="B326" s="69">
        <v>39204</v>
      </c>
      <c r="C326" s="69" t="s">
        <v>1028</v>
      </c>
      <c r="D326" s="108" t="s">
        <v>503</v>
      </c>
      <c r="E326" s="108" t="s">
        <v>166</v>
      </c>
      <c r="F326" s="109">
        <v>0</v>
      </c>
      <c r="G326" s="109">
        <v>0</v>
      </c>
      <c r="H326" s="109">
        <v>0</v>
      </c>
      <c r="I326" s="109">
        <v>0</v>
      </c>
      <c r="J326" s="109">
        <v>0</v>
      </c>
      <c r="K326" s="109">
        <v>0</v>
      </c>
      <c r="L326" s="110">
        <v>0</v>
      </c>
      <c r="M326" s="109">
        <v>-4.3699999999982992</v>
      </c>
      <c r="N326" s="109">
        <v>0</v>
      </c>
      <c r="O326" s="109">
        <v>0</v>
      </c>
      <c r="P326" s="109">
        <v>0</v>
      </c>
      <c r="Q326" s="109">
        <v>0</v>
      </c>
      <c r="R326" s="109">
        <v>0</v>
      </c>
      <c r="S326" s="109">
        <v>-4.3699999999982992</v>
      </c>
      <c r="T326" s="109">
        <v>-4.3699999999982992</v>
      </c>
      <c r="U326" s="110">
        <v>0</v>
      </c>
      <c r="V326" s="111">
        <v>0.04</v>
      </c>
    </row>
    <row r="327" spans="1:22" x14ac:dyDescent="0.2">
      <c r="A327" s="69" t="s">
        <v>1005</v>
      </c>
      <c r="B327" s="69">
        <v>39205</v>
      </c>
      <c r="C327" s="69" t="s">
        <v>1029</v>
      </c>
      <c r="D327" s="108" t="s">
        <v>504</v>
      </c>
      <c r="E327" s="108" t="s">
        <v>167</v>
      </c>
      <c r="F327" s="109">
        <v>0</v>
      </c>
      <c r="G327" s="109">
        <v>0</v>
      </c>
      <c r="H327" s="109">
        <v>0</v>
      </c>
      <c r="I327" s="109">
        <v>0</v>
      </c>
      <c r="J327" s="109">
        <v>0</v>
      </c>
      <c r="K327" s="109">
        <v>0</v>
      </c>
      <c r="L327" s="110">
        <v>0</v>
      </c>
      <c r="M327" s="109">
        <v>0</v>
      </c>
      <c r="N327" s="109">
        <v>0</v>
      </c>
      <c r="O327" s="109">
        <v>0</v>
      </c>
      <c r="P327" s="109">
        <v>0</v>
      </c>
      <c r="Q327" s="109">
        <v>0</v>
      </c>
      <c r="R327" s="109">
        <v>0</v>
      </c>
      <c r="S327" s="109">
        <v>0</v>
      </c>
      <c r="T327" s="109">
        <v>0</v>
      </c>
      <c r="U327" s="110">
        <v>0</v>
      </c>
      <c r="V327" s="111">
        <v>7.3999999999999996E-2</v>
      </c>
    </row>
    <row r="328" spans="1:22" x14ac:dyDescent="0.2">
      <c r="A328" s="69" t="s">
        <v>1005</v>
      </c>
      <c r="B328" s="69">
        <v>39300</v>
      </c>
      <c r="C328" s="69" t="s">
        <v>1030</v>
      </c>
      <c r="D328" s="108" t="s">
        <v>505</v>
      </c>
      <c r="E328" s="108" t="s">
        <v>168</v>
      </c>
      <c r="F328" s="109">
        <v>0</v>
      </c>
      <c r="G328" s="109">
        <v>0</v>
      </c>
      <c r="H328" s="109">
        <v>0</v>
      </c>
      <c r="I328" s="109">
        <v>0</v>
      </c>
      <c r="J328" s="109">
        <v>0</v>
      </c>
      <c r="K328" s="109">
        <v>0</v>
      </c>
      <c r="L328" s="110">
        <v>0</v>
      </c>
      <c r="M328" s="109">
        <v>236.99000000000024</v>
      </c>
      <c r="N328" s="109">
        <v>0</v>
      </c>
      <c r="O328" s="109">
        <v>0</v>
      </c>
      <c r="P328" s="109">
        <v>0</v>
      </c>
      <c r="Q328" s="109">
        <v>0</v>
      </c>
      <c r="R328" s="109">
        <v>0</v>
      </c>
      <c r="S328" s="109">
        <v>236.99000000000024</v>
      </c>
      <c r="T328" s="109">
        <v>236.99000000000024</v>
      </c>
      <c r="U328" s="110">
        <v>0</v>
      </c>
      <c r="V328" s="111">
        <v>0.04</v>
      </c>
    </row>
    <row r="329" spans="1:22" x14ac:dyDescent="0.2">
      <c r="A329" s="69" t="s">
        <v>1005</v>
      </c>
      <c r="B329" s="69">
        <v>39400</v>
      </c>
      <c r="C329" s="69" t="s">
        <v>1031</v>
      </c>
      <c r="D329" s="108" t="s">
        <v>506</v>
      </c>
      <c r="E329" s="108" t="s">
        <v>169</v>
      </c>
      <c r="F329" s="109">
        <v>48806.19</v>
      </c>
      <c r="G329" s="109">
        <v>21759.39</v>
      </c>
      <c r="H329" s="109">
        <v>0</v>
      </c>
      <c r="I329" s="109">
        <v>0</v>
      </c>
      <c r="J329" s="109">
        <v>70565.58</v>
      </c>
      <c r="K329" s="109">
        <v>51956.49615384615</v>
      </c>
      <c r="L329" s="110">
        <v>0</v>
      </c>
      <c r="M329" s="109">
        <v>-29058.580000000013</v>
      </c>
      <c r="N329" s="109">
        <v>-3326.7599999999998</v>
      </c>
      <c r="O329" s="109">
        <v>0</v>
      </c>
      <c r="P329" s="109">
        <v>0</v>
      </c>
      <c r="Q329" s="109">
        <v>0</v>
      </c>
      <c r="R329" s="109">
        <v>0</v>
      </c>
      <c r="S329" s="109">
        <v>-32385.340000000011</v>
      </c>
      <c r="T329" s="109">
        <v>-30674.5753846154</v>
      </c>
      <c r="U329" s="110">
        <v>0</v>
      </c>
      <c r="V329" s="111">
        <v>6.6000000000000003E-2</v>
      </c>
    </row>
    <row r="330" spans="1:22" x14ac:dyDescent="0.2">
      <c r="A330" s="69" t="s">
        <v>1005</v>
      </c>
      <c r="B330" s="69">
        <v>39600</v>
      </c>
      <c r="C330" s="69" t="s">
        <v>1032</v>
      </c>
      <c r="D330" s="108" t="s">
        <v>507</v>
      </c>
      <c r="E330" s="108" t="s">
        <v>171</v>
      </c>
      <c r="F330" s="109">
        <v>0</v>
      </c>
      <c r="G330" s="109">
        <v>0</v>
      </c>
      <c r="H330" s="109">
        <v>0</v>
      </c>
      <c r="I330" s="109">
        <v>0</v>
      </c>
      <c r="J330" s="109">
        <v>0</v>
      </c>
      <c r="K330" s="109">
        <v>0</v>
      </c>
      <c r="L330" s="110">
        <v>0</v>
      </c>
      <c r="M330" s="109">
        <v>-2409.7899999999972</v>
      </c>
      <c r="N330" s="109">
        <v>0</v>
      </c>
      <c r="O330" s="109">
        <v>0</v>
      </c>
      <c r="P330" s="109">
        <v>0</v>
      </c>
      <c r="Q330" s="109">
        <v>0</v>
      </c>
      <c r="R330" s="109">
        <v>0</v>
      </c>
      <c r="S330" s="109">
        <v>-2409.7899999999972</v>
      </c>
      <c r="T330" s="109">
        <v>-2409.7899999999972</v>
      </c>
      <c r="U330" s="110">
        <v>0</v>
      </c>
      <c r="V330" s="111">
        <v>6.4000000000000001E-2</v>
      </c>
    </row>
    <row r="331" spans="1:22" x14ac:dyDescent="0.2">
      <c r="A331" s="69" t="s">
        <v>1005</v>
      </c>
      <c r="B331" s="69">
        <v>39700</v>
      </c>
      <c r="C331" s="69" t="s">
        <v>1033</v>
      </c>
      <c r="D331" s="108" t="s">
        <v>508</v>
      </c>
      <c r="E331" s="108" t="s">
        <v>172</v>
      </c>
      <c r="F331" s="109">
        <v>35840.239999999991</v>
      </c>
      <c r="G331" s="109">
        <v>38213.69</v>
      </c>
      <c r="H331" s="109">
        <v>0</v>
      </c>
      <c r="I331" s="109">
        <v>0</v>
      </c>
      <c r="J331" s="109">
        <v>74053.929999999993</v>
      </c>
      <c r="K331" s="109">
        <v>45697.878461538457</v>
      </c>
      <c r="L331" s="110">
        <v>0</v>
      </c>
      <c r="M331" s="109">
        <v>21302.740000000085</v>
      </c>
      <c r="N331" s="109">
        <v>-3640.1000000000008</v>
      </c>
      <c r="O331" s="109">
        <v>0</v>
      </c>
      <c r="P331" s="109">
        <v>0</v>
      </c>
      <c r="Q331" s="109">
        <v>0</v>
      </c>
      <c r="R331" s="109">
        <v>0</v>
      </c>
      <c r="S331" s="109">
        <v>17662.640000000083</v>
      </c>
      <c r="T331" s="109">
        <v>19667.81846153854</v>
      </c>
      <c r="U331" s="110">
        <v>0</v>
      </c>
      <c r="V331" s="111">
        <v>8.4000000000000005E-2</v>
      </c>
    </row>
    <row r="332" spans="1:22" x14ac:dyDescent="0.2">
      <c r="A332" s="69" t="s">
        <v>1005</v>
      </c>
      <c r="B332" s="69">
        <v>39800</v>
      </c>
      <c r="C332" s="69" t="s">
        <v>1034</v>
      </c>
      <c r="D332" s="108" t="s">
        <v>509</v>
      </c>
      <c r="E332" s="108" t="s">
        <v>173</v>
      </c>
      <c r="F332" s="109">
        <v>7486.9</v>
      </c>
      <c r="G332" s="109">
        <v>0</v>
      </c>
      <c r="H332" s="109">
        <v>0</v>
      </c>
      <c r="I332" s="109">
        <v>0</v>
      </c>
      <c r="J332" s="109">
        <v>7486.9</v>
      </c>
      <c r="K332" s="109">
        <v>7486.8999999999987</v>
      </c>
      <c r="L332" s="110">
        <v>0</v>
      </c>
      <c r="M332" s="109">
        <v>-2328.3499999999963</v>
      </c>
      <c r="N332" s="109">
        <v>-441.72</v>
      </c>
      <c r="O332" s="109">
        <v>0</v>
      </c>
      <c r="P332" s="109">
        <v>0</v>
      </c>
      <c r="Q332" s="109">
        <v>0</v>
      </c>
      <c r="R332" s="109">
        <v>0</v>
      </c>
      <c r="S332" s="109">
        <v>-2770.0699999999961</v>
      </c>
      <c r="T332" s="109">
        <v>-2549.2099999999959</v>
      </c>
      <c r="U332" s="110">
        <v>0</v>
      </c>
      <c r="V332" s="111">
        <v>5.8999999999999997E-2</v>
      </c>
    </row>
    <row r="333" spans="1:22" x14ac:dyDescent="0.2">
      <c r="A333" s="69" t="s">
        <v>1035</v>
      </c>
      <c r="B333" s="69">
        <v>30100</v>
      </c>
      <c r="C333" s="69" t="s">
        <v>1036</v>
      </c>
      <c r="D333" s="108" t="s">
        <v>510</v>
      </c>
      <c r="E333" s="108" t="s">
        <v>138</v>
      </c>
      <c r="F333" s="109">
        <v>498.5</v>
      </c>
      <c r="G333" s="109">
        <v>0</v>
      </c>
      <c r="H333" s="109">
        <v>0</v>
      </c>
      <c r="I333" s="109">
        <v>0</v>
      </c>
      <c r="J333" s="109">
        <v>498.5</v>
      </c>
      <c r="K333" s="109">
        <v>498.5</v>
      </c>
      <c r="L333" s="110">
        <v>0</v>
      </c>
      <c r="M333" s="109">
        <v>0</v>
      </c>
      <c r="N333" s="109">
        <v>0</v>
      </c>
      <c r="O333" s="109">
        <v>0</v>
      </c>
      <c r="P333" s="109">
        <v>0</v>
      </c>
      <c r="Q333" s="109">
        <v>0</v>
      </c>
      <c r="R333" s="109">
        <v>0</v>
      </c>
      <c r="S333" s="109">
        <v>0</v>
      </c>
      <c r="T333" s="109">
        <v>0</v>
      </c>
      <c r="U333" s="110">
        <v>0</v>
      </c>
      <c r="V333" s="111">
        <v>0</v>
      </c>
    </row>
    <row r="334" spans="1:22" x14ac:dyDescent="0.2">
      <c r="A334" s="69" t="s">
        <v>1035</v>
      </c>
      <c r="B334" s="69">
        <v>30200</v>
      </c>
      <c r="C334" s="69" t="s">
        <v>1037</v>
      </c>
      <c r="D334" s="108" t="s">
        <v>511</v>
      </c>
      <c r="E334" s="108" t="s">
        <v>139</v>
      </c>
      <c r="F334" s="109">
        <v>0</v>
      </c>
      <c r="G334" s="109">
        <v>0</v>
      </c>
      <c r="H334" s="109">
        <v>0</v>
      </c>
      <c r="I334" s="109">
        <v>0</v>
      </c>
      <c r="J334" s="109">
        <v>0</v>
      </c>
      <c r="K334" s="109">
        <v>0</v>
      </c>
      <c r="L334" s="110">
        <v>0</v>
      </c>
      <c r="M334" s="109">
        <v>0</v>
      </c>
      <c r="N334" s="109">
        <v>0</v>
      </c>
      <c r="O334" s="109">
        <v>0</v>
      </c>
      <c r="P334" s="109">
        <v>0</v>
      </c>
      <c r="Q334" s="109">
        <v>0</v>
      </c>
      <c r="R334" s="109">
        <v>0</v>
      </c>
      <c r="S334" s="109">
        <v>0</v>
      </c>
      <c r="T334" s="109">
        <v>0</v>
      </c>
      <c r="U334" s="110">
        <v>0</v>
      </c>
      <c r="V334" s="111">
        <v>0.04</v>
      </c>
    </row>
    <row r="335" spans="1:22" x14ac:dyDescent="0.2">
      <c r="A335" s="69" t="s">
        <v>1035</v>
      </c>
      <c r="B335" s="69">
        <v>30300</v>
      </c>
      <c r="C335" s="69" t="s">
        <v>1038</v>
      </c>
      <c r="D335" s="108" t="s">
        <v>512</v>
      </c>
      <c r="E335" s="108" t="s">
        <v>140</v>
      </c>
      <c r="F335" s="109">
        <v>302653.38</v>
      </c>
      <c r="G335" s="109">
        <v>0</v>
      </c>
      <c r="H335" s="109">
        <v>0</v>
      </c>
      <c r="I335" s="109">
        <v>0</v>
      </c>
      <c r="J335" s="109">
        <v>302653.38</v>
      </c>
      <c r="K335" s="109">
        <v>302653.37999999995</v>
      </c>
      <c r="L335" s="110">
        <v>0</v>
      </c>
      <c r="M335" s="109">
        <v>-272172.40000000014</v>
      </c>
      <c r="N335" s="109">
        <v>-12106.08</v>
      </c>
      <c r="O335" s="109">
        <v>0</v>
      </c>
      <c r="P335" s="109">
        <v>0</v>
      </c>
      <c r="Q335" s="109">
        <v>0</v>
      </c>
      <c r="R335" s="109">
        <v>0</v>
      </c>
      <c r="S335" s="109">
        <v>-284278.48000000016</v>
      </c>
      <c r="T335" s="109">
        <v>-278225.44000000035</v>
      </c>
      <c r="U335" s="110">
        <v>0</v>
      </c>
      <c r="V335" s="111">
        <v>0.04</v>
      </c>
    </row>
    <row r="336" spans="1:22" x14ac:dyDescent="0.2">
      <c r="A336" s="69" t="s">
        <v>1035</v>
      </c>
      <c r="B336" s="69">
        <v>30301</v>
      </c>
      <c r="C336" s="69" t="s">
        <v>1039</v>
      </c>
      <c r="D336" s="108" t="s">
        <v>513</v>
      </c>
      <c r="E336" s="108" t="s">
        <v>141</v>
      </c>
      <c r="F336" s="109">
        <v>21593.74</v>
      </c>
      <c r="G336" s="109">
        <v>0</v>
      </c>
      <c r="H336" s="109">
        <v>-21593.74</v>
      </c>
      <c r="I336" s="109">
        <v>0</v>
      </c>
      <c r="J336" s="109">
        <v>0</v>
      </c>
      <c r="K336" s="109">
        <v>3322.1138461538462</v>
      </c>
      <c r="L336" s="110">
        <v>0</v>
      </c>
      <c r="M336" s="109">
        <v>-21593.740000000016</v>
      </c>
      <c r="N336" s="109">
        <v>0</v>
      </c>
      <c r="O336" s="109">
        <v>21593.74</v>
      </c>
      <c r="P336" s="109">
        <v>0</v>
      </c>
      <c r="Q336" s="109">
        <v>0</v>
      </c>
      <c r="R336" s="109">
        <v>0</v>
      </c>
      <c r="S336" s="109">
        <v>-1.4551915228366852E-11</v>
      </c>
      <c r="T336" s="109">
        <v>-3322.1138461538608</v>
      </c>
      <c r="U336" s="110">
        <v>0</v>
      </c>
      <c r="V336" s="111">
        <v>6.7000000000000004E-2</v>
      </c>
    </row>
    <row r="337" spans="1:22" x14ac:dyDescent="0.2">
      <c r="A337" s="69" t="s">
        <v>1035</v>
      </c>
      <c r="B337" s="69">
        <v>37400</v>
      </c>
      <c r="C337" s="69" t="s">
        <v>1040</v>
      </c>
      <c r="D337" s="108" t="s">
        <v>514</v>
      </c>
      <c r="E337" s="108" t="s">
        <v>142</v>
      </c>
      <c r="F337" s="109">
        <v>1006884.63</v>
      </c>
      <c r="G337" s="109">
        <v>0</v>
      </c>
      <c r="H337" s="109">
        <v>0</v>
      </c>
      <c r="I337" s="109">
        <v>0</v>
      </c>
      <c r="J337" s="109">
        <v>1006884.63</v>
      </c>
      <c r="K337" s="109">
        <v>1006884.6300000002</v>
      </c>
      <c r="L337" s="110">
        <v>0</v>
      </c>
      <c r="M337" s="109">
        <v>0</v>
      </c>
      <c r="N337" s="109">
        <v>0</v>
      </c>
      <c r="O337" s="109">
        <v>0</v>
      </c>
      <c r="P337" s="109">
        <v>0</v>
      </c>
      <c r="Q337" s="109">
        <v>0</v>
      </c>
      <c r="R337" s="109">
        <v>0</v>
      </c>
      <c r="S337" s="109">
        <v>0</v>
      </c>
      <c r="T337" s="109">
        <v>0</v>
      </c>
      <c r="U337" s="110">
        <v>0</v>
      </c>
      <c r="V337" s="111">
        <v>0</v>
      </c>
    </row>
    <row r="338" spans="1:22" x14ac:dyDescent="0.2">
      <c r="A338" s="69" t="s">
        <v>1035</v>
      </c>
      <c r="B338" s="69">
        <v>37500</v>
      </c>
      <c r="C338" s="69" t="s">
        <v>1041</v>
      </c>
      <c r="D338" s="108" t="s">
        <v>515</v>
      </c>
      <c r="E338" s="108" t="s">
        <v>144</v>
      </c>
      <c r="F338" s="109">
        <v>969236.87</v>
      </c>
      <c r="G338" s="109">
        <v>69569.51999999999</v>
      </c>
      <c r="H338" s="109">
        <v>0</v>
      </c>
      <c r="I338" s="109">
        <v>0</v>
      </c>
      <c r="J338" s="109">
        <v>1038806.39</v>
      </c>
      <c r="K338" s="109">
        <v>983035.82692307676</v>
      </c>
      <c r="L338" s="110">
        <v>0</v>
      </c>
      <c r="M338" s="109">
        <v>-225365.99</v>
      </c>
      <c r="N338" s="109">
        <v>-24459.659999999996</v>
      </c>
      <c r="O338" s="109">
        <v>0</v>
      </c>
      <c r="P338" s="109">
        <v>0</v>
      </c>
      <c r="Q338" s="109">
        <v>0</v>
      </c>
      <c r="R338" s="109">
        <v>0</v>
      </c>
      <c r="S338" s="109">
        <v>-249825.65</v>
      </c>
      <c r="T338" s="109">
        <v>-237543.02461538458</v>
      </c>
      <c r="U338" s="110">
        <v>0</v>
      </c>
      <c r="V338" s="111">
        <v>2.5000000000000001E-2</v>
      </c>
    </row>
    <row r="339" spans="1:22" x14ac:dyDescent="0.2">
      <c r="A339" s="69" t="s">
        <v>1035</v>
      </c>
      <c r="B339" s="69">
        <v>37600</v>
      </c>
      <c r="C339" s="69" t="s">
        <v>1042</v>
      </c>
      <c r="D339" s="108" t="s">
        <v>516</v>
      </c>
      <c r="E339" s="108" t="s">
        <v>145</v>
      </c>
      <c r="F339" s="109">
        <v>3970399.8799999994</v>
      </c>
      <c r="G339" s="109">
        <v>71763.73</v>
      </c>
      <c r="H339" s="109">
        <v>-2700.41</v>
      </c>
      <c r="I339" s="109">
        <v>0</v>
      </c>
      <c r="J339" s="109">
        <v>4039463.1999999993</v>
      </c>
      <c r="K339" s="109">
        <v>4012633.3146153837</v>
      </c>
      <c r="L339" s="110">
        <v>0</v>
      </c>
      <c r="M339" s="109">
        <v>-4422255.7100000028</v>
      </c>
      <c r="N339" s="109">
        <v>-168436.67</v>
      </c>
      <c r="O339" s="109">
        <v>2700.41</v>
      </c>
      <c r="P339" s="109">
        <v>-1271.7100000000028</v>
      </c>
      <c r="Q339" s="109">
        <v>0</v>
      </c>
      <c r="R339" s="109">
        <v>0</v>
      </c>
      <c r="S339" s="109">
        <v>-4589263.6800000025</v>
      </c>
      <c r="T339" s="109">
        <v>-4498620.7353846179</v>
      </c>
      <c r="U339" s="110">
        <v>0</v>
      </c>
      <c r="V339" s="111">
        <v>4.2000000000000003E-2</v>
      </c>
    </row>
    <row r="340" spans="1:22" x14ac:dyDescent="0.2">
      <c r="A340" s="69" t="s">
        <v>1035</v>
      </c>
      <c r="B340" s="69">
        <v>37602</v>
      </c>
      <c r="C340" s="69" t="s">
        <v>1043</v>
      </c>
      <c r="D340" s="108" t="s">
        <v>517</v>
      </c>
      <c r="E340" s="108" t="s">
        <v>146</v>
      </c>
      <c r="F340" s="109">
        <v>12412121.479999999</v>
      </c>
      <c r="G340" s="109">
        <v>248007.66999999998</v>
      </c>
      <c r="H340" s="109">
        <v>0</v>
      </c>
      <c r="I340" s="109">
        <v>0</v>
      </c>
      <c r="J340" s="109">
        <v>12660129.149999999</v>
      </c>
      <c r="K340" s="109">
        <v>12555227.135384617</v>
      </c>
      <c r="L340" s="110">
        <v>0</v>
      </c>
      <c r="M340" s="109">
        <v>-6921696.1299999952</v>
      </c>
      <c r="N340" s="109">
        <v>-388941.04</v>
      </c>
      <c r="O340" s="109">
        <v>0</v>
      </c>
      <c r="P340" s="109">
        <v>-3869.4000000000015</v>
      </c>
      <c r="Q340" s="109">
        <v>0</v>
      </c>
      <c r="R340" s="109">
        <v>0</v>
      </c>
      <c r="S340" s="109">
        <v>-7314506.5699999956</v>
      </c>
      <c r="T340" s="109">
        <v>-7099013.2769230735</v>
      </c>
      <c r="U340" s="110">
        <v>0</v>
      </c>
      <c r="V340" s="111">
        <v>3.1E-2</v>
      </c>
    </row>
    <row r="341" spans="1:22" x14ac:dyDescent="0.2">
      <c r="A341" s="69" t="s">
        <v>1035</v>
      </c>
      <c r="B341" s="69">
        <v>37602</v>
      </c>
      <c r="C341" s="69" t="s">
        <v>1043</v>
      </c>
      <c r="D341" s="108" t="s">
        <v>518</v>
      </c>
      <c r="E341" s="108" t="s">
        <v>146</v>
      </c>
      <c r="F341" s="109">
        <v>0</v>
      </c>
      <c r="G341" s="109">
        <v>0</v>
      </c>
      <c r="H341" s="109">
        <v>0</v>
      </c>
      <c r="I341" s="109">
        <v>0</v>
      </c>
      <c r="J341" s="109">
        <v>0</v>
      </c>
      <c r="K341" s="109">
        <v>0</v>
      </c>
      <c r="L341" s="110">
        <v>0</v>
      </c>
      <c r="M341" s="109">
        <v>-21794.47</v>
      </c>
      <c r="N341" s="109">
        <v>0</v>
      </c>
      <c r="O341" s="109">
        <v>0</v>
      </c>
      <c r="P341" s="109">
        <v>0</v>
      </c>
      <c r="Q341" s="109">
        <v>0</v>
      </c>
      <c r="R341" s="109">
        <v>0</v>
      </c>
      <c r="S341" s="109">
        <v>-21794.47</v>
      </c>
      <c r="T341" s="109">
        <v>-21794.469999999998</v>
      </c>
      <c r="U341" s="110">
        <v>0</v>
      </c>
      <c r="V341" s="111">
        <v>3.1E-2</v>
      </c>
    </row>
    <row r="342" spans="1:22" x14ac:dyDescent="0.2">
      <c r="A342" s="69" t="s">
        <v>1035</v>
      </c>
      <c r="B342" s="69">
        <v>37602</v>
      </c>
      <c r="C342" s="69" t="s">
        <v>1043</v>
      </c>
      <c r="D342" s="108" t="s">
        <v>519</v>
      </c>
      <c r="E342" s="108" t="s">
        <v>146</v>
      </c>
      <c r="F342" s="109">
        <v>0</v>
      </c>
      <c r="G342" s="109">
        <v>0</v>
      </c>
      <c r="H342" s="109">
        <v>0</v>
      </c>
      <c r="I342" s="109">
        <v>0</v>
      </c>
      <c r="J342" s="109">
        <v>0</v>
      </c>
      <c r="K342" s="109">
        <v>0</v>
      </c>
      <c r="L342" s="110">
        <v>0</v>
      </c>
      <c r="M342" s="109">
        <v>-3489.1400000000003</v>
      </c>
      <c r="N342" s="109">
        <v>0</v>
      </c>
      <c r="O342" s="109">
        <v>0</v>
      </c>
      <c r="P342" s="109">
        <v>0</v>
      </c>
      <c r="Q342" s="109">
        <v>0</v>
      </c>
      <c r="R342" s="109">
        <v>0</v>
      </c>
      <c r="S342" s="109">
        <v>-3489.1400000000003</v>
      </c>
      <c r="T342" s="109">
        <v>-3489.14</v>
      </c>
      <c r="U342" s="110">
        <v>0</v>
      </c>
      <c r="V342" s="111">
        <v>3.1E-2</v>
      </c>
    </row>
    <row r="343" spans="1:22" x14ac:dyDescent="0.2">
      <c r="A343" s="69" t="s">
        <v>1035</v>
      </c>
      <c r="B343" s="69">
        <v>37800</v>
      </c>
      <c r="C343" s="69" t="s">
        <v>1044</v>
      </c>
      <c r="D343" s="108" t="s">
        <v>520</v>
      </c>
      <c r="E343" s="108" t="s">
        <v>147</v>
      </c>
      <c r="F343" s="109">
        <v>289212.03000000003</v>
      </c>
      <c r="G343" s="109">
        <v>723.06</v>
      </c>
      <c r="H343" s="109">
        <v>0</v>
      </c>
      <c r="I343" s="109">
        <v>0</v>
      </c>
      <c r="J343" s="109">
        <v>289935.09000000003</v>
      </c>
      <c r="K343" s="109">
        <v>289323.27000000008</v>
      </c>
      <c r="L343" s="110">
        <v>0</v>
      </c>
      <c r="M343" s="109">
        <v>-54171.199999999983</v>
      </c>
      <c r="N343" s="109">
        <v>-9835.2100000000009</v>
      </c>
      <c r="O343" s="109">
        <v>0</v>
      </c>
      <c r="P343" s="109">
        <v>0</v>
      </c>
      <c r="Q343" s="109">
        <v>0</v>
      </c>
      <c r="R343" s="109">
        <v>0</v>
      </c>
      <c r="S343" s="109">
        <v>-64006.409999999982</v>
      </c>
      <c r="T343" s="109">
        <v>-59087.937692307671</v>
      </c>
      <c r="U343" s="110">
        <v>0</v>
      </c>
      <c r="V343" s="111">
        <v>3.4000000000000002E-2</v>
      </c>
    </row>
    <row r="344" spans="1:22" x14ac:dyDescent="0.2">
      <c r="A344" s="69" t="s">
        <v>1035</v>
      </c>
      <c r="B344" s="69">
        <v>37800</v>
      </c>
      <c r="C344" s="69" t="s">
        <v>1044</v>
      </c>
      <c r="D344" s="108" t="s">
        <v>521</v>
      </c>
      <c r="E344" s="108" t="s">
        <v>147</v>
      </c>
      <c r="F344" s="109">
        <v>25582.469999999998</v>
      </c>
      <c r="G344" s="109">
        <v>0</v>
      </c>
      <c r="H344" s="109">
        <v>0</v>
      </c>
      <c r="I344" s="109">
        <v>0</v>
      </c>
      <c r="J344" s="109">
        <v>25582.469999999998</v>
      </c>
      <c r="K344" s="109">
        <v>25582.469999999994</v>
      </c>
      <c r="L344" s="110">
        <v>0</v>
      </c>
      <c r="M344" s="109">
        <v>-48913.249999999971</v>
      </c>
      <c r="N344" s="109">
        <v>-869.7600000000001</v>
      </c>
      <c r="O344" s="109">
        <v>0</v>
      </c>
      <c r="P344" s="109">
        <v>0</v>
      </c>
      <c r="Q344" s="109">
        <v>0</v>
      </c>
      <c r="R344" s="109">
        <v>0</v>
      </c>
      <c r="S344" s="109">
        <v>-49783.009999999973</v>
      </c>
      <c r="T344" s="109">
        <v>-49348.13</v>
      </c>
      <c r="U344" s="110">
        <v>0</v>
      </c>
      <c r="V344" s="111">
        <v>3.4000000000000002E-2</v>
      </c>
    </row>
    <row r="345" spans="1:22" x14ac:dyDescent="0.2">
      <c r="A345" s="69" t="s">
        <v>1035</v>
      </c>
      <c r="B345" s="69">
        <v>37900</v>
      </c>
      <c r="C345" s="69" t="s">
        <v>1045</v>
      </c>
      <c r="D345" s="108" t="s">
        <v>522</v>
      </c>
      <c r="E345" s="108" t="s">
        <v>148</v>
      </c>
      <c r="F345" s="109">
        <v>1923578.4000000004</v>
      </c>
      <c r="G345" s="109">
        <v>6393.48</v>
      </c>
      <c r="H345" s="109">
        <v>0</v>
      </c>
      <c r="I345" s="109">
        <v>0</v>
      </c>
      <c r="J345" s="109">
        <v>1929971.8800000004</v>
      </c>
      <c r="K345" s="109">
        <v>1931337.7507692305</v>
      </c>
      <c r="L345" s="110">
        <v>0</v>
      </c>
      <c r="M345" s="109">
        <v>-299639.22000000003</v>
      </c>
      <c r="N345" s="109">
        <v>-65669.289999999979</v>
      </c>
      <c r="O345" s="109">
        <v>0</v>
      </c>
      <c r="P345" s="109">
        <v>0</v>
      </c>
      <c r="Q345" s="109">
        <v>0</v>
      </c>
      <c r="R345" s="109">
        <v>0</v>
      </c>
      <c r="S345" s="109">
        <v>-365308.51</v>
      </c>
      <c r="T345" s="109">
        <v>-332466.20307692327</v>
      </c>
      <c r="U345" s="110">
        <v>0</v>
      </c>
      <c r="V345" s="111">
        <v>3.4000000000000002E-2</v>
      </c>
    </row>
    <row r="346" spans="1:22" x14ac:dyDescent="0.2">
      <c r="A346" s="69" t="s">
        <v>1035</v>
      </c>
      <c r="B346" s="69">
        <v>37900</v>
      </c>
      <c r="C346" s="69" t="s">
        <v>1045</v>
      </c>
      <c r="D346" s="108" t="s">
        <v>523</v>
      </c>
      <c r="E346" s="108" t="s">
        <v>148</v>
      </c>
      <c r="F346" s="109">
        <v>15389.48</v>
      </c>
      <c r="G346" s="109">
        <v>0</v>
      </c>
      <c r="H346" s="109">
        <v>0</v>
      </c>
      <c r="I346" s="109">
        <v>0</v>
      </c>
      <c r="J346" s="109">
        <v>15389.48</v>
      </c>
      <c r="K346" s="109">
        <v>15389.480000000001</v>
      </c>
      <c r="L346" s="110">
        <v>0</v>
      </c>
      <c r="M346" s="109">
        <v>-15112.000000000027</v>
      </c>
      <c r="N346" s="109">
        <v>-523.32000000000005</v>
      </c>
      <c r="O346" s="109">
        <v>0</v>
      </c>
      <c r="P346" s="109">
        <v>0</v>
      </c>
      <c r="Q346" s="109">
        <v>0</v>
      </c>
      <c r="R346" s="109">
        <v>0</v>
      </c>
      <c r="S346" s="109">
        <v>-15635.320000000027</v>
      </c>
      <c r="T346" s="109">
        <v>-15373.660000000029</v>
      </c>
      <c r="U346" s="110">
        <v>0</v>
      </c>
      <c r="V346" s="111">
        <v>3.4000000000000002E-2</v>
      </c>
    </row>
    <row r="347" spans="1:22" x14ac:dyDescent="0.2">
      <c r="A347" s="69" t="s">
        <v>1035</v>
      </c>
      <c r="B347" s="69">
        <v>38000</v>
      </c>
      <c r="C347" s="69" t="s">
        <v>1046</v>
      </c>
      <c r="D347" s="108" t="s">
        <v>524</v>
      </c>
      <c r="E347" s="108" t="s">
        <v>149</v>
      </c>
      <c r="F347" s="109">
        <v>561504.00999999989</v>
      </c>
      <c r="G347" s="109">
        <v>250.16</v>
      </c>
      <c r="H347" s="109">
        <v>-10576.77</v>
      </c>
      <c r="I347" s="109">
        <v>0</v>
      </c>
      <c r="J347" s="109">
        <v>551177.39999999991</v>
      </c>
      <c r="K347" s="109">
        <v>557917.73076923075</v>
      </c>
      <c r="L347" s="110">
        <v>0</v>
      </c>
      <c r="M347" s="109">
        <v>-342207.91000000027</v>
      </c>
      <c r="N347" s="109">
        <v>-36859.609999999993</v>
      </c>
      <c r="O347" s="109">
        <v>10576.77</v>
      </c>
      <c r="P347" s="109">
        <v>80738.080000000002</v>
      </c>
      <c r="Q347" s="109">
        <v>0</v>
      </c>
      <c r="R347" s="109">
        <v>0</v>
      </c>
      <c r="S347" s="109">
        <v>-287752.67000000022</v>
      </c>
      <c r="T347" s="109">
        <v>-333912.20692307723</v>
      </c>
      <c r="U347" s="110">
        <v>0</v>
      </c>
      <c r="V347" s="111">
        <v>6.5999999999999989E-2</v>
      </c>
    </row>
    <row r="348" spans="1:22" x14ac:dyDescent="0.2">
      <c r="A348" s="69" t="s">
        <v>1035</v>
      </c>
      <c r="B348" s="69">
        <v>38002</v>
      </c>
      <c r="C348" s="69" t="s">
        <v>1047</v>
      </c>
      <c r="D348" s="108" t="s">
        <v>525</v>
      </c>
      <c r="E348" s="108" t="s">
        <v>150</v>
      </c>
      <c r="F348" s="109">
        <v>9354313.0499999952</v>
      </c>
      <c r="G348" s="109">
        <v>604679.59</v>
      </c>
      <c r="H348" s="109">
        <v>-38513.68</v>
      </c>
      <c r="I348" s="109">
        <v>0</v>
      </c>
      <c r="J348" s="109">
        <v>9920478.9599999953</v>
      </c>
      <c r="K348" s="109">
        <v>9622273.1961538419</v>
      </c>
      <c r="L348" s="110">
        <v>0</v>
      </c>
      <c r="M348" s="109">
        <v>-4059711.4799999986</v>
      </c>
      <c r="N348" s="109">
        <v>-479871.14</v>
      </c>
      <c r="O348" s="109">
        <v>38513.68</v>
      </c>
      <c r="P348" s="109">
        <v>140799.27000000002</v>
      </c>
      <c r="Q348" s="109">
        <v>0</v>
      </c>
      <c r="R348" s="109">
        <v>0</v>
      </c>
      <c r="S348" s="109">
        <v>-4360269.6699999981</v>
      </c>
      <c r="T348" s="109">
        <v>-4208653.325384615</v>
      </c>
      <c r="U348" s="110">
        <v>0</v>
      </c>
      <c r="V348" s="111">
        <v>0.05</v>
      </c>
    </row>
    <row r="349" spans="1:22" x14ac:dyDescent="0.2">
      <c r="A349" s="69" t="s">
        <v>1035</v>
      </c>
      <c r="B349" s="69">
        <v>38100</v>
      </c>
      <c r="C349" s="69" t="s">
        <v>1048</v>
      </c>
      <c r="D349" s="108" t="s">
        <v>526</v>
      </c>
      <c r="E349" s="108" t="s">
        <v>151</v>
      </c>
      <c r="F349" s="109">
        <v>493567.30999999988</v>
      </c>
      <c r="G349" s="109">
        <v>0</v>
      </c>
      <c r="H349" s="109">
        <v>-10007.530000000001</v>
      </c>
      <c r="I349" s="109">
        <v>0</v>
      </c>
      <c r="J349" s="109">
        <v>483559.77999999985</v>
      </c>
      <c r="K349" s="109">
        <v>488026.12076923077</v>
      </c>
      <c r="L349" s="110">
        <v>0</v>
      </c>
      <c r="M349" s="109">
        <v>-637987.88000000024</v>
      </c>
      <c r="N349" s="109">
        <v>-28815.51</v>
      </c>
      <c r="O349" s="109">
        <v>10007.530000000001</v>
      </c>
      <c r="P349" s="109">
        <v>7877.07</v>
      </c>
      <c r="Q349" s="109">
        <v>-16519.84</v>
      </c>
      <c r="R349" s="109">
        <v>0</v>
      </c>
      <c r="S349" s="109">
        <v>-665438.63000000024</v>
      </c>
      <c r="T349" s="109">
        <v>-653497.52384615387</v>
      </c>
      <c r="U349" s="110">
        <v>0</v>
      </c>
      <c r="V349" s="111">
        <v>5.9000000000000004E-2</v>
      </c>
    </row>
    <row r="350" spans="1:22" x14ac:dyDescent="0.2">
      <c r="A350" s="69" t="s">
        <v>1035</v>
      </c>
      <c r="B350" s="69">
        <v>38200</v>
      </c>
      <c r="C350" s="69" t="s">
        <v>1049</v>
      </c>
      <c r="D350" s="108" t="s">
        <v>527</v>
      </c>
      <c r="E350" s="108" t="s">
        <v>152</v>
      </c>
      <c r="F350" s="109">
        <v>2128582.0600000005</v>
      </c>
      <c r="G350" s="109">
        <v>126542.38999999998</v>
      </c>
      <c r="H350" s="109">
        <v>-1961.75</v>
      </c>
      <c r="I350" s="109">
        <v>0</v>
      </c>
      <c r="J350" s="109">
        <v>2253162.7000000007</v>
      </c>
      <c r="K350" s="109">
        <v>2192263.3930769237</v>
      </c>
      <c r="L350" s="110">
        <v>0</v>
      </c>
      <c r="M350" s="109">
        <v>-624129.55000000028</v>
      </c>
      <c r="N350" s="109">
        <v>-98423.499999999985</v>
      </c>
      <c r="O350" s="109">
        <v>1961.75</v>
      </c>
      <c r="P350" s="109">
        <v>9402.7800000000007</v>
      </c>
      <c r="Q350" s="109">
        <v>0</v>
      </c>
      <c r="R350" s="109">
        <v>0</v>
      </c>
      <c r="S350" s="109">
        <v>-711188.52000000025</v>
      </c>
      <c r="T350" s="109">
        <v>-671340.03461538488</v>
      </c>
      <c r="U350" s="110">
        <v>0</v>
      </c>
      <c r="V350" s="111">
        <v>4.4999999999999998E-2</v>
      </c>
    </row>
    <row r="351" spans="1:22" x14ac:dyDescent="0.2">
      <c r="A351" s="69" t="s">
        <v>1035</v>
      </c>
      <c r="B351" s="69">
        <v>38300</v>
      </c>
      <c r="C351" s="69" t="s">
        <v>1050</v>
      </c>
      <c r="D351" s="108" t="s">
        <v>528</v>
      </c>
      <c r="E351" s="108" t="s">
        <v>153</v>
      </c>
      <c r="F351" s="109">
        <v>1073093.78</v>
      </c>
      <c r="G351" s="109">
        <v>14392.339999999998</v>
      </c>
      <c r="H351" s="109">
        <v>-3910.87</v>
      </c>
      <c r="I351" s="109">
        <v>0</v>
      </c>
      <c r="J351" s="109">
        <v>1083575.25</v>
      </c>
      <c r="K351" s="109">
        <v>1077597.8753846155</v>
      </c>
      <c r="L351" s="110">
        <v>0</v>
      </c>
      <c r="M351" s="109">
        <v>-616346.13000000024</v>
      </c>
      <c r="N351" s="109">
        <v>-38775.590000000004</v>
      </c>
      <c r="O351" s="109">
        <v>3910.87</v>
      </c>
      <c r="P351" s="109">
        <v>0</v>
      </c>
      <c r="Q351" s="109">
        <v>0</v>
      </c>
      <c r="R351" s="109">
        <v>0</v>
      </c>
      <c r="S351" s="109">
        <v>-651210.85000000021</v>
      </c>
      <c r="T351" s="109">
        <v>-635394.62923076958</v>
      </c>
      <c r="U351" s="110">
        <v>0</v>
      </c>
      <c r="V351" s="111">
        <v>3.5999999999999997E-2</v>
      </c>
    </row>
    <row r="352" spans="1:22" x14ac:dyDescent="0.2">
      <c r="A352" s="69" t="s">
        <v>1035</v>
      </c>
      <c r="B352" s="69">
        <v>38400</v>
      </c>
      <c r="C352" s="69" t="s">
        <v>1051</v>
      </c>
      <c r="D352" s="108" t="s">
        <v>529</v>
      </c>
      <c r="E352" s="108" t="s">
        <v>154</v>
      </c>
      <c r="F352" s="109">
        <v>1070638.7500000005</v>
      </c>
      <c r="G352" s="109">
        <v>42180.790000000008</v>
      </c>
      <c r="H352" s="109">
        <v>-43.15</v>
      </c>
      <c r="I352" s="109">
        <v>0</v>
      </c>
      <c r="J352" s="109">
        <v>1112776.3900000006</v>
      </c>
      <c r="K352" s="109">
        <v>1096826.038461539</v>
      </c>
      <c r="L352" s="110">
        <v>0</v>
      </c>
      <c r="M352" s="109">
        <v>-474597.98000000021</v>
      </c>
      <c r="N352" s="109">
        <v>-49297.380000000005</v>
      </c>
      <c r="O352" s="109">
        <v>43.15</v>
      </c>
      <c r="P352" s="109">
        <v>774.95</v>
      </c>
      <c r="Q352" s="109">
        <v>0</v>
      </c>
      <c r="R352" s="109">
        <v>0</v>
      </c>
      <c r="S352" s="109">
        <v>-523077.26000000018</v>
      </c>
      <c r="T352" s="109">
        <v>-498294.20538461552</v>
      </c>
      <c r="U352" s="110">
        <v>0</v>
      </c>
      <c r="V352" s="111">
        <v>4.4999999999999998E-2</v>
      </c>
    </row>
    <row r="353" spans="1:22" x14ac:dyDescent="0.2">
      <c r="A353" s="69" t="s">
        <v>1035</v>
      </c>
      <c r="B353" s="69">
        <v>38500</v>
      </c>
      <c r="C353" s="69" t="s">
        <v>1052</v>
      </c>
      <c r="D353" s="108" t="s">
        <v>530</v>
      </c>
      <c r="E353" s="108" t="s">
        <v>155</v>
      </c>
      <c r="F353" s="109">
        <v>70739.12999999999</v>
      </c>
      <c r="G353" s="109">
        <v>0</v>
      </c>
      <c r="H353" s="109">
        <v>0</v>
      </c>
      <c r="I353" s="109">
        <v>0</v>
      </c>
      <c r="J353" s="109">
        <v>70739.12999999999</v>
      </c>
      <c r="K353" s="109">
        <v>70739.12999999999</v>
      </c>
      <c r="L353" s="110">
        <v>0</v>
      </c>
      <c r="M353" s="109">
        <v>-11281.790000000017</v>
      </c>
      <c r="N353" s="109">
        <v>-2192.88</v>
      </c>
      <c r="O353" s="109">
        <v>0</v>
      </c>
      <c r="P353" s="109">
        <v>0</v>
      </c>
      <c r="Q353" s="109">
        <v>0</v>
      </c>
      <c r="R353" s="109">
        <v>0</v>
      </c>
      <c r="S353" s="109">
        <v>-13474.670000000016</v>
      </c>
      <c r="T353" s="109">
        <v>-12378.230000000014</v>
      </c>
      <c r="U353" s="110">
        <v>0</v>
      </c>
      <c r="V353" s="111">
        <v>3.1E-2</v>
      </c>
    </row>
    <row r="354" spans="1:22" x14ac:dyDescent="0.2">
      <c r="A354" s="69" t="s">
        <v>1035</v>
      </c>
      <c r="B354" s="69">
        <v>38700</v>
      </c>
      <c r="C354" s="69" t="s">
        <v>1053</v>
      </c>
      <c r="D354" s="108" t="s">
        <v>531</v>
      </c>
      <c r="E354" s="108" t="s">
        <v>156</v>
      </c>
      <c r="F354" s="109">
        <v>136090.32</v>
      </c>
      <c r="G354" s="109">
        <v>17416.77</v>
      </c>
      <c r="H354" s="109">
        <v>0</v>
      </c>
      <c r="I354" s="109">
        <v>0</v>
      </c>
      <c r="J354" s="109">
        <v>153507.09</v>
      </c>
      <c r="K354" s="109">
        <v>150147.90000000002</v>
      </c>
      <c r="L354" s="110">
        <v>0</v>
      </c>
      <c r="M354" s="109">
        <v>-44706.039999999994</v>
      </c>
      <c r="N354" s="109">
        <v>-9441.66</v>
      </c>
      <c r="O354" s="109">
        <v>0</v>
      </c>
      <c r="P354" s="109">
        <v>0</v>
      </c>
      <c r="Q354" s="109">
        <v>0</v>
      </c>
      <c r="R354" s="109">
        <v>0</v>
      </c>
      <c r="S354" s="109">
        <v>-54147.7</v>
      </c>
      <c r="T354" s="109">
        <v>-49366.980769230788</v>
      </c>
      <c r="U354" s="110">
        <v>0</v>
      </c>
      <c r="V354" s="111">
        <v>6.3E-2</v>
      </c>
    </row>
    <row r="355" spans="1:22" x14ac:dyDescent="0.2">
      <c r="A355" s="69" t="s">
        <v>1035</v>
      </c>
      <c r="B355" s="69">
        <v>39000</v>
      </c>
      <c r="C355" s="69" t="s">
        <v>1054</v>
      </c>
      <c r="D355" s="108" t="s">
        <v>532</v>
      </c>
      <c r="E355" s="108" t="s">
        <v>157</v>
      </c>
      <c r="F355" s="109">
        <v>0</v>
      </c>
      <c r="G355" s="109">
        <v>0</v>
      </c>
      <c r="H355" s="109">
        <v>0</v>
      </c>
      <c r="I355" s="109">
        <v>0</v>
      </c>
      <c r="J355" s="109">
        <v>0</v>
      </c>
      <c r="K355" s="109">
        <v>0</v>
      </c>
      <c r="L355" s="110">
        <v>0</v>
      </c>
      <c r="M355" s="109">
        <v>0.03</v>
      </c>
      <c r="N355" s="109">
        <v>0</v>
      </c>
      <c r="O355" s="109">
        <v>0</v>
      </c>
      <c r="P355" s="109">
        <v>0</v>
      </c>
      <c r="Q355" s="109">
        <v>0</v>
      </c>
      <c r="R355" s="109">
        <v>0</v>
      </c>
      <c r="S355" s="109">
        <v>0.03</v>
      </c>
      <c r="T355" s="109">
        <v>3.0000000000000009E-2</v>
      </c>
      <c r="U355" s="110">
        <v>0</v>
      </c>
      <c r="V355" s="111">
        <v>2.5000000000000001E-2</v>
      </c>
    </row>
    <row r="356" spans="1:22" x14ac:dyDescent="0.2">
      <c r="A356" s="69" t="s">
        <v>1035</v>
      </c>
      <c r="B356" s="69">
        <v>39100</v>
      </c>
      <c r="C356" s="69" t="s">
        <v>1055</v>
      </c>
      <c r="D356" s="108" t="s">
        <v>533</v>
      </c>
      <c r="E356" s="108" t="s">
        <v>159</v>
      </c>
      <c r="F356" s="109">
        <v>19802.340000000004</v>
      </c>
      <c r="G356" s="109">
        <v>-6600.05</v>
      </c>
      <c r="H356" s="109">
        <v>0</v>
      </c>
      <c r="I356" s="109">
        <v>0</v>
      </c>
      <c r="J356" s="109">
        <v>13202.290000000005</v>
      </c>
      <c r="K356" s="109">
        <v>13709.986153846161</v>
      </c>
      <c r="L356" s="110">
        <v>0</v>
      </c>
      <c r="M356" s="109">
        <v>45064.170000000049</v>
      </c>
      <c r="N356" s="109">
        <v>-921.37000000000012</v>
      </c>
      <c r="O356" s="109">
        <v>0</v>
      </c>
      <c r="P356" s="109">
        <v>0</v>
      </c>
      <c r="Q356" s="109">
        <v>0</v>
      </c>
      <c r="R356" s="109">
        <v>0</v>
      </c>
      <c r="S356" s="109">
        <v>44142.800000000047</v>
      </c>
      <c r="T356" s="109">
        <v>44587.89461538467</v>
      </c>
      <c r="U356" s="110">
        <v>0</v>
      </c>
      <c r="V356" s="111">
        <v>6.7000000000000004E-2</v>
      </c>
    </row>
    <row r="357" spans="1:22" x14ac:dyDescent="0.2">
      <c r="A357" s="69" t="s">
        <v>1035</v>
      </c>
      <c r="B357" s="69">
        <v>39101</v>
      </c>
      <c r="C357" s="69" t="s">
        <v>1056</v>
      </c>
      <c r="D357" s="108" t="s">
        <v>534</v>
      </c>
      <c r="E357" s="108" t="s">
        <v>160</v>
      </c>
      <c r="F357" s="109">
        <v>47689.43</v>
      </c>
      <c r="G357" s="109">
        <v>8752.52</v>
      </c>
      <c r="H357" s="109">
        <v>0</v>
      </c>
      <c r="I357" s="109">
        <v>0</v>
      </c>
      <c r="J357" s="109">
        <v>56441.95</v>
      </c>
      <c r="K357" s="109">
        <v>54112.933076923066</v>
      </c>
      <c r="L357" s="110">
        <v>0</v>
      </c>
      <c r="M357" s="109">
        <v>-194724.16000000027</v>
      </c>
      <c r="N357" s="109">
        <v>-6739.9000000000015</v>
      </c>
      <c r="O357" s="109">
        <v>0</v>
      </c>
      <c r="P357" s="109">
        <v>0</v>
      </c>
      <c r="Q357" s="109">
        <v>0</v>
      </c>
      <c r="R357" s="109">
        <v>0</v>
      </c>
      <c r="S357" s="109">
        <v>-201464.06000000026</v>
      </c>
      <c r="T357" s="109">
        <v>-198055.53384615405</v>
      </c>
      <c r="U357" s="110">
        <v>0</v>
      </c>
      <c r="V357" s="111">
        <v>0.125</v>
      </c>
    </row>
    <row r="358" spans="1:22" x14ac:dyDescent="0.2">
      <c r="A358" s="69" t="s">
        <v>1035</v>
      </c>
      <c r="B358" s="69">
        <v>39102</v>
      </c>
      <c r="C358" s="69" t="s">
        <v>1057</v>
      </c>
      <c r="D358" s="108" t="s">
        <v>535</v>
      </c>
      <c r="E358" s="108" t="s">
        <v>161</v>
      </c>
      <c r="F358" s="109">
        <v>56604.259999999995</v>
      </c>
      <c r="G358" s="109">
        <v>0</v>
      </c>
      <c r="H358" s="109">
        <v>0</v>
      </c>
      <c r="I358" s="109">
        <v>0</v>
      </c>
      <c r="J358" s="109">
        <v>56604.259999999995</v>
      </c>
      <c r="K358" s="109">
        <v>56604.26</v>
      </c>
      <c r="L358" s="110">
        <v>0</v>
      </c>
      <c r="M358" s="109">
        <v>-20129.740000000013</v>
      </c>
      <c r="N358" s="109">
        <v>-3792.48</v>
      </c>
      <c r="O358" s="109">
        <v>0</v>
      </c>
      <c r="P358" s="109">
        <v>0</v>
      </c>
      <c r="Q358" s="109">
        <v>0</v>
      </c>
      <c r="R358" s="109">
        <v>0</v>
      </c>
      <c r="S358" s="109">
        <v>-23922.220000000012</v>
      </c>
      <c r="T358" s="109">
        <v>-22025.980000000021</v>
      </c>
      <c r="U358" s="110">
        <v>0</v>
      </c>
      <c r="V358" s="111">
        <v>6.7000000000000004E-2</v>
      </c>
    </row>
    <row r="359" spans="1:22" x14ac:dyDescent="0.2">
      <c r="A359" s="69" t="s">
        <v>1035</v>
      </c>
      <c r="B359" s="69">
        <v>39103</v>
      </c>
      <c r="C359" s="69" t="s">
        <v>1058</v>
      </c>
      <c r="D359" s="108" t="s">
        <v>536</v>
      </c>
      <c r="E359" s="108" t="s">
        <v>162</v>
      </c>
      <c r="F359" s="109">
        <v>0</v>
      </c>
      <c r="G359" s="109">
        <v>0</v>
      </c>
      <c r="H359" s="109">
        <v>0</v>
      </c>
      <c r="I359" s="109">
        <v>0</v>
      </c>
      <c r="J359" s="109">
        <v>0</v>
      </c>
      <c r="K359" s="109">
        <v>0</v>
      </c>
      <c r="L359" s="110">
        <v>0</v>
      </c>
      <c r="M359" s="109">
        <v>0</v>
      </c>
      <c r="N359" s="109">
        <v>0</v>
      </c>
      <c r="O359" s="109">
        <v>0</v>
      </c>
      <c r="P359" s="109">
        <v>0</v>
      </c>
      <c r="Q359" s="109">
        <v>0</v>
      </c>
      <c r="R359" s="109">
        <v>0</v>
      </c>
      <c r="S359" s="109">
        <v>0</v>
      </c>
      <c r="T359" s="109">
        <v>0</v>
      </c>
      <c r="U359" s="110">
        <v>0</v>
      </c>
      <c r="V359" s="111">
        <v>0</v>
      </c>
    </row>
    <row r="360" spans="1:22" x14ac:dyDescent="0.2">
      <c r="A360" s="69" t="s">
        <v>1035</v>
      </c>
      <c r="B360" s="69">
        <v>39201</v>
      </c>
      <c r="C360" s="69" t="s">
        <v>1059</v>
      </c>
      <c r="D360" s="108" t="s">
        <v>537</v>
      </c>
      <c r="E360" s="108" t="s">
        <v>163</v>
      </c>
      <c r="F360" s="109">
        <v>358621.18999999989</v>
      </c>
      <c r="G360" s="109">
        <v>33777.07</v>
      </c>
      <c r="H360" s="109">
        <v>-21140.55</v>
      </c>
      <c r="I360" s="109">
        <v>0</v>
      </c>
      <c r="J360" s="109">
        <v>371257.7099999999</v>
      </c>
      <c r="K360" s="109">
        <v>344429.65538461535</v>
      </c>
      <c r="L360" s="110">
        <v>0</v>
      </c>
      <c r="M360" s="109">
        <v>-352389.33000000037</v>
      </c>
      <c r="N360" s="109">
        <v>-38325.72</v>
      </c>
      <c r="O360" s="109">
        <v>21140.55</v>
      </c>
      <c r="P360" s="109">
        <v>0</v>
      </c>
      <c r="Q360" s="109">
        <v>-1350</v>
      </c>
      <c r="R360" s="109">
        <v>0</v>
      </c>
      <c r="S360" s="109">
        <v>-370924.50000000041</v>
      </c>
      <c r="T360" s="109">
        <v>-356541.48692307726</v>
      </c>
      <c r="U360" s="110">
        <v>0</v>
      </c>
      <c r="V360" s="111">
        <v>0.112</v>
      </c>
    </row>
    <row r="361" spans="1:22" x14ac:dyDescent="0.2">
      <c r="A361" s="69" t="s">
        <v>1035</v>
      </c>
      <c r="B361" s="69">
        <v>39202</v>
      </c>
      <c r="C361" s="69" t="s">
        <v>1060</v>
      </c>
      <c r="D361" s="108" t="s">
        <v>538</v>
      </c>
      <c r="E361" s="108" t="s">
        <v>164</v>
      </c>
      <c r="F361" s="109">
        <v>362104.4</v>
      </c>
      <c r="G361" s="109">
        <v>45314.11</v>
      </c>
      <c r="H361" s="109">
        <v>-27681.71</v>
      </c>
      <c r="I361" s="109">
        <v>0</v>
      </c>
      <c r="J361" s="109">
        <v>379736.8</v>
      </c>
      <c r="K361" s="109">
        <v>347693.13461538462</v>
      </c>
      <c r="L361" s="110">
        <v>0</v>
      </c>
      <c r="M361" s="109">
        <v>-181300.81999999989</v>
      </c>
      <c r="N361" s="109">
        <v>-43817.89</v>
      </c>
      <c r="O361" s="109">
        <v>27681.71</v>
      </c>
      <c r="P361" s="109">
        <v>0</v>
      </c>
      <c r="Q361" s="109">
        <v>-2585</v>
      </c>
      <c r="R361" s="109">
        <v>0</v>
      </c>
      <c r="S361" s="109">
        <v>-200021.99999999991</v>
      </c>
      <c r="T361" s="109">
        <v>-184008.08538461526</v>
      </c>
      <c r="U361" s="110">
        <v>0</v>
      </c>
      <c r="V361" s="111">
        <v>0.127</v>
      </c>
    </row>
    <row r="362" spans="1:22" x14ac:dyDescent="0.2">
      <c r="A362" s="69" t="s">
        <v>1035</v>
      </c>
      <c r="B362" s="69">
        <v>39204</v>
      </c>
      <c r="C362" s="69" t="s">
        <v>1061</v>
      </c>
      <c r="D362" s="108" t="s">
        <v>539</v>
      </c>
      <c r="E362" s="108" t="s">
        <v>166</v>
      </c>
      <c r="F362" s="109">
        <v>18555.02</v>
      </c>
      <c r="G362" s="109">
        <v>0</v>
      </c>
      <c r="H362" s="109">
        <v>0</v>
      </c>
      <c r="I362" s="109">
        <v>0</v>
      </c>
      <c r="J362" s="109">
        <v>18555.02</v>
      </c>
      <c r="K362" s="109">
        <v>18555.019999999997</v>
      </c>
      <c r="L362" s="110">
        <v>0</v>
      </c>
      <c r="M362" s="109">
        <v>-9157.69</v>
      </c>
      <c r="N362" s="109">
        <v>-742.20000000000016</v>
      </c>
      <c r="O362" s="109">
        <v>0</v>
      </c>
      <c r="P362" s="109">
        <v>0</v>
      </c>
      <c r="Q362" s="109">
        <v>0</v>
      </c>
      <c r="R362" s="109">
        <v>0</v>
      </c>
      <c r="S362" s="109">
        <v>-9899.8900000000012</v>
      </c>
      <c r="T362" s="109">
        <v>-9528.7900000000027</v>
      </c>
      <c r="U362" s="110">
        <v>0</v>
      </c>
      <c r="V362" s="111">
        <v>0.04</v>
      </c>
    </row>
    <row r="363" spans="1:22" x14ac:dyDescent="0.2">
      <c r="A363" s="69" t="s">
        <v>1035</v>
      </c>
      <c r="B363" s="69">
        <v>39205</v>
      </c>
      <c r="C363" s="69" t="s">
        <v>1062</v>
      </c>
      <c r="D363" s="108" t="s">
        <v>540</v>
      </c>
      <c r="E363" s="108" t="s">
        <v>167</v>
      </c>
      <c r="F363" s="109">
        <v>71334.69</v>
      </c>
      <c r="G363" s="109">
        <v>0</v>
      </c>
      <c r="H363" s="109">
        <v>0</v>
      </c>
      <c r="I363" s="109">
        <v>0</v>
      </c>
      <c r="J363" s="109">
        <v>71334.69</v>
      </c>
      <c r="K363" s="109">
        <v>71334.689999999973</v>
      </c>
      <c r="L363" s="110">
        <v>0</v>
      </c>
      <c r="M363" s="109">
        <v>-45368.780000000035</v>
      </c>
      <c r="N363" s="109">
        <v>-5278.7999999999993</v>
      </c>
      <c r="O363" s="109">
        <v>0</v>
      </c>
      <c r="P363" s="109">
        <v>0</v>
      </c>
      <c r="Q363" s="109">
        <v>0</v>
      </c>
      <c r="R363" s="109">
        <v>0</v>
      </c>
      <c r="S363" s="109">
        <v>-50647.580000000031</v>
      </c>
      <c r="T363" s="109">
        <v>-48008.180000000044</v>
      </c>
      <c r="U363" s="110">
        <v>0</v>
      </c>
      <c r="V363" s="111">
        <v>7.3999999999999996E-2</v>
      </c>
    </row>
    <row r="364" spans="1:22" x14ac:dyDescent="0.2">
      <c r="A364" s="69" t="s">
        <v>1035</v>
      </c>
      <c r="B364" s="69">
        <v>39400</v>
      </c>
      <c r="C364" s="69" t="s">
        <v>1063</v>
      </c>
      <c r="D364" s="108" t="s">
        <v>541</v>
      </c>
      <c r="E364" s="108" t="s">
        <v>169</v>
      </c>
      <c r="F364" s="109">
        <v>100870.29000000001</v>
      </c>
      <c r="G364" s="109">
        <v>21217.789999999997</v>
      </c>
      <c r="H364" s="109">
        <v>0</v>
      </c>
      <c r="I364" s="109">
        <v>0</v>
      </c>
      <c r="J364" s="109">
        <v>122088.08</v>
      </c>
      <c r="K364" s="109">
        <v>112940.30769230769</v>
      </c>
      <c r="L364" s="110">
        <v>0</v>
      </c>
      <c r="M364" s="109">
        <v>-17566.930000000029</v>
      </c>
      <c r="N364" s="109">
        <v>-7403.74</v>
      </c>
      <c r="O364" s="109">
        <v>0</v>
      </c>
      <c r="P364" s="109">
        <v>0</v>
      </c>
      <c r="Q364" s="109">
        <v>0</v>
      </c>
      <c r="R364" s="109">
        <v>0</v>
      </c>
      <c r="S364" s="109">
        <v>-24970.670000000027</v>
      </c>
      <c r="T364" s="109">
        <v>-21182.043846153872</v>
      </c>
      <c r="U364" s="110">
        <v>0</v>
      </c>
      <c r="V364" s="111">
        <v>6.6000000000000003E-2</v>
      </c>
    </row>
    <row r="365" spans="1:22" x14ac:dyDescent="0.2">
      <c r="A365" s="69" t="s">
        <v>1035</v>
      </c>
      <c r="B365" s="69">
        <v>39400</v>
      </c>
      <c r="C365" s="69" t="s">
        <v>1063</v>
      </c>
      <c r="D365" s="108" t="s">
        <v>542</v>
      </c>
      <c r="E365" s="108" t="s">
        <v>169</v>
      </c>
      <c r="F365" s="109">
        <v>0</v>
      </c>
      <c r="G365" s="109">
        <v>0</v>
      </c>
      <c r="H365" s="109">
        <v>0</v>
      </c>
      <c r="I365" s="109">
        <v>0</v>
      </c>
      <c r="J365" s="109">
        <v>0</v>
      </c>
      <c r="K365" s="109">
        <v>0</v>
      </c>
      <c r="L365" s="110">
        <v>0</v>
      </c>
      <c r="M365" s="109">
        <v>16179.72</v>
      </c>
      <c r="N365" s="109">
        <v>0</v>
      </c>
      <c r="O365" s="109">
        <v>0</v>
      </c>
      <c r="P365" s="109">
        <v>0</v>
      </c>
      <c r="Q365" s="109">
        <v>0</v>
      </c>
      <c r="R365" s="109">
        <v>0</v>
      </c>
      <c r="S365" s="109">
        <v>16179.72</v>
      </c>
      <c r="T365" s="109">
        <v>16179.72</v>
      </c>
      <c r="U365" s="110">
        <v>0</v>
      </c>
      <c r="V365" s="111">
        <v>6.6000000000000003E-2</v>
      </c>
    </row>
    <row r="366" spans="1:22" x14ac:dyDescent="0.2">
      <c r="A366" s="69" t="s">
        <v>1035</v>
      </c>
      <c r="B366" s="69">
        <v>39500</v>
      </c>
      <c r="C366" s="69" t="s">
        <v>1064</v>
      </c>
      <c r="D366" s="108" t="s">
        <v>543</v>
      </c>
      <c r="E366" s="108" t="s">
        <v>170</v>
      </c>
      <c r="F366" s="109">
        <v>0</v>
      </c>
      <c r="G366" s="109">
        <v>0</v>
      </c>
      <c r="H366" s="109">
        <v>0</v>
      </c>
      <c r="I366" s="109">
        <v>0</v>
      </c>
      <c r="J366" s="109">
        <v>0</v>
      </c>
      <c r="K366" s="109">
        <v>0</v>
      </c>
      <c r="L366" s="110">
        <v>0</v>
      </c>
      <c r="M366" s="109">
        <v>-5949.17</v>
      </c>
      <c r="N366" s="109">
        <v>0</v>
      </c>
      <c r="O366" s="109">
        <v>0</v>
      </c>
      <c r="P366" s="109">
        <v>0</v>
      </c>
      <c r="Q366" s="109">
        <v>0</v>
      </c>
      <c r="R366" s="109">
        <v>0</v>
      </c>
      <c r="S366" s="109">
        <v>-5949.17</v>
      </c>
      <c r="T366" s="109">
        <v>-5949.1699999999992</v>
      </c>
      <c r="U366" s="110">
        <v>0</v>
      </c>
      <c r="V366" s="111">
        <v>0.05</v>
      </c>
    </row>
    <row r="367" spans="1:22" x14ac:dyDescent="0.2">
      <c r="A367" s="69" t="s">
        <v>1035</v>
      </c>
      <c r="B367" s="69">
        <v>39600</v>
      </c>
      <c r="C367" s="69" t="s">
        <v>1065</v>
      </c>
      <c r="D367" s="108" t="s">
        <v>544</v>
      </c>
      <c r="E367" s="108" t="s">
        <v>171</v>
      </c>
      <c r="F367" s="109">
        <v>64096.140000000007</v>
      </c>
      <c r="G367" s="109">
        <v>0</v>
      </c>
      <c r="H367" s="109">
        <v>0</v>
      </c>
      <c r="I367" s="109">
        <v>0</v>
      </c>
      <c r="J367" s="109">
        <v>64096.140000000007</v>
      </c>
      <c r="K367" s="109">
        <v>64096.140000000007</v>
      </c>
      <c r="L367" s="110">
        <v>0</v>
      </c>
      <c r="M367" s="109">
        <v>-41685.599999999962</v>
      </c>
      <c r="N367" s="109">
        <v>-4102.2</v>
      </c>
      <c r="O367" s="109">
        <v>0</v>
      </c>
      <c r="P367" s="109">
        <v>0</v>
      </c>
      <c r="Q367" s="109">
        <v>0</v>
      </c>
      <c r="R367" s="109">
        <v>0</v>
      </c>
      <c r="S367" s="109">
        <v>-45787.799999999959</v>
      </c>
      <c r="T367" s="109">
        <v>-43736.699999999953</v>
      </c>
      <c r="U367" s="110">
        <v>0</v>
      </c>
      <c r="V367" s="111">
        <v>6.4000000000000001E-2</v>
      </c>
    </row>
    <row r="368" spans="1:22" x14ac:dyDescent="0.2">
      <c r="A368" s="69" t="s">
        <v>1035</v>
      </c>
      <c r="B368" s="69">
        <v>39700</v>
      </c>
      <c r="C368" s="69" t="s">
        <v>1066</v>
      </c>
      <c r="D368" s="108" t="s">
        <v>545</v>
      </c>
      <c r="E368" s="108" t="s">
        <v>172</v>
      </c>
      <c r="F368" s="109">
        <v>21018.489999999998</v>
      </c>
      <c r="G368" s="109">
        <v>0</v>
      </c>
      <c r="H368" s="109">
        <v>0</v>
      </c>
      <c r="I368" s="109">
        <v>0</v>
      </c>
      <c r="J368" s="109">
        <v>21018.489999999998</v>
      </c>
      <c r="K368" s="109">
        <v>21018.489999999994</v>
      </c>
      <c r="L368" s="110">
        <v>0</v>
      </c>
      <c r="M368" s="109">
        <v>-22264.960000000014</v>
      </c>
      <c r="N368" s="109">
        <v>-1765.5600000000004</v>
      </c>
      <c r="O368" s="109">
        <v>0</v>
      </c>
      <c r="P368" s="109">
        <v>0</v>
      </c>
      <c r="Q368" s="109">
        <v>0</v>
      </c>
      <c r="R368" s="109">
        <v>0</v>
      </c>
      <c r="S368" s="109">
        <v>-24030.520000000015</v>
      </c>
      <c r="T368" s="109">
        <v>-23147.740000000023</v>
      </c>
      <c r="U368" s="110">
        <v>0</v>
      </c>
      <c r="V368" s="111">
        <v>8.4000000000000005E-2</v>
      </c>
    </row>
    <row r="369" spans="1:22" x14ac:dyDescent="0.2">
      <c r="A369" s="69" t="s">
        <v>1035</v>
      </c>
      <c r="B369" s="69">
        <v>39800</v>
      </c>
      <c r="C369" s="69" t="s">
        <v>1067</v>
      </c>
      <c r="D369" s="108" t="s">
        <v>546</v>
      </c>
      <c r="E369" s="108" t="s">
        <v>173</v>
      </c>
      <c r="F369" s="109">
        <v>6441.6500000000015</v>
      </c>
      <c r="G369" s="109">
        <v>1442.48</v>
      </c>
      <c r="H369" s="109">
        <v>0</v>
      </c>
      <c r="I369" s="109">
        <v>0</v>
      </c>
      <c r="J369" s="109">
        <v>7884.130000000001</v>
      </c>
      <c r="K369" s="109">
        <v>6663.5700000000024</v>
      </c>
      <c r="L369" s="110">
        <v>0</v>
      </c>
      <c r="M369" s="109">
        <v>-3475.5600000000491</v>
      </c>
      <c r="N369" s="109">
        <v>-387.13000000000011</v>
      </c>
      <c r="O369" s="109">
        <v>0</v>
      </c>
      <c r="P369" s="109">
        <v>0</v>
      </c>
      <c r="Q369" s="109">
        <v>0</v>
      </c>
      <c r="R369" s="109">
        <v>0</v>
      </c>
      <c r="S369" s="109">
        <v>-3862.6900000000492</v>
      </c>
      <c r="T369" s="109">
        <v>-3666.125384615435</v>
      </c>
      <c r="U369" s="110">
        <v>0</v>
      </c>
      <c r="V369" s="111">
        <v>5.8999999999999997E-2</v>
      </c>
    </row>
    <row r="370" spans="1:22" x14ac:dyDescent="0.2">
      <c r="A370" s="69" t="s">
        <v>1068</v>
      </c>
      <c r="B370" s="69">
        <v>30100</v>
      </c>
      <c r="C370" s="69" t="s">
        <v>1069</v>
      </c>
      <c r="D370" s="108" t="s">
        <v>547</v>
      </c>
      <c r="E370" s="108" t="s">
        <v>138</v>
      </c>
      <c r="F370" s="109">
        <v>485.28</v>
      </c>
      <c r="G370" s="109">
        <v>0</v>
      </c>
      <c r="H370" s="109">
        <v>0</v>
      </c>
      <c r="I370" s="109">
        <v>0</v>
      </c>
      <c r="J370" s="109">
        <v>485.28</v>
      </c>
      <c r="K370" s="109">
        <v>485.2799999999998</v>
      </c>
      <c r="L370" s="110">
        <v>0</v>
      </c>
      <c r="M370" s="109">
        <v>0</v>
      </c>
      <c r="N370" s="109">
        <v>0</v>
      </c>
      <c r="O370" s="109">
        <v>0</v>
      </c>
      <c r="P370" s="109">
        <v>0</v>
      </c>
      <c r="Q370" s="109">
        <v>0</v>
      </c>
      <c r="R370" s="109">
        <v>0</v>
      </c>
      <c r="S370" s="109">
        <v>0</v>
      </c>
      <c r="T370" s="109">
        <v>0</v>
      </c>
      <c r="U370" s="110">
        <v>0</v>
      </c>
      <c r="V370" s="111">
        <v>0</v>
      </c>
    </row>
    <row r="371" spans="1:22" x14ac:dyDescent="0.2">
      <c r="A371" s="69" t="s">
        <v>1068</v>
      </c>
      <c r="B371" s="69">
        <v>30200</v>
      </c>
      <c r="C371" s="69" t="s">
        <v>1070</v>
      </c>
      <c r="D371" s="108" t="s">
        <v>548</v>
      </c>
      <c r="E371" s="108" t="s">
        <v>139</v>
      </c>
      <c r="F371" s="109">
        <v>0</v>
      </c>
      <c r="G371" s="109">
        <v>0</v>
      </c>
      <c r="H371" s="109">
        <v>0</v>
      </c>
      <c r="I371" s="109">
        <v>0</v>
      </c>
      <c r="J371" s="109">
        <v>0</v>
      </c>
      <c r="K371" s="109">
        <v>0</v>
      </c>
      <c r="L371" s="110">
        <v>0</v>
      </c>
      <c r="M371" s="109">
        <v>0</v>
      </c>
      <c r="N371" s="109">
        <v>0</v>
      </c>
      <c r="O371" s="109">
        <v>0</v>
      </c>
      <c r="P371" s="109">
        <v>0</v>
      </c>
      <c r="Q371" s="109">
        <v>0</v>
      </c>
      <c r="R371" s="109">
        <v>0</v>
      </c>
      <c r="S371" s="109">
        <v>0</v>
      </c>
      <c r="T371" s="109">
        <v>0</v>
      </c>
      <c r="U371" s="110">
        <v>0</v>
      </c>
      <c r="V371" s="111">
        <v>0.04</v>
      </c>
    </row>
    <row r="372" spans="1:22" x14ac:dyDescent="0.2">
      <c r="A372" s="69" t="s">
        <v>1068</v>
      </c>
      <c r="B372" s="69">
        <v>30300</v>
      </c>
      <c r="C372" s="69" t="s">
        <v>1071</v>
      </c>
      <c r="D372" s="108" t="s">
        <v>549</v>
      </c>
      <c r="E372" s="108" t="s">
        <v>140</v>
      </c>
      <c r="F372" s="109">
        <v>512671.69</v>
      </c>
      <c r="G372" s="109">
        <v>0</v>
      </c>
      <c r="H372" s="109">
        <v>0</v>
      </c>
      <c r="I372" s="109">
        <v>0</v>
      </c>
      <c r="J372" s="109">
        <v>512671.69</v>
      </c>
      <c r="K372" s="109">
        <v>512671.69000000012</v>
      </c>
      <c r="L372" s="110">
        <v>0</v>
      </c>
      <c r="M372" s="109">
        <v>-452705.5699999989</v>
      </c>
      <c r="N372" s="109">
        <v>-20506.920000000002</v>
      </c>
      <c r="O372" s="109">
        <v>0</v>
      </c>
      <c r="P372" s="109">
        <v>0</v>
      </c>
      <c r="Q372" s="109">
        <v>0</v>
      </c>
      <c r="R372" s="109">
        <v>0</v>
      </c>
      <c r="S372" s="109">
        <v>-473212.48999999888</v>
      </c>
      <c r="T372" s="109">
        <v>-462959.02999999875</v>
      </c>
      <c r="U372" s="110">
        <v>0</v>
      </c>
      <c r="V372" s="111">
        <v>0.04</v>
      </c>
    </row>
    <row r="373" spans="1:22" s="117" customFormat="1" x14ac:dyDescent="0.2">
      <c r="A373" s="69" t="s">
        <v>1068</v>
      </c>
      <c r="B373" s="69">
        <v>30301</v>
      </c>
      <c r="C373" s="69" t="s">
        <v>1072</v>
      </c>
      <c r="D373" s="108" t="s">
        <v>669</v>
      </c>
      <c r="E373" s="108" t="s">
        <v>141</v>
      </c>
      <c r="F373" s="109">
        <v>0</v>
      </c>
      <c r="G373" s="109">
        <v>1608.32</v>
      </c>
      <c r="H373" s="109">
        <v>0</v>
      </c>
      <c r="I373" s="109">
        <v>0</v>
      </c>
      <c r="J373" s="109">
        <v>1608.32</v>
      </c>
      <c r="K373" s="109">
        <v>247.43384615384613</v>
      </c>
      <c r="L373" s="110">
        <v>0</v>
      </c>
      <c r="M373" s="109">
        <v>0</v>
      </c>
      <c r="N373" s="109">
        <v>-8.98</v>
      </c>
      <c r="O373" s="109">
        <v>0</v>
      </c>
      <c r="P373" s="109">
        <v>0</v>
      </c>
      <c r="Q373" s="109">
        <v>0</v>
      </c>
      <c r="R373" s="109">
        <v>0</v>
      </c>
      <c r="S373" s="109">
        <v>-8.98</v>
      </c>
      <c r="T373" s="109">
        <v>-0.6907692307692308</v>
      </c>
      <c r="U373" s="110">
        <v>0</v>
      </c>
      <c r="V373" s="116">
        <v>0</v>
      </c>
    </row>
    <row r="374" spans="1:22" x14ac:dyDescent="0.2">
      <c r="A374" s="69" t="s">
        <v>1068</v>
      </c>
      <c r="B374" s="69">
        <v>37400</v>
      </c>
      <c r="C374" s="69" t="s">
        <v>1073</v>
      </c>
      <c r="D374" s="108" t="s">
        <v>550</v>
      </c>
      <c r="E374" s="108" t="s">
        <v>142</v>
      </c>
      <c r="F374" s="109">
        <v>377207.51</v>
      </c>
      <c r="G374" s="109">
        <v>18896.030000000002</v>
      </c>
      <c r="H374" s="109">
        <v>0</v>
      </c>
      <c r="I374" s="109">
        <v>0</v>
      </c>
      <c r="J374" s="109">
        <v>396103.54000000004</v>
      </c>
      <c r="K374" s="109">
        <v>392905.81846153841</v>
      </c>
      <c r="L374" s="110">
        <v>0</v>
      </c>
      <c r="M374" s="109">
        <v>0</v>
      </c>
      <c r="N374" s="109">
        <v>0</v>
      </c>
      <c r="O374" s="109">
        <v>0</v>
      </c>
      <c r="P374" s="109">
        <v>0</v>
      </c>
      <c r="Q374" s="109">
        <v>0</v>
      </c>
      <c r="R374" s="109">
        <v>0</v>
      </c>
      <c r="S374" s="109">
        <v>0</v>
      </c>
      <c r="T374" s="109">
        <v>0</v>
      </c>
      <c r="U374" s="110">
        <v>0</v>
      </c>
      <c r="V374" s="111">
        <v>0</v>
      </c>
    </row>
    <row r="375" spans="1:22" x14ac:dyDescent="0.2">
      <c r="A375" s="69" t="s">
        <v>1068</v>
      </c>
      <c r="B375" s="69">
        <v>37402</v>
      </c>
      <c r="C375" s="69" t="s">
        <v>1074</v>
      </c>
      <c r="D375" s="108" t="s">
        <v>551</v>
      </c>
      <c r="E375" s="108" t="s">
        <v>143</v>
      </c>
      <c r="F375" s="109">
        <v>44653.810000000056</v>
      </c>
      <c r="G375" s="109">
        <v>0</v>
      </c>
      <c r="H375" s="109">
        <v>0</v>
      </c>
      <c r="I375" s="109">
        <v>0</v>
      </c>
      <c r="J375" s="109">
        <v>44653.810000000056</v>
      </c>
      <c r="K375" s="109">
        <v>44653.810000000056</v>
      </c>
      <c r="L375" s="110">
        <v>0</v>
      </c>
      <c r="M375" s="109">
        <v>68814.800000000221</v>
      </c>
      <c r="N375" s="109">
        <v>-580.43999999999994</v>
      </c>
      <c r="O375" s="109">
        <v>0</v>
      </c>
      <c r="P375" s="109">
        <v>0</v>
      </c>
      <c r="Q375" s="109">
        <v>0</v>
      </c>
      <c r="R375" s="109">
        <v>0</v>
      </c>
      <c r="S375" s="109">
        <v>68234.360000000219</v>
      </c>
      <c r="T375" s="109">
        <v>68524.580000000249</v>
      </c>
      <c r="U375" s="110">
        <v>0</v>
      </c>
      <c r="V375" s="111">
        <v>1.2999999999999999E-2</v>
      </c>
    </row>
    <row r="376" spans="1:22" x14ac:dyDescent="0.2">
      <c r="A376" s="69" t="s">
        <v>1068</v>
      </c>
      <c r="B376" s="69">
        <v>37500</v>
      </c>
      <c r="C376" s="69" t="s">
        <v>1075</v>
      </c>
      <c r="D376" s="108" t="s">
        <v>552</v>
      </c>
      <c r="E376" s="108" t="s">
        <v>144</v>
      </c>
      <c r="F376" s="109">
        <v>493295.38999999996</v>
      </c>
      <c r="G376" s="109">
        <v>20276.46</v>
      </c>
      <c r="H376" s="109">
        <v>0</v>
      </c>
      <c r="I376" s="109">
        <v>0</v>
      </c>
      <c r="J376" s="109">
        <v>513571.85</v>
      </c>
      <c r="K376" s="109">
        <v>496086.78384615382</v>
      </c>
      <c r="L376" s="110">
        <v>0</v>
      </c>
      <c r="M376" s="109">
        <v>-203290.34000000014</v>
      </c>
      <c r="N376" s="109">
        <v>-12365.76</v>
      </c>
      <c r="O376" s="109">
        <v>0</v>
      </c>
      <c r="P376" s="109">
        <v>0</v>
      </c>
      <c r="Q376" s="109">
        <v>0</v>
      </c>
      <c r="R376" s="109">
        <v>0</v>
      </c>
      <c r="S376" s="109">
        <v>-215656.10000000015</v>
      </c>
      <c r="T376" s="109">
        <v>-209465.52153846173</v>
      </c>
      <c r="U376" s="110">
        <v>0</v>
      </c>
      <c r="V376" s="111">
        <v>2.5000000000000001E-2</v>
      </c>
    </row>
    <row r="377" spans="1:22" x14ac:dyDescent="0.2">
      <c r="A377" s="69" t="s">
        <v>1068</v>
      </c>
      <c r="B377" s="69">
        <v>37600</v>
      </c>
      <c r="C377" s="69" t="s">
        <v>1076</v>
      </c>
      <c r="D377" s="108" t="s">
        <v>553</v>
      </c>
      <c r="E377" s="108" t="s">
        <v>145</v>
      </c>
      <c r="F377" s="109">
        <v>21232483.349999998</v>
      </c>
      <c r="G377" s="109">
        <v>796384.58999999985</v>
      </c>
      <c r="H377" s="109">
        <v>-2408.86</v>
      </c>
      <c r="I377" s="109">
        <v>0</v>
      </c>
      <c r="J377" s="109">
        <v>22026459.079999998</v>
      </c>
      <c r="K377" s="109">
        <v>21759007.363846149</v>
      </c>
      <c r="L377" s="110">
        <v>0</v>
      </c>
      <c r="M377" s="109">
        <v>-5452074.7200000044</v>
      </c>
      <c r="N377" s="109">
        <v>-912942.2100000002</v>
      </c>
      <c r="O377" s="109">
        <v>2408.86</v>
      </c>
      <c r="P377" s="109">
        <v>18131.749999999996</v>
      </c>
      <c r="Q377" s="109">
        <v>0</v>
      </c>
      <c r="R377" s="109">
        <v>0</v>
      </c>
      <c r="S377" s="109">
        <v>-6344476.320000004</v>
      </c>
      <c r="T377" s="109">
        <v>-5890593.936923082</v>
      </c>
      <c r="U377" s="110">
        <v>0</v>
      </c>
      <c r="V377" s="111">
        <v>4.2000000000000003E-2</v>
      </c>
    </row>
    <row r="378" spans="1:22" x14ac:dyDescent="0.2">
      <c r="A378" s="69" t="s">
        <v>1068</v>
      </c>
      <c r="B378" s="69">
        <v>37602</v>
      </c>
      <c r="C378" s="69" t="s">
        <v>1077</v>
      </c>
      <c r="D378" s="108" t="s">
        <v>554</v>
      </c>
      <c r="E378" s="108" t="s">
        <v>146</v>
      </c>
      <c r="F378" s="109">
        <v>26457255.860000003</v>
      </c>
      <c r="G378" s="109">
        <v>603898.7300000001</v>
      </c>
      <c r="H378" s="109">
        <v>-5642.94</v>
      </c>
      <c r="I378" s="109">
        <v>0</v>
      </c>
      <c r="J378" s="109">
        <v>27055511.650000002</v>
      </c>
      <c r="K378" s="109">
        <v>26691516.414615385</v>
      </c>
      <c r="L378" s="110">
        <v>0</v>
      </c>
      <c r="M378" s="109">
        <v>-11127312.680000005</v>
      </c>
      <c r="N378" s="109">
        <v>-826496.70000000007</v>
      </c>
      <c r="O378" s="109">
        <v>5642.94</v>
      </c>
      <c r="P378" s="109">
        <v>7354.4899999999943</v>
      </c>
      <c r="Q378" s="109">
        <v>0</v>
      </c>
      <c r="R378" s="109">
        <v>0</v>
      </c>
      <c r="S378" s="109">
        <v>-11940811.950000005</v>
      </c>
      <c r="T378" s="109">
        <v>-11526411.406153856</v>
      </c>
      <c r="U378" s="110">
        <v>0</v>
      </c>
      <c r="V378" s="111">
        <v>3.1E-2</v>
      </c>
    </row>
    <row r="379" spans="1:22" x14ac:dyDescent="0.2">
      <c r="A379" s="69" t="s">
        <v>1068</v>
      </c>
      <c r="B379" s="69">
        <v>37602</v>
      </c>
      <c r="C379" s="69" t="s">
        <v>1077</v>
      </c>
      <c r="D379" s="108" t="s">
        <v>555</v>
      </c>
      <c r="E379" s="108" t="s">
        <v>146</v>
      </c>
      <c r="F379" s="109">
        <v>0</v>
      </c>
      <c r="G379" s="109">
        <v>0</v>
      </c>
      <c r="H379" s="109">
        <v>0</v>
      </c>
      <c r="I379" s="109">
        <v>0</v>
      </c>
      <c r="J379" s="109">
        <v>0</v>
      </c>
      <c r="K379" s="109">
        <v>0</v>
      </c>
      <c r="L379" s="110">
        <v>0</v>
      </c>
      <c r="M379" s="109">
        <v>-2546.37</v>
      </c>
      <c r="N379" s="109">
        <v>0</v>
      </c>
      <c r="O379" s="109">
        <v>0</v>
      </c>
      <c r="P379" s="109">
        <v>0</v>
      </c>
      <c r="Q379" s="109">
        <v>0</v>
      </c>
      <c r="R379" s="109">
        <v>0</v>
      </c>
      <c r="S379" s="109">
        <v>-2546.37</v>
      </c>
      <c r="T379" s="109">
        <v>-2546.3699999999994</v>
      </c>
      <c r="U379" s="110">
        <v>0</v>
      </c>
      <c r="V379" s="111">
        <v>3.1E-2</v>
      </c>
    </row>
    <row r="380" spans="1:22" x14ac:dyDescent="0.2">
      <c r="A380" s="69" t="s">
        <v>1068</v>
      </c>
      <c r="B380" s="69">
        <v>37800</v>
      </c>
      <c r="C380" s="69" t="s">
        <v>1078</v>
      </c>
      <c r="D380" s="108" t="s">
        <v>556</v>
      </c>
      <c r="E380" s="108" t="s">
        <v>147</v>
      </c>
      <c r="F380" s="109">
        <v>318289.07999999996</v>
      </c>
      <c r="G380" s="109">
        <v>84521.74</v>
      </c>
      <c r="H380" s="109">
        <v>0</v>
      </c>
      <c r="I380" s="109">
        <v>0</v>
      </c>
      <c r="J380" s="109">
        <v>402810.81999999995</v>
      </c>
      <c r="K380" s="109">
        <v>360618.2715384615</v>
      </c>
      <c r="L380" s="110">
        <v>0</v>
      </c>
      <c r="M380" s="109">
        <v>-119880.51000000014</v>
      </c>
      <c r="N380" s="109">
        <v>-12141.5</v>
      </c>
      <c r="O380" s="109">
        <v>0</v>
      </c>
      <c r="P380" s="109">
        <v>0</v>
      </c>
      <c r="Q380" s="109">
        <v>0</v>
      </c>
      <c r="R380" s="109">
        <v>0</v>
      </c>
      <c r="S380" s="109">
        <v>-132022.01000000013</v>
      </c>
      <c r="T380" s="109">
        <v>-125624.18076923095</v>
      </c>
      <c r="U380" s="110">
        <v>0</v>
      </c>
      <c r="V380" s="111">
        <v>3.4000000000000002E-2</v>
      </c>
    </row>
    <row r="381" spans="1:22" x14ac:dyDescent="0.2">
      <c r="A381" s="69" t="s">
        <v>1068</v>
      </c>
      <c r="B381" s="69">
        <v>37800</v>
      </c>
      <c r="C381" s="69" t="s">
        <v>1078</v>
      </c>
      <c r="D381" s="108" t="s">
        <v>557</v>
      </c>
      <c r="E381" s="108" t="s">
        <v>147</v>
      </c>
      <c r="F381" s="109">
        <v>32491.120000000003</v>
      </c>
      <c r="G381" s="109">
        <v>0</v>
      </c>
      <c r="H381" s="109">
        <v>0</v>
      </c>
      <c r="I381" s="109">
        <v>0</v>
      </c>
      <c r="J381" s="109">
        <v>32491.120000000003</v>
      </c>
      <c r="K381" s="109">
        <v>32491.119999999999</v>
      </c>
      <c r="L381" s="110">
        <v>0</v>
      </c>
      <c r="M381" s="109">
        <v>-67064.829999999944</v>
      </c>
      <c r="N381" s="109">
        <v>-1104.7199999999998</v>
      </c>
      <c r="O381" s="109">
        <v>0</v>
      </c>
      <c r="P381" s="109">
        <v>0</v>
      </c>
      <c r="Q381" s="109">
        <v>0</v>
      </c>
      <c r="R381" s="109">
        <v>0</v>
      </c>
      <c r="S381" s="109">
        <v>-68169.549999999945</v>
      </c>
      <c r="T381" s="109">
        <v>-67617.18999999993</v>
      </c>
      <c r="U381" s="110">
        <v>0</v>
      </c>
      <c r="V381" s="111">
        <v>3.4000000000000002E-2</v>
      </c>
    </row>
    <row r="382" spans="1:22" x14ac:dyDescent="0.2">
      <c r="A382" s="69" t="s">
        <v>1068</v>
      </c>
      <c r="B382" s="69">
        <v>37900</v>
      </c>
      <c r="C382" s="69" t="s">
        <v>1079</v>
      </c>
      <c r="D382" s="108" t="s">
        <v>558</v>
      </c>
      <c r="E382" s="108" t="s">
        <v>148</v>
      </c>
      <c r="F382" s="109">
        <v>832850.83</v>
      </c>
      <c r="G382" s="109">
        <v>31695.38</v>
      </c>
      <c r="H382" s="109">
        <v>0</v>
      </c>
      <c r="I382" s="109">
        <v>0</v>
      </c>
      <c r="J382" s="109">
        <v>864546.21</v>
      </c>
      <c r="K382" s="109">
        <v>845985.58538461558</v>
      </c>
      <c r="L382" s="110">
        <v>0</v>
      </c>
      <c r="M382" s="109">
        <v>-280254.1700000001</v>
      </c>
      <c r="N382" s="109">
        <v>-28710.959999999995</v>
      </c>
      <c r="O382" s="109">
        <v>0</v>
      </c>
      <c r="P382" s="109">
        <v>0</v>
      </c>
      <c r="Q382" s="109">
        <v>0</v>
      </c>
      <c r="R382" s="109">
        <v>0</v>
      </c>
      <c r="S382" s="109">
        <v>-308965.13000000012</v>
      </c>
      <c r="T382" s="109">
        <v>-294505.97000000009</v>
      </c>
      <c r="U382" s="110">
        <v>0</v>
      </c>
      <c r="V382" s="111">
        <v>3.4000000000000002E-2</v>
      </c>
    </row>
    <row r="383" spans="1:22" x14ac:dyDescent="0.2">
      <c r="A383" s="69" t="s">
        <v>1068</v>
      </c>
      <c r="B383" s="69">
        <v>37900</v>
      </c>
      <c r="C383" s="69" t="s">
        <v>1079</v>
      </c>
      <c r="D383" s="108" t="s">
        <v>559</v>
      </c>
      <c r="E383" s="108" t="s">
        <v>148</v>
      </c>
      <c r="F383" s="109">
        <v>14736.43</v>
      </c>
      <c r="G383" s="109">
        <v>0</v>
      </c>
      <c r="H383" s="109">
        <v>0</v>
      </c>
      <c r="I383" s="109">
        <v>0</v>
      </c>
      <c r="J383" s="109">
        <v>14736.43</v>
      </c>
      <c r="K383" s="109">
        <v>14736.429999999995</v>
      </c>
      <c r="L383" s="110">
        <v>0</v>
      </c>
      <c r="M383" s="109">
        <v>-25299.739999999951</v>
      </c>
      <c r="N383" s="109">
        <v>-501.11999999999995</v>
      </c>
      <c r="O383" s="109">
        <v>0</v>
      </c>
      <c r="P383" s="109">
        <v>0</v>
      </c>
      <c r="Q383" s="109">
        <v>0</v>
      </c>
      <c r="R383" s="109">
        <v>0</v>
      </c>
      <c r="S383" s="109">
        <v>-25800.85999999995</v>
      </c>
      <c r="T383" s="109">
        <v>-25550.299999999937</v>
      </c>
      <c r="U383" s="110">
        <v>0</v>
      </c>
      <c r="V383" s="111">
        <v>3.4000000000000002E-2</v>
      </c>
    </row>
    <row r="384" spans="1:22" x14ac:dyDescent="0.2">
      <c r="A384" s="69" t="s">
        <v>1068</v>
      </c>
      <c r="B384" s="69">
        <v>38000</v>
      </c>
      <c r="C384" s="69" t="s">
        <v>1080</v>
      </c>
      <c r="D384" s="108" t="s">
        <v>560</v>
      </c>
      <c r="E384" s="108" t="s">
        <v>149</v>
      </c>
      <c r="F384" s="109">
        <v>236012.76</v>
      </c>
      <c r="G384" s="109">
        <v>20273.68</v>
      </c>
      <c r="H384" s="109">
        <v>-910.03</v>
      </c>
      <c r="I384" s="109">
        <v>0</v>
      </c>
      <c r="J384" s="109">
        <v>255376.41</v>
      </c>
      <c r="K384" s="109">
        <v>238435.28461538462</v>
      </c>
      <c r="L384" s="110">
        <v>0</v>
      </c>
      <c r="M384" s="109">
        <v>-94343.969999999987</v>
      </c>
      <c r="N384" s="109">
        <v>-15643.550000000001</v>
      </c>
      <c r="O384" s="109">
        <v>910.03</v>
      </c>
      <c r="P384" s="109">
        <v>4353.07</v>
      </c>
      <c r="Q384" s="109">
        <v>0</v>
      </c>
      <c r="R384" s="109">
        <v>0</v>
      </c>
      <c r="S384" s="109">
        <v>-104724.41999999998</v>
      </c>
      <c r="T384" s="109">
        <v>-98052.489999999976</v>
      </c>
      <c r="U384" s="110">
        <v>0</v>
      </c>
      <c r="V384" s="111">
        <v>6.5999999999999989E-2</v>
      </c>
    </row>
    <row r="385" spans="1:22" x14ac:dyDescent="0.2">
      <c r="A385" s="69" t="s">
        <v>1068</v>
      </c>
      <c r="B385" s="69">
        <v>38002</v>
      </c>
      <c r="C385" s="69" t="s">
        <v>1081</v>
      </c>
      <c r="D385" s="108" t="s">
        <v>561</v>
      </c>
      <c r="E385" s="108" t="s">
        <v>150</v>
      </c>
      <c r="F385" s="109">
        <v>18797594.480000015</v>
      </c>
      <c r="G385" s="109">
        <v>560945.21</v>
      </c>
      <c r="H385" s="109">
        <v>-20421.5</v>
      </c>
      <c r="I385" s="109">
        <v>0</v>
      </c>
      <c r="J385" s="109">
        <v>19338118.190000016</v>
      </c>
      <c r="K385" s="109">
        <v>18995885.500000015</v>
      </c>
      <c r="L385" s="110">
        <v>0</v>
      </c>
      <c r="M385" s="109">
        <v>-10265240.91</v>
      </c>
      <c r="N385" s="109">
        <v>-948368.29</v>
      </c>
      <c r="O385" s="109">
        <v>20421.5</v>
      </c>
      <c r="P385" s="109">
        <v>53989.14</v>
      </c>
      <c r="Q385" s="109">
        <v>0</v>
      </c>
      <c r="R385" s="109">
        <v>0</v>
      </c>
      <c r="S385" s="109">
        <v>-11139198.559999999</v>
      </c>
      <c r="T385" s="109">
        <v>-10718840.461538466</v>
      </c>
      <c r="U385" s="110">
        <v>0</v>
      </c>
      <c r="V385" s="111">
        <v>0.05</v>
      </c>
    </row>
    <row r="386" spans="1:22" x14ac:dyDescent="0.2">
      <c r="A386" s="69" t="s">
        <v>1068</v>
      </c>
      <c r="B386" s="69">
        <v>38100</v>
      </c>
      <c r="C386" s="69" t="s">
        <v>1082</v>
      </c>
      <c r="D386" s="108" t="s">
        <v>562</v>
      </c>
      <c r="E386" s="108" t="s">
        <v>151</v>
      </c>
      <c r="F386" s="109">
        <v>260024.30000000013</v>
      </c>
      <c r="G386" s="109">
        <v>0</v>
      </c>
      <c r="H386" s="109">
        <v>-9502.7999999999993</v>
      </c>
      <c r="I386" s="109">
        <v>0</v>
      </c>
      <c r="J386" s="109">
        <v>250521.50000000015</v>
      </c>
      <c r="K386" s="109">
        <v>254933.36307692315</v>
      </c>
      <c r="L386" s="110">
        <v>0</v>
      </c>
      <c r="M386" s="109">
        <v>-367719.05999999936</v>
      </c>
      <c r="N386" s="109">
        <v>-15062.739999999998</v>
      </c>
      <c r="O386" s="109">
        <v>9502.7999999999993</v>
      </c>
      <c r="P386" s="109">
        <v>229.09000000000003</v>
      </c>
      <c r="Q386" s="109">
        <v>-454.16</v>
      </c>
      <c r="R386" s="109">
        <v>0</v>
      </c>
      <c r="S386" s="109">
        <v>-373504.06999999931</v>
      </c>
      <c r="T386" s="109">
        <v>-370345.17307692242</v>
      </c>
      <c r="U386" s="110">
        <v>0</v>
      </c>
      <c r="V386" s="111">
        <v>5.9000000000000004E-2</v>
      </c>
    </row>
    <row r="387" spans="1:22" x14ac:dyDescent="0.2">
      <c r="A387" s="69" t="s">
        <v>1068</v>
      </c>
      <c r="B387" s="69">
        <v>38100</v>
      </c>
      <c r="C387" s="69" t="s">
        <v>1082</v>
      </c>
      <c r="D387" s="108" t="s">
        <v>563</v>
      </c>
      <c r="E387" s="108" t="s">
        <v>151</v>
      </c>
      <c r="F387" s="109">
        <v>3032.1</v>
      </c>
      <c r="G387" s="109">
        <v>0</v>
      </c>
      <c r="H387" s="109">
        <v>0</v>
      </c>
      <c r="I387" s="109">
        <v>0</v>
      </c>
      <c r="J387" s="109">
        <v>3032.1</v>
      </c>
      <c r="K387" s="109">
        <v>3032.099999999999</v>
      </c>
      <c r="L387" s="110">
        <v>0</v>
      </c>
      <c r="M387" s="109">
        <v>-4294.7899999999991</v>
      </c>
      <c r="N387" s="109">
        <v>-178.80000000000004</v>
      </c>
      <c r="O387" s="109">
        <v>0</v>
      </c>
      <c r="P387" s="109">
        <v>0</v>
      </c>
      <c r="Q387" s="109">
        <v>0</v>
      </c>
      <c r="R387" s="109">
        <v>0</v>
      </c>
      <c r="S387" s="109">
        <v>-4473.5899999999992</v>
      </c>
      <c r="T387" s="109">
        <v>-4384.1899999999969</v>
      </c>
      <c r="U387" s="110">
        <v>0</v>
      </c>
      <c r="V387" s="111">
        <v>5.8999999999999997E-2</v>
      </c>
    </row>
    <row r="388" spans="1:22" x14ac:dyDescent="0.2">
      <c r="A388" s="69" t="s">
        <v>1068</v>
      </c>
      <c r="B388" s="69">
        <v>38200</v>
      </c>
      <c r="C388" s="69" t="s">
        <v>1083</v>
      </c>
      <c r="D388" s="108" t="s">
        <v>564</v>
      </c>
      <c r="E388" s="108" t="s">
        <v>152</v>
      </c>
      <c r="F388" s="109">
        <v>5641108.6399999987</v>
      </c>
      <c r="G388" s="109">
        <v>182178.92000000004</v>
      </c>
      <c r="H388" s="109">
        <v>-20092.64</v>
      </c>
      <c r="I388" s="109">
        <v>0</v>
      </c>
      <c r="J388" s="109">
        <v>5803194.919999999</v>
      </c>
      <c r="K388" s="109">
        <v>5741624.7199999969</v>
      </c>
      <c r="L388" s="110">
        <v>0</v>
      </c>
      <c r="M388" s="109">
        <v>-2459856.9900000016</v>
      </c>
      <c r="N388" s="109">
        <v>-258142.25</v>
      </c>
      <c r="O388" s="109">
        <v>20092.64</v>
      </c>
      <c r="P388" s="109">
        <v>11154.130000000001</v>
      </c>
      <c r="Q388" s="109">
        <v>0</v>
      </c>
      <c r="R388" s="109">
        <v>0</v>
      </c>
      <c r="S388" s="109">
        <v>-2686752.4700000016</v>
      </c>
      <c r="T388" s="109">
        <v>-2578606.9446153869</v>
      </c>
      <c r="U388" s="110">
        <v>0</v>
      </c>
      <c r="V388" s="111">
        <v>4.4999999999999998E-2</v>
      </c>
    </row>
    <row r="389" spans="1:22" x14ac:dyDescent="0.2">
      <c r="A389" s="69" t="s">
        <v>1068</v>
      </c>
      <c r="B389" s="69">
        <v>38300</v>
      </c>
      <c r="C389" s="69" t="s">
        <v>1084</v>
      </c>
      <c r="D389" s="108" t="s">
        <v>565</v>
      </c>
      <c r="E389" s="108" t="s">
        <v>153</v>
      </c>
      <c r="F389" s="109">
        <v>839962.56000000029</v>
      </c>
      <c r="G389" s="109">
        <v>32570.26</v>
      </c>
      <c r="H389" s="109">
        <v>-9055.51</v>
      </c>
      <c r="I389" s="109">
        <v>0</v>
      </c>
      <c r="J389" s="109">
        <v>863477.31000000029</v>
      </c>
      <c r="K389" s="109">
        <v>848457.59846153867</v>
      </c>
      <c r="L389" s="110">
        <v>0</v>
      </c>
      <c r="M389" s="109">
        <v>-498289.13999999996</v>
      </c>
      <c r="N389" s="109">
        <v>-30499.42</v>
      </c>
      <c r="O389" s="109">
        <v>9055.51</v>
      </c>
      <c r="P389" s="109">
        <v>0</v>
      </c>
      <c r="Q389" s="109">
        <v>0</v>
      </c>
      <c r="R389" s="109">
        <v>0</v>
      </c>
      <c r="S389" s="109">
        <v>-519733.04999999993</v>
      </c>
      <c r="T389" s="109">
        <v>-512754.41538461536</v>
      </c>
      <c r="U389" s="110">
        <v>0</v>
      </c>
      <c r="V389" s="111">
        <v>3.5999999999999997E-2</v>
      </c>
    </row>
    <row r="390" spans="1:22" x14ac:dyDescent="0.2">
      <c r="A390" s="69" t="s">
        <v>1068</v>
      </c>
      <c r="B390" s="69">
        <v>38400</v>
      </c>
      <c r="C390" s="69" t="s">
        <v>1085</v>
      </c>
      <c r="D390" s="108" t="s">
        <v>566</v>
      </c>
      <c r="E390" s="108" t="s">
        <v>154</v>
      </c>
      <c r="F390" s="109">
        <v>2419097.9899999979</v>
      </c>
      <c r="G390" s="109">
        <v>60726.37000000001</v>
      </c>
      <c r="H390" s="109">
        <v>-3467.54</v>
      </c>
      <c r="I390" s="109">
        <v>0</v>
      </c>
      <c r="J390" s="109">
        <v>2476356.819999998</v>
      </c>
      <c r="K390" s="109">
        <v>2457957.0069230748</v>
      </c>
      <c r="L390" s="110">
        <v>0</v>
      </c>
      <c r="M390" s="109">
        <v>-1116725.8599999996</v>
      </c>
      <c r="N390" s="109">
        <v>-110539.08</v>
      </c>
      <c r="O390" s="109">
        <v>3467.54</v>
      </c>
      <c r="P390" s="109">
        <v>5054.41</v>
      </c>
      <c r="Q390" s="109">
        <v>0</v>
      </c>
      <c r="R390" s="109">
        <v>0</v>
      </c>
      <c r="S390" s="109">
        <v>-1218742.9899999998</v>
      </c>
      <c r="T390" s="109">
        <v>-1164472.1561538458</v>
      </c>
      <c r="U390" s="110">
        <v>0</v>
      </c>
      <c r="V390" s="111">
        <v>4.4999999999999998E-2</v>
      </c>
    </row>
    <row r="391" spans="1:22" x14ac:dyDescent="0.2">
      <c r="A391" s="69" t="s">
        <v>1068</v>
      </c>
      <c r="B391" s="69">
        <v>38500</v>
      </c>
      <c r="C391" s="69" t="s">
        <v>1086</v>
      </c>
      <c r="D391" s="108" t="s">
        <v>567</v>
      </c>
      <c r="E391" s="108" t="s">
        <v>155</v>
      </c>
      <c r="F391" s="109">
        <v>147146.72999999998</v>
      </c>
      <c r="G391" s="109">
        <v>0</v>
      </c>
      <c r="H391" s="109">
        <v>0</v>
      </c>
      <c r="I391" s="109">
        <v>0</v>
      </c>
      <c r="J391" s="109">
        <v>147146.72999999998</v>
      </c>
      <c r="K391" s="109">
        <v>147146.72999999998</v>
      </c>
      <c r="L391" s="110">
        <v>0</v>
      </c>
      <c r="M391" s="109">
        <v>59735.649999999994</v>
      </c>
      <c r="N391" s="109">
        <v>-4561.5600000000004</v>
      </c>
      <c r="O391" s="109">
        <v>0</v>
      </c>
      <c r="P391" s="109">
        <v>0</v>
      </c>
      <c r="Q391" s="109">
        <v>0</v>
      </c>
      <c r="R391" s="109">
        <v>0</v>
      </c>
      <c r="S391" s="109">
        <v>55174.09</v>
      </c>
      <c r="T391" s="109">
        <v>57454.87</v>
      </c>
      <c r="U391" s="110">
        <v>0</v>
      </c>
      <c r="V391" s="111">
        <v>3.1E-2</v>
      </c>
    </row>
    <row r="392" spans="1:22" x14ac:dyDescent="0.2">
      <c r="A392" s="69" t="s">
        <v>1068</v>
      </c>
      <c r="B392" s="69">
        <v>38700</v>
      </c>
      <c r="C392" s="69" t="s">
        <v>1087</v>
      </c>
      <c r="D392" s="108" t="s">
        <v>568</v>
      </c>
      <c r="E392" s="108" t="s">
        <v>156</v>
      </c>
      <c r="F392" s="109">
        <v>195377.12000000002</v>
      </c>
      <c r="G392" s="109">
        <v>14918.37</v>
      </c>
      <c r="H392" s="109">
        <v>0</v>
      </c>
      <c r="I392" s="109">
        <v>0</v>
      </c>
      <c r="J392" s="109">
        <v>210295.49000000002</v>
      </c>
      <c r="K392" s="109">
        <v>209147.92307692312</v>
      </c>
      <c r="L392" s="110">
        <v>0</v>
      </c>
      <c r="M392" s="109">
        <v>-67675.530000000101</v>
      </c>
      <c r="N392" s="109">
        <v>-13170.279999999997</v>
      </c>
      <c r="O392" s="109">
        <v>0</v>
      </c>
      <c r="P392" s="109">
        <v>0</v>
      </c>
      <c r="Q392" s="109">
        <v>0</v>
      </c>
      <c r="R392" s="109">
        <v>0</v>
      </c>
      <c r="S392" s="109">
        <v>-80845.8100000001</v>
      </c>
      <c r="T392" s="109">
        <v>-74227.534615384735</v>
      </c>
      <c r="U392" s="110">
        <v>0</v>
      </c>
      <c r="V392" s="111">
        <v>6.3E-2</v>
      </c>
    </row>
    <row r="393" spans="1:22" x14ac:dyDescent="0.2">
      <c r="A393" s="69" t="s">
        <v>1068</v>
      </c>
      <c r="B393" s="69">
        <v>39000</v>
      </c>
      <c r="C393" s="69" t="s">
        <v>1088</v>
      </c>
      <c r="D393" s="108" t="s">
        <v>569</v>
      </c>
      <c r="E393" s="108" t="s">
        <v>157</v>
      </c>
      <c r="F393" s="109">
        <v>0</v>
      </c>
      <c r="G393" s="109">
        <v>0</v>
      </c>
      <c r="H393" s="109">
        <v>0</v>
      </c>
      <c r="I393" s="109">
        <v>0</v>
      </c>
      <c r="J393" s="109">
        <v>0</v>
      </c>
      <c r="K393" s="109">
        <v>0</v>
      </c>
      <c r="L393" s="110">
        <v>0</v>
      </c>
      <c r="M393" s="109">
        <v>-42952.68</v>
      </c>
      <c r="N393" s="109">
        <v>0</v>
      </c>
      <c r="O393" s="109">
        <v>0</v>
      </c>
      <c r="P393" s="109">
        <v>0</v>
      </c>
      <c r="Q393" s="109">
        <v>0</v>
      </c>
      <c r="R393" s="109">
        <v>0</v>
      </c>
      <c r="S393" s="109">
        <v>-42952.68</v>
      </c>
      <c r="T393" s="109">
        <v>-42952.68</v>
      </c>
      <c r="U393" s="110">
        <v>0</v>
      </c>
      <c r="V393" s="111">
        <v>2.5000000000000001E-2</v>
      </c>
    </row>
    <row r="394" spans="1:22" x14ac:dyDescent="0.2">
      <c r="A394" s="69" t="s">
        <v>1068</v>
      </c>
      <c r="B394" s="69">
        <v>39100</v>
      </c>
      <c r="C394" s="69" t="s">
        <v>1089</v>
      </c>
      <c r="D394" s="108" t="s">
        <v>570</v>
      </c>
      <c r="E394" s="108" t="s">
        <v>159</v>
      </c>
      <c r="F394" s="109">
        <v>27079.200000000004</v>
      </c>
      <c r="G394" s="109">
        <v>0</v>
      </c>
      <c r="H394" s="109">
        <v>0</v>
      </c>
      <c r="I394" s="109">
        <v>0</v>
      </c>
      <c r="J394" s="109">
        <v>27079.200000000004</v>
      </c>
      <c r="K394" s="109">
        <v>27427.900000000009</v>
      </c>
      <c r="L394" s="110">
        <v>0</v>
      </c>
      <c r="M394" s="109">
        <v>-46264.190000000031</v>
      </c>
      <c r="N394" s="109">
        <v>-1839.5900000000004</v>
      </c>
      <c r="O394" s="109">
        <v>0</v>
      </c>
      <c r="P394" s="109">
        <v>0</v>
      </c>
      <c r="Q394" s="109">
        <v>0</v>
      </c>
      <c r="R394" s="109">
        <v>0</v>
      </c>
      <c r="S394" s="109">
        <v>-48103.780000000035</v>
      </c>
      <c r="T394" s="109">
        <v>-47183.011538461586</v>
      </c>
      <c r="U394" s="110">
        <v>0</v>
      </c>
      <c r="V394" s="111">
        <v>6.7000000000000004E-2</v>
      </c>
    </row>
    <row r="395" spans="1:22" x14ac:dyDescent="0.2">
      <c r="A395" s="69" t="s">
        <v>1068</v>
      </c>
      <c r="B395" s="69">
        <v>39101</v>
      </c>
      <c r="C395" s="69" t="s">
        <v>1090</v>
      </c>
      <c r="D395" s="108" t="s">
        <v>571</v>
      </c>
      <c r="E395" s="108" t="s">
        <v>160</v>
      </c>
      <c r="F395" s="109">
        <v>49834.170000000013</v>
      </c>
      <c r="G395" s="109">
        <v>-530.41</v>
      </c>
      <c r="H395" s="109">
        <v>0</v>
      </c>
      <c r="I395" s="109">
        <v>0</v>
      </c>
      <c r="J395" s="109">
        <v>49303.760000000009</v>
      </c>
      <c r="K395" s="109">
        <v>49630.166153846163</v>
      </c>
      <c r="L395" s="110">
        <v>0</v>
      </c>
      <c r="M395" s="109">
        <v>-58654.440000000017</v>
      </c>
      <c r="N395" s="109">
        <v>-6207.2</v>
      </c>
      <c r="O395" s="109">
        <v>0</v>
      </c>
      <c r="P395" s="109">
        <v>0</v>
      </c>
      <c r="Q395" s="109">
        <v>0</v>
      </c>
      <c r="R395" s="109">
        <v>0</v>
      </c>
      <c r="S395" s="109">
        <v>-64861.640000000014</v>
      </c>
      <c r="T395" s="109">
        <v>-61764.846153846178</v>
      </c>
      <c r="U395" s="110">
        <v>0</v>
      </c>
      <c r="V395" s="111">
        <v>0.125</v>
      </c>
    </row>
    <row r="396" spans="1:22" x14ac:dyDescent="0.2">
      <c r="A396" s="69" t="s">
        <v>1068</v>
      </c>
      <c r="B396" s="69">
        <v>39102</v>
      </c>
      <c r="C396" s="69" t="s">
        <v>1091</v>
      </c>
      <c r="D396" s="108" t="s">
        <v>572</v>
      </c>
      <c r="E396" s="108" t="s">
        <v>161</v>
      </c>
      <c r="F396" s="109">
        <v>48427.969999999994</v>
      </c>
      <c r="G396" s="109">
        <v>5069.22</v>
      </c>
      <c r="H396" s="109">
        <v>0</v>
      </c>
      <c r="I396" s="109">
        <v>0</v>
      </c>
      <c r="J396" s="109">
        <v>53497.189999999995</v>
      </c>
      <c r="K396" s="109">
        <v>50602.649999999987</v>
      </c>
      <c r="L396" s="110">
        <v>0</v>
      </c>
      <c r="M396" s="109">
        <v>-9488.2200000000012</v>
      </c>
      <c r="N396" s="109">
        <v>-3374.2199999999989</v>
      </c>
      <c r="O396" s="109">
        <v>0</v>
      </c>
      <c r="P396" s="109">
        <v>0</v>
      </c>
      <c r="Q396" s="109">
        <v>0</v>
      </c>
      <c r="R396" s="109">
        <v>0</v>
      </c>
      <c r="S396" s="109">
        <v>-12862.44</v>
      </c>
      <c r="T396" s="109">
        <v>-11139.993846153844</v>
      </c>
      <c r="U396" s="110">
        <v>0</v>
      </c>
      <c r="V396" s="111">
        <v>6.7000000000000004E-2</v>
      </c>
    </row>
    <row r="397" spans="1:22" x14ac:dyDescent="0.2">
      <c r="A397" s="69" t="s">
        <v>1068</v>
      </c>
      <c r="B397" s="69">
        <v>39103</v>
      </c>
      <c r="C397" s="69" t="s">
        <v>1092</v>
      </c>
      <c r="D397" s="108" t="s">
        <v>573</v>
      </c>
      <c r="E397" s="108" t="s">
        <v>162</v>
      </c>
      <c r="F397" s="109">
        <v>0</v>
      </c>
      <c r="G397" s="109">
        <v>0</v>
      </c>
      <c r="H397" s="109">
        <v>0</v>
      </c>
      <c r="I397" s="109">
        <v>0</v>
      </c>
      <c r="J397" s="109">
        <v>0</v>
      </c>
      <c r="K397" s="109">
        <v>0</v>
      </c>
      <c r="L397" s="110">
        <v>0</v>
      </c>
      <c r="M397" s="109">
        <v>0</v>
      </c>
      <c r="N397" s="109">
        <v>0</v>
      </c>
      <c r="O397" s="109">
        <v>0</v>
      </c>
      <c r="P397" s="109">
        <v>0</v>
      </c>
      <c r="Q397" s="109">
        <v>0</v>
      </c>
      <c r="R397" s="109">
        <v>0</v>
      </c>
      <c r="S397" s="109">
        <v>0</v>
      </c>
      <c r="T397" s="109">
        <v>0</v>
      </c>
      <c r="U397" s="110">
        <v>0</v>
      </c>
      <c r="V397" s="111">
        <v>0</v>
      </c>
    </row>
    <row r="398" spans="1:22" x14ac:dyDescent="0.2">
      <c r="A398" s="69" t="s">
        <v>1068</v>
      </c>
      <c r="B398" s="69">
        <v>39201</v>
      </c>
      <c r="C398" s="69" t="s">
        <v>1093</v>
      </c>
      <c r="D398" s="108" t="s">
        <v>574</v>
      </c>
      <c r="E398" s="108" t="s">
        <v>163</v>
      </c>
      <c r="F398" s="109">
        <v>246004.29000000004</v>
      </c>
      <c r="G398" s="109">
        <v>0</v>
      </c>
      <c r="H398" s="109">
        <v>-52879.93</v>
      </c>
      <c r="I398" s="109">
        <v>0</v>
      </c>
      <c r="J398" s="109">
        <v>193124.36000000004</v>
      </c>
      <c r="K398" s="109">
        <v>212561.57461538463</v>
      </c>
      <c r="L398" s="110">
        <v>0</v>
      </c>
      <c r="M398" s="109">
        <v>-227336.17000000025</v>
      </c>
      <c r="N398" s="109">
        <v>-23988.290000000008</v>
      </c>
      <c r="O398" s="109">
        <v>52879.93</v>
      </c>
      <c r="P398" s="109">
        <v>0</v>
      </c>
      <c r="Q398" s="109">
        <v>-2680</v>
      </c>
      <c r="R398" s="109">
        <v>0</v>
      </c>
      <c r="S398" s="109">
        <v>-201124.53000000026</v>
      </c>
      <c r="T398" s="109">
        <v>-208529.19076923101</v>
      </c>
      <c r="U398" s="110">
        <v>0</v>
      </c>
      <c r="V398" s="111">
        <v>0.112</v>
      </c>
    </row>
    <row r="399" spans="1:22" x14ac:dyDescent="0.2">
      <c r="A399" s="69" t="s">
        <v>1068</v>
      </c>
      <c r="B399" s="69">
        <v>39202</v>
      </c>
      <c r="C399" s="69" t="s">
        <v>1094</v>
      </c>
      <c r="D399" s="108" t="s">
        <v>575</v>
      </c>
      <c r="E399" s="108" t="s">
        <v>164</v>
      </c>
      <c r="F399" s="109">
        <v>466266.26</v>
      </c>
      <c r="G399" s="109">
        <v>1692.1399999999999</v>
      </c>
      <c r="H399" s="109">
        <v>-30673.35</v>
      </c>
      <c r="I399" s="109">
        <v>0</v>
      </c>
      <c r="J399" s="109">
        <v>437285.05000000005</v>
      </c>
      <c r="K399" s="109">
        <v>455857.35692307685</v>
      </c>
      <c r="L399" s="110">
        <v>0</v>
      </c>
      <c r="M399" s="109">
        <v>-272947.03999999975</v>
      </c>
      <c r="N399" s="109">
        <v>-58090.43</v>
      </c>
      <c r="O399" s="109">
        <v>30673.35</v>
      </c>
      <c r="P399" s="109">
        <v>0</v>
      </c>
      <c r="Q399" s="109">
        <v>0</v>
      </c>
      <c r="R399" s="109">
        <v>0</v>
      </c>
      <c r="S399" s="109">
        <v>-300364.11999999976</v>
      </c>
      <c r="T399" s="109">
        <v>-291457.43999999983</v>
      </c>
      <c r="U399" s="110">
        <v>0</v>
      </c>
      <c r="V399" s="111">
        <v>0.127</v>
      </c>
    </row>
    <row r="400" spans="1:22" x14ac:dyDescent="0.2">
      <c r="A400" s="69" t="s">
        <v>1068</v>
      </c>
      <c r="B400" s="69">
        <v>39204</v>
      </c>
      <c r="C400" s="69" t="s">
        <v>1095</v>
      </c>
      <c r="D400" s="108" t="s">
        <v>576</v>
      </c>
      <c r="E400" s="108" t="s">
        <v>166</v>
      </c>
      <c r="F400" s="109">
        <v>10161.709999999999</v>
      </c>
      <c r="G400" s="109">
        <v>0</v>
      </c>
      <c r="H400" s="109">
        <v>0</v>
      </c>
      <c r="I400" s="109">
        <v>0</v>
      </c>
      <c r="J400" s="109">
        <v>10161.709999999999</v>
      </c>
      <c r="K400" s="109">
        <v>10161.709999999995</v>
      </c>
      <c r="L400" s="110">
        <v>0</v>
      </c>
      <c r="M400" s="109">
        <v>-7103.2100000000037</v>
      </c>
      <c r="N400" s="109">
        <v>-406.44</v>
      </c>
      <c r="O400" s="109">
        <v>0</v>
      </c>
      <c r="P400" s="109">
        <v>0</v>
      </c>
      <c r="Q400" s="109">
        <v>0</v>
      </c>
      <c r="R400" s="109">
        <v>0</v>
      </c>
      <c r="S400" s="109">
        <v>-7509.6500000000033</v>
      </c>
      <c r="T400" s="109">
        <v>-7306.4300000000039</v>
      </c>
      <c r="U400" s="110">
        <v>0</v>
      </c>
      <c r="V400" s="111">
        <v>0.04</v>
      </c>
    </row>
    <row r="401" spans="1:22" x14ac:dyDescent="0.2">
      <c r="A401" s="69" t="s">
        <v>1068</v>
      </c>
      <c r="B401" s="69">
        <v>39205</v>
      </c>
      <c r="C401" s="69" t="s">
        <v>1096</v>
      </c>
      <c r="D401" s="108" t="s">
        <v>577</v>
      </c>
      <c r="E401" s="108" t="s">
        <v>167</v>
      </c>
      <c r="F401" s="109">
        <v>56811.3</v>
      </c>
      <c r="G401" s="109">
        <v>0</v>
      </c>
      <c r="H401" s="109">
        <v>0</v>
      </c>
      <c r="I401" s="109">
        <v>0</v>
      </c>
      <c r="J401" s="109">
        <v>56811.3</v>
      </c>
      <c r="K401" s="109">
        <v>56811.30000000001</v>
      </c>
      <c r="L401" s="110">
        <v>0</v>
      </c>
      <c r="M401" s="109">
        <v>-6722.4500000000007</v>
      </c>
      <c r="N401" s="109">
        <v>-4204.0800000000008</v>
      </c>
      <c r="O401" s="109">
        <v>0</v>
      </c>
      <c r="P401" s="109">
        <v>0</v>
      </c>
      <c r="Q401" s="109">
        <v>0</v>
      </c>
      <c r="R401" s="109">
        <v>0</v>
      </c>
      <c r="S401" s="109">
        <v>-10926.530000000002</v>
      </c>
      <c r="T401" s="109">
        <v>-8824.4900000000016</v>
      </c>
      <c r="U401" s="110">
        <v>0</v>
      </c>
      <c r="V401" s="111">
        <v>7.3999999999999996E-2</v>
      </c>
    </row>
    <row r="402" spans="1:22" x14ac:dyDescent="0.2">
      <c r="A402" s="69" t="s">
        <v>1068</v>
      </c>
      <c r="B402" s="69">
        <v>39400</v>
      </c>
      <c r="C402" s="69" t="s">
        <v>1097</v>
      </c>
      <c r="D402" s="108" t="s">
        <v>578</v>
      </c>
      <c r="E402" s="108" t="s">
        <v>169</v>
      </c>
      <c r="F402" s="109">
        <v>101579.01999999999</v>
      </c>
      <c r="G402" s="109">
        <v>26070.159999999996</v>
      </c>
      <c r="H402" s="109">
        <v>0</v>
      </c>
      <c r="I402" s="109">
        <v>0</v>
      </c>
      <c r="J402" s="109">
        <v>127649.18</v>
      </c>
      <c r="K402" s="109">
        <v>111334.36076923073</v>
      </c>
      <c r="L402" s="110">
        <v>0</v>
      </c>
      <c r="M402" s="109">
        <v>-29986.190000000021</v>
      </c>
      <c r="N402" s="109">
        <v>-7258.3100000000013</v>
      </c>
      <c r="O402" s="109">
        <v>0</v>
      </c>
      <c r="P402" s="109">
        <v>0</v>
      </c>
      <c r="Q402" s="109">
        <v>0</v>
      </c>
      <c r="R402" s="109">
        <v>0</v>
      </c>
      <c r="S402" s="109">
        <v>-37244.500000000022</v>
      </c>
      <c r="T402" s="109">
        <v>-33541.383846153869</v>
      </c>
      <c r="U402" s="110">
        <v>0</v>
      </c>
      <c r="V402" s="111">
        <v>6.6000000000000003E-2</v>
      </c>
    </row>
    <row r="403" spans="1:22" x14ac:dyDescent="0.2">
      <c r="A403" s="69" t="s">
        <v>1068</v>
      </c>
      <c r="B403" s="69">
        <v>39400</v>
      </c>
      <c r="C403" s="69" t="s">
        <v>1097</v>
      </c>
      <c r="D403" s="108" t="s">
        <v>579</v>
      </c>
      <c r="E403" s="108" t="s">
        <v>169</v>
      </c>
      <c r="F403" s="109">
        <v>15572.55</v>
      </c>
      <c r="G403" s="109">
        <v>0</v>
      </c>
      <c r="H403" s="109">
        <v>-10941.39</v>
      </c>
      <c r="I403" s="109">
        <v>0</v>
      </c>
      <c r="J403" s="109">
        <v>4631.16</v>
      </c>
      <c r="K403" s="109">
        <v>6314.4507692307716</v>
      </c>
      <c r="L403" s="110">
        <v>0</v>
      </c>
      <c r="M403" s="109">
        <v>-20298.870000000061</v>
      </c>
      <c r="N403" s="109">
        <v>-426.00000000000011</v>
      </c>
      <c r="O403" s="109">
        <v>10941.39</v>
      </c>
      <c r="P403" s="109">
        <v>0</v>
      </c>
      <c r="Q403" s="109">
        <v>0</v>
      </c>
      <c r="R403" s="109">
        <v>0</v>
      </c>
      <c r="S403" s="109">
        <v>-9783.4800000000614</v>
      </c>
      <c r="T403" s="109">
        <v>-11300.063076923137</v>
      </c>
      <c r="U403" s="110">
        <v>0</v>
      </c>
      <c r="V403" s="111">
        <v>6.6000000000000003E-2</v>
      </c>
    </row>
    <row r="404" spans="1:22" x14ac:dyDescent="0.2">
      <c r="A404" s="69" t="s">
        <v>1068</v>
      </c>
      <c r="B404" s="69">
        <v>39600</v>
      </c>
      <c r="C404" s="69" t="s">
        <v>1098</v>
      </c>
      <c r="D404" s="108" t="s">
        <v>580</v>
      </c>
      <c r="E404" s="108" t="s">
        <v>171</v>
      </c>
      <c r="F404" s="109">
        <v>52942.619999999995</v>
      </c>
      <c r="G404" s="109">
        <v>0</v>
      </c>
      <c r="H404" s="109">
        <v>0</v>
      </c>
      <c r="I404" s="109">
        <v>0</v>
      </c>
      <c r="J404" s="109">
        <v>52942.619999999995</v>
      </c>
      <c r="K404" s="109">
        <v>52942.619999999995</v>
      </c>
      <c r="L404" s="110">
        <v>0</v>
      </c>
      <c r="M404" s="109">
        <v>-36181.3100000001</v>
      </c>
      <c r="N404" s="109">
        <v>-3388.3200000000011</v>
      </c>
      <c r="O404" s="109">
        <v>0</v>
      </c>
      <c r="P404" s="109">
        <v>0</v>
      </c>
      <c r="Q404" s="109">
        <v>0</v>
      </c>
      <c r="R404" s="109">
        <v>0</v>
      </c>
      <c r="S404" s="109">
        <v>-39569.630000000099</v>
      </c>
      <c r="T404" s="109">
        <v>-37875.470000000096</v>
      </c>
      <c r="U404" s="110">
        <v>0</v>
      </c>
      <c r="V404" s="111">
        <v>6.4000000000000001E-2</v>
      </c>
    </row>
    <row r="405" spans="1:22" x14ac:dyDescent="0.2">
      <c r="A405" s="69" t="s">
        <v>1068</v>
      </c>
      <c r="B405" s="69">
        <v>39700</v>
      </c>
      <c r="C405" s="69" t="s">
        <v>1099</v>
      </c>
      <c r="D405" s="108" t="s">
        <v>581</v>
      </c>
      <c r="E405" s="108" t="s">
        <v>172</v>
      </c>
      <c r="F405" s="109">
        <v>90690.289999999979</v>
      </c>
      <c r="G405" s="109">
        <v>0</v>
      </c>
      <c r="H405" s="109">
        <v>0</v>
      </c>
      <c r="I405" s="109">
        <v>0</v>
      </c>
      <c r="J405" s="109">
        <v>90690.289999999979</v>
      </c>
      <c r="K405" s="109">
        <v>90690.290000000008</v>
      </c>
      <c r="L405" s="110">
        <v>0</v>
      </c>
      <c r="M405" s="109">
        <v>-59128.420000000078</v>
      </c>
      <c r="N405" s="109">
        <v>-7617.96</v>
      </c>
      <c r="O405" s="109">
        <v>0</v>
      </c>
      <c r="P405" s="109">
        <v>0</v>
      </c>
      <c r="Q405" s="109">
        <v>0</v>
      </c>
      <c r="R405" s="109">
        <v>0</v>
      </c>
      <c r="S405" s="109">
        <v>-66746.380000000077</v>
      </c>
      <c r="T405" s="109">
        <v>-62937.400000000089</v>
      </c>
      <c r="U405" s="110">
        <v>0</v>
      </c>
      <c r="V405" s="111">
        <v>8.4000000000000005E-2</v>
      </c>
    </row>
    <row r="406" spans="1:22" x14ac:dyDescent="0.2">
      <c r="A406" s="69" t="s">
        <v>1068</v>
      </c>
      <c r="B406" s="69">
        <v>39800</v>
      </c>
      <c r="C406" s="69" t="s">
        <v>1100</v>
      </c>
      <c r="D406" s="108" t="s">
        <v>582</v>
      </c>
      <c r="E406" s="108" t="s">
        <v>173</v>
      </c>
      <c r="F406" s="109">
        <v>134043.59</v>
      </c>
      <c r="G406" s="109">
        <v>1158.3499999999999</v>
      </c>
      <c r="H406" s="109">
        <v>0</v>
      </c>
      <c r="I406" s="109">
        <v>0</v>
      </c>
      <c r="J406" s="109">
        <v>135201.94</v>
      </c>
      <c r="K406" s="109">
        <v>134400.00538461536</v>
      </c>
      <c r="L406" s="110">
        <v>0</v>
      </c>
      <c r="M406" s="109">
        <v>-171711.95999999985</v>
      </c>
      <c r="N406" s="109">
        <v>-7925.67</v>
      </c>
      <c r="O406" s="109">
        <v>0</v>
      </c>
      <c r="P406" s="109">
        <v>0</v>
      </c>
      <c r="Q406" s="109">
        <v>0</v>
      </c>
      <c r="R406" s="109">
        <v>0</v>
      </c>
      <c r="S406" s="109">
        <v>-179637.62999999986</v>
      </c>
      <c r="T406" s="109">
        <v>-175668.88615384593</v>
      </c>
      <c r="U406" s="110">
        <v>0</v>
      </c>
      <c r="V406" s="111">
        <v>5.8999999999999997E-2</v>
      </c>
    </row>
    <row r="407" spans="1:22" x14ac:dyDescent="0.2">
      <c r="A407" s="69" t="s">
        <v>1101</v>
      </c>
      <c r="B407" s="69">
        <v>37400</v>
      </c>
      <c r="C407" s="69" t="s">
        <v>1102</v>
      </c>
      <c r="D407" s="108" t="s">
        <v>583</v>
      </c>
      <c r="E407" s="108" t="s">
        <v>142</v>
      </c>
      <c r="F407" s="109">
        <v>112002.09</v>
      </c>
      <c r="G407" s="109">
        <v>0</v>
      </c>
      <c r="H407" s="109">
        <v>0</v>
      </c>
      <c r="I407" s="109">
        <v>0</v>
      </c>
      <c r="J407" s="109">
        <v>112002.09</v>
      </c>
      <c r="K407" s="109">
        <v>112002.09000000001</v>
      </c>
      <c r="L407" s="110">
        <v>0</v>
      </c>
      <c r="M407" s="109">
        <v>0</v>
      </c>
      <c r="N407" s="109">
        <v>0</v>
      </c>
      <c r="O407" s="109">
        <v>0</v>
      </c>
      <c r="P407" s="109">
        <v>0</v>
      </c>
      <c r="Q407" s="109">
        <v>0</v>
      </c>
      <c r="R407" s="109">
        <v>0</v>
      </c>
      <c r="S407" s="109">
        <v>0</v>
      </c>
      <c r="T407" s="109">
        <v>0</v>
      </c>
      <c r="U407" s="110">
        <v>0</v>
      </c>
      <c r="V407" s="111">
        <v>0</v>
      </c>
    </row>
    <row r="408" spans="1:22" x14ac:dyDescent="0.2">
      <c r="A408" s="69" t="s">
        <v>1101</v>
      </c>
      <c r="B408" s="69">
        <v>37402</v>
      </c>
      <c r="C408" s="69" t="s">
        <v>1103</v>
      </c>
      <c r="D408" s="108" t="s">
        <v>584</v>
      </c>
      <c r="E408" s="108" t="s">
        <v>143</v>
      </c>
      <c r="F408" s="109">
        <v>195568.15999999997</v>
      </c>
      <c r="G408" s="109">
        <v>0</v>
      </c>
      <c r="H408" s="109">
        <v>0</v>
      </c>
      <c r="I408" s="109">
        <v>0</v>
      </c>
      <c r="J408" s="109">
        <v>195568.15999999997</v>
      </c>
      <c r="K408" s="109">
        <v>195568.15999999997</v>
      </c>
      <c r="L408" s="110">
        <v>0</v>
      </c>
      <c r="M408" s="109">
        <v>790.00999999998908</v>
      </c>
      <c r="N408" s="109">
        <v>-2542.4399999999991</v>
      </c>
      <c r="O408" s="109">
        <v>0</v>
      </c>
      <c r="P408" s="109">
        <v>0</v>
      </c>
      <c r="Q408" s="109">
        <v>0</v>
      </c>
      <c r="R408" s="109">
        <v>0</v>
      </c>
      <c r="S408" s="109">
        <v>-1752.4300000000101</v>
      </c>
      <c r="T408" s="109">
        <v>-481.21000000001089</v>
      </c>
      <c r="U408" s="110">
        <v>0</v>
      </c>
      <c r="V408" s="111">
        <v>1.2999999999999999E-2</v>
      </c>
    </row>
    <row r="409" spans="1:22" x14ac:dyDescent="0.2">
      <c r="A409" s="69" t="s">
        <v>1101</v>
      </c>
      <c r="B409" s="69">
        <v>37500</v>
      </c>
      <c r="C409" s="69" t="s">
        <v>1104</v>
      </c>
      <c r="D409" s="108" t="s">
        <v>585</v>
      </c>
      <c r="E409" s="108" t="s">
        <v>144</v>
      </c>
      <c r="F409" s="109">
        <v>872681.79</v>
      </c>
      <c r="G409" s="109">
        <v>0</v>
      </c>
      <c r="H409" s="109">
        <v>0</v>
      </c>
      <c r="I409" s="109">
        <v>0</v>
      </c>
      <c r="J409" s="109">
        <v>872681.79</v>
      </c>
      <c r="K409" s="109">
        <v>872681.78999999992</v>
      </c>
      <c r="L409" s="110">
        <v>0</v>
      </c>
      <c r="M409" s="109">
        <v>-341289.89000000095</v>
      </c>
      <c r="N409" s="109">
        <v>-21817.079999999998</v>
      </c>
      <c r="O409" s="109">
        <v>0</v>
      </c>
      <c r="P409" s="109">
        <v>0</v>
      </c>
      <c r="Q409" s="109">
        <v>0</v>
      </c>
      <c r="R409" s="109">
        <v>0</v>
      </c>
      <c r="S409" s="109">
        <v>-363106.97000000096</v>
      </c>
      <c r="T409" s="109">
        <v>-352198.43000000116</v>
      </c>
      <c r="U409" s="110">
        <v>0</v>
      </c>
      <c r="V409" s="111">
        <v>2.5000000000000001E-2</v>
      </c>
    </row>
    <row r="410" spans="1:22" x14ac:dyDescent="0.2">
      <c r="A410" s="69" t="s">
        <v>1101</v>
      </c>
      <c r="B410" s="69">
        <v>37600</v>
      </c>
      <c r="C410" s="69" t="s">
        <v>1105</v>
      </c>
      <c r="D410" s="108" t="s">
        <v>586</v>
      </c>
      <c r="E410" s="108" t="s">
        <v>145</v>
      </c>
      <c r="F410" s="109">
        <v>39904230.340000018</v>
      </c>
      <c r="G410" s="109">
        <v>281180.82999999996</v>
      </c>
      <c r="H410" s="109">
        <v>0</v>
      </c>
      <c r="I410" s="109">
        <v>0</v>
      </c>
      <c r="J410" s="109">
        <v>40185411.170000017</v>
      </c>
      <c r="K410" s="109">
        <v>40156453.461538486</v>
      </c>
      <c r="L410" s="110">
        <v>0</v>
      </c>
      <c r="M410" s="109">
        <v>-17855734.009999994</v>
      </c>
      <c r="N410" s="109">
        <v>-1686469.6700000002</v>
      </c>
      <c r="O410" s="109">
        <v>0</v>
      </c>
      <c r="P410" s="109">
        <v>-116804.97</v>
      </c>
      <c r="Q410" s="109">
        <v>0</v>
      </c>
      <c r="R410" s="109">
        <v>0</v>
      </c>
      <c r="S410" s="109">
        <v>-19659008.649999995</v>
      </c>
      <c r="T410" s="109">
        <v>-18809937.628461536</v>
      </c>
      <c r="U410" s="110">
        <v>0</v>
      </c>
      <c r="V410" s="111">
        <v>4.2000000000000003E-2</v>
      </c>
    </row>
    <row r="411" spans="1:22" x14ac:dyDescent="0.2">
      <c r="A411" s="69" t="s">
        <v>1101</v>
      </c>
      <c r="B411" s="69">
        <v>37602</v>
      </c>
      <c r="C411" s="69" t="s">
        <v>1106</v>
      </c>
      <c r="D411" s="108" t="s">
        <v>587</v>
      </c>
      <c r="E411" s="108" t="s">
        <v>146</v>
      </c>
      <c r="F411" s="109">
        <v>45392794.529999956</v>
      </c>
      <c r="G411" s="109">
        <v>4305696.7700000005</v>
      </c>
      <c r="H411" s="109">
        <v>-8695.17</v>
      </c>
      <c r="I411" s="109">
        <v>0</v>
      </c>
      <c r="J411" s="109">
        <v>49689796.129999958</v>
      </c>
      <c r="K411" s="109">
        <v>47724023.236923032</v>
      </c>
      <c r="L411" s="110">
        <v>0</v>
      </c>
      <c r="M411" s="109">
        <v>-11331524.189999999</v>
      </c>
      <c r="N411" s="109">
        <v>-1474366.4600000002</v>
      </c>
      <c r="O411" s="109">
        <v>8695.17</v>
      </c>
      <c r="P411" s="109">
        <v>-98955.629999999976</v>
      </c>
      <c r="Q411" s="109">
        <v>0</v>
      </c>
      <c r="R411" s="109">
        <v>0</v>
      </c>
      <c r="S411" s="109">
        <v>-12896151.110000001</v>
      </c>
      <c r="T411" s="109">
        <v>-12154895.315384617</v>
      </c>
      <c r="U411" s="110">
        <v>0</v>
      </c>
      <c r="V411" s="111">
        <v>3.1E-2</v>
      </c>
    </row>
    <row r="412" spans="1:22" x14ac:dyDescent="0.2">
      <c r="A412" s="69" t="s">
        <v>1101</v>
      </c>
      <c r="B412" s="69">
        <v>37602</v>
      </c>
      <c r="C412" s="69" t="s">
        <v>1106</v>
      </c>
      <c r="D412" s="108" t="s">
        <v>588</v>
      </c>
      <c r="E412" s="108" t="s">
        <v>146</v>
      </c>
      <c r="F412" s="109">
        <v>-2.1827872842550278E-11</v>
      </c>
      <c r="G412" s="109">
        <v>0</v>
      </c>
      <c r="H412" s="109">
        <v>0</v>
      </c>
      <c r="I412" s="109">
        <v>0</v>
      </c>
      <c r="J412" s="109">
        <v>-2.1827872842550278E-11</v>
      </c>
      <c r="K412" s="109">
        <v>-2.1827872842550278E-11</v>
      </c>
      <c r="L412" s="110">
        <v>0</v>
      </c>
      <c r="M412" s="109">
        <v>-26054.600000000024</v>
      </c>
      <c r="N412" s="109">
        <v>0</v>
      </c>
      <c r="O412" s="109">
        <v>0</v>
      </c>
      <c r="P412" s="109">
        <v>0</v>
      </c>
      <c r="Q412" s="109">
        <v>0</v>
      </c>
      <c r="R412" s="109">
        <v>0</v>
      </c>
      <c r="S412" s="109">
        <v>-26054.600000000024</v>
      </c>
      <c r="T412" s="109">
        <v>-26054.600000000031</v>
      </c>
      <c r="U412" s="110">
        <v>0</v>
      </c>
      <c r="V412" s="111">
        <v>3.1E-2</v>
      </c>
    </row>
    <row r="413" spans="1:22" x14ac:dyDescent="0.2">
      <c r="A413" s="69" t="s">
        <v>1101</v>
      </c>
      <c r="B413" s="69">
        <v>37602</v>
      </c>
      <c r="C413" s="69" t="s">
        <v>1106</v>
      </c>
      <c r="D413" s="108" t="s">
        <v>589</v>
      </c>
      <c r="E413" s="108" t="s">
        <v>146</v>
      </c>
      <c r="F413" s="109">
        <v>0</v>
      </c>
      <c r="G413" s="109">
        <v>0</v>
      </c>
      <c r="H413" s="109">
        <v>0</v>
      </c>
      <c r="I413" s="109">
        <v>0</v>
      </c>
      <c r="J413" s="109">
        <v>0</v>
      </c>
      <c r="K413" s="109">
        <v>0</v>
      </c>
      <c r="L413" s="110">
        <v>0</v>
      </c>
      <c r="M413" s="109">
        <v>0</v>
      </c>
      <c r="N413" s="109">
        <v>0</v>
      </c>
      <c r="O413" s="109">
        <v>0</v>
      </c>
      <c r="P413" s="109">
        <v>0</v>
      </c>
      <c r="Q413" s="109">
        <v>0</v>
      </c>
      <c r="R413" s="109">
        <v>0</v>
      </c>
      <c r="S413" s="109">
        <v>0</v>
      </c>
      <c r="T413" s="109">
        <v>0</v>
      </c>
      <c r="U413" s="110">
        <v>0</v>
      </c>
      <c r="V413" s="111">
        <v>3.1E-2</v>
      </c>
    </row>
    <row r="414" spans="1:22" x14ac:dyDescent="0.2">
      <c r="A414" s="69" t="s">
        <v>1101</v>
      </c>
      <c r="B414" s="69">
        <v>37800</v>
      </c>
      <c r="C414" s="69" t="s">
        <v>1107</v>
      </c>
      <c r="D414" s="108" t="s">
        <v>590</v>
      </c>
      <c r="E414" s="108" t="s">
        <v>147</v>
      </c>
      <c r="F414" s="109">
        <v>693849.51999999979</v>
      </c>
      <c r="G414" s="109">
        <v>-7259.2899999999991</v>
      </c>
      <c r="H414" s="109">
        <v>0</v>
      </c>
      <c r="I414" s="109">
        <v>0</v>
      </c>
      <c r="J414" s="109">
        <v>686590.22999999975</v>
      </c>
      <c r="K414" s="109">
        <v>690855.33153846138</v>
      </c>
      <c r="L414" s="110">
        <v>0</v>
      </c>
      <c r="M414" s="109">
        <v>-225978.83000000022</v>
      </c>
      <c r="N414" s="109">
        <v>-23501.180000000004</v>
      </c>
      <c r="O414" s="109">
        <v>0</v>
      </c>
      <c r="P414" s="109">
        <v>0</v>
      </c>
      <c r="Q414" s="109">
        <v>0</v>
      </c>
      <c r="R414" s="109">
        <v>0</v>
      </c>
      <c r="S414" s="109">
        <v>-249480.01000000021</v>
      </c>
      <c r="T414" s="109">
        <v>-237760.18615384636</v>
      </c>
      <c r="U414" s="110">
        <v>0</v>
      </c>
      <c r="V414" s="111">
        <v>3.4000000000000002E-2</v>
      </c>
    </row>
    <row r="415" spans="1:22" x14ac:dyDescent="0.2">
      <c r="A415" s="69" t="s">
        <v>1101</v>
      </c>
      <c r="B415" s="69">
        <v>37900</v>
      </c>
      <c r="C415" s="69" t="s">
        <v>1108</v>
      </c>
      <c r="D415" s="108" t="s">
        <v>591</v>
      </c>
      <c r="E415" s="108" t="s">
        <v>148</v>
      </c>
      <c r="F415" s="109">
        <v>411469.49</v>
      </c>
      <c r="G415" s="109">
        <v>3954.56</v>
      </c>
      <c r="H415" s="109">
        <v>0</v>
      </c>
      <c r="I415" s="109">
        <v>0</v>
      </c>
      <c r="J415" s="109">
        <v>415424.05</v>
      </c>
      <c r="K415" s="109">
        <v>412077.88384615385</v>
      </c>
      <c r="L415" s="110">
        <v>0</v>
      </c>
      <c r="M415" s="109">
        <v>-116101.60000000011</v>
      </c>
      <c r="N415" s="109">
        <v>-14001.16</v>
      </c>
      <c r="O415" s="109">
        <v>0</v>
      </c>
      <c r="P415" s="109">
        <v>0</v>
      </c>
      <c r="Q415" s="109">
        <v>0</v>
      </c>
      <c r="R415" s="109">
        <v>0</v>
      </c>
      <c r="S415" s="109">
        <v>-130102.76000000011</v>
      </c>
      <c r="T415" s="109">
        <v>-123097.44153846166</v>
      </c>
      <c r="U415" s="110">
        <v>0</v>
      </c>
      <c r="V415" s="111">
        <v>3.4000000000000002E-2</v>
      </c>
    </row>
    <row r="416" spans="1:22" x14ac:dyDescent="0.2">
      <c r="A416" s="69" t="s">
        <v>1101</v>
      </c>
      <c r="B416" s="69">
        <v>38000</v>
      </c>
      <c r="C416" s="69" t="s">
        <v>1109</v>
      </c>
      <c r="D416" s="108" t="s">
        <v>592</v>
      </c>
      <c r="E416" s="108" t="s">
        <v>149</v>
      </c>
      <c r="F416" s="109">
        <v>509288.82000000007</v>
      </c>
      <c r="G416" s="109">
        <v>721.65000000000009</v>
      </c>
      <c r="H416" s="109">
        <v>0</v>
      </c>
      <c r="I416" s="109">
        <v>0</v>
      </c>
      <c r="J416" s="109">
        <v>510010.47000000009</v>
      </c>
      <c r="K416" s="109">
        <v>509825.89307692309</v>
      </c>
      <c r="L416" s="110">
        <v>0</v>
      </c>
      <c r="M416" s="109">
        <v>-426015.31000000006</v>
      </c>
      <c r="N416" s="109">
        <v>-33647.520000000004</v>
      </c>
      <c r="O416" s="109">
        <v>0</v>
      </c>
      <c r="P416" s="109">
        <v>-1576.52</v>
      </c>
      <c r="Q416" s="109">
        <v>0</v>
      </c>
      <c r="R416" s="109">
        <v>0</v>
      </c>
      <c r="S416" s="109">
        <v>-461239.35000000009</v>
      </c>
      <c r="T416" s="109">
        <v>-444329.04153846164</v>
      </c>
      <c r="U416" s="110">
        <v>0</v>
      </c>
      <c r="V416" s="111">
        <v>6.5999999999999989E-2</v>
      </c>
    </row>
    <row r="417" spans="1:22" x14ac:dyDescent="0.2">
      <c r="A417" s="69" t="s">
        <v>1101</v>
      </c>
      <c r="B417" s="69">
        <v>38002</v>
      </c>
      <c r="C417" s="69" t="s">
        <v>1110</v>
      </c>
      <c r="D417" s="108" t="s">
        <v>593</v>
      </c>
      <c r="E417" s="108" t="s">
        <v>150</v>
      </c>
      <c r="F417" s="109">
        <v>14724380.680000003</v>
      </c>
      <c r="G417" s="109">
        <v>1447798.95</v>
      </c>
      <c r="H417" s="109">
        <v>-21751.69</v>
      </c>
      <c r="I417" s="109">
        <v>0</v>
      </c>
      <c r="J417" s="109">
        <v>16150427.940000003</v>
      </c>
      <c r="K417" s="109">
        <v>15390083.17923077</v>
      </c>
      <c r="L417" s="110">
        <v>0</v>
      </c>
      <c r="M417" s="109">
        <v>-5805443.4000000013</v>
      </c>
      <c r="N417" s="109">
        <v>-766336.03000000014</v>
      </c>
      <c r="O417" s="109">
        <v>21751.69</v>
      </c>
      <c r="P417" s="109">
        <v>-35348.729999999996</v>
      </c>
      <c r="Q417" s="109">
        <v>0</v>
      </c>
      <c r="R417" s="109">
        <v>0</v>
      </c>
      <c r="S417" s="109">
        <v>-6585376.4700000016</v>
      </c>
      <c r="T417" s="109">
        <v>-6199970.4799999995</v>
      </c>
      <c r="U417" s="110">
        <v>0</v>
      </c>
      <c r="V417" s="111">
        <v>0.05</v>
      </c>
    </row>
    <row r="418" spans="1:22" x14ac:dyDescent="0.2">
      <c r="A418" s="69" t="s">
        <v>1101</v>
      </c>
      <c r="B418" s="69">
        <v>38200</v>
      </c>
      <c r="C418" s="69" t="s">
        <v>1111</v>
      </c>
      <c r="D418" s="108" t="s">
        <v>594</v>
      </c>
      <c r="E418" s="108" t="s">
        <v>152</v>
      </c>
      <c r="F418" s="109">
        <v>2507813.0499999989</v>
      </c>
      <c r="G418" s="109">
        <v>269161.98000000004</v>
      </c>
      <c r="H418" s="109">
        <v>-42729.9</v>
      </c>
      <c r="I418" s="109">
        <v>0</v>
      </c>
      <c r="J418" s="109">
        <v>2734245.129999999</v>
      </c>
      <c r="K418" s="109">
        <v>2622755.2123076906</v>
      </c>
      <c r="L418" s="110">
        <v>0</v>
      </c>
      <c r="M418" s="109">
        <v>-731884.49000000022</v>
      </c>
      <c r="N418" s="109">
        <v>-117605.88999999998</v>
      </c>
      <c r="O418" s="109">
        <v>42729.9</v>
      </c>
      <c r="P418" s="109">
        <v>3660.08</v>
      </c>
      <c r="Q418" s="109">
        <v>0</v>
      </c>
      <c r="R418" s="109">
        <v>0</v>
      </c>
      <c r="S418" s="109">
        <v>-803100.40000000026</v>
      </c>
      <c r="T418" s="109">
        <v>-776644.31923076953</v>
      </c>
      <c r="U418" s="110">
        <v>0</v>
      </c>
      <c r="V418" s="111">
        <v>4.4999999999999998E-2</v>
      </c>
    </row>
    <row r="419" spans="1:22" x14ac:dyDescent="0.2">
      <c r="A419" s="69" t="s">
        <v>1101</v>
      </c>
      <c r="B419" s="69">
        <v>38300</v>
      </c>
      <c r="C419" s="69" t="s">
        <v>1112</v>
      </c>
      <c r="D419" s="108" t="s">
        <v>595</v>
      </c>
      <c r="E419" s="108" t="s">
        <v>153</v>
      </c>
      <c r="F419" s="109">
        <v>649623.54999999993</v>
      </c>
      <c r="G419" s="109">
        <v>1214.82</v>
      </c>
      <c r="H419" s="109">
        <v>-3901.1</v>
      </c>
      <c r="I419" s="109">
        <v>0</v>
      </c>
      <c r="J419" s="109">
        <v>646937.2699999999</v>
      </c>
      <c r="K419" s="109">
        <v>650164.49461538461</v>
      </c>
      <c r="L419" s="110">
        <v>0</v>
      </c>
      <c r="M419" s="109">
        <v>-126118.09999999999</v>
      </c>
      <c r="N419" s="109">
        <v>-23415.640000000003</v>
      </c>
      <c r="O419" s="109">
        <v>3901.1</v>
      </c>
      <c r="P419" s="109">
        <v>0</v>
      </c>
      <c r="Q419" s="109">
        <v>0</v>
      </c>
      <c r="R419" s="109">
        <v>0</v>
      </c>
      <c r="S419" s="109">
        <v>-145632.63999999998</v>
      </c>
      <c r="T419" s="109">
        <v>-137521.34307692305</v>
      </c>
      <c r="U419" s="110">
        <v>0</v>
      </c>
      <c r="V419" s="111">
        <v>3.5999999999999997E-2</v>
      </c>
    </row>
    <row r="420" spans="1:22" x14ac:dyDescent="0.2">
      <c r="A420" s="69" t="s">
        <v>1101</v>
      </c>
      <c r="B420" s="69">
        <v>38400</v>
      </c>
      <c r="C420" s="69" t="s">
        <v>1113</v>
      </c>
      <c r="D420" s="108" t="s">
        <v>596</v>
      </c>
      <c r="E420" s="108" t="s">
        <v>154</v>
      </c>
      <c r="F420" s="109">
        <v>1124043.9400000006</v>
      </c>
      <c r="G420" s="109">
        <v>89720.69</v>
      </c>
      <c r="H420" s="109">
        <v>-5123.54</v>
      </c>
      <c r="I420" s="109">
        <v>0</v>
      </c>
      <c r="J420" s="109">
        <v>1208641.0900000005</v>
      </c>
      <c r="K420" s="109">
        <v>1174960.8523076929</v>
      </c>
      <c r="L420" s="110">
        <v>0</v>
      </c>
      <c r="M420" s="109">
        <v>-292152.9700000002</v>
      </c>
      <c r="N420" s="109">
        <v>-52746.95</v>
      </c>
      <c r="O420" s="109">
        <v>5123.54</v>
      </c>
      <c r="P420" s="109">
        <v>85.95</v>
      </c>
      <c r="Q420" s="109">
        <v>0</v>
      </c>
      <c r="R420" s="109">
        <v>0</v>
      </c>
      <c r="S420" s="109">
        <v>-339690.43000000023</v>
      </c>
      <c r="T420" s="109">
        <v>-313609.43153846165</v>
      </c>
      <c r="U420" s="110">
        <v>0</v>
      </c>
      <c r="V420" s="111">
        <v>4.4999999999999998E-2</v>
      </c>
    </row>
    <row r="421" spans="1:22" x14ac:dyDescent="0.2">
      <c r="A421" s="69" t="s">
        <v>1101</v>
      </c>
      <c r="B421" s="69">
        <v>38500</v>
      </c>
      <c r="C421" s="69" t="s">
        <v>1114</v>
      </c>
      <c r="D421" s="108" t="s">
        <v>597</v>
      </c>
      <c r="E421" s="108" t="s">
        <v>155</v>
      </c>
      <c r="F421" s="109">
        <v>70186.12</v>
      </c>
      <c r="G421" s="109">
        <v>0</v>
      </c>
      <c r="H421" s="109">
        <v>-4800</v>
      </c>
      <c r="I421" s="109">
        <v>0</v>
      </c>
      <c r="J421" s="109">
        <v>65386.119999999995</v>
      </c>
      <c r="K421" s="109">
        <v>65755.350769230761</v>
      </c>
      <c r="L421" s="110">
        <v>0</v>
      </c>
      <c r="M421" s="109">
        <v>-12415.549999999979</v>
      </c>
      <c r="N421" s="109">
        <v>-2039.3200000000004</v>
      </c>
      <c r="O421" s="109">
        <v>4800</v>
      </c>
      <c r="P421" s="109">
        <v>0</v>
      </c>
      <c r="Q421" s="109">
        <v>0</v>
      </c>
      <c r="R421" s="109">
        <v>0</v>
      </c>
      <c r="S421" s="109">
        <v>-9654.869999999979</v>
      </c>
      <c r="T421" s="109">
        <v>-9009.6869230769043</v>
      </c>
      <c r="U421" s="110">
        <v>0</v>
      </c>
      <c r="V421" s="111">
        <v>3.1E-2</v>
      </c>
    </row>
    <row r="422" spans="1:22" x14ac:dyDescent="0.2">
      <c r="A422" s="69" t="s">
        <v>1101</v>
      </c>
      <c r="B422" s="69">
        <v>38700</v>
      </c>
      <c r="C422" s="69" t="s">
        <v>1115</v>
      </c>
      <c r="D422" s="108" t="s">
        <v>598</v>
      </c>
      <c r="E422" s="108" t="s">
        <v>156</v>
      </c>
      <c r="F422" s="109">
        <v>224882.30999999997</v>
      </c>
      <c r="G422" s="109">
        <v>13989.93</v>
      </c>
      <c r="H422" s="109">
        <v>0</v>
      </c>
      <c r="I422" s="109">
        <v>0</v>
      </c>
      <c r="J422" s="109">
        <v>238872.23999999996</v>
      </c>
      <c r="K422" s="109">
        <v>231021.77923076914</v>
      </c>
      <c r="L422" s="110">
        <v>0</v>
      </c>
      <c r="M422" s="109">
        <v>-86114.560000000027</v>
      </c>
      <c r="N422" s="109">
        <v>-14513.15</v>
      </c>
      <c r="O422" s="109">
        <v>0</v>
      </c>
      <c r="P422" s="109">
        <v>0</v>
      </c>
      <c r="Q422" s="109">
        <v>0</v>
      </c>
      <c r="R422" s="109">
        <v>0</v>
      </c>
      <c r="S422" s="109">
        <v>-100627.71000000002</v>
      </c>
      <c r="T422" s="109">
        <v>-93275.592307692365</v>
      </c>
      <c r="U422" s="110">
        <v>0</v>
      </c>
      <c r="V422" s="111">
        <v>6.3E-2</v>
      </c>
    </row>
    <row r="423" spans="1:22" x14ac:dyDescent="0.2">
      <c r="A423" s="69" t="s">
        <v>1101</v>
      </c>
      <c r="B423" s="69">
        <v>39100</v>
      </c>
      <c r="C423" s="69" t="s">
        <v>1116</v>
      </c>
      <c r="D423" s="108" t="s">
        <v>599</v>
      </c>
      <c r="E423" s="108" t="s">
        <v>159</v>
      </c>
      <c r="F423" s="109">
        <v>113057.3</v>
      </c>
      <c r="G423" s="109">
        <v>0</v>
      </c>
      <c r="H423" s="109">
        <v>0</v>
      </c>
      <c r="I423" s="109">
        <v>0</v>
      </c>
      <c r="J423" s="109">
        <v>113057.3</v>
      </c>
      <c r="K423" s="109">
        <v>113057.30000000003</v>
      </c>
      <c r="L423" s="110">
        <v>0</v>
      </c>
      <c r="M423" s="109">
        <v>-102117.66000000021</v>
      </c>
      <c r="N423" s="109">
        <v>-7574.8799999999983</v>
      </c>
      <c r="O423" s="109">
        <v>0</v>
      </c>
      <c r="P423" s="109">
        <v>0</v>
      </c>
      <c r="Q423" s="109">
        <v>0</v>
      </c>
      <c r="R423" s="109">
        <v>0</v>
      </c>
      <c r="S423" s="109">
        <v>-109692.54000000021</v>
      </c>
      <c r="T423" s="109">
        <v>-105905.10000000024</v>
      </c>
      <c r="U423" s="110">
        <v>0</v>
      </c>
      <c r="V423" s="111">
        <v>6.7000000000000004E-2</v>
      </c>
    </row>
    <row r="424" spans="1:22" x14ac:dyDescent="0.2">
      <c r="A424" s="69" t="s">
        <v>1101</v>
      </c>
      <c r="B424" s="69">
        <v>39101</v>
      </c>
      <c r="C424" s="69" t="s">
        <v>1117</v>
      </c>
      <c r="D424" s="108" t="s">
        <v>600</v>
      </c>
      <c r="E424" s="108" t="s">
        <v>160</v>
      </c>
      <c r="F424" s="109">
        <v>53585.2</v>
      </c>
      <c r="G424" s="109">
        <v>12550.81</v>
      </c>
      <c r="H424" s="109">
        <v>0</v>
      </c>
      <c r="I424" s="109">
        <v>0</v>
      </c>
      <c r="J424" s="109">
        <v>66136.009999999995</v>
      </c>
      <c r="K424" s="109">
        <v>60343.328461538462</v>
      </c>
      <c r="L424" s="110">
        <v>0</v>
      </c>
      <c r="M424" s="109">
        <v>-19103.750000000018</v>
      </c>
      <c r="N424" s="109">
        <v>-7482.5999999999995</v>
      </c>
      <c r="O424" s="109">
        <v>0</v>
      </c>
      <c r="P424" s="109">
        <v>0</v>
      </c>
      <c r="Q424" s="109">
        <v>0</v>
      </c>
      <c r="R424" s="109">
        <v>0</v>
      </c>
      <c r="S424" s="109">
        <v>-26586.350000000017</v>
      </c>
      <c r="T424" s="109">
        <v>-22664.025384615405</v>
      </c>
      <c r="U424" s="110">
        <v>0</v>
      </c>
      <c r="V424" s="111">
        <v>0.125</v>
      </c>
    </row>
    <row r="425" spans="1:22" x14ac:dyDescent="0.2">
      <c r="A425" s="69" t="s">
        <v>1101</v>
      </c>
      <c r="B425" s="69">
        <v>39102</v>
      </c>
      <c r="C425" s="69" t="s">
        <v>1118</v>
      </c>
      <c r="D425" s="108" t="s">
        <v>601</v>
      </c>
      <c r="E425" s="108" t="s">
        <v>161</v>
      </c>
      <c r="F425" s="109">
        <v>81130.64</v>
      </c>
      <c r="G425" s="109">
        <v>0</v>
      </c>
      <c r="H425" s="109">
        <v>0</v>
      </c>
      <c r="I425" s="109">
        <v>0</v>
      </c>
      <c r="J425" s="109">
        <v>81130.64</v>
      </c>
      <c r="K425" s="109">
        <v>81130.64</v>
      </c>
      <c r="L425" s="110">
        <v>0</v>
      </c>
      <c r="M425" s="109">
        <v>-35651.040000000015</v>
      </c>
      <c r="N425" s="109">
        <v>-5435.76</v>
      </c>
      <c r="O425" s="109">
        <v>0</v>
      </c>
      <c r="P425" s="109">
        <v>0</v>
      </c>
      <c r="Q425" s="109">
        <v>0</v>
      </c>
      <c r="R425" s="109">
        <v>0</v>
      </c>
      <c r="S425" s="109">
        <v>-41086.800000000017</v>
      </c>
      <c r="T425" s="109">
        <v>-38368.920000000035</v>
      </c>
      <c r="U425" s="110">
        <v>0</v>
      </c>
      <c r="V425" s="111">
        <v>6.7000000000000004E-2</v>
      </c>
    </row>
    <row r="426" spans="1:22" x14ac:dyDescent="0.2">
      <c r="A426" s="69" t="s">
        <v>1101</v>
      </c>
      <c r="B426" s="69">
        <v>39201</v>
      </c>
      <c r="C426" s="69" t="s">
        <v>1119</v>
      </c>
      <c r="D426" s="108" t="s">
        <v>602</v>
      </c>
      <c r="E426" s="108" t="s">
        <v>163</v>
      </c>
      <c r="F426" s="109">
        <v>58481.300000000032</v>
      </c>
      <c r="G426" s="109">
        <v>37285.57</v>
      </c>
      <c r="H426" s="109">
        <v>0</v>
      </c>
      <c r="I426" s="109">
        <v>0</v>
      </c>
      <c r="J426" s="109">
        <v>95766.870000000024</v>
      </c>
      <c r="K426" s="109">
        <v>69924.023076923113</v>
      </c>
      <c r="L426" s="110">
        <v>0</v>
      </c>
      <c r="M426" s="109">
        <v>-12172.219999999979</v>
      </c>
      <c r="N426" s="109">
        <v>-7590.33</v>
      </c>
      <c r="O426" s="109">
        <v>0</v>
      </c>
      <c r="P426" s="109">
        <v>-1</v>
      </c>
      <c r="Q426" s="109">
        <v>-18.639999999999993</v>
      </c>
      <c r="R426" s="109">
        <v>0</v>
      </c>
      <c r="S426" s="109">
        <v>-19782.189999999981</v>
      </c>
      <c r="T426" s="109">
        <v>-15613.147692307672</v>
      </c>
      <c r="U426" s="110">
        <v>0</v>
      </c>
      <c r="V426" s="111">
        <v>0.112</v>
      </c>
    </row>
    <row r="427" spans="1:22" x14ac:dyDescent="0.2">
      <c r="A427" s="69" t="s">
        <v>1101</v>
      </c>
      <c r="B427" s="69">
        <v>39202</v>
      </c>
      <c r="C427" s="69" t="s">
        <v>1120</v>
      </c>
      <c r="D427" s="108" t="s">
        <v>603</v>
      </c>
      <c r="E427" s="108" t="s">
        <v>164</v>
      </c>
      <c r="F427" s="109">
        <v>328870.53000000003</v>
      </c>
      <c r="G427" s="109">
        <v>0</v>
      </c>
      <c r="H427" s="109">
        <v>0</v>
      </c>
      <c r="I427" s="109">
        <v>0</v>
      </c>
      <c r="J427" s="109">
        <v>328870.53000000003</v>
      </c>
      <c r="K427" s="109">
        <v>328870.53000000014</v>
      </c>
      <c r="L427" s="110">
        <v>0</v>
      </c>
      <c r="M427" s="109">
        <v>-89052.270000000048</v>
      </c>
      <c r="N427" s="109">
        <v>-41766.600000000006</v>
      </c>
      <c r="O427" s="109">
        <v>0</v>
      </c>
      <c r="P427" s="109">
        <v>1</v>
      </c>
      <c r="Q427" s="109">
        <v>18.639999999999986</v>
      </c>
      <c r="R427" s="109">
        <v>0</v>
      </c>
      <c r="S427" s="109">
        <v>-130799.23000000005</v>
      </c>
      <c r="T427" s="109">
        <v>-109929.54076923082</v>
      </c>
      <c r="U427" s="110">
        <v>0</v>
      </c>
      <c r="V427" s="111">
        <v>0.127</v>
      </c>
    </row>
    <row r="428" spans="1:22" x14ac:dyDescent="0.2">
      <c r="A428" s="69" t="s">
        <v>1101</v>
      </c>
      <c r="B428" s="69">
        <v>39204</v>
      </c>
      <c r="C428" s="69" t="s">
        <v>1121</v>
      </c>
      <c r="D428" s="108" t="s">
        <v>604</v>
      </c>
      <c r="E428" s="108" t="s">
        <v>166</v>
      </c>
      <c r="F428" s="109">
        <v>3541.1000000000004</v>
      </c>
      <c r="G428" s="109">
        <v>0</v>
      </c>
      <c r="H428" s="109">
        <v>0</v>
      </c>
      <c r="I428" s="109">
        <v>0</v>
      </c>
      <c r="J428" s="109">
        <v>3541.1000000000004</v>
      </c>
      <c r="K428" s="109">
        <v>3541.099999999999</v>
      </c>
      <c r="L428" s="110">
        <v>0</v>
      </c>
      <c r="M428" s="109">
        <v>-1762.0199999999959</v>
      </c>
      <c r="N428" s="109">
        <v>-141.6</v>
      </c>
      <c r="O428" s="109">
        <v>0</v>
      </c>
      <c r="P428" s="109">
        <v>0</v>
      </c>
      <c r="Q428" s="109">
        <v>0</v>
      </c>
      <c r="R428" s="109">
        <v>0</v>
      </c>
      <c r="S428" s="109">
        <v>-1903.6199999999958</v>
      </c>
      <c r="T428" s="109">
        <v>-1832.8199999999958</v>
      </c>
      <c r="U428" s="110">
        <v>0</v>
      </c>
      <c r="V428" s="111">
        <v>0.04</v>
      </c>
    </row>
    <row r="429" spans="1:22" x14ac:dyDescent="0.2">
      <c r="A429" s="69" t="s">
        <v>1101</v>
      </c>
      <c r="B429" s="69">
        <v>39205</v>
      </c>
      <c r="C429" s="69" t="s">
        <v>1122</v>
      </c>
      <c r="D429" s="108" t="s">
        <v>605</v>
      </c>
      <c r="E429" s="108" t="s">
        <v>167</v>
      </c>
      <c r="F429" s="109">
        <v>0</v>
      </c>
      <c r="G429" s="109">
        <v>0</v>
      </c>
      <c r="H429" s="109">
        <v>0</v>
      </c>
      <c r="I429" s="109">
        <v>0</v>
      </c>
      <c r="J429" s="109">
        <v>0</v>
      </c>
      <c r="K429" s="109">
        <v>0</v>
      </c>
      <c r="L429" s="110">
        <v>0</v>
      </c>
      <c r="M429" s="109">
        <v>-231.01000000000931</v>
      </c>
      <c r="N429" s="109">
        <v>0</v>
      </c>
      <c r="O429" s="109">
        <v>0</v>
      </c>
      <c r="P429" s="109">
        <v>0</v>
      </c>
      <c r="Q429" s="109">
        <v>0</v>
      </c>
      <c r="R429" s="109">
        <v>0</v>
      </c>
      <c r="S429" s="109">
        <v>-231.01000000000931</v>
      </c>
      <c r="T429" s="109">
        <v>-231.01000000000931</v>
      </c>
      <c r="U429" s="110">
        <v>0</v>
      </c>
      <c r="V429" s="111">
        <v>7.3999999999999996E-2</v>
      </c>
    </row>
    <row r="430" spans="1:22" x14ac:dyDescent="0.2">
      <c r="A430" s="69" t="s">
        <v>1101</v>
      </c>
      <c r="B430" s="69">
        <v>39300</v>
      </c>
      <c r="C430" s="69" t="s">
        <v>1123</v>
      </c>
      <c r="D430" s="108" t="s">
        <v>606</v>
      </c>
      <c r="E430" s="108" t="s">
        <v>168</v>
      </c>
      <c r="F430" s="109">
        <v>0</v>
      </c>
      <c r="G430" s="109">
        <v>0</v>
      </c>
      <c r="H430" s="109">
        <v>0</v>
      </c>
      <c r="I430" s="109">
        <v>0</v>
      </c>
      <c r="J430" s="109">
        <v>0</v>
      </c>
      <c r="K430" s="109">
        <v>0</v>
      </c>
      <c r="L430" s="110">
        <v>0</v>
      </c>
      <c r="M430" s="109">
        <v>4131.5300000000016</v>
      </c>
      <c r="N430" s="109">
        <v>0</v>
      </c>
      <c r="O430" s="109">
        <v>0</v>
      </c>
      <c r="P430" s="109">
        <v>0</v>
      </c>
      <c r="Q430" s="109">
        <v>0</v>
      </c>
      <c r="R430" s="109">
        <v>0</v>
      </c>
      <c r="S430" s="109">
        <v>4131.5300000000016</v>
      </c>
      <c r="T430" s="109">
        <v>4131.5300000000007</v>
      </c>
      <c r="U430" s="110">
        <v>0</v>
      </c>
      <c r="V430" s="111">
        <v>0.04</v>
      </c>
    </row>
    <row r="431" spans="1:22" x14ac:dyDescent="0.2">
      <c r="A431" s="69" t="s">
        <v>1101</v>
      </c>
      <c r="B431" s="69">
        <v>39400</v>
      </c>
      <c r="C431" s="69" t="s">
        <v>1124</v>
      </c>
      <c r="D431" s="108" t="s">
        <v>607</v>
      </c>
      <c r="E431" s="108" t="s">
        <v>169</v>
      </c>
      <c r="F431" s="109">
        <v>176202.04</v>
      </c>
      <c r="G431" s="109">
        <v>24815.789999999997</v>
      </c>
      <c r="H431" s="109">
        <v>0</v>
      </c>
      <c r="I431" s="109">
        <v>0</v>
      </c>
      <c r="J431" s="109">
        <v>201017.83000000002</v>
      </c>
      <c r="K431" s="109">
        <v>190164.14307692309</v>
      </c>
      <c r="L431" s="110">
        <v>0</v>
      </c>
      <c r="M431" s="109">
        <v>-108257.00000000017</v>
      </c>
      <c r="N431" s="109">
        <v>-12491.140000000001</v>
      </c>
      <c r="O431" s="109">
        <v>0</v>
      </c>
      <c r="P431" s="109">
        <v>0</v>
      </c>
      <c r="Q431" s="109">
        <v>0</v>
      </c>
      <c r="R431" s="109">
        <v>0</v>
      </c>
      <c r="S431" s="109">
        <v>-120748.14000000017</v>
      </c>
      <c r="T431" s="109">
        <v>-114311.93461538479</v>
      </c>
      <c r="U431" s="110">
        <v>0</v>
      </c>
      <c r="V431" s="111">
        <v>6.6000000000000003E-2</v>
      </c>
    </row>
    <row r="432" spans="1:22" x14ac:dyDescent="0.2">
      <c r="A432" s="69" t="s">
        <v>1101</v>
      </c>
      <c r="B432" s="69">
        <v>39600</v>
      </c>
      <c r="C432" s="69" t="s">
        <v>1125</v>
      </c>
      <c r="D432" s="108" t="s">
        <v>608</v>
      </c>
      <c r="E432" s="108" t="s">
        <v>171</v>
      </c>
      <c r="F432" s="109">
        <v>13016.98</v>
      </c>
      <c r="G432" s="109">
        <v>0</v>
      </c>
      <c r="H432" s="109">
        <v>0</v>
      </c>
      <c r="I432" s="109">
        <v>0</v>
      </c>
      <c r="J432" s="109">
        <v>13016.98</v>
      </c>
      <c r="K432" s="109">
        <v>13016.98</v>
      </c>
      <c r="L432" s="110">
        <v>0</v>
      </c>
      <c r="M432" s="109">
        <v>-7340.4599999999982</v>
      </c>
      <c r="N432" s="109">
        <v>-833.03999999999985</v>
      </c>
      <c r="O432" s="109">
        <v>0</v>
      </c>
      <c r="P432" s="109">
        <v>0</v>
      </c>
      <c r="Q432" s="109">
        <v>0</v>
      </c>
      <c r="R432" s="109">
        <v>0</v>
      </c>
      <c r="S432" s="109">
        <v>-8173.4999999999982</v>
      </c>
      <c r="T432" s="109">
        <v>-7756.98</v>
      </c>
      <c r="U432" s="110">
        <v>0</v>
      </c>
      <c r="V432" s="111">
        <v>6.4000000000000001E-2</v>
      </c>
    </row>
    <row r="433" spans="1:24" x14ac:dyDescent="0.2">
      <c r="A433" s="69" t="s">
        <v>1101</v>
      </c>
      <c r="B433" s="69">
        <v>39700</v>
      </c>
      <c r="C433" s="69" t="s">
        <v>1126</v>
      </c>
      <c r="D433" s="108" t="s">
        <v>609</v>
      </c>
      <c r="E433" s="108" t="s">
        <v>172</v>
      </c>
      <c r="F433" s="109">
        <v>217910.82</v>
      </c>
      <c r="G433" s="109">
        <v>0</v>
      </c>
      <c r="H433" s="109">
        <v>-192892.27</v>
      </c>
      <c r="I433" s="109">
        <v>0</v>
      </c>
      <c r="J433" s="109">
        <v>25018.550000000017</v>
      </c>
      <c r="K433" s="109">
        <v>54694.283846153885</v>
      </c>
      <c r="L433" s="110">
        <v>0</v>
      </c>
      <c r="M433" s="109">
        <v>-234731.65999999992</v>
      </c>
      <c r="N433" s="109">
        <v>-4802.0600000000013</v>
      </c>
      <c r="O433" s="109">
        <v>192892.27</v>
      </c>
      <c r="P433" s="109">
        <v>0</v>
      </c>
      <c r="Q433" s="109">
        <v>0</v>
      </c>
      <c r="R433" s="109">
        <v>0</v>
      </c>
      <c r="S433" s="109">
        <v>-46641.449999999924</v>
      </c>
      <c r="T433" s="109">
        <v>-74954.807692307615</v>
      </c>
      <c r="U433" s="110">
        <v>0</v>
      </c>
      <c r="V433" s="111">
        <v>8.4000000000000005E-2</v>
      </c>
    </row>
    <row r="434" spans="1:24" x14ac:dyDescent="0.2">
      <c r="A434" s="69" t="s">
        <v>1101</v>
      </c>
      <c r="B434" s="69">
        <v>39800</v>
      </c>
      <c r="C434" s="69" t="s">
        <v>1127</v>
      </c>
      <c r="D434" s="108" t="s">
        <v>610</v>
      </c>
      <c r="E434" s="108" t="s">
        <v>173</v>
      </c>
      <c r="F434" s="109">
        <v>3124.36</v>
      </c>
      <c r="G434" s="109">
        <v>0</v>
      </c>
      <c r="H434" s="109">
        <v>0</v>
      </c>
      <c r="I434" s="109">
        <v>0</v>
      </c>
      <c r="J434" s="109">
        <v>3124.36</v>
      </c>
      <c r="K434" s="109">
        <v>3124.36</v>
      </c>
      <c r="L434" s="110">
        <v>0</v>
      </c>
      <c r="M434" s="109">
        <v>-1185.4000000000003</v>
      </c>
      <c r="N434" s="109">
        <v>-184.32000000000005</v>
      </c>
      <c r="O434" s="109">
        <v>0</v>
      </c>
      <c r="P434" s="109">
        <v>0</v>
      </c>
      <c r="Q434" s="109">
        <v>0</v>
      </c>
      <c r="R434" s="109">
        <v>0</v>
      </c>
      <c r="S434" s="109">
        <v>-1369.7200000000003</v>
      </c>
      <c r="T434" s="109">
        <v>-1277.5599999999997</v>
      </c>
      <c r="U434" s="110">
        <v>0</v>
      </c>
      <c r="V434" s="111">
        <v>5.8999999999999997E-2</v>
      </c>
    </row>
    <row r="435" spans="1:24" x14ac:dyDescent="0.2">
      <c r="A435" s="69" t="s">
        <v>1128</v>
      </c>
      <c r="B435" s="69">
        <v>30301</v>
      </c>
      <c r="C435" s="69" t="s">
        <v>1129</v>
      </c>
      <c r="D435" s="108" t="s">
        <v>611</v>
      </c>
      <c r="E435" s="108" t="s">
        <v>141</v>
      </c>
      <c r="F435" s="109">
        <v>452999.02000000008</v>
      </c>
      <c r="G435" s="109">
        <v>1947276.93</v>
      </c>
      <c r="H435" s="109">
        <v>0</v>
      </c>
      <c r="I435" s="109">
        <v>0</v>
      </c>
      <c r="J435" s="109">
        <v>2400275.9500000002</v>
      </c>
      <c r="K435" s="109">
        <v>1782592.6392307691</v>
      </c>
      <c r="L435" s="110">
        <v>0</v>
      </c>
      <c r="M435" s="109">
        <v>-111258.92000000009</v>
      </c>
      <c r="N435" s="109">
        <v>-115984.95000000001</v>
      </c>
      <c r="O435" s="109">
        <v>0</v>
      </c>
      <c r="P435" s="109">
        <v>0</v>
      </c>
      <c r="Q435" s="109">
        <v>0</v>
      </c>
      <c r="R435" s="109">
        <v>0</v>
      </c>
      <c r="S435" s="109">
        <v>-227243.87000000011</v>
      </c>
      <c r="T435" s="109">
        <v>-155890.58230769238</v>
      </c>
      <c r="U435" s="110">
        <v>0</v>
      </c>
      <c r="V435" s="111">
        <v>6.7000000000000004E-2</v>
      </c>
    </row>
    <row r="436" spans="1:24" x14ac:dyDescent="0.2">
      <c r="A436" s="69" t="s">
        <v>1128</v>
      </c>
      <c r="B436" s="69">
        <v>37500</v>
      </c>
      <c r="C436" s="69" t="s">
        <v>1130</v>
      </c>
      <c r="D436" s="108" t="s">
        <v>612</v>
      </c>
      <c r="E436" s="108" t="s">
        <v>144</v>
      </c>
      <c r="F436" s="109">
        <v>155791.01</v>
      </c>
      <c r="G436" s="109">
        <v>0</v>
      </c>
      <c r="H436" s="109">
        <v>0</v>
      </c>
      <c r="I436" s="109">
        <v>0</v>
      </c>
      <c r="J436" s="109">
        <v>155791.01</v>
      </c>
      <c r="K436" s="109">
        <v>155791.01</v>
      </c>
      <c r="L436" s="110">
        <v>0</v>
      </c>
      <c r="M436" s="109">
        <v>-43373.029999999882</v>
      </c>
      <c r="N436" s="109">
        <v>-3894.72</v>
      </c>
      <c r="O436" s="109">
        <v>0</v>
      </c>
      <c r="P436" s="109">
        <v>0</v>
      </c>
      <c r="Q436" s="109">
        <v>0</v>
      </c>
      <c r="R436" s="109">
        <v>0</v>
      </c>
      <c r="S436" s="109">
        <v>-47267.749999999884</v>
      </c>
      <c r="T436" s="109">
        <v>-45320.389999999868</v>
      </c>
      <c r="U436" s="110">
        <v>0</v>
      </c>
      <c r="V436" s="111">
        <v>2.5000000000000001E-2</v>
      </c>
    </row>
    <row r="437" spans="1:24" x14ac:dyDescent="0.2">
      <c r="A437" s="69" t="s">
        <v>1128</v>
      </c>
      <c r="B437" s="69">
        <v>39100</v>
      </c>
      <c r="C437" s="69" t="s">
        <v>1131</v>
      </c>
      <c r="D437" s="108" t="s">
        <v>613</v>
      </c>
      <c r="E437" s="108" t="s">
        <v>159</v>
      </c>
      <c r="F437" s="109">
        <v>342341.50999999995</v>
      </c>
      <c r="G437" s="109">
        <v>9195.49</v>
      </c>
      <c r="H437" s="109">
        <v>0</v>
      </c>
      <c r="I437" s="109">
        <v>0</v>
      </c>
      <c r="J437" s="109">
        <v>351536.99999999994</v>
      </c>
      <c r="K437" s="109">
        <v>345170.89153846144</v>
      </c>
      <c r="L437" s="110">
        <v>0</v>
      </c>
      <c r="M437" s="109">
        <v>-56122.570000000087</v>
      </c>
      <c r="N437" s="109">
        <v>-23090.940000000002</v>
      </c>
      <c r="O437" s="109">
        <v>0</v>
      </c>
      <c r="P437" s="109">
        <v>0</v>
      </c>
      <c r="Q437" s="109">
        <v>0</v>
      </c>
      <c r="R437" s="109">
        <v>0</v>
      </c>
      <c r="S437" s="109">
        <v>-79213.510000000097</v>
      </c>
      <c r="T437" s="109">
        <v>-67614.725384615493</v>
      </c>
      <c r="U437" s="110">
        <v>0</v>
      </c>
      <c r="V437" s="111">
        <v>6.7000000000000004E-2</v>
      </c>
    </row>
    <row r="438" spans="1:24" x14ac:dyDescent="0.2">
      <c r="A438" s="69" t="s">
        <v>1128</v>
      </c>
      <c r="B438" s="69">
        <v>39101</v>
      </c>
      <c r="C438" s="69" t="s">
        <v>1132</v>
      </c>
      <c r="D438" s="108" t="s">
        <v>614</v>
      </c>
      <c r="E438" s="108" t="s">
        <v>160</v>
      </c>
      <c r="F438" s="109">
        <v>1094278.6299999999</v>
      </c>
      <c r="G438" s="109">
        <v>0</v>
      </c>
      <c r="H438" s="109">
        <v>0</v>
      </c>
      <c r="I438" s="109">
        <v>0</v>
      </c>
      <c r="J438" s="109">
        <v>1094278.6299999999</v>
      </c>
      <c r="K438" s="109">
        <v>1094278.6299999994</v>
      </c>
      <c r="L438" s="110">
        <v>0</v>
      </c>
      <c r="M438" s="109">
        <v>-403148.42999999976</v>
      </c>
      <c r="N438" s="109">
        <v>-136784.88000000003</v>
      </c>
      <c r="O438" s="109">
        <v>0</v>
      </c>
      <c r="P438" s="109">
        <v>0</v>
      </c>
      <c r="Q438" s="109">
        <v>0</v>
      </c>
      <c r="R438" s="109">
        <v>0</v>
      </c>
      <c r="S438" s="109">
        <v>-539933.30999999982</v>
      </c>
      <c r="T438" s="109">
        <v>-471540.86999999976</v>
      </c>
      <c r="U438" s="110">
        <v>0</v>
      </c>
      <c r="V438" s="111">
        <v>0.125</v>
      </c>
    </row>
    <row r="439" spans="1:24" x14ac:dyDescent="0.2">
      <c r="A439" s="69" t="s">
        <v>1128</v>
      </c>
      <c r="B439" s="69">
        <v>39102</v>
      </c>
      <c r="C439" s="69" t="s">
        <v>1133</v>
      </c>
      <c r="D439" s="108" t="s">
        <v>615</v>
      </c>
      <c r="E439" s="108" t="s">
        <v>161</v>
      </c>
      <c r="F439" s="109">
        <v>1580.59</v>
      </c>
      <c r="G439" s="109">
        <v>0</v>
      </c>
      <c r="H439" s="109">
        <v>0</v>
      </c>
      <c r="I439" s="109">
        <v>0</v>
      </c>
      <c r="J439" s="109">
        <v>1580.59</v>
      </c>
      <c r="K439" s="109">
        <v>1580.59</v>
      </c>
      <c r="L439" s="110">
        <v>0</v>
      </c>
      <c r="M439" s="109">
        <v>-1055.9400000000019</v>
      </c>
      <c r="N439" s="109">
        <v>-105.83999999999997</v>
      </c>
      <c r="O439" s="109">
        <v>0</v>
      </c>
      <c r="P439" s="109">
        <v>0</v>
      </c>
      <c r="Q439" s="109">
        <v>0</v>
      </c>
      <c r="R439" s="109">
        <v>0</v>
      </c>
      <c r="S439" s="109">
        <v>-1161.7800000000018</v>
      </c>
      <c r="T439" s="109">
        <v>-1108.8600000000015</v>
      </c>
      <c r="U439" s="110">
        <v>0</v>
      </c>
      <c r="V439" s="111">
        <v>6.7000000000000004E-2</v>
      </c>
    </row>
    <row r="440" spans="1:24" x14ac:dyDescent="0.2">
      <c r="A440" s="69" t="s">
        <v>1128</v>
      </c>
      <c r="B440" s="69">
        <v>39700</v>
      </c>
      <c r="C440" s="69" t="s">
        <v>1134</v>
      </c>
      <c r="D440" s="108" t="s">
        <v>616</v>
      </c>
      <c r="E440" s="108" t="s">
        <v>172</v>
      </c>
      <c r="F440" s="109">
        <v>664018.90000000014</v>
      </c>
      <c r="G440" s="109">
        <v>0</v>
      </c>
      <c r="H440" s="109">
        <v>0</v>
      </c>
      <c r="I440" s="109">
        <v>0</v>
      </c>
      <c r="J440" s="109">
        <v>664018.90000000014</v>
      </c>
      <c r="K440" s="109">
        <v>664018.90000000026</v>
      </c>
      <c r="L440" s="110">
        <v>0</v>
      </c>
      <c r="M440" s="109">
        <v>-234276.58000000016</v>
      </c>
      <c r="N440" s="109">
        <v>-55777.55999999999</v>
      </c>
      <c r="O440" s="109">
        <v>0</v>
      </c>
      <c r="P440" s="109">
        <v>0</v>
      </c>
      <c r="Q440" s="109">
        <v>0</v>
      </c>
      <c r="R440" s="109">
        <v>0</v>
      </c>
      <c r="S440" s="109">
        <v>-290054.14000000013</v>
      </c>
      <c r="T440" s="109">
        <v>-262165.36000000022</v>
      </c>
      <c r="U440" s="110">
        <v>0</v>
      </c>
      <c r="V440" s="111">
        <v>8.4000000000000005E-2</v>
      </c>
    </row>
    <row r="441" spans="1:24" x14ac:dyDescent="0.2">
      <c r="A441" s="69" t="s">
        <v>1135</v>
      </c>
      <c r="B441" s="69">
        <v>11501</v>
      </c>
      <c r="C441" s="69" t="s">
        <v>1136</v>
      </c>
      <c r="D441" s="108" t="s">
        <v>670</v>
      </c>
      <c r="E441" s="108" t="s">
        <v>1137</v>
      </c>
      <c r="F441" s="109">
        <v>5031897.24</v>
      </c>
      <c r="G441" s="109">
        <v>0</v>
      </c>
      <c r="H441" s="109">
        <v>0</v>
      </c>
      <c r="I441" s="109">
        <v>0</v>
      </c>
      <c r="J441" s="109">
        <v>5031897.24</v>
      </c>
      <c r="K441" s="109">
        <v>5031897.2400000012</v>
      </c>
      <c r="L441" s="110">
        <v>0</v>
      </c>
      <c r="M441" s="109">
        <v>-4111754.4699999928</v>
      </c>
      <c r="N441" s="109">
        <v>-149145.84000000003</v>
      </c>
      <c r="O441" s="109">
        <v>0</v>
      </c>
      <c r="P441" s="109">
        <v>0</v>
      </c>
      <c r="Q441" s="109">
        <v>0</v>
      </c>
      <c r="R441" s="109">
        <v>0</v>
      </c>
      <c r="S441" s="109">
        <v>-4260900.3099999931</v>
      </c>
      <c r="T441" s="109">
        <v>-4186327.3899999931</v>
      </c>
      <c r="U441" s="110">
        <v>0</v>
      </c>
      <c r="V441" s="111">
        <v>0</v>
      </c>
    </row>
    <row r="442" spans="1:24" x14ac:dyDescent="0.2">
      <c r="A442" s="69" t="s">
        <v>1135</v>
      </c>
      <c r="B442" s="69">
        <v>30100</v>
      </c>
      <c r="C442" s="69" t="s">
        <v>1138</v>
      </c>
      <c r="D442" s="108" t="s">
        <v>617</v>
      </c>
      <c r="E442" s="108" t="s">
        <v>138</v>
      </c>
      <c r="F442" s="109">
        <v>1274.74</v>
      </c>
      <c r="G442" s="109">
        <v>0</v>
      </c>
      <c r="H442" s="109">
        <v>0</v>
      </c>
      <c r="I442" s="109">
        <v>0</v>
      </c>
      <c r="J442" s="109">
        <v>1274.74</v>
      </c>
      <c r="K442" s="109">
        <v>1274.74</v>
      </c>
      <c r="L442" s="110">
        <v>0</v>
      </c>
      <c r="M442" s="109">
        <v>-5.32</v>
      </c>
      <c r="N442" s="109">
        <v>0</v>
      </c>
      <c r="O442" s="109">
        <v>0</v>
      </c>
      <c r="P442" s="109">
        <v>0</v>
      </c>
      <c r="Q442" s="109">
        <v>0</v>
      </c>
      <c r="R442" s="109">
        <v>0</v>
      </c>
      <c r="S442" s="109">
        <v>-5.32</v>
      </c>
      <c r="T442" s="109">
        <v>-5.3199999999999994</v>
      </c>
      <c r="U442" s="110">
        <v>0</v>
      </c>
      <c r="V442" s="111">
        <v>0</v>
      </c>
      <c r="W442" s="20"/>
      <c r="X442" s="20"/>
    </row>
    <row r="443" spans="1:24" x14ac:dyDescent="0.2">
      <c r="A443" s="69" t="s">
        <v>1135</v>
      </c>
      <c r="B443" s="69">
        <v>30200</v>
      </c>
      <c r="C443" s="69" t="s">
        <v>1139</v>
      </c>
      <c r="D443" s="108" t="s">
        <v>618</v>
      </c>
      <c r="E443" s="108" t="s">
        <v>139</v>
      </c>
      <c r="F443" s="109">
        <v>0</v>
      </c>
      <c r="G443" s="109">
        <v>0</v>
      </c>
      <c r="H443" s="109">
        <v>0</v>
      </c>
      <c r="I443" s="109">
        <v>0</v>
      </c>
      <c r="J443" s="109">
        <v>0</v>
      </c>
      <c r="K443" s="109">
        <v>0</v>
      </c>
      <c r="L443" s="110">
        <v>0</v>
      </c>
      <c r="M443" s="109">
        <v>3.637978807091713E-12</v>
      </c>
      <c r="N443" s="109">
        <v>0</v>
      </c>
      <c r="O443" s="109">
        <v>0</v>
      </c>
      <c r="P443" s="109">
        <v>0</v>
      </c>
      <c r="Q443" s="109">
        <v>0</v>
      </c>
      <c r="R443" s="109">
        <v>0</v>
      </c>
      <c r="S443" s="109">
        <v>3.637978807091713E-12</v>
      </c>
      <c r="T443" s="109">
        <v>3.637978807091713E-12</v>
      </c>
      <c r="U443" s="110">
        <v>0</v>
      </c>
      <c r="V443" s="111">
        <v>0.04</v>
      </c>
    </row>
    <row r="444" spans="1:24" x14ac:dyDescent="0.2">
      <c r="A444" s="69" t="s">
        <v>1135</v>
      </c>
      <c r="B444" s="69">
        <v>30301</v>
      </c>
      <c r="C444" s="69" t="s">
        <v>1140</v>
      </c>
      <c r="D444" s="108" t="s">
        <v>619</v>
      </c>
      <c r="E444" s="108" t="s">
        <v>141</v>
      </c>
      <c r="F444" s="109">
        <v>26159516.240000006</v>
      </c>
      <c r="G444" s="109">
        <v>2437576.34</v>
      </c>
      <c r="H444" s="109">
        <v>-5505138.6799999997</v>
      </c>
      <c r="I444" s="109">
        <v>0</v>
      </c>
      <c r="J444" s="109">
        <v>23091953.900000006</v>
      </c>
      <c r="K444" s="109">
        <v>23424139.604615394</v>
      </c>
      <c r="L444" s="110">
        <v>0</v>
      </c>
      <c r="M444" s="109">
        <v>-15894496.789999999</v>
      </c>
      <c r="N444" s="109">
        <v>-1571272.07</v>
      </c>
      <c r="O444" s="109">
        <v>5505138.6799999997</v>
      </c>
      <c r="P444" s="109">
        <v>0</v>
      </c>
      <c r="Q444" s="109">
        <v>0</v>
      </c>
      <c r="R444" s="109">
        <v>0</v>
      </c>
      <c r="S444" s="109">
        <v>-11960630.18</v>
      </c>
      <c r="T444" s="109">
        <v>-12034243.957692308</v>
      </c>
      <c r="U444" s="110">
        <v>0</v>
      </c>
      <c r="V444" s="111">
        <v>6.7000000000000004E-2</v>
      </c>
    </row>
    <row r="445" spans="1:24" x14ac:dyDescent="0.2">
      <c r="A445" s="69" t="s">
        <v>1135</v>
      </c>
      <c r="B445" s="69">
        <v>30302</v>
      </c>
      <c r="C445" s="69" t="s">
        <v>1141</v>
      </c>
      <c r="D445" s="108" t="s">
        <v>1142</v>
      </c>
      <c r="E445" s="108" t="s">
        <v>671</v>
      </c>
      <c r="F445" s="109">
        <v>0</v>
      </c>
      <c r="G445" s="109">
        <v>0</v>
      </c>
      <c r="H445" s="109">
        <v>0</v>
      </c>
      <c r="I445" s="109">
        <v>0</v>
      </c>
      <c r="J445" s="109">
        <v>0</v>
      </c>
      <c r="K445" s="109">
        <v>0</v>
      </c>
      <c r="L445" s="110">
        <v>0</v>
      </c>
      <c r="M445" s="109">
        <v>0</v>
      </c>
      <c r="N445" s="109">
        <v>0</v>
      </c>
      <c r="O445" s="109">
        <v>0</v>
      </c>
      <c r="P445" s="109">
        <v>0</v>
      </c>
      <c r="Q445" s="109">
        <v>0</v>
      </c>
      <c r="R445" s="109">
        <v>0</v>
      </c>
      <c r="S445" s="109">
        <v>0</v>
      </c>
      <c r="T445" s="109">
        <v>0</v>
      </c>
      <c r="U445" s="110">
        <v>0</v>
      </c>
      <c r="V445" s="118">
        <v>6.7000000000000004E-2</v>
      </c>
      <c r="W445" s="20" t="s">
        <v>663</v>
      </c>
    </row>
    <row r="446" spans="1:24" x14ac:dyDescent="0.2">
      <c r="A446" s="69" t="s">
        <v>1135</v>
      </c>
      <c r="B446" s="69">
        <v>37400</v>
      </c>
      <c r="C446" s="69" t="s">
        <v>1143</v>
      </c>
      <c r="D446" s="108" t="s">
        <v>620</v>
      </c>
      <c r="E446" s="108" t="s">
        <v>142</v>
      </c>
      <c r="F446" s="109">
        <v>735020.68</v>
      </c>
      <c r="G446" s="109">
        <v>0</v>
      </c>
      <c r="H446" s="109">
        <v>0</v>
      </c>
      <c r="I446" s="109">
        <v>0</v>
      </c>
      <c r="J446" s="109">
        <v>735020.68</v>
      </c>
      <c r="K446" s="109">
        <v>735020.67999999982</v>
      </c>
      <c r="L446" s="110">
        <v>0</v>
      </c>
      <c r="M446" s="109">
        <v>0</v>
      </c>
      <c r="N446" s="109">
        <v>0</v>
      </c>
      <c r="O446" s="109">
        <v>0</v>
      </c>
      <c r="P446" s="109">
        <v>0</v>
      </c>
      <c r="Q446" s="109">
        <v>0</v>
      </c>
      <c r="R446" s="109">
        <v>0</v>
      </c>
      <c r="S446" s="109">
        <v>0</v>
      </c>
      <c r="T446" s="109">
        <v>0</v>
      </c>
      <c r="U446" s="110">
        <v>0</v>
      </c>
      <c r="V446" s="111">
        <v>0</v>
      </c>
    </row>
    <row r="447" spans="1:24" x14ac:dyDescent="0.2">
      <c r="A447" s="69" t="s">
        <v>1135</v>
      </c>
      <c r="B447" s="69">
        <v>37402</v>
      </c>
      <c r="C447" s="69" t="s">
        <v>1144</v>
      </c>
      <c r="D447" s="108" t="s">
        <v>621</v>
      </c>
      <c r="E447" s="108" t="s">
        <v>143</v>
      </c>
      <c r="F447" s="109">
        <v>703424.81000000017</v>
      </c>
      <c r="G447" s="109">
        <v>886776.92</v>
      </c>
      <c r="H447" s="109">
        <v>0</v>
      </c>
      <c r="I447" s="109">
        <v>0</v>
      </c>
      <c r="J447" s="109">
        <v>1590201.7300000002</v>
      </c>
      <c r="K447" s="109">
        <v>1317347.2930769233</v>
      </c>
      <c r="L447" s="110">
        <v>0</v>
      </c>
      <c r="M447" s="109">
        <v>-107613.95000000006</v>
      </c>
      <c r="N447" s="109">
        <v>-16829.919999999998</v>
      </c>
      <c r="O447" s="109">
        <v>0</v>
      </c>
      <c r="P447" s="109">
        <v>0</v>
      </c>
      <c r="Q447" s="109">
        <v>0</v>
      </c>
      <c r="R447" s="109">
        <v>0</v>
      </c>
      <c r="S447" s="109">
        <v>-124443.87000000005</v>
      </c>
      <c r="T447" s="109">
        <v>-114846.53461538465</v>
      </c>
      <c r="U447" s="110">
        <v>0</v>
      </c>
      <c r="V447" s="111">
        <v>1.2999999999999999E-2</v>
      </c>
    </row>
    <row r="448" spans="1:24" x14ac:dyDescent="0.2">
      <c r="A448" s="69" t="s">
        <v>1135</v>
      </c>
      <c r="B448" s="69">
        <v>37500</v>
      </c>
      <c r="C448" s="69" t="s">
        <v>1145</v>
      </c>
      <c r="D448" s="108" t="s">
        <v>622</v>
      </c>
      <c r="E448" s="108" t="s">
        <v>144</v>
      </c>
      <c r="F448" s="109">
        <v>44310.369999999995</v>
      </c>
      <c r="G448" s="109">
        <v>0</v>
      </c>
      <c r="H448" s="109">
        <v>0</v>
      </c>
      <c r="I448" s="109">
        <v>0</v>
      </c>
      <c r="J448" s="109">
        <v>44310.369999999995</v>
      </c>
      <c r="K448" s="109">
        <v>44310.369999999995</v>
      </c>
      <c r="L448" s="110">
        <v>0</v>
      </c>
      <c r="M448" s="109">
        <v>40931.750000000015</v>
      </c>
      <c r="N448" s="109">
        <v>-1107.7199999999998</v>
      </c>
      <c r="O448" s="109">
        <v>0</v>
      </c>
      <c r="P448" s="109">
        <v>0</v>
      </c>
      <c r="Q448" s="109">
        <v>0</v>
      </c>
      <c r="R448" s="109">
        <v>0</v>
      </c>
      <c r="S448" s="109">
        <v>39824.030000000013</v>
      </c>
      <c r="T448" s="109">
        <v>40377.890000000021</v>
      </c>
      <c r="U448" s="110">
        <v>0</v>
      </c>
      <c r="V448" s="111">
        <v>2.5000000000000001E-2</v>
      </c>
    </row>
    <row r="449" spans="1:22" x14ac:dyDescent="0.2">
      <c r="A449" s="69" t="s">
        <v>1135</v>
      </c>
      <c r="B449" s="69">
        <v>37600</v>
      </c>
      <c r="C449" s="69" t="s">
        <v>1146</v>
      </c>
      <c r="D449" s="108" t="s">
        <v>623</v>
      </c>
      <c r="E449" s="108" t="s">
        <v>145</v>
      </c>
      <c r="F449" s="109">
        <v>29374791.710000001</v>
      </c>
      <c r="G449" s="109">
        <v>-8075.42</v>
      </c>
      <c r="H449" s="109">
        <v>0</v>
      </c>
      <c r="I449" s="109">
        <v>0</v>
      </c>
      <c r="J449" s="109">
        <v>29366716.289999999</v>
      </c>
      <c r="K449" s="109">
        <v>29371279.464615386</v>
      </c>
      <c r="L449" s="110">
        <v>0</v>
      </c>
      <c r="M449" s="109">
        <v>-3015901.2199999988</v>
      </c>
      <c r="N449" s="109">
        <v>-1233609.7600000002</v>
      </c>
      <c r="O449" s="109">
        <v>0</v>
      </c>
      <c r="P449" s="109">
        <v>-3219.5699999999997</v>
      </c>
      <c r="Q449" s="109">
        <v>11276.9</v>
      </c>
      <c r="R449" s="109">
        <v>0</v>
      </c>
      <c r="S449" s="109">
        <v>-4241453.6499999985</v>
      </c>
      <c r="T449" s="109">
        <v>-3627162.9846153827</v>
      </c>
      <c r="U449" s="110">
        <v>0</v>
      </c>
      <c r="V449" s="111">
        <v>4.2000000000000003E-2</v>
      </c>
    </row>
    <row r="450" spans="1:22" x14ac:dyDescent="0.2">
      <c r="A450" s="69" t="s">
        <v>1135</v>
      </c>
      <c r="B450" s="69">
        <v>37800</v>
      </c>
      <c r="C450" s="69" t="s">
        <v>1147</v>
      </c>
      <c r="D450" s="108" t="s">
        <v>672</v>
      </c>
      <c r="E450" s="108" t="s">
        <v>147</v>
      </c>
      <c r="F450" s="109">
        <v>1201080.03</v>
      </c>
      <c r="G450" s="109">
        <v>123026.35</v>
      </c>
      <c r="H450" s="109">
        <v>0</v>
      </c>
      <c r="I450" s="109">
        <v>0</v>
      </c>
      <c r="J450" s="109">
        <v>1324106.3800000001</v>
      </c>
      <c r="K450" s="109">
        <v>1210584.8730769234</v>
      </c>
      <c r="L450" s="110">
        <v>0</v>
      </c>
      <c r="M450" s="109">
        <v>-58408.19</v>
      </c>
      <c r="N450" s="109">
        <v>-40838.250000000007</v>
      </c>
      <c r="O450" s="109">
        <v>0</v>
      </c>
      <c r="P450" s="109">
        <v>0</v>
      </c>
      <c r="Q450" s="109">
        <v>0</v>
      </c>
      <c r="R450" s="109">
        <v>0</v>
      </c>
      <c r="S450" s="109">
        <v>-99246.44</v>
      </c>
      <c r="T450" s="109">
        <v>-78807.38076923076</v>
      </c>
      <c r="U450" s="110">
        <v>0</v>
      </c>
      <c r="V450" s="111">
        <v>3.4000000000000002E-2</v>
      </c>
    </row>
    <row r="451" spans="1:22" x14ac:dyDescent="0.2">
      <c r="A451" s="69" t="s">
        <v>1135</v>
      </c>
      <c r="B451" s="69">
        <v>37900</v>
      </c>
      <c r="C451" s="69" t="s">
        <v>1148</v>
      </c>
      <c r="D451" s="108" t="s">
        <v>624</v>
      </c>
      <c r="E451" s="108" t="s">
        <v>148</v>
      </c>
      <c r="F451" s="109">
        <v>10806212.379999999</v>
      </c>
      <c r="G451" s="109">
        <v>916698.59</v>
      </c>
      <c r="H451" s="109">
        <v>0</v>
      </c>
      <c r="I451" s="109">
        <v>0</v>
      </c>
      <c r="J451" s="109">
        <v>11722910.969999999</v>
      </c>
      <c r="K451" s="109">
        <v>11334361.896923074</v>
      </c>
      <c r="L451" s="110">
        <v>0</v>
      </c>
      <c r="M451" s="109">
        <v>-1125745.73</v>
      </c>
      <c r="N451" s="109">
        <v>-384267.37</v>
      </c>
      <c r="O451" s="109">
        <v>0</v>
      </c>
      <c r="P451" s="109">
        <v>0</v>
      </c>
      <c r="Q451" s="109">
        <v>0</v>
      </c>
      <c r="R451" s="109">
        <v>0</v>
      </c>
      <c r="S451" s="109">
        <v>-1510013.1</v>
      </c>
      <c r="T451" s="109">
        <v>-1316854.856923077</v>
      </c>
      <c r="U451" s="110">
        <v>0</v>
      </c>
      <c r="V451" s="111">
        <v>3.4000000000000002E-2</v>
      </c>
    </row>
    <row r="452" spans="1:22" x14ac:dyDescent="0.2">
      <c r="A452" s="69" t="s">
        <v>1135</v>
      </c>
      <c r="B452" s="69">
        <v>38100</v>
      </c>
      <c r="C452" s="69" t="s">
        <v>1149</v>
      </c>
      <c r="D452" s="108" t="s">
        <v>625</v>
      </c>
      <c r="E452" s="108" t="s">
        <v>151</v>
      </c>
      <c r="F452" s="109">
        <v>58995101.560000017</v>
      </c>
      <c r="G452" s="109">
        <v>4357357.1400000006</v>
      </c>
      <c r="H452" s="109">
        <v>-1056817.52</v>
      </c>
      <c r="I452" s="109">
        <v>0</v>
      </c>
      <c r="J452" s="109">
        <v>62295641.180000015</v>
      </c>
      <c r="K452" s="109">
        <v>60145919.814615414</v>
      </c>
      <c r="L452" s="110">
        <v>0</v>
      </c>
      <c r="M452" s="109">
        <v>-18317063.459999986</v>
      </c>
      <c r="N452" s="109">
        <v>-3538039.81</v>
      </c>
      <c r="O452" s="109">
        <v>1056817.52</v>
      </c>
      <c r="P452" s="109">
        <v>16011.61</v>
      </c>
      <c r="Q452" s="109">
        <v>-49510.55</v>
      </c>
      <c r="R452" s="109">
        <v>0</v>
      </c>
      <c r="S452" s="109">
        <v>-20831784.689999986</v>
      </c>
      <c r="T452" s="109">
        <v>-19460547.533076908</v>
      </c>
      <c r="U452" s="110">
        <v>0</v>
      </c>
      <c r="V452" s="111">
        <v>5.9000000000000004E-2</v>
      </c>
    </row>
    <row r="453" spans="1:22" x14ac:dyDescent="0.2">
      <c r="A453" s="69" t="s">
        <v>1135</v>
      </c>
      <c r="B453" s="69">
        <v>38300</v>
      </c>
      <c r="C453" s="69" t="s">
        <v>1150</v>
      </c>
      <c r="D453" s="108" t="s">
        <v>626</v>
      </c>
      <c r="E453" s="108" t="s">
        <v>153</v>
      </c>
      <c r="F453" s="109">
        <v>17207.990000000002</v>
      </c>
      <c r="G453" s="109">
        <v>0</v>
      </c>
      <c r="H453" s="109">
        <v>0</v>
      </c>
      <c r="I453" s="109">
        <v>0</v>
      </c>
      <c r="J453" s="109">
        <v>17207.990000000002</v>
      </c>
      <c r="K453" s="109">
        <v>17207.989999999998</v>
      </c>
      <c r="L453" s="110">
        <v>0</v>
      </c>
      <c r="M453" s="109">
        <v>-8821.3399999999983</v>
      </c>
      <c r="N453" s="109">
        <v>-619.43999999999994</v>
      </c>
      <c r="O453" s="109">
        <v>0</v>
      </c>
      <c r="P453" s="109">
        <v>0</v>
      </c>
      <c r="Q453" s="109">
        <v>0</v>
      </c>
      <c r="R453" s="109">
        <v>0</v>
      </c>
      <c r="S453" s="109">
        <v>-9440.7799999999988</v>
      </c>
      <c r="T453" s="109">
        <v>-9131.0600000000031</v>
      </c>
      <c r="U453" s="110">
        <v>0</v>
      </c>
      <c r="V453" s="111">
        <v>3.5999999999999997E-2</v>
      </c>
    </row>
    <row r="454" spans="1:22" x14ac:dyDescent="0.2">
      <c r="A454" s="69" t="s">
        <v>1135</v>
      </c>
      <c r="B454" s="69">
        <v>38500</v>
      </c>
      <c r="C454" s="69" t="s">
        <v>1151</v>
      </c>
      <c r="D454" s="108" t="s">
        <v>627</v>
      </c>
      <c r="E454" s="108" t="s">
        <v>155</v>
      </c>
      <c r="F454" s="109">
        <v>0</v>
      </c>
      <c r="G454" s="109">
        <v>0</v>
      </c>
      <c r="H454" s="109">
        <v>0</v>
      </c>
      <c r="I454" s="109">
        <v>0</v>
      </c>
      <c r="J454" s="109">
        <v>0</v>
      </c>
      <c r="K454" s="109">
        <v>0</v>
      </c>
      <c r="L454" s="110">
        <v>0</v>
      </c>
      <c r="M454" s="109">
        <v>-214.65</v>
      </c>
      <c r="N454" s="109">
        <v>0</v>
      </c>
      <c r="O454" s="109">
        <v>0</v>
      </c>
      <c r="P454" s="109">
        <v>0</v>
      </c>
      <c r="Q454" s="109">
        <v>0</v>
      </c>
      <c r="R454" s="109">
        <v>0</v>
      </c>
      <c r="S454" s="109">
        <v>-214.65</v>
      </c>
      <c r="T454" s="109">
        <v>-214.65000000000006</v>
      </c>
      <c r="U454" s="110">
        <v>0</v>
      </c>
      <c r="V454" s="111">
        <v>3.1E-2</v>
      </c>
    </row>
    <row r="455" spans="1:22" x14ac:dyDescent="0.2">
      <c r="A455" s="69" t="s">
        <v>1135</v>
      </c>
      <c r="B455" s="69">
        <v>38602</v>
      </c>
      <c r="C455" s="69" t="s">
        <v>1152</v>
      </c>
      <c r="D455" s="108" t="s">
        <v>628</v>
      </c>
      <c r="E455" s="108" t="s">
        <v>673</v>
      </c>
      <c r="F455" s="109">
        <v>0</v>
      </c>
      <c r="G455" s="109">
        <v>0</v>
      </c>
      <c r="H455" s="109">
        <v>0</v>
      </c>
      <c r="I455" s="109">
        <v>0</v>
      </c>
      <c r="J455" s="109">
        <v>0</v>
      </c>
      <c r="K455" s="109">
        <v>0</v>
      </c>
      <c r="L455" s="110">
        <v>0</v>
      </c>
      <c r="M455" s="109">
        <v>0</v>
      </c>
      <c r="N455" s="109">
        <v>0</v>
      </c>
      <c r="O455" s="109">
        <v>0</v>
      </c>
      <c r="P455" s="109">
        <v>0</v>
      </c>
      <c r="Q455" s="109">
        <v>0</v>
      </c>
      <c r="R455" s="109">
        <v>0</v>
      </c>
      <c r="S455" s="109">
        <v>0</v>
      </c>
      <c r="T455" s="109">
        <v>0</v>
      </c>
      <c r="U455" s="110">
        <v>0</v>
      </c>
      <c r="V455" s="111">
        <v>6.7000000000000004E-2</v>
      </c>
    </row>
    <row r="456" spans="1:22" x14ac:dyDescent="0.2">
      <c r="A456" s="69" t="s">
        <v>1135</v>
      </c>
      <c r="B456" s="69">
        <v>38608</v>
      </c>
      <c r="C456" s="69" t="s">
        <v>1153</v>
      </c>
      <c r="D456" s="108" t="s">
        <v>629</v>
      </c>
      <c r="E456" s="108" t="s">
        <v>674</v>
      </c>
      <c r="F456" s="109">
        <v>0</v>
      </c>
      <c r="G456" s="109">
        <v>0</v>
      </c>
      <c r="H456" s="109">
        <v>0</v>
      </c>
      <c r="I456" s="109">
        <v>0</v>
      </c>
      <c r="J456" s="109">
        <v>0</v>
      </c>
      <c r="K456" s="109">
        <v>0</v>
      </c>
      <c r="L456" s="110">
        <v>0</v>
      </c>
      <c r="M456" s="109">
        <v>0</v>
      </c>
      <c r="N456" s="109">
        <v>0</v>
      </c>
      <c r="O456" s="109">
        <v>0</v>
      </c>
      <c r="P456" s="109">
        <v>0</v>
      </c>
      <c r="Q456" s="109">
        <v>0</v>
      </c>
      <c r="R456" s="109">
        <v>0</v>
      </c>
      <c r="S456" s="109">
        <v>0</v>
      </c>
      <c r="T456" s="109">
        <v>0</v>
      </c>
      <c r="U456" s="110">
        <v>0</v>
      </c>
      <c r="V456" s="111">
        <v>6.7000000000000004E-2</v>
      </c>
    </row>
    <row r="457" spans="1:22" x14ac:dyDescent="0.2">
      <c r="A457" s="69" t="s">
        <v>1135</v>
      </c>
      <c r="B457" s="69">
        <v>38700</v>
      </c>
      <c r="C457" s="69" t="s">
        <v>1154</v>
      </c>
      <c r="D457" s="108" t="s">
        <v>630</v>
      </c>
      <c r="E457" s="108" t="s">
        <v>156</v>
      </c>
      <c r="F457" s="109">
        <v>1654588.7100000002</v>
      </c>
      <c r="G457" s="109">
        <v>-429.51</v>
      </c>
      <c r="H457" s="109">
        <v>0</v>
      </c>
      <c r="I457" s="109">
        <v>0</v>
      </c>
      <c r="J457" s="109">
        <v>1654159.2000000002</v>
      </c>
      <c r="K457" s="109">
        <v>1654522.6315384619</v>
      </c>
      <c r="L457" s="110">
        <v>0</v>
      </c>
      <c r="M457" s="109">
        <v>-343096.05000000016</v>
      </c>
      <c r="N457" s="109">
        <v>-104236.82999999997</v>
      </c>
      <c r="O457" s="109">
        <v>0</v>
      </c>
      <c r="P457" s="109">
        <v>0</v>
      </c>
      <c r="Q457" s="109">
        <v>0</v>
      </c>
      <c r="R457" s="109">
        <v>0</v>
      </c>
      <c r="S457" s="109">
        <v>-447332.88000000012</v>
      </c>
      <c r="T457" s="109">
        <v>-395215.41692307725</v>
      </c>
      <c r="U457" s="110">
        <v>0</v>
      </c>
      <c r="V457" s="111">
        <v>6.3E-2</v>
      </c>
    </row>
    <row r="458" spans="1:22" x14ac:dyDescent="0.2">
      <c r="A458" s="69" t="s">
        <v>1135</v>
      </c>
      <c r="B458" s="69">
        <v>39002</v>
      </c>
      <c r="C458" s="69" t="s">
        <v>1155</v>
      </c>
      <c r="D458" s="108" t="s">
        <v>631</v>
      </c>
      <c r="E458" s="108" t="s">
        <v>158</v>
      </c>
      <c r="F458" s="109">
        <v>110691.48</v>
      </c>
      <c r="G458" s="109">
        <v>12395.52</v>
      </c>
      <c r="H458" s="109">
        <v>0</v>
      </c>
      <c r="I458" s="109">
        <v>0</v>
      </c>
      <c r="J458" s="109">
        <v>123087</v>
      </c>
      <c r="K458" s="109">
        <v>112598.48307692308</v>
      </c>
      <c r="L458" s="110">
        <v>0</v>
      </c>
      <c r="M458" s="109">
        <v>-12772.490000000013</v>
      </c>
      <c r="N458" s="109">
        <v>-2793.1400000000008</v>
      </c>
      <c r="O458" s="109">
        <v>0</v>
      </c>
      <c r="P458" s="109">
        <v>0</v>
      </c>
      <c r="Q458" s="109">
        <v>0</v>
      </c>
      <c r="R458" s="109">
        <v>0</v>
      </c>
      <c r="S458" s="109">
        <v>-15565.630000000014</v>
      </c>
      <c r="T458" s="109">
        <v>-14158.136153846168</v>
      </c>
      <c r="U458" s="110">
        <v>0</v>
      </c>
      <c r="V458" s="111">
        <v>2.5000000000000001E-2</v>
      </c>
    </row>
    <row r="459" spans="1:22" x14ac:dyDescent="0.2">
      <c r="A459" s="69" t="s">
        <v>1135</v>
      </c>
      <c r="B459" s="69">
        <v>39100</v>
      </c>
      <c r="C459" s="69" t="s">
        <v>1156</v>
      </c>
      <c r="D459" s="108" t="s">
        <v>632</v>
      </c>
      <c r="E459" s="108" t="s">
        <v>159</v>
      </c>
      <c r="F459" s="109">
        <v>818484.83000000007</v>
      </c>
      <c r="G459" s="109">
        <v>52030.619999999995</v>
      </c>
      <c r="H459" s="109">
        <v>-576000</v>
      </c>
      <c r="I459" s="109">
        <v>0</v>
      </c>
      <c r="J459" s="109">
        <v>294515.45000000007</v>
      </c>
      <c r="K459" s="109">
        <v>364642.92076923087</v>
      </c>
      <c r="L459" s="110">
        <v>0</v>
      </c>
      <c r="M459" s="109">
        <v>-105131.65000000005</v>
      </c>
      <c r="N459" s="109">
        <v>-24822.639999999999</v>
      </c>
      <c r="O459" s="109">
        <v>576000</v>
      </c>
      <c r="P459" s="109">
        <v>0</v>
      </c>
      <c r="Q459" s="109">
        <v>0</v>
      </c>
      <c r="R459" s="109">
        <v>0</v>
      </c>
      <c r="S459" s="109">
        <v>446045.70999999996</v>
      </c>
      <c r="T459" s="109">
        <v>367877.73000000004</v>
      </c>
      <c r="U459" s="110">
        <v>0</v>
      </c>
      <c r="V459" s="111">
        <v>6.7000000000000004E-2</v>
      </c>
    </row>
    <row r="460" spans="1:22" x14ac:dyDescent="0.2">
      <c r="A460" s="69" t="s">
        <v>1135</v>
      </c>
      <c r="B460" s="69">
        <v>39101</v>
      </c>
      <c r="C460" s="69" t="s">
        <v>1157</v>
      </c>
      <c r="D460" s="108" t="s">
        <v>633</v>
      </c>
      <c r="E460" s="108" t="s">
        <v>160</v>
      </c>
      <c r="F460" s="109">
        <v>3955250.3900000011</v>
      </c>
      <c r="G460" s="109">
        <v>8817.7900000000009</v>
      </c>
      <c r="H460" s="109">
        <v>-664642.80000000005</v>
      </c>
      <c r="I460" s="109">
        <v>0</v>
      </c>
      <c r="J460" s="109">
        <v>3299425.3800000008</v>
      </c>
      <c r="K460" s="109">
        <v>3393881.2769230781</v>
      </c>
      <c r="L460" s="110">
        <v>0</v>
      </c>
      <c r="M460" s="109">
        <v>-3642005.8400000026</v>
      </c>
      <c r="N460" s="109">
        <v>-425219.0400000001</v>
      </c>
      <c r="O460" s="109">
        <v>664642.80000000005</v>
      </c>
      <c r="P460" s="109">
        <v>0</v>
      </c>
      <c r="Q460" s="109">
        <v>0</v>
      </c>
      <c r="R460" s="109">
        <v>0</v>
      </c>
      <c r="S460" s="109">
        <v>-3402582.0800000029</v>
      </c>
      <c r="T460" s="109">
        <v>-3297531.3292307723</v>
      </c>
      <c r="U460" s="110">
        <v>0</v>
      </c>
      <c r="V460" s="111">
        <v>0.125</v>
      </c>
    </row>
    <row r="461" spans="1:22" x14ac:dyDescent="0.2">
      <c r="A461" s="69" t="s">
        <v>1135</v>
      </c>
      <c r="B461" s="69">
        <v>39102</v>
      </c>
      <c r="C461" s="69" t="s">
        <v>1158</v>
      </c>
      <c r="D461" s="108" t="s">
        <v>634</v>
      </c>
      <c r="E461" s="108" t="s">
        <v>161</v>
      </c>
      <c r="F461" s="109">
        <v>431251.75999999995</v>
      </c>
      <c r="G461" s="109">
        <v>54012.260000000009</v>
      </c>
      <c r="H461" s="109">
        <v>0</v>
      </c>
      <c r="I461" s="109">
        <v>0</v>
      </c>
      <c r="J461" s="109">
        <v>485264.01999999996</v>
      </c>
      <c r="K461" s="109">
        <v>445310.20461538457</v>
      </c>
      <c r="L461" s="110">
        <v>0</v>
      </c>
      <c r="M461" s="109">
        <v>-149901.03999999946</v>
      </c>
      <c r="N461" s="109">
        <v>-29612.69</v>
      </c>
      <c r="O461" s="109">
        <v>0</v>
      </c>
      <c r="P461" s="109">
        <v>0</v>
      </c>
      <c r="Q461" s="109">
        <v>0</v>
      </c>
      <c r="R461" s="109">
        <v>0</v>
      </c>
      <c r="S461" s="109">
        <v>-179513.72999999946</v>
      </c>
      <c r="T461" s="109">
        <v>-164523.72923076872</v>
      </c>
      <c r="U461" s="110">
        <v>0</v>
      </c>
      <c r="V461" s="111">
        <v>6.7000000000000004E-2</v>
      </c>
    </row>
    <row r="462" spans="1:22" x14ac:dyDescent="0.2">
      <c r="A462" s="69" t="s">
        <v>1135</v>
      </c>
      <c r="B462" s="69">
        <v>39201</v>
      </c>
      <c r="C462" s="69" t="s">
        <v>1159</v>
      </c>
      <c r="D462" s="108" t="s">
        <v>635</v>
      </c>
      <c r="E462" s="108" t="s">
        <v>163</v>
      </c>
      <c r="F462" s="109">
        <v>918271.83000000031</v>
      </c>
      <c r="G462" s="109">
        <v>154613.82999999999</v>
      </c>
      <c r="H462" s="109">
        <v>-29025.599999999999</v>
      </c>
      <c r="I462" s="109">
        <v>30266.58</v>
      </c>
      <c r="J462" s="109">
        <v>1074126.6400000004</v>
      </c>
      <c r="K462" s="109">
        <v>964634.11076923111</v>
      </c>
      <c r="L462" s="110">
        <v>0</v>
      </c>
      <c r="M462" s="109">
        <v>-29876.289999999986</v>
      </c>
      <c r="N462" s="109">
        <v>-107017.11</v>
      </c>
      <c r="O462" s="109">
        <v>29025.599999999999</v>
      </c>
      <c r="P462" s="109">
        <v>0</v>
      </c>
      <c r="Q462" s="109">
        <v>-14378.81</v>
      </c>
      <c r="R462" s="109">
        <v>-9482.7899999999991</v>
      </c>
      <c r="S462" s="109">
        <v>-131729.4</v>
      </c>
      <c r="T462" s="109">
        <v>-69054.343846153832</v>
      </c>
      <c r="U462" s="110">
        <v>0</v>
      </c>
      <c r="V462" s="111">
        <v>0.112</v>
      </c>
    </row>
    <row r="463" spans="1:22" x14ac:dyDescent="0.2">
      <c r="A463" s="69" t="s">
        <v>1135</v>
      </c>
      <c r="B463" s="69">
        <v>39202</v>
      </c>
      <c r="C463" s="69" t="s">
        <v>1160</v>
      </c>
      <c r="D463" s="108" t="s">
        <v>636</v>
      </c>
      <c r="E463" s="108" t="s">
        <v>164</v>
      </c>
      <c r="F463" s="109">
        <v>427553.59000000008</v>
      </c>
      <c r="G463" s="109">
        <v>-3793.92</v>
      </c>
      <c r="H463" s="109">
        <v>-51355</v>
      </c>
      <c r="I463" s="109">
        <v>0</v>
      </c>
      <c r="J463" s="109">
        <v>372404.6700000001</v>
      </c>
      <c r="K463" s="109">
        <v>404991.04846153845</v>
      </c>
      <c r="L463" s="110">
        <v>0</v>
      </c>
      <c r="M463" s="109">
        <v>-102867.84000000008</v>
      </c>
      <c r="N463" s="109">
        <v>-51778.73</v>
      </c>
      <c r="O463" s="109">
        <v>51355</v>
      </c>
      <c r="P463" s="109">
        <v>0</v>
      </c>
      <c r="Q463" s="109">
        <v>-13181.19</v>
      </c>
      <c r="R463" s="109">
        <v>0</v>
      </c>
      <c r="S463" s="109">
        <v>-116472.7600000001</v>
      </c>
      <c r="T463" s="109">
        <v>-112810.99846153855</v>
      </c>
      <c r="U463" s="110">
        <v>0</v>
      </c>
      <c r="V463" s="111">
        <v>0.127</v>
      </c>
    </row>
    <row r="464" spans="1:22" x14ac:dyDescent="0.2">
      <c r="A464" s="69" t="s">
        <v>1135</v>
      </c>
      <c r="B464" s="69">
        <v>39203</v>
      </c>
      <c r="C464" s="69" t="s">
        <v>1161</v>
      </c>
      <c r="D464" s="108" t="s">
        <v>637</v>
      </c>
      <c r="E464" s="108" t="s">
        <v>165</v>
      </c>
      <c r="F464" s="109">
        <v>0</v>
      </c>
      <c r="G464" s="109">
        <v>0</v>
      </c>
      <c r="H464" s="109">
        <v>0</v>
      </c>
      <c r="I464" s="109">
        <v>0</v>
      </c>
      <c r="J464" s="109">
        <v>0</v>
      </c>
      <c r="K464" s="109">
        <v>0</v>
      </c>
      <c r="L464" s="110">
        <v>0</v>
      </c>
      <c r="M464" s="109">
        <v>0.4599999999627471</v>
      </c>
      <c r="N464" s="109">
        <v>0</v>
      </c>
      <c r="O464" s="109">
        <v>0</v>
      </c>
      <c r="P464" s="109">
        <v>0</v>
      </c>
      <c r="Q464" s="109">
        <v>0</v>
      </c>
      <c r="R464" s="109">
        <v>0</v>
      </c>
      <c r="S464" s="109">
        <v>0.4599999999627471</v>
      </c>
      <c r="T464" s="109">
        <v>0.4599999999627471</v>
      </c>
      <c r="U464" s="110">
        <v>0</v>
      </c>
      <c r="V464" s="111">
        <v>1.7000000000000001E-2</v>
      </c>
    </row>
    <row r="465" spans="1:22" ht="13.5" customHeight="1" x14ac:dyDescent="0.2">
      <c r="A465" s="69" t="s">
        <v>1135</v>
      </c>
      <c r="B465" s="69">
        <v>39204</v>
      </c>
      <c r="C465" s="69" t="s">
        <v>1162</v>
      </c>
      <c r="D465" s="108" t="s">
        <v>638</v>
      </c>
      <c r="E465" s="108" t="s">
        <v>166</v>
      </c>
      <c r="F465" s="109">
        <v>889518.25000000012</v>
      </c>
      <c r="G465" s="109">
        <v>0</v>
      </c>
      <c r="H465" s="109">
        <v>0</v>
      </c>
      <c r="I465" s="109">
        <v>0</v>
      </c>
      <c r="J465" s="109">
        <v>889518.25000000012</v>
      </c>
      <c r="K465" s="109">
        <v>889518.25000000012</v>
      </c>
      <c r="L465" s="110">
        <v>0</v>
      </c>
      <c r="M465" s="109">
        <v>-54280.619999999923</v>
      </c>
      <c r="N465" s="109">
        <v>-35580.720000000008</v>
      </c>
      <c r="O465" s="109">
        <v>0</v>
      </c>
      <c r="P465" s="109">
        <v>0</v>
      </c>
      <c r="Q465" s="109">
        <v>0</v>
      </c>
      <c r="R465" s="109">
        <v>0</v>
      </c>
      <c r="S465" s="109">
        <v>-89861.339999999938</v>
      </c>
      <c r="T465" s="109">
        <v>-72070.979999999909</v>
      </c>
      <c r="U465" s="110">
        <v>0</v>
      </c>
      <c r="V465" s="111">
        <v>0.04</v>
      </c>
    </row>
    <row r="466" spans="1:22" x14ac:dyDescent="0.2">
      <c r="A466" s="69" t="s">
        <v>1135</v>
      </c>
      <c r="B466" s="69">
        <v>39205</v>
      </c>
      <c r="C466" s="69" t="s">
        <v>1163</v>
      </c>
      <c r="D466" s="108" t="s">
        <v>639</v>
      </c>
      <c r="E466" s="108" t="s">
        <v>167</v>
      </c>
      <c r="F466" s="109">
        <v>134191.32</v>
      </c>
      <c r="G466" s="109">
        <v>0</v>
      </c>
      <c r="H466" s="109">
        <v>0</v>
      </c>
      <c r="I466" s="109">
        <v>0</v>
      </c>
      <c r="J466" s="109">
        <v>134191.32</v>
      </c>
      <c r="K466" s="109">
        <v>134191.32000000004</v>
      </c>
      <c r="L466" s="110">
        <v>0</v>
      </c>
      <c r="M466" s="109">
        <v>8997.1200000000008</v>
      </c>
      <c r="N466" s="109">
        <v>-9930.1200000000008</v>
      </c>
      <c r="O466" s="109">
        <v>0</v>
      </c>
      <c r="P466" s="109">
        <v>0</v>
      </c>
      <c r="Q466" s="109">
        <v>0</v>
      </c>
      <c r="R466" s="109">
        <v>0</v>
      </c>
      <c r="S466" s="109">
        <v>-933</v>
      </c>
      <c r="T466" s="109">
        <v>4032.0599999999995</v>
      </c>
      <c r="U466" s="110">
        <v>-9.0949470177292824E-13</v>
      </c>
      <c r="V466" s="111">
        <v>7.3999999999999996E-2</v>
      </c>
    </row>
    <row r="467" spans="1:22" x14ac:dyDescent="0.2">
      <c r="A467" s="69" t="s">
        <v>1135</v>
      </c>
      <c r="B467" s="69">
        <v>39400</v>
      </c>
      <c r="C467" s="69" t="s">
        <v>1164</v>
      </c>
      <c r="D467" s="108" t="s">
        <v>640</v>
      </c>
      <c r="E467" s="108" t="s">
        <v>169</v>
      </c>
      <c r="F467" s="109">
        <v>1605015.9200000002</v>
      </c>
      <c r="G467" s="109">
        <v>1837317.0699999996</v>
      </c>
      <c r="H467" s="109">
        <v>0</v>
      </c>
      <c r="I467" s="109">
        <v>0</v>
      </c>
      <c r="J467" s="109">
        <v>3442332.9899999998</v>
      </c>
      <c r="K467" s="109">
        <v>2875727.2638461543</v>
      </c>
      <c r="L467" s="110">
        <v>0</v>
      </c>
      <c r="M467" s="109">
        <v>-2134.9399999995931</v>
      </c>
      <c r="N467" s="109">
        <v>-186681.66</v>
      </c>
      <c r="O467" s="109">
        <v>0</v>
      </c>
      <c r="P467" s="109">
        <v>0</v>
      </c>
      <c r="Q467" s="109">
        <v>0</v>
      </c>
      <c r="R467" s="109">
        <v>0</v>
      </c>
      <c r="S467" s="109">
        <v>-188816.5999999996</v>
      </c>
      <c r="T467" s="109">
        <v>-87040.748461538053</v>
      </c>
      <c r="U467" s="110">
        <v>0</v>
      </c>
      <c r="V467" s="111">
        <v>6.6000000000000003E-2</v>
      </c>
    </row>
    <row r="468" spans="1:22" x14ac:dyDescent="0.2">
      <c r="A468" s="69" t="s">
        <v>1135</v>
      </c>
      <c r="B468" s="69">
        <v>39500</v>
      </c>
      <c r="C468" s="69" t="s">
        <v>1165</v>
      </c>
      <c r="D468" s="108" t="s">
        <v>641</v>
      </c>
      <c r="E468" s="108" t="s">
        <v>170</v>
      </c>
      <c r="F468" s="109">
        <v>0</v>
      </c>
      <c r="G468" s="109">
        <v>0</v>
      </c>
      <c r="H468" s="109">
        <v>0</v>
      </c>
      <c r="I468" s="109">
        <v>0</v>
      </c>
      <c r="J468" s="109">
        <v>0</v>
      </c>
      <c r="K468" s="109">
        <v>0</v>
      </c>
      <c r="L468" s="110">
        <v>0</v>
      </c>
      <c r="M468" s="109">
        <v>36989.529999999882</v>
      </c>
      <c r="N468" s="109">
        <v>0</v>
      </c>
      <c r="O468" s="109">
        <v>0</v>
      </c>
      <c r="P468" s="109">
        <v>0</v>
      </c>
      <c r="Q468" s="109">
        <v>0</v>
      </c>
      <c r="R468" s="109">
        <v>0</v>
      </c>
      <c r="S468" s="109">
        <v>36989.529999999882</v>
      </c>
      <c r="T468" s="109">
        <v>36989.529999999897</v>
      </c>
      <c r="U468" s="110">
        <v>0</v>
      </c>
      <c r="V468" s="111">
        <v>0.05</v>
      </c>
    </row>
    <row r="469" spans="1:22" x14ac:dyDescent="0.2">
      <c r="A469" s="69" t="s">
        <v>1135</v>
      </c>
      <c r="B469" s="69">
        <v>39600</v>
      </c>
      <c r="C469" s="69" t="s">
        <v>1166</v>
      </c>
      <c r="D469" s="108" t="s">
        <v>642</v>
      </c>
      <c r="E469" s="108" t="s">
        <v>171</v>
      </c>
      <c r="F469" s="109">
        <v>871165.05</v>
      </c>
      <c r="G469" s="109">
        <v>20284.570000000007</v>
      </c>
      <c r="H469" s="109">
        <v>0</v>
      </c>
      <c r="I469" s="109">
        <v>0</v>
      </c>
      <c r="J469" s="109">
        <v>891449.62000000011</v>
      </c>
      <c r="K469" s="109">
        <v>857048.76923076913</v>
      </c>
      <c r="L469" s="110">
        <v>0</v>
      </c>
      <c r="M469" s="109">
        <v>-14458.44</v>
      </c>
      <c r="N469" s="109">
        <v>-54667.649999999987</v>
      </c>
      <c r="O469" s="109">
        <v>0</v>
      </c>
      <c r="P469" s="109">
        <v>0</v>
      </c>
      <c r="Q469" s="109">
        <v>0</v>
      </c>
      <c r="R469" s="109">
        <v>0</v>
      </c>
      <c r="S469" s="109">
        <v>-69126.089999999982</v>
      </c>
      <c r="T469" s="109">
        <v>-41440.965384615381</v>
      </c>
      <c r="U469" s="110">
        <v>0</v>
      </c>
      <c r="V469" s="111">
        <v>6.4000000000000001E-2</v>
      </c>
    </row>
    <row r="470" spans="1:22" x14ac:dyDescent="0.2">
      <c r="A470" s="69" t="s">
        <v>1135</v>
      </c>
      <c r="B470" s="69">
        <v>39700</v>
      </c>
      <c r="C470" s="69" t="s">
        <v>1167</v>
      </c>
      <c r="D470" s="108" t="s">
        <v>643</v>
      </c>
      <c r="E470" s="108" t="s">
        <v>172</v>
      </c>
      <c r="F470" s="109">
        <v>3137033.9000000004</v>
      </c>
      <c r="G470" s="109">
        <v>0</v>
      </c>
      <c r="H470" s="109">
        <v>-7191.74</v>
      </c>
      <c r="I470" s="109">
        <v>0</v>
      </c>
      <c r="J470" s="109">
        <v>3129842.16</v>
      </c>
      <c r="K470" s="109">
        <v>3130948.5815384616</v>
      </c>
      <c r="L470" s="110">
        <v>0</v>
      </c>
      <c r="M470" s="109">
        <v>-1426566.5099999972</v>
      </c>
      <c r="N470" s="109">
        <v>-263007.48</v>
      </c>
      <c r="O470" s="109">
        <v>7191.74</v>
      </c>
      <c r="P470" s="109">
        <v>0</v>
      </c>
      <c r="Q470" s="109">
        <v>0</v>
      </c>
      <c r="R470" s="109">
        <v>0</v>
      </c>
      <c r="S470" s="109">
        <v>-1682382.2499999972</v>
      </c>
      <c r="T470" s="109">
        <v>-1552023.6546153815</v>
      </c>
      <c r="U470" s="110">
        <v>0</v>
      </c>
      <c r="V470" s="111">
        <v>8.4000000000000005E-2</v>
      </c>
    </row>
    <row r="471" spans="1:22" x14ac:dyDescent="0.2">
      <c r="A471" s="69" t="s">
        <v>1135</v>
      </c>
      <c r="B471" s="69">
        <v>39800</v>
      </c>
      <c r="C471" s="69" t="s">
        <v>1168</v>
      </c>
      <c r="D471" s="108" t="s">
        <v>644</v>
      </c>
      <c r="E471" s="108" t="s">
        <v>173</v>
      </c>
      <c r="F471" s="109">
        <v>25168.58</v>
      </c>
      <c r="G471" s="109">
        <v>0</v>
      </c>
      <c r="H471" s="109">
        <v>0</v>
      </c>
      <c r="I471" s="109">
        <v>0</v>
      </c>
      <c r="J471" s="109">
        <v>25168.58</v>
      </c>
      <c r="K471" s="109">
        <v>25168.580000000009</v>
      </c>
      <c r="L471" s="110">
        <v>0</v>
      </c>
      <c r="M471" s="109">
        <v>-2802.1100000000006</v>
      </c>
      <c r="N471" s="109">
        <v>-1485</v>
      </c>
      <c r="O471" s="109">
        <v>0</v>
      </c>
      <c r="P471" s="109">
        <v>0</v>
      </c>
      <c r="Q471" s="109">
        <v>0</v>
      </c>
      <c r="R471" s="109">
        <v>0</v>
      </c>
      <c r="S471" s="109">
        <v>-4287.1100000000006</v>
      </c>
      <c r="T471" s="109">
        <v>-3544.6100000000006</v>
      </c>
      <c r="U471" s="110">
        <v>0</v>
      </c>
      <c r="V471" s="111">
        <v>5.8999999999999997E-2</v>
      </c>
    </row>
    <row r="472" spans="1:22" x14ac:dyDescent="0.2">
      <c r="A472" s="69" t="s">
        <v>1135</v>
      </c>
      <c r="B472" s="69">
        <v>39900</v>
      </c>
      <c r="C472" s="69" t="s">
        <v>1169</v>
      </c>
      <c r="D472" s="108" t="s">
        <v>675</v>
      </c>
      <c r="E472" s="108" t="s">
        <v>676</v>
      </c>
      <c r="F472" s="109">
        <v>0</v>
      </c>
      <c r="G472" s="109">
        <v>0</v>
      </c>
      <c r="H472" s="109">
        <v>0</v>
      </c>
      <c r="I472" s="109">
        <v>0</v>
      </c>
      <c r="J472" s="109">
        <v>0</v>
      </c>
      <c r="K472" s="109">
        <v>0</v>
      </c>
      <c r="L472" s="110">
        <v>0</v>
      </c>
      <c r="M472" s="109">
        <v>0</v>
      </c>
      <c r="N472" s="109">
        <v>0</v>
      </c>
      <c r="O472" s="109">
        <v>0</v>
      </c>
      <c r="P472" s="109">
        <v>0</v>
      </c>
      <c r="Q472" s="109">
        <v>0</v>
      </c>
      <c r="R472" s="109">
        <v>0</v>
      </c>
      <c r="S472" s="109">
        <v>0</v>
      </c>
      <c r="T472" s="109">
        <v>0</v>
      </c>
      <c r="U472" s="110">
        <v>0</v>
      </c>
      <c r="V472" s="111">
        <v>0</v>
      </c>
    </row>
    <row r="473" spans="1:22" x14ac:dyDescent="0.2">
      <c r="D473" s="120"/>
      <c r="E473" s="120"/>
      <c r="L473" s="121"/>
    </row>
    <row r="474" spans="1:22" ht="13.5" thickBot="1" x14ac:dyDescent="0.25">
      <c r="B474" s="69" t="s">
        <v>128</v>
      </c>
      <c r="C474" s="69"/>
      <c r="D474" s="120"/>
      <c r="E474" s="120"/>
      <c r="F474" s="122">
        <v>1310949587.6300004</v>
      </c>
      <c r="G474" s="122">
        <v>101752908.19</v>
      </c>
      <c r="H474" s="122">
        <v>-13483051.629999999</v>
      </c>
      <c r="I474" s="123">
        <v>0</v>
      </c>
      <c r="J474" s="122">
        <v>1399219444.1900005</v>
      </c>
      <c r="K474" s="122">
        <v>1352171147.829231</v>
      </c>
      <c r="L474" s="122">
        <v>0</v>
      </c>
      <c r="M474" s="122">
        <v>-630525977.69000053</v>
      </c>
      <c r="N474" s="122">
        <v>-57819094.620000005</v>
      </c>
      <c r="O474" s="122">
        <v>13483051.629999999</v>
      </c>
      <c r="P474" s="122">
        <v>6464618.120000001</v>
      </c>
      <c r="Q474" s="122">
        <v>-199472.65000000002</v>
      </c>
      <c r="R474" s="122">
        <v>0</v>
      </c>
      <c r="S474" s="122">
        <v>-668596875.20999992</v>
      </c>
      <c r="T474" s="122">
        <v>-646755596.98538506</v>
      </c>
      <c r="U474" s="122">
        <v>2.283684352732962E-11</v>
      </c>
    </row>
    <row r="475" spans="1:22" ht="13.5" thickTop="1" x14ac:dyDescent="0.2">
      <c r="A475" s="124"/>
      <c r="B475" s="124"/>
      <c r="C475" s="124"/>
      <c r="D475" s="125"/>
      <c r="E475" s="125"/>
      <c r="F475" s="126">
        <v>0</v>
      </c>
      <c r="G475" s="126">
        <v>0</v>
      </c>
      <c r="H475" s="126">
        <v>0</v>
      </c>
      <c r="I475" s="126">
        <v>0</v>
      </c>
      <c r="J475" s="126">
        <v>0</v>
      </c>
      <c r="K475" s="126">
        <v>0</v>
      </c>
      <c r="L475" s="126"/>
      <c r="M475" s="126">
        <v>0</v>
      </c>
      <c r="N475" s="126">
        <v>0</v>
      </c>
      <c r="O475" s="126">
        <v>0</v>
      </c>
      <c r="P475" s="126">
        <v>0</v>
      </c>
      <c r="Q475" s="126">
        <v>-3.637978807091713E-11</v>
      </c>
      <c r="R475" s="126">
        <v>0</v>
      </c>
      <c r="S475" s="126">
        <v>0</v>
      </c>
      <c r="T475" s="126">
        <v>0</v>
      </c>
      <c r="U475" s="126"/>
    </row>
    <row r="488" s="143" customFormat="1" x14ac:dyDescent="0.2"/>
    <row r="490" s="143" customFormat="1" x14ac:dyDescent="0.2"/>
    <row r="494" s="143" customFormat="1" x14ac:dyDescent="0.2"/>
    <row r="498" s="143" customFormat="1" x14ac:dyDescent="0.2"/>
  </sheetData>
  <phoneticPr fontId="0" type="noConversion"/>
  <pageMargins left="0.75" right="0.75" top="1" bottom="1" header="0.5" footer="0.5"/>
  <pageSetup orientation="portrait" r:id="rId1"/>
  <headerFooter alignWithMargins="0"/>
  <customProperties>
    <customPr name="EpmWorksheetKeyString_GUID" r:id="rId2"/>
  </customPropertie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7"/>
    <pageSetUpPr fitToPage="1"/>
  </sheetPr>
  <dimension ref="A1:I63"/>
  <sheetViews>
    <sheetView zoomScale="80" zoomScaleNormal="80" workbookViewId="0">
      <pane xSplit="2" ySplit="4" topLeftCell="C5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RowHeight="12.75" x14ac:dyDescent="0.2"/>
  <cols>
    <col min="1" max="1" width="33.85546875" style="143" bestFit="1" customWidth="1"/>
    <col min="2" max="2" width="12.28515625" style="143" customWidth="1"/>
    <col min="3" max="3" width="14.140625" style="143" customWidth="1"/>
    <col min="4" max="4" width="16" style="143" customWidth="1"/>
    <col min="5" max="5" width="18.42578125" style="143" customWidth="1"/>
    <col min="6" max="6" width="16.7109375" style="143" customWidth="1"/>
    <col min="7" max="7" width="14.140625" style="143" customWidth="1"/>
    <col min="8" max="8" width="17.7109375" style="143" customWidth="1"/>
    <col min="9" max="249" width="8.85546875" style="143"/>
    <col min="250" max="250" width="33.85546875" style="143" bestFit="1" customWidth="1"/>
    <col min="251" max="251" width="12.42578125" style="143" customWidth="1"/>
    <col min="252" max="252" width="14" style="143" bestFit="1" customWidth="1"/>
    <col min="253" max="253" width="16.5703125" style="143" customWidth="1"/>
    <col min="254" max="254" width="19.140625" style="143" customWidth="1"/>
    <col min="255" max="255" width="17.5703125" style="143" customWidth="1"/>
    <col min="256" max="256" width="14" style="143" customWidth="1"/>
    <col min="257" max="257" width="18.28515625" style="143" bestFit="1" customWidth="1"/>
    <col min="258" max="258" width="8.85546875" style="143"/>
    <col min="259" max="259" width="12.28515625" style="143" bestFit="1" customWidth="1"/>
    <col min="260" max="260" width="16.5703125" style="143" bestFit="1" customWidth="1"/>
    <col min="261" max="261" width="19.140625" style="143" bestFit="1" customWidth="1"/>
    <col min="262" max="262" width="17.5703125" style="143" bestFit="1" customWidth="1"/>
    <col min="263" max="263" width="12.28515625" style="143" bestFit="1" customWidth="1"/>
    <col min="264" max="264" width="18.28515625" style="143" bestFit="1" customWidth="1"/>
    <col min="265" max="505" width="8.85546875" style="143"/>
    <col min="506" max="506" width="33.85546875" style="143" bestFit="1" customWidth="1"/>
    <col min="507" max="507" width="12.42578125" style="143" customWidth="1"/>
    <col min="508" max="508" width="14" style="143" bestFit="1" customWidth="1"/>
    <col min="509" max="509" width="16.5703125" style="143" customWidth="1"/>
    <col min="510" max="510" width="19.140625" style="143" customWidth="1"/>
    <col min="511" max="511" width="17.5703125" style="143" customWidth="1"/>
    <col min="512" max="512" width="14" style="143" customWidth="1"/>
    <col min="513" max="513" width="18.28515625" style="143" bestFit="1" customWidth="1"/>
    <col min="514" max="514" width="8.85546875" style="143"/>
    <col min="515" max="515" width="12.28515625" style="143" bestFit="1" customWidth="1"/>
    <col min="516" max="516" width="16.5703125" style="143" bestFit="1" customWidth="1"/>
    <col min="517" max="517" width="19.140625" style="143" bestFit="1" customWidth="1"/>
    <col min="518" max="518" width="17.5703125" style="143" bestFit="1" customWidth="1"/>
    <col min="519" max="519" width="12.28515625" style="143" bestFit="1" customWidth="1"/>
    <col min="520" max="520" width="18.28515625" style="143" bestFit="1" customWidth="1"/>
    <col min="521" max="761" width="8.85546875" style="143"/>
    <col min="762" max="762" width="33.85546875" style="143" bestFit="1" customWidth="1"/>
    <col min="763" max="763" width="12.42578125" style="143" customWidth="1"/>
    <col min="764" max="764" width="14" style="143" bestFit="1" customWidth="1"/>
    <col min="765" max="765" width="16.5703125" style="143" customWidth="1"/>
    <col min="766" max="766" width="19.140625" style="143" customWidth="1"/>
    <col min="767" max="767" width="17.5703125" style="143" customWidth="1"/>
    <col min="768" max="768" width="14" style="143" customWidth="1"/>
    <col min="769" max="769" width="18.28515625" style="143" bestFit="1" customWidth="1"/>
    <col min="770" max="770" width="8.85546875" style="143"/>
    <col min="771" max="771" width="12.28515625" style="143" bestFit="1" customWidth="1"/>
    <col min="772" max="772" width="16.5703125" style="143" bestFit="1" customWidth="1"/>
    <col min="773" max="773" width="19.140625" style="143" bestFit="1" customWidth="1"/>
    <col min="774" max="774" width="17.5703125" style="143" bestFit="1" customWidth="1"/>
    <col min="775" max="775" width="12.28515625" style="143" bestFit="1" customWidth="1"/>
    <col min="776" max="776" width="18.28515625" style="143" bestFit="1" customWidth="1"/>
    <col min="777" max="1017" width="8.85546875" style="143"/>
    <col min="1018" max="1018" width="33.85546875" style="143" bestFit="1" customWidth="1"/>
    <col min="1019" max="1019" width="12.42578125" style="143" customWidth="1"/>
    <col min="1020" max="1020" width="14" style="143" bestFit="1" customWidth="1"/>
    <col min="1021" max="1021" width="16.5703125" style="143" customWidth="1"/>
    <col min="1022" max="1022" width="19.140625" style="143" customWidth="1"/>
    <col min="1023" max="1023" width="17.5703125" style="143" customWidth="1"/>
    <col min="1024" max="1024" width="14" style="143" customWidth="1"/>
    <col min="1025" max="1025" width="18.28515625" style="143" bestFit="1" customWidth="1"/>
    <col min="1026" max="1026" width="8.85546875" style="143"/>
    <col min="1027" max="1027" width="12.28515625" style="143" bestFit="1" customWidth="1"/>
    <col min="1028" max="1028" width="16.5703125" style="143" bestFit="1" customWidth="1"/>
    <col min="1029" max="1029" width="19.140625" style="143" bestFit="1" customWidth="1"/>
    <col min="1030" max="1030" width="17.5703125" style="143" bestFit="1" customWidth="1"/>
    <col min="1031" max="1031" width="12.28515625" style="143" bestFit="1" customWidth="1"/>
    <col min="1032" max="1032" width="18.28515625" style="143" bestFit="1" customWidth="1"/>
    <col min="1033" max="1273" width="8.85546875" style="143"/>
    <col min="1274" max="1274" width="33.85546875" style="143" bestFit="1" customWidth="1"/>
    <col min="1275" max="1275" width="12.42578125" style="143" customWidth="1"/>
    <col min="1276" max="1276" width="14" style="143" bestFit="1" customWidth="1"/>
    <col min="1277" max="1277" width="16.5703125" style="143" customWidth="1"/>
    <col min="1278" max="1278" width="19.140625" style="143" customWidth="1"/>
    <col min="1279" max="1279" width="17.5703125" style="143" customWidth="1"/>
    <col min="1280" max="1280" width="14" style="143" customWidth="1"/>
    <col min="1281" max="1281" width="18.28515625" style="143" bestFit="1" customWidth="1"/>
    <col min="1282" max="1282" width="8.85546875" style="143"/>
    <col min="1283" max="1283" width="12.28515625" style="143" bestFit="1" customWidth="1"/>
    <col min="1284" max="1284" width="16.5703125" style="143" bestFit="1" customWidth="1"/>
    <col min="1285" max="1285" width="19.140625" style="143" bestFit="1" customWidth="1"/>
    <col min="1286" max="1286" width="17.5703125" style="143" bestFit="1" customWidth="1"/>
    <col min="1287" max="1287" width="12.28515625" style="143" bestFit="1" customWidth="1"/>
    <col min="1288" max="1288" width="18.28515625" style="143" bestFit="1" customWidth="1"/>
    <col min="1289" max="1529" width="8.85546875" style="143"/>
    <col min="1530" max="1530" width="33.85546875" style="143" bestFit="1" customWidth="1"/>
    <col min="1531" max="1531" width="12.42578125" style="143" customWidth="1"/>
    <col min="1532" max="1532" width="14" style="143" bestFit="1" customWidth="1"/>
    <col min="1533" max="1533" width="16.5703125" style="143" customWidth="1"/>
    <col min="1534" max="1534" width="19.140625" style="143" customWidth="1"/>
    <col min="1535" max="1535" width="17.5703125" style="143" customWidth="1"/>
    <col min="1536" max="1536" width="14" style="143" customWidth="1"/>
    <col min="1537" max="1537" width="18.28515625" style="143" bestFit="1" customWidth="1"/>
    <col min="1538" max="1538" width="8.85546875" style="143"/>
    <col min="1539" max="1539" width="12.28515625" style="143" bestFit="1" customWidth="1"/>
    <col min="1540" max="1540" width="16.5703125" style="143" bestFit="1" customWidth="1"/>
    <col min="1541" max="1541" width="19.140625" style="143" bestFit="1" customWidth="1"/>
    <col min="1542" max="1542" width="17.5703125" style="143" bestFit="1" customWidth="1"/>
    <col min="1543" max="1543" width="12.28515625" style="143" bestFit="1" customWidth="1"/>
    <col min="1544" max="1544" width="18.28515625" style="143" bestFit="1" customWidth="1"/>
    <col min="1545" max="1785" width="8.85546875" style="143"/>
    <col min="1786" max="1786" width="33.85546875" style="143" bestFit="1" customWidth="1"/>
    <col min="1787" max="1787" width="12.42578125" style="143" customWidth="1"/>
    <col min="1788" max="1788" width="14" style="143" bestFit="1" customWidth="1"/>
    <col min="1789" max="1789" width="16.5703125" style="143" customWidth="1"/>
    <col min="1790" max="1790" width="19.140625" style="143" customWidth="1"/>
    <col min="1791" max="1791" width="17.5703125" style="143" customWidth="1"/>
    <col min="1792" max="1792" width="14" style="143" customWidth="1"/>
    <col min="1793" max="1793" width="18.28515625" style="143" bestFit="1" customWidth="1"/>
    <col min="1794" max="1794" width="8.85546875" style="143"/>
    <col min="1795" max="1795" width="12.28515625" style="143" bestFit="1" customWidth="1"/>
    <col min="1796" max="1796" width="16.5703125" style="143" bestFit="1" customWidth="1"/>
    <col min="1797" max="1797" width="19.140625" style="143" bestFit="1" customWidth="1"/>
    <col min="1798" max="1798" width="17.5703125" style="143" bestFit="1" customWidth="1"/>
    <col min="1799" max="1799" width="12.28515625" style="143" bestFit="1" customWidth="1"/>
    <col min="1800" max="1800" width="18.28515625" style="143" bestFit="1" customWidth="1"/>
    <col min="1801" max="2041" width="8.85546875" style="143"/>
    <col min="2042" max="2042" width="33.85546875" style="143" bestFit="1" customWidth="1"/>
    <col min="2043" max="2043" width="12.42578125" style="143" customWidth="1"/>
    <col min="2044" max="2044" width="14" style="143" bestFit="1" customWidth="1"/>
    <col min="2045" max="2045" width="16.5703125" style="143" customWidth="1"/>
    <col min="2046" max="2046" width="19.140625" style="143" customWidth="1"/>
    <col min="2047" max="2047" width="17.5703125" style="143" customWidth="1"/>
    <col min="2048" max="2048" width="14" style="143" customWidth="1"/>
    <col min="2049" max="2049" width="18.28515625" style="143" bestFit="1" customWidth="1"/>
    <col min="2050" max="2050" width="8.85546875" style="143"/>
    <col min="2051" max="2051" width="12.28515625" style="143" bestFit="1" customWidth="1"/>
    <col min="2052" max="2052" width="16.5703125" style="143" bestFit="1" customWidth="1"/>
    <col min="2053" max="2053" width="19.140625" style="143" bestFit="1" customWidth="1"/>
    <col min="2054" max="2054" width="17.5703125" style="143" bestFit="1" customWidth="1"/>
    <col min="2055" max="2055" width="12.28515625" style="143" bestFit="1" customWidth="1"/>
    <col min="2056" max="2056" width="18.28515625" style="143" bestFit="1" customWidth="1"/>
    <col min="2057" max="2297" width="8.85546875" style="143"/>
    <col min="2298" max="2298" width="33.85546875" style="143" bestFit="1" customWidth="1"/>
    <col min="2299" max="2299" width="12.42578125" style="143" customWidth="1"/>
    <col min="2300" max="2300" width="14" style="143" bestFit="1" customWidth="1"/>
    <col min="2301" max="2301" width="16.5703125" style="143" customWidth="1"/>
    <col min="2302" max="2302" width="19.140625" style="143" customWidth="1"/>
    <col min="2303" max="2303" width="17.5703125" style="143" customWidth="1"/>
    <col min="2304" max="2304" width="14" style="143" customWidth="1"/>
    <col min="2305" max="2305" width="18.28515625" style="143" bestFit="1" customWidth="1"/>
    <col min="2306" max="2306" width="8.85546875" style="143"/>
    <col min="2307" max="2307" width="12.28515625" style="143" bestFit="1" customWidth="1"/>
    <col min="2308" max="2308" width="16.5703125" style="143" bestFit="1" customWidth="1"/>
    <col min="2309" max="2309" width="19.140625" style="143" bestFit="1" customWidth="1"/>
    <col min="2310" max="2310" width="17.5703125" style="143" bestFit="1" customWidth="1"/>
    <col min="2311" max="2311" width="12.28515625" style="143" bestFit="1" customWidth="1"/>
    <col min="2312" max="2312" width="18.28515625" style="143" bestFit="1" customWidth="1"/>
    <col min="2313" max="2553" width="8.85546875" style="143"/>
    <col min="2554" max="2554" width="33.85546875" style="143" bestFit="1" customWidth="1"/>
    <col min="2555" max="2555" width="12.42578125" style="143" customWidth="1"/>
    <col min="2556" max="2556" width="14" style="143" bestFit="1" customWidth="1"/>
    <col min="2557" max="2557" width="16.5703125" style="143" customWidth="1"/>
    <col min="2558" max="2558" width="19.140625" style="143" customWidth="1"/>
    <col min="2559" max="2559" width="17.5703125" style="143" customWidth="1"/>
    <col min="2560" max="2560" width="14" style="143" customWidth="1"/>
    <col min="2561" max="2561" width="18.28515625" style="143" bestFit="1" customWidth="1"/>
    <col min="2562" max="2562" width="8.85546875" style="143"/>
    <col min="2563" max="2563" width="12.28515625" style="143" bestFit="1" customWidth="1"/>
    <col min="2564" max="2564" width="16.5703125" style="143" bestFit="1" customWidth="1"/>
    <col min="2565" max="2565" width="19.140625" style="143" bestFit="1" customWidth="1"/>
    <col min="2566" max="2566" width="17.5703125" style="143" bestFit="1" customWidth="1"/>
    <col min="2567" max="2567" width="12.28515625" style="143" bestFit="1" customWidth="1"/>
    <col min="2568" max="2568" width="18.28515625" style="143" bestFit="1" customWidth="1"/>
    <col min="2569" max="2809" width="8.85546875" style="143"/>
    <col min="2810" max="2810" width="33.85546875" style="143" bestFit="1" customWidth="1"/>
    <col min="2811" max="2811" width="12.42578125" style="143" customWidth="1"/>
    <col min="2812" max="2812" width="14" style="143" bestFit="1" customWidth="1"/>
    <col min="2813" max="2813" width="16.5703125" style="143" customWidth="1"/>
    <col min="2814" max="2814" width="19.140625" style="143" customWidth="1"/>
    <col min="2815" max="2815" width="17.5703125" style="143" customWidth="1"/>
    <col min="2816" max="2816" width="14" style="143" customWidth="1"/>
    <col min="2817" max="2817" width="18.28515625" style="143" bestFit="1" customWidth="1"/>
    <col min="2818" max="2818" width="8.85546875" style="143"/>
    <col min="2819" max="2819" width="12.28515625" style="143" bestFit="1" customWidth="1"/>
    <col min="2820" max="2820" width="16.5703125" style="143" bestFit="1" customWidth="1"/>
    <col min="2821" max="2821" width="19.140625" style="143" bestFit="1" customWidth="1"/>
    <col min="2822" max="2822" width="17.5703125" style="143" bestFit="1" customWidth="1"/>
    <col min="2823" max="2823" width="12.28515625" style="143" bestFit="1" customWidth="1"/>
    <col min="2824" max="2824" width="18.28515625" style="143" bestFit="1" customWidth="1"/>
    <col min="2825" max="3065" width="8.85546875" style="143"/>
    <col min="3066" max="3066" width="33.85546875" style="143" bestFit="1" customWidth="1"/>
    <col min="3067" max="3067" width="12.42578125" style="143" customWidth="1"/>
    <col min="3068" max="3068" width="14" style="143" bestFit="1" customWidth="1"/>
    <col min="3069" max="3069" width="16.5703125" style="143" customWidth="1"/>
    <col min="3070" max="3070" width="19.140625" style="143" customWidth="1"/>
    <col min="3071" max="3071" width="17.5703125" style="143" customWidth="1"/>
    <col min="3072" max="3072" width="14" style="143" customWidth="1"/>
    <col min="3073" max="3073" width="18.28515625" style="143" bestFit="1" customWidth="1"/>
    <col min="3074" max="3074" width="8.85546875" style="143"/>
    <col min="3075" max="3075" width="12.28515625" style="143" bestFit="1" customWidth="1"/>
    <col min="3076" max="3076" width="16.5703125" style="143" bestFit="1" customWidth="1"/>
    <col min="3077" max="3077" width="19.140625" style="143" bestFit="1" customWidth="1"/>
    <col min="3078" max="3078" width="17.5703125" style="143" bestFit="1" customWidth="1"/>
    <col min="3079" max="3079" width="12.28515625" style="143" bestFit="1" customWidth="1"/>
    <col min="3080" max="3080" width="18.28515625" style="143" bestFit="1" customWidth="1"/>
    <col min="3081" max="3321" width="8.85546875" style="143"/>
    <col min="3322" max="3322" width="33.85546875" style="143" bestFit="1" customWidth="1"/>
    <col min="3323" max="3323" width="12.42578125" style="143" customWidth="1"/>
    <col min="3324" max="3324" width="14" style="143" bestFit="1" customWidth="1"/>
    <col min="3325" max="3325" width="16.5703125" style="143" customWidth="1"/>
    <col min="3326" max="3326" width="19.140625" style="143" customWidth="1"/>
    <col min="3327" max="3327" width="17.5703125" style="143" customWidth="1"/>
    <col min="3328" max="3328" width="14" style="143" customWidth="1"/>
    <col min="3329" max="3329" width="18.28515625" style="143" bestFit="1" customWidth="1"/>
    <col min="3330" max="3330" width="8.85546875" style="143"/>
    <col min="3331" max="3331" width="12.28515625" style="143" bestFit="1" customWidth="1"/>
    <col min="3332" max="3332" width="16.5703125" style="143" bestFit="1" customWidth="1"/>
    <col min="3333" max="3333" width="19.140625" style="143" bestFit="1" customWidth="1"/>
    <col min="3334" max="3334" width="17.5703125" style="143" bestFit="1" customWidth="1"/>
    <col min="3335" max="3335" width="12.28515625" style="143" bestFit="1" customWidth="1"/>
    <col min="3336" max="3336" width="18.28515625" style="143" bestFit="1" customWidth="1"/>
    <col min="3337" max="3577" width="8.85546875" style="143"/>
    <col min="3578" max="3578" width="33.85546875" style="143" bestFit="1" customWidth="1"/>
    <col min="3579" max="3579" width="12.42578125" style="143" customWidth="1"/>
    <col min="3580" max="3580" width="14" style="143" bestFit="1" customWidth="1"/>
    <col min="3581" max="3581" width="16.5703125" style="143" customWidth="1"/>
    <col min="3582" max="3582" width="19.140625" style="143" customWidth="1"/>
    <col min="3583" max="3583" width="17.5703125" style="143" customWidth="1"/>
    <col min="3584" max="3584" width="14" style="143" customWidth="1"/>
    <col min="3585" max="3585" width="18.28515625" style="143" bestFit="1" customWidth="1"/>
    <col min="3586" max="3586" width="8.85546875" style="143"/>
    <col min="3587" max="3587" width="12.28515625" style="143" bestFit="1" customWidth="1"/>
    <col min="3588" max="3588" width="16.5703125" style="143" bestFit="1" customWidth="1"/>
    <col min="3589" max="3589" width="19.140625" style="143" bestFit="1" customWidth="1"/>
    <col min="3590" max="3590" width="17.5703125" style="143" bestFit="1" customWidth="1"/>
    <col min="3591" max="3591" width="12.28515625" style="143" bestFit="1" customWidth="1"/>
    <col min="3592" max="3592" width="18.28515625" style="143" bestFit="1" customWidth="1"/>
    <col min="3593" max="3833" width="8.85546875" style="143"/>
    <col min="3834" max="3834" width="33.85546875" style="143" bestFit="1" customWidth="1"/>
    <col min="3835" max="3835" width="12.42578125" style="143" customWidth="1"/>
    <col min="3836" max="3836" width="14" style="143" bestFit="1" customWidth="1"/>
    <col min="3837" max="3837" width="16.5703125" style="143" customWidth="1"/>
    <col min="3838" max="3838" width="19.140625" style="143" customWidth="1"/>
    <col min="3839" max="3839" width="17.5703125" style="143" customWidth="1"/>
    <col min="3840" max="3840" width="14" style="143" customWidth="1"/>
    <col min="3841" max="3841" width="18.28515625" style="143" bestFit="1" customWidth="1"/>
    <col min="3842" max="3842" width="8.85546875" style="143"/>
    <col min="3843" max="3843" width="12.28515625" style="143" bestFit="1" customWidth="1"/>
    <col min="3844" max="3844" width="16.5703125" style="143" bestFit="1" customWidth="1"/>
    <col min="3845" max="3845" width="19.140625" style="143" bestFit="1" customWidth="1"/>
    <col min="3846" max="3846" width="17.5703125" style="143" bestFit="1" customWidth="1"/>
    <col min="3847" max="3847" width="12.28515625" style="143" bestFit="1" customWidth="1"/>
    <col min="3848" max="3848" width="18.28515625" style="143" bestFit="1" customWidth="1"/>
    <col min="3849" max="4089" width="8.85546875" style="143"/>
    <col min="4090" max="4090" width="33.85546875" style="143" bestFit="1" customWidth="1"/>
    <col min="4091" max="4091" width="12.42578125" style="143" customWidth="1"/>
    <col min="4092" max="4092" width="14" style="143" bestFit="1" customWidth="1"/>
    <col min="4093" max="4093" width="16.5703125" style="143" customWidth="1"/>
    <col min="4094" max="4094" width="19.140625" style="143" customWidth="1"/>
    <col min="4095" max="4095" width="17.5703125" style="143" customWidth="1"/>
    <col min="4096" max="4096" width="14" style="143" customWidth="1"/>
    <col min="4097" max="4097" width="18.28515625" style="143" bestFit="1" customWidth="1"/>
    <col min="4098" max="4098" width="8.85546875" style="143"/>
    <col min="4099" max="4099" width="12.28515625" style="143" bestFit="1" customWidth="1"/>
    <col min="4100" max="4100" width="16.5703125" style="143" bestFit="1" customWidth="1"/>
    <col min="4101" max="4101" width="19.140625" style="143" bestFit="1" customWidth="1"/>
    <col min="4102" max="4102" width="17.5703125" style="143" bestFit="1" customWidth="1"/>
    <col min="4103" max="4103" width="12.28515625" style="143" bestFit="1" customWidth="1"/>
    <col min="4104" max="4104" width="18.28515625" style="143" bestFit="1" customWidth="1"/>
    <col min="4105" max="4345" width="8.85546875" style="143"/>
    <col min="4346" max="4346" width="33.85546875" style="143" bestFit="1" customWidth="1"/>
    <col min="4347" max="4347" width="12.42578125" style="143" customWidth="1"/>
    <col min="4348" max="4348" width="14" style="143" bestFit="1" customWidth="1"/>
    <col min="4349" max="4349" width="16.5703125" style="143" customWidth="1"/>
    <col min="4350" max="4350" width="19.140625" style="143" customWidth="1"/>
    <col min="4351" max="4351" width="17.5703125" style="143" customWidth="1"/>
    <col min="4352" max="4352" width="14" style="143" customWidth="1"/>
    <col min="4353" max="4353" width="18.28515625" style="143" bestFit="1" customWidth="1"/>
    <col min="4354" max="4354" width="8.85546875" style="143"/>
    <col min="4355" max="4355" width="12.28515625" style="143" bestFit="1" customWidth="1"/>
    <col min="4356" max="4356" width="16.5703125" style="143" bestFit="1" customWidth="1"/>
    <col min="4357" max="4357" width="19.140625" style="143" bestFit="1" customWidth="1"/>
    <col min="4358" max="4358" width="17.5703125" style="143" bestFit="1" customWidth="1"/>
    <col min="4359" max="4359" width="12.28515625" style="143" bestFit="1" customWidth="1"/>
    <col min="4360" max="4360" width="18.28515625" style="143" bestFit="1" customWidth="1"/>
    <col min="4361" max="4601" width="8.85546875" style="143"/>
    <col min="4602" max="4602" width="33.85546875" style="143" bestFit="1" customWidth="1"/>
    <col min="4603" max="4603" width="12.42578125" style="143" customWidth="1"/>
    <col min="4604" max="4604" width="14" style="143" bestFit="1" customWidth="1"/>
    <col min="4605" max="4605" width="16.5703125" style="143" customWidth="1"/>
    <col min="4606" max="4606" width="19.140625" style="143" customWidth="1"/>
    <col min="4607" max="4607" width="17.5703125" style="143" customWidth="1"/>
    <col min="4608" max="4608" width="14" style="143" customWidth="1"/>
    <col min="4609" max="4609" width="18.28515625" style="143" bestFit="1" customWidth="1"/>
    <col min="4610" max="4610" width="8.85546875" style="143"/>
    <col min="4611" max="4611" width="12.28515625" style="143" bestFit="1" customWidth="1"/>
    <col min="4612" max="4612" width="16.5703125" style="143" bestFit="1" customWidth="1"/>
    <col min="4613" max="4613" width="19.140625" style="143" bestFit="1" customWidth="1"/>
    <col min="4614" max="4614" width="17.5703125" style="143" bestFit="1" customWidth="1"/>
    <col min="4615" max="4615" width="12.28515625" style="143" bestFit="1" customWidth="1"/>
    <col min="4616" max="4616" width="18.28515625" style="143" bestFit="1" customWidth="1"/>
    <col min="4617" max="4857" width="8.85546875" style="143"/>
    <col min="4858" max="4858" width="33.85546875" style="143" bestFit="1" customWidth="1"/>
    <col min="4859" max="4859" width="12.42578125" style="143" customWidth="1"/>
    <col min="4860" max="4860" width="14" style="143" bestFit="1" customWidth="1"/>
    <col min="4861" max="4861" width="16.5703125" style="143" customWidth="1"/>
    <col min="4862" max="4862" width="19.140625" style="143" customWidth="1"/>
    <col min="4863" max="4863" width="17.5703125" style="143" customWidth="1"/>
    <col min="4864" max="4864" width="14" style="143" customWidth="1"/>
    <col min="4865" max="4865" width="18.28515625" style="143" bestFit="1" customWidth="1"/>
    <col min="4866" max="4866" width="8.85546875" style="143"/>
    <col min="4867" max="4867" width="12.28515625" style="143" bestFit="1" customWidth="1"/>
    <col min="4868" max="4868" width="16.5703125" style="143" bestFit="1" customWidth="1"/>
    <col min="4869" max="4869" width="19.140625" style="143" bestFit="1" customWidth="1"/>
    <col min="4870" max="4870" width="17.5703125" style="143" bestFit="1" customWidth="1"/>
    <col min="4871" max="4871" width="12.28515625" style="143" bestFit="1" customWidth="1"/>
    <col min="4872" max="4872" width="18.28515625" style="143" bestFit="1" customWidth="1"/>
    <col min="4873" max="5113" width="8.85546875" style="143"/>
    <col min="5114" max="5114" width="33.85546875" style="143" bestFit="1" customWidth="1"/>
    <col min="5115" max="5115" width="12.42578125" style="143" customWidth="1"/>
    <col min="5116" max="5116" width="14" style="143" bestFit="1" customWidth="1"/>
    <col min="5117" max="5117" width="16.5703125" style="143" customWidth="1"/>
    <col min="5118" max="5118" width="19.140625" style="143" customWidth="1"/>
    <col min="5119" max="5119" width="17.5703125" style="143" customWidth="1"/>
    <col min="5120" max="5120" width="14" style="143" customWidth="1"/>
    <col min="5121" max="5121" width="18.28515625" style="143" bestFit="1" customWidth="1"/>
    <col min="5122" max="5122" width="8.85546875" style="143"/>
    <col min="5123" max="5123" width="12.28515625" style="143" bestFit="1" customWidth="1"/>
    <col min="5124" max="5124" width="16.5703125" style="143" bestFit="1" customWidth="1"/>
    <col min="5125" max="5125" width="19.140625" style="143" bestFit="1" customWidth="1"/>
    <col min="5126" max="5126" width="17.5703125" style="143" bestFit="1" customWidth="1"/>
    <col min="5127" max="5127" width="12.28515625" style="143" bestFit="1" customWidth="1"/>
    <col min="5128" max="5128" width="18.28515625" style="143" bestFit="1" customWidth="1"/>
    <col min="5129" max="5369" width="8.85546875" style="143"/>
    <col min="5370" max="5370" width="33.85546875" style="143" bestFit="1" customWidth="1"/>
    <col min="5371" max="5371" width="12.42578125" style="143" customWidth="1"/>
    <col min="5372" max="5372" width="14" style="143" bestFit="1" customWidth="1"/>
    <col min="5373" max="5373" width="16.5703125" style="143" customWidth="1"/>
    <col min="5374" max="5374" width="19.140625" style="143" customWidth="1"/>
    <col min="5375" max="5375" width="17.5703125" style="143" customWidth="1"/>
    <col min="5376" max="5376" width="14" style="143" customWidth="1"/>
    <col min="5377" max="5377" width="18.28515625" style="143" bestFit="1" customWidth="1"/>
    <col min="5378" max="5378" width="8.85546875" style="143"/>
    <col min="5379" max="5379" width="12.28515625" style="143" bestFit="1" customWidth="1"/>
    <col min="5380" max="5380" width="16.5703125" style="143" bestFit="1" customWidth="1"/>
    <col min="5381" max="5381" width="19.140625" style="143" bestFit="1" customWidth="1"/>
    <col min="5382" max="5382" width="17.5703125" style="143" bestFit="1" customWidth="1"/>
    <col min="5383" max="5383" width="12.28515625" style="143" bestFit="1" customWidth="1"/>
    <col min="5384" max="5384" width="18.28515625" style="143" bestFit="1" customWidth="1"/>
    <col min="5385" max="5625" width="8.85546875" style="143"/>
    <col min="5626" max="5626" width="33.85546875" style="143" bestFit="1" customWidth="1"/>
    <col min="5627" max="5627" width="12.42578125" style="143" customWidth="1"/>
    <col min="5628" max="5628" width="14" style="143" bestFit="1" customWidth="1"/>
    <col min="5629" max="5629" width="16.5703125" style="143" customWidth="1"/>
    <col min="5630" max="5630" width="19.140625" style="143" customWidth="1"/>
    <col min="5631" max="5631" width="17.5703125" style="143" customWidth="1"/>
    <col min="5632" max="5632" width="14" style="143" customWidth="1"/>
    <col min="5633" max="5633" width="18.28515625" style="143" bestFit="1" customWidth="1"/>
    <col min="5634" max="5634" width="8.85546875" style="143"/>
    <col min="5635" max="5635" width="12.28515625" style="143" bestFit="1" customWidth="1"/>
    <col min="5636" max="5636" width="16.5703125" style="143" bestFit="1" customWidth="1"/>
    <col min="5637" max="5637" width="19.140625" style="143" bestFit="1" customWidth="1"/>
    <col min="5638" max="5638" width="17.5703125" style="143" bestFit="1" customWidth="1"/>
    <col min="5639" max="5639" width="12.28515625" style="143" bestFit="1" customWidth="1"/>
    <col min="5640" max="5640" width="18.28515625" style="143" bestFit="1" customWidth="1"/>
    <col min="5641" max="5881" width="8.85546875" style="143"/>
    <col min="5882" max="5882" width="33.85546875" style="143" bestFit="1" customWidth="1"/>
    <col min="5883" max="5883" width="12.42578125" style="143" customWidth="1"/>
    <col min="5884" max="5884" width="14" style="143" bestFit="1" customWidth="1"/>
    <col min="5885" max="5885" width="16.5703125" style="143" customWidth="1"/>
    <col min="5886" max="5886" width="19.140625" style="143" customWidth="1"/>
    <col min="5887" max="5887" width="17.5703125" style="143" customWidth="1"/>
    <col min="5888" max="5888" width="14" style="143" customWidth="1"/>
    <col min="5889" max="5889" width="18.28515625" style="143" bestFit="1" customWidth="1"/>
    <col min="5890" max="5890" width="8.85546875" style="143"/>
    <col min="5891" max="5891" width="12.28515625" style="143" bestFit="1" customWidth="1"/>
    <col min="5892" max="5892" width="16.5703125" style="143" bestFit="1" customWidth="1"/>
    <col min="5893" max="5893" width="19.140625" style="143" bestFit="1" customWidth="1"/>
    <col min="5894" max="5894" width="17.5703125" style="143" bestFit="1" customWidth="1"/>
    <col min="5895" max="5895" width="12.28515625" style="143" bestFit="1" customWidth="1"/>
    <col min="5896" max="5896" width="18.28515625" style="143" bestFit="1" customWidth="1"/>
    <col min="5897" max="6137" width="8.85546875" style="143"/>
    <col min="6138" max="6138" width="33.85546875" style="143" bestFit="1" customWidth="1"/>
    <col min="6139" max="6139" width="12.42578125" style="143" customWidth="1"/>
    <col min="6140" max="6140" width="14" style="143" bestFit="1" customWidth="1"/>
    <col min="6141" max="6141" width="16.5703125" style="143" customWidth="1"/>
    <col min="6142" max="6142" width="19.140625" style="143" customWidth="1"/>
    <col min="6143" max="6143" width="17.5703125" style="143" customWidth="1"/>
    <col min="6144" max="6144" width="14" style="143" customWidth="1"/>
    <col min="6145" max="6145" width="18.28515625" style="143" bestFit="1" customWidth="1"/>
    <col min="6146" max="6146" width="8.85546875" style="143"/>
    <col min="6147" max="6147" width="12.28515625" style="143" bestFit="1" customWidth="1"/>
    <col min="6148" max="6148" width="16.5703125" style="143" bestFit="1" customWidth="1"/>
    <col min="6149" max="6149" width="19.140625" style="143" bestFit="1" customWidth="1"/>
    <col min="6150" max="6150" width="17.5703125" style="143" bestFit="1" customWidth="1"/>
    <col min="6151" max="6151" width="12.28515625" style="143" bestFit="1" customWidth="1"/>
    <col min="6152" max="6152" width="18.28515625" style="143" bestFit="1" customWidth="1"/>
    <col min="6153" max="6393" width="8.85546875" style="143"/>
    <col min="6394" max="6394" width="33.85546875" style="143" bestFit="1" customWidth="1"/>
    <col min="6395" max="6395" width="12.42578125" style="143" customWidth="1"/>
    <col min="6396" max="6396" width="14" style="143" bestFit="1" customWidth="1"/>
    <col min="6397" max="6397" width="16.5703125" style="143" customWidth="1"/>
    <col min="6398" max="6398" width="19.140625" style="143" customWidth="1"/>
    <col min="6399" max="6399" width="17.5703125" style="143" customWidth="1"/>
    <col min="6400" max="6400" width="14" style="143" customWidth="1"/>
    <col min="6401" max="6401" width="18.28515625" style="143" bestFit="1" customWidth="1"/>
    <col min="6402" max="6402" width="8.85546875" style="143"/>
    <col min="6403" max="6403" width="12.28515625" style="143" bestFit="1" customWidth="1"/>
    <col min="6404" max="6404" width="16.5703125" style="143" bestFit="1" customWidth="1"/>
    <col min="6405" max="6405" width="19.140625" style="143" bestFit="1" customWidth="1"/>
    <col min="6406" max="6406" width="17.5703125" style="143" bestFit="1" customWidth="1"/>
    <col min="6407" max="6407" width="12.28515625" style="143" bestFit="1" customWidth="1"/>
    <col min="6408" max="6408" width="18.28515625" style="143" bestFit="1" customWidth="1"/>
    <col min="6409" max="6649" width="8.85546875" style="143"/>
    <col min="6650" max="6650" width="33.85546875" style="143" bestFit="1" customWidth="1"/>
    <col min="6651" max="6651" width="12.42578125" style="143" customWidth="1"/>
    <col min="6652" max="6652" width="14" style="143" bestFit="1" customWidth="1"/>
    <col min="6653" max="6653" width="16.5703125" style="143" customWidth="1"/>
    <col min="6654" max="6654" width="19.140625" style="143" customWidth="1"/>
    <col min="6655" max="6655" width="17.5703125" style="143" customWidth="1"/>
    <col min="6656" max="6656" width="14" style="143" customWidth="1"/>
    <col min="6657" max="6657" width="18.28515625" style="143" bestFit="1" customWidth="1"/>
    <col min="6658" max="6658" width="8.85546875" style="143"/>
    <col min="6659" max="6659" width="12.28515625" style="143" bestFit="1" customWidth="1"/>
    <col min="6660" max="6660" width="16.5703125" style="143" bestFit="1" customWidth="1"/>
    <col min="6661" max="6661" width="19.140625" style="143" bestFit="1" customWidth="1"/>
    <col min="6662" max="6662" width="17.5703125" style="143" bestFit="1" customWidth="1"/>
    <col min="6663" max="6663" width="12.28515625" style="143" bestFit="1" customWidth="1"/>
    <col min="6664" max="6664" width="18.28515625" style="143" bestFit="1" customWidth="1"/>
    <col min="6665" max="6905" width="8.85546875" style="143"/>
    <col min="6906" max="6906" width="33.85546875" style="143" bestFit="1" customWidth="1"/>
    <col min="6907" max="6907" width="12.42578125" style="143" customWidth="1"/>
    <col min="6908" max="6908" width="14" style="143" bestFit="1" customWidth="1"/>
    <col min="6909" max="6909" width="16.5703125" style="143" customWidth="1"/>
    <col min="6910" max="6910" width="19.140625" style="143" customWidth="1"/>
    <col min="6911" max="6911" width="17.5703125" style="143" customWidth="1"/>
    <col min="6912" max="6912" width="14" style="143" customWidth="1"/>
    <col min="6913" max="6913" width="18.28515625" style="143" bestFit="1" customWidth="1"/>
    <col min="6914" max="6914" width="8.85546875" style="143"/>
    <col min="6915" max="6915" width="12.28515625" style="143" bestFit="1" customWidth="1"/>
    <col min="6916" max="6916" width="16.5703125" style="143" bestFit="1" customWidth="1"/>
    <col min="6917" max="6917" width="19.140625" style="143" bestFit="1" customWidth="1"/>
    <col min="6918" max="6918" width="17.5703125" style="143" bestFit="1" customWidth="1"/>
    <col min="6919" max="6919" width="12.28515625" style="143" bestFit="1" customWidth="1"/>
    <col min="6920" max="6920" width="18.28515625" style="143" bestFit="1" customWidth="1"/>
    <col min="6921" max="7161" width="8.85546875" style="143"/>
    <col min="7162" max="7162" width="33.85546875" style="143" bestFit="1" customWidth="1"/>
    <col min="7163" max="7163" width="12.42578125" style="143" customWidth="1"/>
    <col min="7164" max="7164" width="14" style="143" bestFit="1" customWidth="1"/>
    <col min="7165" max="7165" width="16.5703125" style="143" customWidth="1"/>
    <col min="7166" max="7166" width="19.140625" style="143" customWidth="1"/>
    <col min="7167" max="7167" width="17.5703125" style="143" customWidth="1"/>
    <col min="7168" max="7168" width="14" style="143" customWidth="1"/>
    <col min="7169" max="7169" width="18.28515625" style="143" bestFit="1" customWidth="1"/>
    <col min="7170" max="7170" width="8.85546875" style="143"/>
    <col min="7171" max="7171" width="12.28515625" style="143" bestFit="1" customWidth="1"/>
    <col min="7172" max="7172" width="16.5703125" style="143" bestFit="1" customWidth="1"/>
    <col min="7173" max="7173" width="19.140625" style="143" bestFit="1" customWidth="1"/>
    <col min="7174" max="7174" width="17.5703125" style="143" bestFit="1" customWidth="1"/>
    <col min="7175" max="7175" width="12.28515625" style="143" bestFit="1" customWidth="1"/>
    <col min="7176" max="7176" width="18.28515625" style="143" bestFit="1" customWidth="1"/>
    <col min="7177" max="7417" width="8.85546875" style="143"/>
    <col min="7418" max="7418" width="33.85546875" style="143" bestFit="1" customWidth="1"/>
    <col min="7419" max="7419" width="12.42578125" style="143" customWidth="1"/>
    <col min="7420" max="7420" width="14" style="143" bestFit="1" customWidth="1"/>
    <col min="7421" max="7421" width="16.5703125" style="143" customWidth="1"/>
    <col min="7422" max="7422" width="19.140625" style="143" customWidth="1"/>
    <col min="7423" max="7423" width="17.5703125" style="143" customWidth="1"/>
    <col min="7424" max="7424" width="14" style="143" customWidth="1"/>
    <col min="7425" max="7425" width="18.28515625" style="143" bestFit="1" customWidth="1"/>
    <col min="7426" max="7426" width="8.85546875" style="143"/>
    <col min="7427" max="7427" width="12.28515625" style="143" bestFit="1" customWidth="1"/>
    <col min="7428" max="7428" width="16.5703125" style="143" bestFit="1" customWidth="1"/>
    <col min="7429" max="7429" width="19.140625" style="143" bestFit="1" customWidth="1"/>
    <col min="7430" max="7430" width="17.5703125" style="143" bestFit="1" customWidth="1"/>
    <col min="7431" max="7431" width="12.28515625" style="143" bestFit="1" customWidth="1"/>
    <col min="7432" max="7432" width="18.28515625" style="143" bestFit="1" customWidth="1"/>
    <col min="7433" max="7673" width="8.85546875" style="143"/>
    <col min="7674" max="7674" width="33.85546875" style="143" bestFit="1" customWidth="1"/>
    <col min="7675" max="7675" width="12.42578125" style="143" customWidth="1"/>
    <col min="7676" max="7676" width="14" style="143" bestFit="1" customWidth="1"/>
    <col min="7677" max="7677" width="16.5703125" style="143" customWidth="1"/>
    <col min="7678" max="7678" width="19.140625" style="143" customWidth="1"/>
    <col min="7679" max="7679" width="17.5703125" style="143" customWidth="1"/>
    <col min="7680" max="7680" width="14" style="143" customWidth="1"/>
    <col min="7681" max="7681" width="18.28515625" style="143" bestFit="1" customWidth="1"/>
    <col min="7682" max="7682" width="8.85546875" style="143"/>
    <col min="7683" max="7683" width="12.28515625" style="143" bestFit="1" customWidth="1"/>
    <col min="7684" max="7684" width="16.5703125" style="143" bestFit="1" customWidth="1"/>
    <col min="7685" max="7685" width="19.140625" style="143" bestFit="1" customWidth="1"/>
    <col min="7686" max="7686" width="17.5703125" style="143" bestFit="1" customWidth="1"/>
    <col min="7687" max="7687" width="12.28515625" style="143" bestFit="1" customWidth="1"/>
    <col min="7688" max="7688" width="18.28515625" style="143" bestFit="1" customWidth="1"/>
    <col min="7689" max="7929" width="8.85546875" style="143"/>
    <col min="7930" max="7930" width="33.85546875" style="143" bestFit="1" customWidth="1"/>
    <col min="7931" max="7931" width="12.42578125" style="143" customWidth="1"/>
    <col min="7932" max="7932" width="14" style="143" bestFit="1" customWidth="1"/>
    <col min="7933" max="7933" width="16.5703125" style="143" customWidth="1"/>
    <col min="7934" max="7934" width="19.140625" style="143" customWidth="1"/>
    <col min="7935" max="7935" width="17.5703125" style="143" customWidth="1"/>
    <col min="7936" max="7936" width="14" style="143" customWidth="1"/>
    <col min="7937" max="7937" width="18.28515625" style="143" bestFit="1" customWidth="1"/>
    <col min="7938" max="7938" width="8.85546875" style="143"/>
    <col min="7939" max="7939" width="12.28515625" style="143" bestFit="1" customWidth="1"/>
    <col min="7940" max="7940" width="16.5703125" style="143" bestFit="1" customWidth="1"/>
    <col min="7941" max="7941" width="19.140625" style="143" bestFit="1" customWidth="1"/>
    <col min="7942" max="7942" width="17.5703125" style="143" bestFit="1" customWidth="1"/>
    <col min="7943" max="7943" width="12.28515625" style="143" bestFit="1" customWidth="1"/>
    <col min="7944" max="7944" width="18.28515625" style="143" bestFit="1" customWidth="1"/>
    <col min="7945" max="8185" width="8.85546875" style="143"/>
    <col min="8186" max="8186" width="33.85546875" style="143" bestFit="1" customWidth="1"/>
    <col min="8187" max="8187" width="12.42578125" style="143" customWidth="1"/>
    <col min="8188" max="8188" width="14" style="143" bestFit="1" customWidth="1"/>
    <col min="8189" max="8189" width="16.5703125" style="143" customWidth="1"/>
    <col min="8190" max="8190" width="19.140625" style="143" customWidth="1"/>
    <col min="8191" max="8191" width="17.5703125" style="143" customWidth="1"/>
    <col min="8192" max="8192" width="14" style="143" customWidth="1"/>
    <col min="8193" max="8193" width="18.28515625" style="143" bestFit="1" customWidth="1"/>
    <col min="8194" max="8194" width="8.85546875" style="143"/>
    <col min="8195" max="8195" width="12.28515625" style="143" bestFit="1" customWidth="1"/>
    <col min="8196" max="8196" width="16.5703125" style="143" bestFit="1" customWidth="1"/>
    <col min="8197" max="8197" width="19.140625" style="143" bestFit="1" customWidth="1"/>
    <col min="8198" max="8198" width="17.5703125" style="143" bestFit="1" customWidth="1"/>
    <col min="8199" max="8199" width="12.28515625" style="143" bestFit="1" customWidth="1"/>
    <col min="8200" max="8200" width="18.28515625" style="143" bestFit="1" customWidth="1"/>
    <col min="8201" max="8441" width="8.85546875" style="143"/>
    <col min="8442" max="8442" width="33.85546875" style="143" bestFit="1" customWidth="1"/>
    <col min="8443" max="8443" width="12.42578125" style="143" customWidth="1"/>
    <col min="8444" max="8444" width="14" style="143" bestFit="1" customWidth="1"/>
    <col min="8445" max="8445" width="16.5703125" style="143" customWidth="1"/>
    <col min="8446" max="8446" width="19.140625" style="143" customWidth="1"/>
    <col min="8447" max="8447" width="17.5703125" style="143" customWidth="1"/>
    <col min="8448" max="8448" width="14" style="143" customWidth="1"/>
    <col min="8449" max="8449" width="18.28515625" style="143" bestFit="1" customWidth="1"/>
    <col min="8450" max="8450" width="8.85546875" style="143"/>
    <col min="8451" max="8451" width="12.28515625" style="143" bestFit="1" customWidth="1"/>
    <col min="8452" max="8452" width="16.5703125" style="143" bestFit="1" customWidth="1"/>
    <col min="8453" max="8453" width="19.140625" style="143" bestFit="1" customWidth="1"/>
    <col min="8454" max="8454" width="17.5703125" style="143" bestFit="1" customWidth="1"/>
    <col min="8455" max="8455" width="12.28515625" style="143" bestFit="1" customWidth="1"/>
    <col min="8456" max="8456" width="18.28515625" style="143" bestFit="1" customWidth="1"/>
    <col min="8457" max="8697" width="8.85546875" style="143"/>
    <col min="8698" max="8698" width="33.85546875" style="143" bestFit="1" customWidth="1"/>
    <col min="8699" max="8699" width="12.42578125" style="143" customWidth="1"/>
    <col min="8700" max="8700" width="14" style="143" bestFit="1" customWidth="1"/>
    <col min="8701" max="8701" width="16.5703125" style="143" customWidth="1"/>
    <col min="8702" max="8702" width="19.140625" style="143" customWidth="1"/>
    <col min="8703" max="8703" width="17.5703125" style="143" customWidth="1"/>
    <col min="8704" max="8704" width="14" style="143" customWidth="1"/>
    <col min="8705" max="8705" width="18.28515625" style="143" bestFit="1" customWidth="1"/>
    <col min="8706" max="8706" width="8.85546875" style="143"/>
    <col min="8707" max="8707" width="12.28515625" style="143" bestFit="1" customWidth="1"/>
    <col min="8708" max="8708" width="16.5703125" style="143" bestFit="1" customWidth="1"/>
    <col min="8709" max="8709" width="19.140625" style="143" bestFit="1" customWidth="1"/>
    <col min="8710" max="8710" width="17.5703125" style="143" bestFit="1" customWidth="1"/>
    <col min="8711" max="8711" width="12.28515625" style="143" bestFit="1" customWidth="1"/>
    <col min="8712" max="8712" width="18.28515625" style="143" bestFit="1" customWidth="1"/>
    <col min="8713" max="8953" width="8.85546875" style="143"/>
    <col min="8954" max="8954" width="33.85546875" style="143" bestFit="1" customWidth="1"/>
    <col min="8955" max="8955" width="12.42578125" style="143" customWidth="1"/>
    <col min="8956" max="8956" width="14" style="143" bestFit="1" customWidth="1"/>
    <col min="8957" max="8957" width="16.5703125" style="143" customWidth="1"/>
    <col min="8958" max="8958" width="19.140625" style="143" customWidth="1"/>
    <col min="8959" max="8959" width="17.5703125" style="143" customWidth="1"/>
    <col min="8960" max="8960" width="14" style="143" customWidth="1"/>
    <col min="8961" max="8961" width="18.28515625" style="143" bestFit="1" customWidth="1"/>
    <col min="8962" max="8962" width="8.85546875" style="143"/>
    <col min="8963" max="8963" width="12.28515625" style="143" bestFit="1" customWidth="1"/>
    <col min="8964" max="8964" width="16.5703125" style="143" bestFit="1" customWidth="1"/>
    <col min="8965" max="8965" width="19.140625" style="143" bestFit="1" customWidth="1"/>
    <col min="8966" max="8966" width="17.5703125" style="143" bestFit="1" customWidth="1"/>
    <col min="8967" max="8967" width="12.28515625" style="143" bestFit="1" customWidth="1"/>
    <col min="8968" max="8968" width="18.28515625" style="143" bestFit="1" customWidth="1"/>
    <col min="8969" max="9209" width="8.85546875" style="143"/>
    <col min="9210" max="9210" width="33.85546875" style="143" bestFit="1" customWidth="1"/>
    <col min="9211" max="9211" width="12.42578125" style="143" customWidth="1"/>
    <col min="9212" max="9212" width="14" style="143" bestFit="1" customWidth="1"/>
    <col min="9213" max="9213" width="16.5703125" style="143" customWidth="1"/>
    <col min="9214" max="9214" width="19.140625" style="143" customWidth="1"/>
    <col min="9215" max="9215" width="17.5703125" style="143" customWidth="1"/>
    <col min="9216" max="9216" width="14" style="143" customWidth="1"/>
    <col min="9217" max="9217" width="18.28515625" style="143" bestFit="1" customWidth="1"/>
    <col min="9218" max="9218" width="8.85546875" style="143"/>
    <col min="9219" max="9219" width="12.28515625" style="143" bestFit="1" customWidth="1"/>
    <col min="9220" max="9220" width="16.5703125" style="143" bestFit="1" customWidth="1"/>
    <col min="9221" max="9221" width="19.140625" style="143" bestFit="1" customWidth="1"/>
    <col min="9222" max="9222" width="17.5703125" style="143" bestFit="1" customWidth="1"/>
    <col min="9223" max="9223" width="12.28515625" style="143" bestFit="1" customWidth="1"/>
    <col min="9224" max="9224" width="18.28515625" style="143" bestFit="1" customWidth="1"/>
    <col min="9225" max="9465" width="8.85546875" style="143"/>
    <col min="9466" max="9466" width="33.85546875" style="143" bestFit="1" customWidth="1"/>
    <col min="9467" max="9467" width="12.42578125" style="143" customWidth="1"/>
    <col min="9468" max="9468" width="14" style="143" bestFit="1" customWidth="1"/>
    <col min="9469" max="9469" width="16.5703125" style="143" customWidth="1"/>
    <col min="9470" max="9470" width="19.140625" style="143" customWidth="1"/>
    <col min="9471" max="9471" width="17.5703125" style="143" customWidth="1"/>
    <col min="9472" max="9472" width="14" style="143" customWidth="1"/>
    <col min="9473" max="9473" width="18.28515625" style="143" bestFit="1" customWidth="1"/>
    <col min="9474" max="9474" width="8.85546875" style="143"/>
    <col min="9475" max="9475" width="12.28515625" style="143" bestFit="1" customWidth="1"/>
    <col min="9476" max="9476" width="16.5703125" style="143" bestFit="1" customWidth="1"/>
    <col min="9477" max="9477" width="19.140625" style="143" bestFit="1" customWidth="1"/>
    <col min="9478" max="9478" width="17.5703125" style="143" bestFit="1" customWidth="1"/>
    <col min="9479" max="9479" width="12.28515625" style="143" bestFit="1" customWidth="1"/>
    <col min="9480" max="9480" width="18.28515625" style="143" bestFit="1" customWidth="1"/>
    <col min="9481" max="9721" width="8.85546875" style="143"/>
    <col min="9722" max="9722" width="33.85546875" style="143" bestFit="1" customWidth="1"/>
    <col min="9723" max="9723" width="12.42578125" style="143" customWidth="1"/>
    <col min="9724" max="9724" width="14" style="143" bestFit="1" customWidth="1"/>
    <col min="9725" max="9725" width="16.5703125" style="143" customWidth="1"/>
    <col min="9726" max="9726" width="19.140625" style="143" customWidth="1"/>
    <col min="9727" max="9727" width="17.5703125" style="143" customWidth="1"/>
    <col min="9728" max="9728" width="14" style="143" customWidth="1"/>
    <col min="9729" max="9729" width="18.28515625" style="143" bestFit="1" customWidth="1"/>
    <col min="9730" max="9730" width="8.85546875" style="143"/>
    <col min="9731" max="9731" width="12.28515625" style="143" bestFit="1" customWidth="1"/>
    <col min="9732" max="9732" width="16.5703125" style="143" bestFit="1" customWidth="1"/>
    <col min="9733" max="9733" width="19.140625" style="143" bestFit="1" customWidth="1"/>
    <col min="9734" max="9734" width="17.5703125" style="143" bestFit="1" customWidth="1"/>
    <col min="9735" max="9735" width="12.28515625" style="143" bestFit="1" customWidth="1"/>
    <col min="9736" max="9736" width="18.28515625" style="143" bestFit="1" customWidth="1"/>
    <col min="9737" max="9977" width="8.85546875" style="143"/>
    <col min="9978" max="9978" width="33.85546875" style="143" bestFit="1" customWidth="1"/>
    <col min="9979" max="9979" width="12.42578125" style="143" customWidth="1"/>
    <col min="9980" max="9980" width="14" style="143" bestFit="1" customWidth="1"/>
    <col min="9981" max="9981" width="16.5703125" style="143" customWidth="1"/>
    <col min="9982" max="9982" width="19.140625" style="143" customWidth="1"/>
    <col min="9983" max="9983" width="17.5703125" style="143" customWidth="1"/>
    <col min="9984" max="9984" width="14" style="143" customWidth="1"/>
    <col min="9985" max="9985" width="18.28515625" style="143" bestFit="1" customWidth="1"/>
    <col min="9986" max="9986" width="8.85546875" style="143"/>
    <col min="9987" max="9987" width="12.28515625" style="143" bestFit="1" customWidth="1"/>
    <col min="9988" max="9988" width="16.5703125" style="143" bestFit="1" customWidth="1"/>
    <col min="9989" max="9989" width="19.140625" style="143" bestFit="1" customWidth="1"/>
    <col min="9990" max="9990" width="17.5703125" style="143" bestFit="1" customWidth="1"/>
    <col min="9991" max="9991" width="12.28515625" style="143" bestFit="1" customWidth="1"/>
    <col min="9992" max="9992" width="18.28515625" style="143" bestFit="1" customWidth="1"/>
    <col min="9993" max="10233" width="8.85546875" style="143"/>
    <col min="10234" max="10234" width="33.85546875" style="143" bestFit="1" customWidth="1"/>
    <col min="10235" max="10235" width="12.42578125" style="143" customWidth="1"/>
    <col min="10236" max="10236" width="14" style="143" bestFit="1" customWidth="1"/>
    <col min="10237" max="10237" width="16.5703125" style="143" customWidth="1"/>
    <col min="10238" max="10238" width="19.140625" style="143" customWidth="1"/>
    <col min="10239" max="10239" width="17.5703125" style="143" customWidth="1"/>
    <col min="10240" max="10240" width="14" style="143" customWidth="1"/>
    <col min="10241" max="10241" width="18.28515625" style="143" bestFit="1" customWidth="1"/>
    <col min="10242" max="10242" width="8.85546875" style="143"/>
    <col min="10243" max="10243" width="12.28515625" style="143" bestFit="1" customWidth="1"/>
    <col min="10244" max="10244" width="16.5703125" style="143" bestFit="1" customWidth="1"/>
    <col min="10245" max="10245" width="19.140625" style="143" bestFit="1" customWidth="1"/>
    <col min="10246" max="10246" width="17.5703125" style="143" bestFit="1" customWidth="1"/>
    <col min="10247" max="10247" width="12.28515625" style="143" bestFit="1" customWidth="1"/>
    <col min="10248" max="10248" width="18.28515625" style="143" bestFit="1" customWidth="1"/>
    <col min="10249" max="10489" width="8.85546875" style="143"/>
    <col min="10490" max="10490" width="33.85546875" style="143" bestFit="1" customWidth="1"/>
    <col min="10491" max="10491" width="12.42578125" style="143" customWidth="1"/>
    <col min="10492" max="10492" width="14" style="143" bestFit="1" customWidth="1"/>
    <col min="10493" max="10493" width="16.5703125" style="143" customWidth="1"/>
    <col min="10494" max="10494" width="19.140625" style="143" customWidth="1"/>
    <col min="10495" max="10495" width="17.5703125" style="143" customWidth="1"/>
    <col min="10496" max="10496" width="14" style="143" customWidth="1"/>
    <col min="10497" max="10497" width="18.28515625" style="143" bestFit="1" customWidth="1"/>
    <col min="10498" max="10498" width="8.85546875" style="143"/>
    <col min="10499" max="10499" width="12.28515625" style="143" bestFit="1" customWidth="1"/>
    <col min="10500" max="10500" width="16.5703125" style="143" bestFit="1" customWidth="1"/>
    <col min="10501" max="10501" width="19.140625" style="143" bestFit="1" customWidth="1"/>
    <col min="10502" max="10502" width="17.5703125" style="143" bestFit="1" customWidth="1"/>
    <col min="10503" max="10503" width="12.28515625" style="143" bestFit="1" customWidth="1"/>
    <col min="10504" max="10504" width="18.28515625" style="143" bestFit="1" customWidth="1"/>
    <col min="10505" max="10745" width="8.85546875" style="143"/>
    <col min="10746" max="10746" width="33.85546875" style="143" bestFit="1" customWidth="1"/>
    <col min="10747" max="10747" width="12.42578125" style="143" customWidth="1"/>
    <col min="10748" max="10748" width="14" style="143" bestFit="1" customWidth="1"/>
    <col min="10749" max="10749" width="16.5703125" style="143" customWidth="1"/>
    <col min="10750" max="10750" width="19.140625" style="143" customWidth="1"/>
    <col min="10751" max="10751" width="17.5703125" style="143" customWidth="1"/>
    <col min="10752" max="10752" width="14" style="143" customWidth="1"/>
    <col min="10753" max="10753" width="18.28515625" style="143" bestFit="1" customWidth="1"/>
    <col min="10754" max="10754" width="8.85546875" style="143"/>
    <col min="10755" max="10755" width="12.28515625" style="143" bestFit="1" customWidth="1"/>
    <col min="10756" max="10756" width="16.5703125" style="143" bestFit="1" customWidth="1"/>
    <col min="10757" max="10757" width="19.140625" style="143" bestFit="1" customWidth="1"/>
    <col min="10758" max="10758" width="17.5703125" style="143" bestFit="1" customWidth="1"/>
    <col min="10759" max="10759" width="12.28515625" style="143" bestFit="1" customWidth="1"/>
    <col min="10760" max="10760" width="18.28515625" style="143" bestFit="1" customWidth="1"/>
    <col min="10761" max="11001" width="8.85546875" style="143"/>
    <col min="11002" max="11002" width="33.85546875" style="143" bestFit="1" customWidth="1"/>
    <col min="11003" max="11003" width="12.42578125" style="143" customWidth="1"/>
    <col min="11004" max="11004" width="14" style="143" bestFit="1" customWidth="1"/>
    <col min="11005" max="11005" width="16.5703125" style="143" customWidth="1"/>
    <col min="11006" max="11006" width="19.140625" style="143" customWidth="1"/>
    <col min="11007" max="11007" width="17.5703125" style="143" customWidth="1"/>
    <col min="11008" max="11008" width="14" style="143" customWidth="1"/>
    <col min="11009" max="11009" width="18.28515625" style="143" bestFit="1" customWidth="1"/>
    <col min="11010" max="11010" width="8.85546875" style="143"/>
    <col min="11011" max="11011" width="12.28515625" style="143" bestFit="1" customWidth="1"/>
    <col min="11012" max="11012" width="16.5703125" style="143" bestFit="1" customWidth="1"/>
    <col min="11013" max="11013" width="19.140625" style="143" bestFit="1" customWidth="1"/>
    <col min="11014" max="11014" width="17.5703125" style="143" bestFit="1" customWidth="1"/>
    <col min="11015" max="11015" width="12.28515625" style="143" bestFit="1" customWidth="1"/>
    <col min="11016" max="11016" width="18.28515625" style="143" bestFit="1" customWidth="1"/>
    <col min="11017" max="11257" width="8.85546875" style="143"/>
    <col min="11258" max="11258" width="33.85546875" style="143" bestFit="1" customWidth="1"/>
    <col min="11259" max="11259" width="12.42578125" style="143" customWidth="1"/>
    <col min="11260" max="11260" width="14" style="143" bestFit="1" customWidth="1"/>
    <col min="11261" max="11261" width="16.5703125" style="143" customWidth="1"/>
    <col min="11262" max="11262" width="19.140625" style="143" customWidth="1"/>
    <col min="11263" max="11263" width="17.5703125" style="143" customWidth="1"/>
    <col min="11264" max="11264" width="14" style="143" customWidth="1"/>
    <col min="11265" max="11265" width="18.28515625" style="143" bestFit="1" customWidth="1"/>
    <col min="11266" max="11266" width="8.85546875" style="143"/>
    <col min="11267" max="11267" width="12.28515625" style="143" bestFit="1" customWidth="1"/>
    <col min="11268" max="11268" width="16.5703125" style="143" bestFit="1" customWidth="1"/>
    <col min="11269" max="11269" width="19.140625" style="143" bestFit="1" customWidth="1"/>
    <col min="11270" max="11270" width="17.5703125" style="143" bestFit="1" customWidth="1"/>
    <col min="11271" max="11271" width="12.28515625" style="143" bestFit="1" customWidth="1"/>
    <col min="11272" max="11272" width="18.28515625" style="143" bestFit="1" customWidth="1"/>
    <col min="11273" max="11513" width="8.85546875" style="143"/>
    <col min="11514" max="11514" width="33.85546875" style="143" bestFit="1" customWidth="1"/>
    <col min="11515" max="11515" width="12.42578125" style="143" customWidth="1"/>
    <col min="11516" max="11516" width="14" style="143" bestFit="1" customWidth="1"/>
    <col min="11517" max="11517" width="16.5703125" style="143" customWidth="1"/>
    <col min="11518" max="11518" width="19.140625" style="143" customWidth="1"/>
    <col min="11519" max="11519" width="17.5703125" style="143" customWidth="1"/>
    <col min="11520" max="11520" width="14" style="143" customWidth="1"/>
    <col min="11521" max="11521" width="18.28515625" style="143" bestFit="1" customWidth="1"/>
    <col min="11522" max="11522" width="8.85546875" style="143"/>
    <col min="11523" max="11523" width="12.28515625" style="143" bestFit="1" customWidth="1"/>
    <col min="11524" max="11524" width="16.5703125" style="143" bestFit="1" customWidth="1"/>
    <col min="11525" max="11525" width="19.140625" style="143" bestFit="1" customWidth="1"/>
    <col min="11526" max="11526" width="17.5703125" style="143" bestFit="1" customWidth="1"/>
    <col min="11527" max="11527" width="12.28515625" style="143" bestFit="1" customWidth="1"/>
    <col min="11528" max="11528" width="18.28515625" style="143" bestFit="1" customWidth="1"/>
    <col min="11529" max="11769" width="8.85546875" style="143"/>
    <col min="11770" max="11770" width="33.85546875" style="143" bestFit="1" customWidth="1"/>
    <col min="11771" max="11771" width="12.42578125" style="143" customWidth="1"/>
    <col min="11772" max="11772" width="14" style="143" bestFit="1" customWidth="1"/>
    <col min="11773" max="11773" width="16.5703125" style="143" customWidth="1"/>
    <col min="11774" max="11774" width="19.140625" style="143" customWidth="1"/>
    <col min="11775" max="11775" width="17.5703125" style="143" customWidth="1"/>
    <col min="11776" max="11776" width="14" style="143" customWidth="1"/>
    <col min="11777" max="11777" width="18.28515625" style="143" bestFit="1" customWidth="1"/>
    <col min="11778" max="11778" width="8.85546875" style="143"/>
    <col min="11779" max="11779" width="12.28515625" style="143" bestFit="1" customWidth="1"/>
    <col min="11780" max="11780" width="16.5703125" style="143" bestFit="1" customWidth="1"/>
    <col min="11781" max="11781" width="19.140625" style="143" bestFit="1" customWidth="1"/>
    <col min="11782" max="11782" width="17.5703125" style="143" bestFit="1" customWidth="1"/>
    <col min="11783" max="11783" width="12.28515625" style="143" bestFit="1" customWidth="1"/>
    <col min="11784" max="11784" width="18.28515625" style="143" bestFit="1" customWidth="1"/>
    <col min="11785" max="12025" width="8.85546875" style="143"/>
    <col min="12026" max="12026" width="33.85546875" style="143" bestFit="1" customWidth="1"/>
    <col min="12027" max="12027" width="12.42578125" style="143" customWidth="1"/>
    <col min="12028" max="12028" width="14" style="143" bestFit="1" customWidth="1"/>
    <col min="12029" max="12029" width="16.5703125" style="143" customWidth="1"/>
    <col min="12030" max="12030" width="19.140625" style="143" customWidth="1"/>
    <col min="12031" max="12031" width="17.5703125" style="143" customWidth="1"/>
    <col min="12032" max="12032" width="14" style="143" customWidth="1"/>
    <col min="12033" max="12033" width="18.28515625" style="143" bestFit="1" customWidth="1"/>
    <col min="12034" max="12034" width="8.85546875" style="143"/>
    <col min="12035" max="12035" width="12.28515625" style="143" bestFit="1" customWidth="1"/>
    <col min="12036" max="12036" width="16.5703125" style="143" bestFit="1" customWidth="1"/>
    <col min="12037" max="12037" width="19.140625" style="143" bestFit="1" customWidth="1"/>
    <col min="12038" max="12038" width="17.5703125" style="143" bestFit="1" customWidth="1"/>
    <col min="12039" max="12039" width="12.28515625" style="143" bestFit="1" customWidth="1"/>
    <col min="12040" max="12040" width="18.28515625" style="143" bestFit="1" customWidth="1"/>
    <col min="12041" max="12281" width="8.85546875" style="143"/>
    <col min="12282" max="12282" width="33.85546875" style="143" bestFit="1" customWidth="1"/>
    <col min="12283" max="12283" width="12.42578125" style="143" customWidth="1"/>
    <col min="12284" max="12284" width="14" style="143" bestFit="1" customWidth="1"/>
    <col min="12285" max="12285" width="16.5703125" style="143" customWidth="1"/>
    <col min="12286" max="12286" width="19.140625" style="143" customWidth="1"/>
    <col min="12287" max="12287" width="17.5703125" style="143" customWidth="1"/>
    <col min="12288" max="12288" width="14" style="143" customWidth="1"/>
    <col min="12289" max="12289" width="18.28515625" style="143" bestFit="1" customWidth="1"/>
    <col min="12290" max="12290" width="8.85546875" style="143"/>
    <col min="12291" max="12291" width="12.28515625" style="143" bestFit="1" customWidth="1"/>
    <col min="12292" max="12292" width="16.5703125" style="143" bestFit="1" customWidth="1"/>
    <col min="12293" max="12293" width="19.140625" style="143" bestFit="1" customWidth="1"/>
    <col min="12294" max="12294" width="17.5703125" style="143" bestFit="1" customWidth="1"/>
    <col min="12295" max="12295" width="12.28515625" style="143" bestFit="1" customWidth="1"/>
    <col min="12296" max="12296" width="18.28515625" style="143" bestFit="1" customWidth="1"/>
    <col min="12297" max="12537" width="8.85546875" style="143"/>
    <col min="12538" max="12538" width="33.85546875" style="143" bestFit="1" customWidth="1"/>
    <col min="12539" max="12539" width="12.42578125" style="143" customWidth="1"/>
    <col min="12540" max="12540" width="14" style="143" bestFit="1" customWidth="1"/>
    <col min="12541" max="12541" width="16.5703125" style="143" customWidth="1"/>
    <col min="12542" max="12542" width="19.140625" style="143" customWidth="1"/>
    <col min="12543" max="12543" width="17.5703125" style="143" customWidth="1"/>
    <col min="12544" max="12544" width="14" style="143" customWidth="1"/>
    <col min="12545" max="12545" width="18.28515625" style="143" bestFit="1" customWidth="1"/>
    <col min="12546" max="12546" width="8.85546875" style="143"/>
    <col min="12547" max="12547" width="12.28515625" style="143" bestFit="1" customWidth="1"/>
    <col min="12548" max="12548" width="16.5703125" style="143" bestFit="1" customWidth="1"/>
    <col min="12549" max="12549" width="19.140625" style="143" bestFit="1" customWidth="1"/>
    <col min="12550" max="12550" width="17.5703125" style="143" bestFit="1" customWidth="1"/>
    <col min="12551" max="12551" width="12.28515625" style="143" bestFit="1" customWidth="1"/>
    <col min="12552" max="12552" width="18.28515625" style="143" bestFit="1" customWidth="1"/>
    <col min="12553" max="12793" width="8.85546875" style="143"/>
    <col min="12794" max="12794" width="33.85546875" style="143" bestFit="1" customWidth="1"/>
    <col min="12795" max="12795" width="12.42578125" style="143" customWidth="1"/>
    <col min="12796" max="12796" width="14" style="143" bestFit="1" customWidth="1"/>
    <col min="12797" max="12797" width="16.5703125" style="143" customWidth="1"/>
    <col min="12798" max="12798" width="19.140625" style="143" customWidth="1"/>
    <col min="12799" max="12799" width="17.5703125" style="143" customWidth="1"/>
    <col min="12800" max="12800" width="14" style="143" customWidth="1"/>
    <col min="12801" max="12801" width="18.28515625" style="143" bestFit="1" customWidth="1"/>
    <col min="12802" max="12802" width="8.85546875" style="143"/>
    <col min="12803" max="12803" width="12.28515625" style="143" bestFit="1" customWidth="1"/>
    <col min="12804" max="12804" width="16.5703125" style="143" bestFit="1" customWidth="1"/>
    <col min="12805" max="12805" width="19.140625" style="143" bestFit="1" customWidth="1"/>
    <col min="12806" max="12806" width="17.5703125" style="143" bestFit="1" customWidth="1"/>
    <col min="12807" max="12807" width="12.28515625" style="143" bestFit="1" customWidth="1"/>
    <col min="12808" max="12808" width="18.28515625" style="143" bestFit="1" customWidth="1"/>
    <col min="12809" max="13049" width="8.85546875" style="143"/>
    <col min="13050" max="13050" width="33.85546875" style="143" bestFit="1" customWidth="1"/>
    <col min="13051" max="13051" width="12.42578125" style="143" customWidth="1"/>
    <col min="13052" max="13052" width="14" style="143" bestFit="1" customWidth="1"/>
    <col min="13053" max="13053" width="16.5703125" style="143" customWidth="1"/>
    <col min="13054" max="13054" width="19.140625" style="143" customWidth="1"/>
    <col min="13055" max="13055" width="17.5703125" style="143" customWidth="1"/>
    <col min="13056" max="13056" width="14" style="143" customWidth="1"/>
    <col min="13057" max="13057" width="18.28515625" style="143" bestFit="1" customWidth="1"/>
    <col min="13058" max="13058" width="8.85546875" style="143"/>
    <col min="13059" max="13059" width="12.28515625" style="143" bestFit="1" customWidth="1"/>
    <col min="13060" max="13060" width="16.5703125" style="143" bestFit="1" customWidth="1"/>
    <col min="13061" max="13061" width="19.140625" style="143" bestFit="1" customWidth="1"/>
    <col min="13062" max="13062" width="17.5703125" style="143" bestFit="1" customWidth="1"/>
    <col min="13063" max="13063" width="12.28515625" style="143" bestFit="1" customWidth="1"/>
    <col min="13064" max="13064" width="18.28515625" style="143" bestFit="1" customWidth="1"/>
    <col min="13065" max="13305" width="8.85546875" style="143"/>
    <col min="13306" max="13306" width="33.85546875" style="143" bestFit="1" customWidth="1"/>
    <col min="13307" max="13307" width="12.42578125" style="143" customWidth="1"/>
    <col min="13308" max="13308" width="14" style="143" bestFit="1" customWidth="1"/>
    <col min="13309" max="13309" width="16.5703125" style="143" customWidth="1"/>
    <col min="13310" max="13310" width="19.140625" style="143" customWidth="1"/>
    <col min="13311" max="13311" width="17.5703125" style="143" customWidth="1"/>
    <col min="13312" max="13312" width="14" style="143" customWidth="1"/>
    <col min="13313" max="13313" width="18.28515625" style="143" bestFit="1" customWidth="1"/>
    <col min="13314" max="13314" width="8.85546875" style="143"/>
    <col min="13315" max="13315" width="12.28515625" style="143" bestFit="1" customWidth="1"/>
    <col min="13316" max="13316" width="16.5703125" style="143" bestFit="1" customWidth="1"/>
    <col min="13317" max="13317" width="19.140625" style="143" bestFit="1" customWidth="1"/>
    <col min="13318" max="13318" width="17.5703125" style="143" bestFit="1" customWidth="1"/>
    <col min="13319" max="13319" width="12.28515625" style="143" bestFit="1" customWidth="1"/>
    <col min="13320" max="13320" width="18.28515625" style="143" bestFit="1" customWidth="1"/>
    <col min="13321" max="13561" width="8.85546875" style="143"/>
    <col min="13562" max="13562" width="33.85546875" style="143" bestFit="1" customWidth="1"/>
    <col min="13563" max="13563" width="12.42578125" style="143" customWidth="1"/>
    <col min="13564" max="13564" width="14" style="143" bestFit="1" customWidth="1"/>
    <col min="13565" max="13565" width="16.5703125" style="143" customWidth="1"/>
    <col min="13566" max="13566" width="19.140625" style="143" customWidth="1"/>
    <col min="13567" max="13567" width="17.5703125" style="143" customWidth="1"/>
    <col min="13568" max="13568" width="14" style="143" customWidth="1"/>
    <col min="13569" max="13569" width="18.28515625" style="143" bestFit="1" customWidth="1"/>
    <col min="13570" max="13570" width="8.85546875" style="143"/>
    <col min="13571" max="13571" width="12.28515625" style="143" bestFit="1" customWidth="1"/>
    <col min="13572" max="13572" width="16.5703125" style="143" bestFit="1" customWidth="1"/>
    <col min="13573" max="13573" width="19.140625" style="143" bestFit="1" customWidth="1"/>
    <col min="13574" max="13574" width="17.5703125" style="143" bestFit="1" customWidth="1"/>
    <col min="13575" max="13575" width="12.28515625" style="143" bestFit="1" customWidth="1"/>
    <col min="13576" max="13576" width="18.28515625" style="143" bestFit="1" customWidth="1"/>
    <col min="13577" max="13817" width="8.85546875" style="143"/>
    <col min="13818" max="13818" width="33.85546875" style="143" bestFit="1" customWidth="1"/>
    <col min="13819" max="13819" width="12.42578125" style="143" customWidth="1"/>
    <col min="13820" max="13820" width="14" style="143" bestFit="1" customWidth="1"/>
    <col min="13821" max="13821" width="16.5703125" style="143" customWidth="1"/>
    <col min="13822" max="13822" width="19.140625" style="143" customWidth="1"/>
    <col min="13823" max="13823" width="17.5703125" style="143" customWidth="1"/>
    <col min="13824" max="13824" width="14" style="143" customWidth="1"/>
    <col min="13825" max="13825" width="18.28515625" style="143" bestFit="1" customWidth="1"/>
    <col min="13826" max="13826" width="8.85546875" style="143"/>
    <col min="13827" max="13827" width="12.28515625" style="143" bestFit="1" customWidth="1"/>
    <col min="13828" max="13828" width="16.5703125" style="143" bestFit="1" customWidth="1"/>
    <col min="13829" max="13829" width="19.140625" style="143" bestFit="1" customWidth="1"/>
    <col min="13830" max="13830" width="17.5703125" style="143" bestFit="1" customWidth="1"/>
    <col min="13831" max="13831" width="12.28515625" style="143" bestFit="1" customWidth="1"/>
    <col min="13832" max="13832" width="18.28515625" style="143" bestFit="1" customWidth="1"/>
    <col min="13833" max="14073" width="8.85546875" style="143"/>
    <col min="14074" max="14074" width="33.85546875" style="143" bestFit="1" customWidth="1"/>
    <col min="14075" max="14075" width="12.42578125" style="143" customWidth="1"/>
    <col min="14076" max="14076" width="14" style="143" bestFit="1" customWidth="1"/>
    <col min="14077" max="14077" width="16.5703125" style="143" customWidth="1"/>
    <col min="14078" max="14078" width="19.140625" style="143" customWidth="1"/>
    <col min="14079" max="14079" width="17.5703125" style="143" customWidth="1"/>
    <col min="14080" max="14080" width="14" style="143" customWidth="1"/>
    <col min="14081" max="14081" width="18.28515625" style="143" bestFit="1" customWidth="1"/>
    <col min="14082" max="14082" width="8.85546875" style="143"/>
    <col min="14083" max="14083" width="12.28515625" style="143" bestFit="1" customWidth="1"/>
    <col min="14084" max="14084" width="16.5703125" style="143" bestFit="1" customWidth="1"/>
    <col min="14085" max="14085" width="19.140625" style="143" bestFit="1" customWidth="1"/>
    <col min="14086" max="14086" width="17.5703125" style="143" bestFit="1" customWidth="1"/>
    <col min="14087" max="14087" width="12.28515625" style="143" bestFit="1" customWidth="1"/>
    <col min="14088" max="14088" width="18.28515625" style="143" bestFit="1" customWidth="1"/>
    <col min="14089" max="14329" width="8.85546875" style="143"/>
    <col min="14330" max="14330" width="33.85546875" style="143" bestFit="1" customWidth="1"/>
    <col min="14331" max="14331" width="12.42578125" style="143" customWidth="1"/>
    <col min="14332" max="14332" width="14" style="143" bestFit="1" customWidth="1"/>
    <col min="14333" max="14333" width="16.5703125" style="143" customWidth="1"/>
    <col min="14334" max="14334" width="19.140625" style="143" customWidth="1"/>
    <col min="14335" max="14335" width="17.5703125" style="143" customWidth="1"/>
    <col min="14336" max="14336" width="14" style="143" customWidth="1"/>
    <col min="14337" max="14337" width="18.28515625" style="143" bestFit="1" customWidth="1"/>
    <col min="14338" max="14338" width="8.85546875" style="143"/>
    <col min="14339" max="14339" width="12.28515625" style="143" bestFit="1" customWidth="1"/>
    <col min="14340" max="14340" width="16.5703125" style="143" bestFit="1" customWidth="1"/>
    <col min="14341" max="14341" width="19.140625" style="143" bestFit="1" customWidth="1"/>
    <col min="14342" max="14342" width="17.5703125" style="143" bestFit="1" customWidth="1"/>
    <col min="14343" max="14343" width="12.28515625" style="143" bestFit="1" customWidth="1"/>
    <col min="14344" max="14344" width="18.28515625" style="143" bestFit="1" customWidth="1"/>
    <col min="14345" max="14585" width="8.85546875" style="143"/>
    <col min="14586" max="14586" width="33.85546875" style="143" bestFit="1" customWidth="1"/>
    <col min="14587" max="14587" width="12.42578125" style="143" customWidth="1"/>
    <col min="14588" max="14588" width="14" style="143" bestFit="1" customWidth="1"/>
    <col min="14589" max="14589" width="16.5703125" style="143" customWidth="1"/>
    <col min="14590" max="14590" width="19.140625" style="143" customWidth="1"/>
    <col min="14591" max="14591" width="17.5703125" style="143" customWidth="1"/>
    <col min="14592" max="14592" width="14" style="143" customWidth="1"/>
    <col min="14593" max="14593" width="18.28515625" style="143" bestFit="1" customWidth="1"/>
    <col min="14594" max="14594" width="8.85546875" style="143"/>
    <col min="14595" max="14595" width="12.28515625" style="143" bestFit="1" customWidth="1"/>
    <col min="14596" max="14596" width="16.5703125" style="143" bestFit="1" customWidth="1"/>
    <col min="14597" max="14597" width="19.140625" style="143" bestFit="1" customWidth="1"/>
    <col min="14598" max="14598" width="17.5703125" style="143" bestFit="1" customWidth="1"/>
    <col min="14599" max="14599" width="12.28515625" style="143" bestFit="1" customWidth="1"/>
    <col min="14600" max="14600" width="18.28515625" style="143" bestFit="1" customWidth="1"/>
    <col min="14601" max="14841" width="8.85546875" style="143"/>
    <col min="14842" max="14842" width="33.85546875" style="143" bestFit="1" customWidth="1"/>
    <col min="14843" max="14843" width="12.42578125" style="143" customWidth="1"/>
    <col min="14844" max="14844" width="14" style="143" bestFit="1" customWidth="1"/>
    <col min="14845" max="14845" width="16.5703125" style="143" customWidth="1"/>
    <col min="14846" max="14846" width="19.140625" style="143" customWidth="1"/>
    <col min="14847" max="14847" width="17.5703125" style="143" customWidth="1"/>
    <col min="14848" max="14848" width="14" style="143" customWidth="1"/>
    <col min="14849" max="14849" width="18.28515625" style="143" bestFit="1" customWidth="1"/>
    <col min="14850" max="14850" width="8.85546875" style="143"/>
    <col min="14851" max="14851" width="12.28515625" style="143" bestFit="1" customWidth="1"/>
    <col min="14852" max="14852" width="16.5703125" style="143" bestFit="1" customWidth="1"/>
    <col min="14853" max="14853" width="19.140625" style="143" bestFit="1" customWidth="1"/>
    <col min="14854" max="14854" width="17.5703125" style="143" bestFit="1" customWidth="1"/>
    <col min="14855" max="14855" width="12.28515625" style="143" bestFit="1" customWidth="1"/>
    <col min="14856" max="14856" width="18.28515625" style="143" bestFit="1" customWidth="1"/>
    <col min="14857" max="15097" width="8.85546875" style="143"/>
    <col min="15098" max="15098" width="33.85546875" style="143" bestFit="1" customWidth="1"/>
    <col min="15099" max="15099" width="12.42578125" style="143" customWidth="1"/>
    <col min="15100" max="15100" width="14" style="143" bestFit="1" customWidth="1"/>
    <col min="15101" max="15101" width="16.5703125" style="143" customWidth="1"/>
    <col min="15102" max="15102" width="19.140625" style="143" customWidth="1"/>
    <col min="15103" max="15103" width="17.5703125" style="143" customWidth="1"/>
    <col min="15104" max="15104" width="14" style="143" customWidth="1"/>
    <col min="15105" max="15105" width="18.28515625" style="143" bestFit="1" customWidth="1"/>
    <col min="15106" max="15106" width="8.85546875" style="143"/>
    <col min="15107" max="15107" width="12.28515625" style="143" bestFit="1" customWidth="1"/>
    <col min="15108" max="15108" width="16.5703125" style="143" bestFit="1" customWidth="1"/>
    <col min="15109" max="15109" width="19.140625" style="143" bestFit="1" customWidth="1"/>
    <col min="15110" max="15110" width="17.5703125" style="143" bestFit="1" customWidth="1"/>
    <col min="15111" max="15111" width="12.28515625" style="143" bestFit="1" customWidth="1"/>
    <col min="15112" max="15112" width="18.28515625" style="143" bestFit="1" customWidth="1"/>
    <col min="15113" max="15353" width="8.85546875" style="143"/>
    <col min="15354" max="15354" width="33.85546875" style="143" bestFit="1" customWidth="1"/>
    <col min="15355" max="15355" width="12.42578125" style="143" customWidth="1"/>
    <col min="15356" max="15356" width="14" style="143" bestFit="1" customWidth="1"/>
    <col min="15357" max="15357" width="16.5703125" style="143" customWidth="1"/>
    <col min="15358" max="15358" width="19.140625" style="143" customWidth="1"/>
    <col min="15359" max="15359" width="17.5703125" style="143" customWidth="1"/>
    <col min="15360" max="15360" width="14" style="143" customWidth="1"/>
    <col min="15361" max="15361" width="18.28515625" style="143" bestFit="1" customWidth="1"/>
    <col min="15362" max="15362" width="8.85546875" style="143"/>
    <col min="15363" max="15363" width="12.28515625" style="143" bestFit="1" customWidth="1"/>
    <col min="15364" max="15364" width="16.5703125" style="143" bestFit="1" customWidth="1"/>
    <col min="15365" max="15365" width="19.140625" style="143" bestFit="1" customWidth="1"/>
    <col min="15366" max="15366" width="17.5703125" style="143" bestFit="1" customWidth="1"/>
    <col min="15367" max="15367" width="12.28515625" style="143" bestFit="1" customWidth="1"/>
    <col min="15368" max="15368" width="18.28515625" style="143" bestFit="1" customWidth="1"/>
    <col min="15369" max="15609" width="8.85546875" style="143"/>
    <col min="15610" max="15610" width="33.85546875" style="143" bestFit="1" customWidth="1"/>
    <col min="15611" max="15611" width="12.42578125" style="143" customWidth="1"/>
    <col min="15612" max="15612" width="14" style="143" bestFit="1" customWidth="1"/>
    <col min="15613" max="15613" width="16.5703125" style="143" customWidth="1"/>
    <col min="15614" max="15614" width="19.140625" style="143" customWidth="1"/>
    <col min="15615" max="15615" width="17.5703125" style="143" customWidth="1"/>
    <col min="15616" max="15616" width="14" style="143" customWidth="1"/>
    <col min="15617" max="15617" width="18.28515625" style="143" bestFit="1" customWidth="1"/>
    <col min="15618" max="15618" width="8.85546875" style="143"/>
    <col min="15619" max="15619" width="12.28515625" style="143" bestFit="1" customWidth="1"/>
    <col min="15620" max="15620" width="16.5703125" style="143" bestFit="1" customWidth="1"/>
    <col min="15621" max="15621" width="19.140625" style="143" bestFit="1" customWidth="1"/>
    <col min="15622" max="15622" width="17.5703125" style="143" bestFit="1" customWidth="1"/>
    <col min="15623" max="15623" width="12.28515625" style="143" bestFit="1" customWidth="1"/>
    <col min="15624" max="15624" width="18.28515625" style="143" bestFit="1" customWidth="1"/>
    <col min="15625" max="15865" width="8.85546875" style="143"/>
    <col min="15866" max="15866" width="33.85546875" style="143" bestFit="1" customWidth="1"/>
    <col min="15867" max="15867" width="12.42578125" style="143" customWidth="1"/>
    <col min="15868" max="15868" width="14" style="143" bestFit="1" customWidth="1"/>
    <col min="15869" max="15869" width="16.5703125" style="143" customWidth="1"/>
    <col min="15870" max="15870" width="19.140625" style="143" customWidth="1"/>
    <col min="15871" max="15871" width="17.5703125" style="143" customWidth="1"/>
    <col min="15872" max="15872" width="14" style="143" customWidth="1"/>
    <col min="15873" max="15873" width="18.28515625" style="143" bestFit="1" customWidth="1"/>
    <col min="15874" max="15874" width="8.85546875" style="143"/>
    <col min="15875" max="15875" width="12.28515625" style="143" bestFit="1" customWidth="1"/>
    <col min="15876" max="15876" width="16.5703125" style="143" bestFit="1" customWidth="1"/>
    <col min="15877" max="15877" width="19.140625" style="143" bestFit="1" customWidth="1"/>
    <col min="15878" max="15878" width="17.5703125" style="143" bestFit="1" customWidth="1"/>
    <col min="15879" max="15879" width="12.28515625" style="143" bestFit="1" customWidth="1"/>
    <col min="15880" max="15880" width="18.28515625" style="143" bestFit="1" customWidth="1"/>
    <col min="15881" max="16121" width="8.85546875" style="143"/>
    <col min="16122" max="16122" width="33.85546875" style="143" bestFit="1" customWidth="1"/>
    <col min="16123" max="16123" width="12.42578125" style="143" customWidth="1"/>
    <col min="16124" max="16124" width="14" style="143" bestFit="1" customWidth="1"/>
    <col min="16125" max="16125" width="16.5703125" style="143" customWidth="1"/>
    <col min="16126" max="16126" width="19.140625" style="143" customWidth="1"/>
    <col min="16127" max="16127" width="17.5703125" style="143" customWidth="1"/>
    <col min="16128" max="16128" width="14" style="143" customWidth="1"/>
    <col min="16129" max="16129" width="18.28515625" style="143" bestFit="1" customWidth="1"/>
    <col min="16130" max="16130" width="8.85546875" style="143"/>
    <col min="16131" max="16131" width="12.28515625" style="143" bestFit="1" customWidth="1"/>
    <col min="16132" max="16132" width="16.5703125" style="143" bestFit="1" customWidth="1"/>
    <col min="16133" max="16133" width="19.140625" style="143" bestFit="1" customWidth="1"/>
    <col min="16134" max="16134" width="17.5703125" style="143" bestFit="1" customWidth="1"/>
    <col min="16135" max="16135" width="12.28515625" style="143" bestFit="1" customWidth="1"/>
    <col min="16136" max="16136" width="18.28515625" style="143" bestFit="1" customWidth="1"/>
    <col min="16137" max="16384" width="8.85546875" style="143"/>
  </cols>
  <sheetData>
    <row r="1" spans="1:8" ht="15.75" x14ac:dyDescent="0.25">
      <c r="A1" s="70" t="s">
        <v>129</v>
      </c>
      <c r="B1" s="71"/>
      <c r="E1" s="128" t="s">
        <v>677</v>
      </c>
      <c r="H1" s="72" t="s">
        <v>130</v>
      </c>
    </row>
    <row r="3" spans="1:8" x14ac:dyDescent="0.2">
      <c r="A3" s="73"/>
      <c r="B3" s="74"/>
      <c r="C3" s="81" t="s">
        <v>131</v>
      </c>
      <c r="D3" s="74"/>
      <c r="E3" s="74"/>
      <c r="F3" s="74"/>
      <c r="G3" s="74"/>
      <c r="H3" s="75"/>
    </row>
    <row r="4" spans="1:8" x14ac:dyDescent="0.2">
      <c r="A4" s="81" t="s">
        <v>123</v>
      </c>
      <c r="B4" s="82" t="s">
        <v>9</v>
      </c>
      <c r="C4" s="129" t="s">
        <v>132</v>
      </c>
      <c r="D4" s="130" t="s">
        <v>133</v>
      </c>
      <c r="E4" s="130" t="s">
        <v>134</v>
      </c>
      <c r="F4" s="130" t="s">
        <v>135</v>
      </c>
      <c r="G4" s="130" t="s">
        <v>136</v>
      </c>
      <c r="H4" s="131" t="s">
        <v>137</v>
      </c>
    </row>
    <row r="5" spans="1:8" x14ac:dyDescent="0.2">
      <c r="A5" s="73" t="s">
        <v>138</v>
      </c>
      <c r="B5" s="76">
        <v>30100</v>
      </c>
      <c r="C5" s="77">
        <v>12620.1</v>
      </c>
      <c r="D5" s="78">
        <v>0</v>
      </c>
      <c r="E5" s="78">
        <v>0</v>
      </c>
      <c r="F5" s="78">
        <v>0</v>
      </c>
      <c r="G5" s="78">
        <v>12620.1</v>
      </c>
      <c r="H5" s="79">
        <v>12620.100000000002</v>
      </c>
    </row>
    <row r="6" spans="1:8" x14ac:dyDescent="0.2">
      <c r="A6" s="73" t="s">
        <v>139</v>
      </c>
      <c r="B6" s="76">
        <v>30200</v>
      </c>
      <c r="C6" s="77">
        <v>0</v>
      </c>
      <c r="D6" s="78">
        <v>0</v>
      </c>
      <c r="E6" s="78">
        <v>0</v>
      </c>
      <c r="F6" s="78">
        <v>0</v>
      </c>
      <c r="G6" s="78">
        <v>0</v>
      </c>
      <c r="H6" s="79">
        <v>0</v>
      </c>
    </row>
    <row r="7" spans="1:8" x14ac:dyDescent="0.2">
      <c r="A7" s="73" t="s">
        <v>140</v>
      </c>
      <c r="B7" s="76">
        <v>30300</v>
      </c>
      <c r="C7" s="77">
        <v>815325.07000000007</v>
      </c>
      <c r="D7" s="78">
        <v>0</v>
      </c>
      <c r="E7" s="78">
        <v>0</v>
      </c>
      <c r="F7" s="78">
        <v>0</v>
      </c>
      <c r="G7" s="78">
        <v>815325.07000000007</v>
      </c>
      <c r="H7" s="79">
        <v>815325.07000000007</v>
      </c>
    </row>
    <row r="8" spans="1:8" x14ac:dyDescent="0.2">
      <c r="A8" s="73" t="s">
        <v>141</v>
      </c>
      <c r="B8" s="76">
        <v>30301</v>
      </c>
      <c r="C8" s="77">
        <v>27122220.820000008</v>
      </c>
      <c r="D8" s="78">
        <v>4449609.18</v>
      </c>
      <c r="E8" s="78">
        <v>-5854250.0299999993</v>
      </c>
      <c r="F8" s="78">
        <v>0</v>
      </c>
      <c r="G8" s="78">
        <v>25717579.970000006</v>
      </c>
      <c r="H8" s="79">
        <v>25440415.004615393</v>
      </c>
    </row>
    <row r="9" spans="1:8" x14ac:dyDescent="0.2">
      <c r="A9" s="73" t="s">
        <v>671</v>
      </c>
      <c r="B9" s="76">
        <v>30302</v>
      </c>
      <c r="C9" s="77">
        <v>0</v>
      </c>
      <c r="D9" s="78">
        <v>0</v>
      </c>
      <c r="E9" s="78">
        <v>0</v>
      </c>
      <c r="F9" s="78">
        <v>0</v>
      </c>
      <c r="G9" s="78">
        <v>0</v>
      </c>
      <c r="H9" s="79">
        <v>0</v>
      </c>
    </row>
    <row r="10" spans="1:8" x14ac:dyDescent="0.2">
      <c r="A10" s="73" t="s">
        <v>142</v>
      </c>
      <c r="B10" s="76">
        <v>37400</v>
      </c>
      <c r="C10" s="77">
        <v>6922116.1699999999</v>
      </c>
      <c r="D10" s="78">
        <v>7216782.5899999999</v>
      </c>
      <c r="E10" s="78">
        <v>0</v>
      </c>
      <c r="F10" s="78">
        <v>0</v>
      </c>
      <c r="G10" s="78">
        <v>14138898.759999998</v>
      </c>
      <c r="H10" s="79">
        <v>11760444.063076923</v>
      </c>
    </row>
    <row r="11" spans="1:8" x14ac:dyDescent="0.2">
      <c r="A11" s="73" t="s">
        <v>143</v>
      </c>
      <c r="B11" s="76">
        <v>37402</v>
      </c>
      <c r="C11" s="77">
        <v>1931350.5000000005</v>
      </c>
      <c r="D11" s="78">
        <v>905061.81</v>
      </c>
      <c r="E11" s="78">
        <v>0</v>
      </c>
      <c r="F11" s="78">
        <v>0</v>
      </c>
      <c r="G11" s="78">
        <v>2836412.3100000005</v>
      </c>
      <c r="H11" s="79">
        <v>2553263.1292307698</v>
      </c>
    </row>
    <row r="12" spans="1:8" x14ac:dyDescent="0.2">
      <c r="A12" s="73" t="s">
        <v>144</v>
      </c>
      <c r="B12" s="76">
        <v>37500</v>
      </c>
      <c r="C12" s="77">
        <v>18841525.760000002</v>
      </c>
      <c r="D12" s="78">
        <v>574457.27</v>
      </c>
      <c r="E12" s="78">
        <v>0</v>
      </c>
      <c r="F12" s="78">
        <v>0</v>
      </c>
      <c r="G12" s="78">
        <v>19415983.030000005</v>
      </c>
      <c r="H12" s="79">
        <v>19069773.423846159</v>
      </c>
    </row>
    <row r="13" spans="1:8" x14ac:dyDescent="0.2">
      <c r="A13" s="73" t="s">
        <v>145</v>
      </c>
      <c r="B13" s="76">
        <v>37600</v>
      </c>
      <c r="C13" s="77">
        <v>377052867.07999998</v>
      </c>
      <c r="D13" s="78">
        <v>10535828.5</v>
      </c>
      <c r="E13" s="78">
        <v>-2271521.1100000003</v>
      </c>
      <c r="F13" s="78">
        <v>0</v>
      </c>
      <c r="G13" s="78">
        <v>385317174.47000003</v>
      </c>
      <c r="H13" s="79">
        <v>380608539.56307685</v>
      </c>
    </row>
    <row r="14" spans="1:8" x14ac:dyDescent="0.2">
      <c r="A14" s="73" t="s">
        <v>146</v>
      </c>
      <c r="B14" s="76">
        <v>37602</v>
      </c>
      <c r="C14" s="77">
        <v>359055147.61999995</v>
      </c>
      <c r="D14" s="78">
        <v>42798083.230000004</v>
      </c>
      <c r="E14" s="78">
        <v>-543219.1</v>
      </c>
      <c r="F14" s="78">
        <v>0</v>
      </c>
      <c r="G14" s="78">
        <v>401310011.74999976</v>
      </c>
      <c r="H14" s="79">
        <v>379970342.66769218</v>
      </c>
    </row>
    <row r="15" spans="1:8" x14ac:dyDescent="0.2">
      <c r="A15" s="73" t="s">
        <v>147</v>
      </c>
      <c r="B15" s="76">
        <v>37800</v>
      </c>
      <c r="C15" s="77">
        <v>11408584.599999998</v>
      </c>
      <c r="D15" s="78">
        <v>1592632.83</v>
      </c>
      <c r="E15" s="78">
        <v>-76233.399999999994</v>
      </c>
      <c r="F15" s="78">
        <v>0</v>
      </c>
      <c r="G15" s="78">
        <v>12924984.029999999</v>
      </c>
      <c r="H15" s="79">
        <v>11897027.695384612</v>
      </c>
    </row>
    <row r="16" spans="1:8" x14ac:dyDescent="0.2">
      <c r="A16" s="73" t="s">
        <v>148</v>
      </c>
      <c r="B16" s="76">
        <v>37900</v>
      </c>
      <c r="C16" s="77">
        <v>32871597.739999998</v>
      </c>
      <c r="D16" s="78">
        <v>1720641.4900000002</v>
      </c>
      <c r="E16" s="78">
        <v>-6130.88</v>
      </c>
      <c r="F16" s="78">
        <v>0</v>
      </c>
      <c r="G16" s="78">
        <v>34586108.349999994</v>
      </c>
      <c r="H16" s="79">
        <v>33680795.40461538</v>
      </c>
    </row>
    <row r="17" spans="1:8" x14ac:dyDescent="0.2">
      <c r="A17" s="73" t="s">
        <v>149</v>
      </c>
      <c r="B17" s="76">
        <v>38000</v>
      </c>
      <c r="C17" s="77">
        <v>44850041.200000018</v>
      </c>
      <c r="D17" s="78">
        <v>1824234.0499999998</v>
      </c>
      <c r="E17" s="78">
        <v>-297928.00000000012</v>
      </c>
      <c r="F17" s="78">
        <v>0</v>
      </c>
      <c r="G17" s="78">
        <v>46376347.250000015</v>
      </c>
      <c r="H17" s="79">
        <v>45609493.510000028</v>
      </c>
    </row>
    <row r="18" spans="1:8" x14ac:dyDescent="0.2">
      <c r="A18" s="73" t="s">
        <v>150</v>
      </c>
      <c r="B18" s="76">
        <v>38002</v>
      </c>
      <c r="C18" s="77">
        <v>231188304.25999999</v>
      </c>
      <c r="D18" s="78">
        <v>16713523.239999995</v>
      </c>
      <c r="E18" s="78">
        <v>-396791.63999999996</v>
      </c>
      <c r="F18" s="78">
        <v>0</v>
      </c>
      <c r="G18" s="78">
        <v>247505035.86000004</v>
      </c>
      <c r="H18" s="79">
        <v>238338682.69923076</v>
      </c>
    </row>
    <row r="19" spans="1:8" x14ac:dyDescent="0.2">
      <c r="A19" s="73" t="s">
        <v>151</v>
      </c>
      <c r="B19" s="76">
        <v>38100</v>
      </c>
      <c r="C19" s="77">
        <v>59751725.270000018</v>
      </c>
      <c r="D19" s="78">
        <v>4357357.1400000006</v>
      </c>
      <c r="E19" s="78">
        <v>-1076327.8500000001</v>
      </c>
      <c r="F19" s="78">
        <v>0</v>
      </c>
      <c r="G19" s="78">
        <v>63032754.560000017</v>
      </c>
      <c r="H19" s="79">
        <v>60891911.398461565</v>
      </c>
    </row>
    <row r="20" spans="1:8" x14ac:dyDescent="0.2">
      <c r="A20" s="73" t="s">
        <v>152</v>
      </c>
      <c r="B20" s="76">
        <v>38200</v>
      </c>
      <c r="C20" s="77">
        <v>47030785.100000001</v>
      </c>
      <c r="D20" s="78">
        <v>2463694.61</v>
      </c>
      <c r="E20" s="78">
        <v>-319302.69</v>
      </c>
      <c r="F20" s="78">
        <v>0</v>
      </c>
      <c r="G20" s="78">
        <v>49175177.020000011</v>
      </c>
      <c r="H20" s="79">
        <v>48090382.660769232</v>
      </c>
    </row>
    <row r="21" spans="1:8" x14ac:dyDescent="0.2">
      <c r="A21" s="73" t="s">
        <v>153</v>
      </c>
      <c r="B21" s="76">
        <v>38300</v>
      </c>
      <c r="C21" s="77">
        <v>14143687.020000003</v>
      </c>
      <c r="D21" s="78">
        <v>554220.32999999996</v>
      </c>
      <c r="E21" s="78">
        <v>-64582.04</v>
      </c>
      <c r="F21" s="78">
        <v>0</v>
      </c>
      <c r="G21" s="78">
        <v>14633325.310000002</v>
      </c>
      <c r="H21" s="79">
        <v>14369481.31692308</v>
      </c>
    </row>
    <row r="22" spans="1:8" x14ac:dyDescent="0.2">
      <c r="A22" s="73" t="s">
        <v>154</v>
      </c>
      <c r="B22" s="76">
        <v>38400</v>
      </c>
      <c r="C22" s="77">
        <v>19104104.869999997</v>
      </c>
      <c r="D22" s="78">
        <v>889418.10000000009</v>
      </c>
      <c r="E22" s="78">
        <v>-78463.209999999992</v>
      </c>
      <c r="F22" s="78">
        <v>0</v>
      </c>
      <c r="G22" s="78">
        <v>19915059.759999994</v>
      </c>
      <c r="H22" s="79">
        <v>19565214.914615382</v>
      </c>
    </row>
    <row r="23" spans="1:8" x14ac:dyDescent="0.2">
      <c r="A23" s="73" t="s">
        <v>155</v>
      </c>
      <c r="B23" s="76">
        <v>38500</v>
      </c>
      <c r="C23" s="77">
        <v>9112797.4399999995</v>
      </c>
      <c r="D23" s="78">
        <v>0</v>
      </c>
      <c r="E23" s="78">
        <v>-23703.08</v>
      </c>
      <c r="F23" s="78">
        <v>0</v>
      </c>
      <c r="G23" s="78">
        <v>9089094.3600000013</v>
      </c>
      <c r="H23" s="79">
        <v>9101800.7461538482</v>
      </c>
    </row>
    <row r="24" spans="1:8" x14ac:dyDescent="0.2">
      <c r="A24" s="73" t="s">
        <v>673</v>
      </c>
      <c r="B24" s="76">
        <v>38602</v>
      </c>
      <c r="C24" s="77">
        <v>0</v>
      </c>
      <c r="D24" s="78">
        <v>0</v>
      </c>
      <c r="E24" s="78">
        <v>0</v>
      </c>
      <c r="F24" s="78">
        <v>0</v>
      </c>
      <c r="G24" s="78">
        <v>0</v>
      </c>
      <c r="H24" s="79">
        <v>0</v>
      </c>
    </row>
    <row r="25" spans="1:8" x14ac:dyDescent="0.2">
      <c r="A25" s="73" t="s">
        <v>674</v>
      </c>
      <c r="B25" s="76">
        <v>38608</v>
      </c>
      <c r="C25" s="77">
        <v>0</v>
      </c>
      <c r="D25" s="78">
        <v>0</v>
      </c>
      <c r="E25" s="78">
        <v>0</v>
      </c>
      <c r="F25" s="78">
        <v>0</v>
      </c>
      <c r="G25" s="78">
        <v>0</v>
      </c>
      <c r="H25" s="79">
        <v>0</v>
      </c>
    </row>
    <row r="26" spans="1:8" x14ac:dyDescent="0.2">
      <c r="A26" s="73" t="s">
        <v>156</v>
      </c>
      <c r="B26" s="76">
        <v>38700</v>
      </c>
      <c r="C26" s="77">
        <v>5161566.5200000014</v>
      </c>
      <c r="D26" s="78">
        <v>727592.24000000011</v>
      </c>
      <c r="E26" s="78">
        <v>0</v>
      </c>
      <c r="F26" s="78">
        <v>0</v>
      </c>
      <c r="G26" s="78">
        <v>5889158.7599999998</v>
      </c>
      <c r="H26" s="79">
        <v>5599236.5023076925</v>
      </c>
    </row>
    <row r="27" spans="1:8" x14ac:dyDescent="0.2">
      <c r="A27" s="73" t="s">
        <v>157</v>
      </c>
      <c r="B27" s="76">
        <v>39000</v>
      </c>
      <c r="C27" s="77">
        <v>9582.32</v>
      </c>
      <c r="D27" s="78">
        <v>6208.5</v>
      </c>
      <c r="E27" s="78">
        <v>0</v>
      </c>
      <c r="F27" s="78">
        <v>0</v>
      </c>
      <c r="G27" s="78">
        <v>15790.82</v>
      </c>
      <c r="H27" s="79">
        <v>12146.454615384619</v>
      </c>
    </row>
    <row r="28" spans="1:8" x14ac:dyDescent="0.2">
      <c r="A28" s="73" t="s">
        <v>158</v>
      </c>
      <c r="B28" s="76">
        <v>39002</v>
      </c>
      <c r="C28" s="77">
        <v>121764.45</v>
      </c>
      <c r="D28" s="78">
        <v>12395.52</v>
      </c>
      <c r="E28" s="78">
        <v>0</v>
      </c>
      <c r="F28" s="78">
        <v>0</v>
      </c>
      <c r="G28" s="78">
        <v>134159.97</v>
      </c>
      <c r="H28" s="79">
        <v>123671.45307692308</v>
      </c>
    </row>
    <row r="29" spans="1:8" x14ac:dyDescent="0.2">
      <c r="A29" s="73" t="s">
        <v>159</v>
      </c>
      <c r="B29" s="76">
        <v>39100</v>
      </c>
      <c r="C29" s="77">
        <v>1953232.6099999999</v>
      </c>
      <c r="D29" s="78">
        <v>93011.23</v>
      </c>
      <c r="E29" s="78">
        <v>-576000</v>
      </c>
      <c r="F29" s="78">
        <v>0</v>
      </c>
      <c r="G29" s="78">
        <v>1470243.8399999999</v>
      </c>
      <c r="H29" s="79">
        <v>1514190.4046153845</v>
      </c>
    </row>
    <row r="30" spans="1:8" x14ac:dyDescent="0.2">
      <c r="A30" s="73" t="s">
        <v>160</v>
      </c>
      <c r="B30" s="76">
        <v>39101</v>
      </c>
      <c r="C30" s="77">
        <v>6029978.330000001</v>
      </c>
      <c r="D30" s="78">
        <v>197659.37</v>
      </c>
      <c r="E30" s="78">
        <v>-933953.06</v>
      </c>
      <c r="F30" s="78">
        <v>0</v>
      </c>
      <c r="G30" s="78">
        <v>5293684.6400000006</v>
      </c>
      <c r="H30" s="79">
        <v>5339441.7846153853</v>
      </c>
    </row>
    <row r="31" spans="1:8" x14ac:dyDescent="0.2">
      <c r="A31" s="73" t="s">
        <v>161</v>
      </c>
      <c r="B31" s="76">
        <v>39102</v>
      </c>
      <c r="C31" s="77">
        <v>842479.6399999999</v>
      </c>
      <c r="D31" s="78">
        <v>79596.460000000006</v>
      </c>
      <c r="E31" s="78">
        <v>0</v>
      </c>
      <c r="F31" s="78">
        <v>0</v>
      </c>
      <c r="G31" s="78">
        <v>922076.1</v>
      </c>
      <c r="H31" s="79">
        <v>865266.81230769213</v>
      </c>
    </row>
    <row r="32" spans="1:8" x14ac:dyDescent="0.2">
      <c r="A32" s="73" t="s">
        <v>162</v>
      </c>
      <c r="B32" s="76">
        <v>39103</v>
      </c>
      <c r="C32" s="77">
        <v>0</v>
      </c>
      <c r="D32" s="78">
        <v>0</v>
      </c>
      <c r="E32" s="78">
        <v>0</v>
      </c>
      <c r="F32" s="78">
        <v>0</v>
      </c>
      <c r="G32" s="78">
        <v>0</v>
      </c>
      <c r="H32" s="79">
        <v>0</v>
      </c>
    </row>
    <row r="33" spans="1:8" x14ac:dyDescent="0.2">
      <c r="A33" s="73" t="s">
        <v>163</v>
      </c>
      <c r="B33" s="76">
        <v>39201</v>
      </c>
      <c r="C33" s="77">
        <v>6939054.6799999988</v>
      </c>
      <c r="D33" s="78">
        <v>1344886.5100000002</v>
      </c>
      <c r="E33" s="78">
        <v>-248255.03</v>
      </c>
      <c r="F33" s="78">
        <v>0</v>
      </c>
      <c r="G33" s="78">
        <v>8035686.160000002</v>
      </c>
      <c r="H33" s="79">
        <v>7175736.7569230776</v>
      </c>
    </row>
    <row r="34" spans="1:8" x14ac:dyDescent="0.2">
      <c r="A34" s="73" t="s">
        <v>164</v>
      </c>
      <c r="B34" s="76">
        <v>39202</v>
      </c>
      <c r="C34" s="77">
        <v>6453704.6100000003</v>
      </c>
      <c r="D34" s="78">
        <v>541006.42999999993</v>
      </c>
      <c r="E34" s="78">
        <v>-425514.52999999997</v>
      </c>
      <c r="F34" s="78">
        <v>0</v>
      </c>
      <c r="G34" s="78">
        <v>6569196.5099999988</v>
      </c>
      <c r="H34" s="79">
        <v>6382656.0346153853</v>
      </c>
    </row>
    <row r="35" spans="1:8" x14ac:dyDescent="0.2">
      <c r="A35" s="73" t="s">
        <v>165</v>
      </c>
      <c r="B35" s="76">
        <v>39203</v>
      </c>
      <c r="C35" s="77">
        <v>0</v>
      </c>
      <c r="D35" s="78">
        <v>0</v>
      </c>
      <c r="E35" s="78">
        <v>0</v>
      </c>
      <c r="F35" s="78">
        <v>0</v>
      </c>
      <c r="G35" s="78">
        <v>0</v>
      </c>
      <c r="H35" s="79">
        <v>0</v>
      </c>
    </row>
    <row r="36" spans="1:8" x14ac:dyDescent="0.2">
      <c r="A36" s="73" t="s">
        <v>166</v>
      </c>
      <c r="B36" s="76">
        <v>39204</v>
      </c>
      <c r="C36" s="77">
        <v>1150047.78</v>
      </c>
      <c r="D36" s="78">
        <v>5738.84</v>
      </c>
      <c r="E36" s="78">
        <v>-2292.7399999999998</v>
      </c>
      <c r="F36" s="78">
        <v>0</v>
      </c>
      <c r="G36" s="78">
        <v>1153493.8800000001</v>
      </c>
      <c r="H36" s="79">
        <v>1150313.9400000002</v>
      </c>
    </row>
    <row r="37" spans="1:8" x14ac:dyDescent="0.2">
      <c r="A37" s="73" t="s">
        <v>167</v>
      </c>
      <c r="B37" s="76">
        <v>39205</v>
      </c>
      <c r="C37" s="77">
        <v>1229800.97</v>
      </c>
      <c r="D37" s="78">
        <v>572826.75000000012</v>
      </c>
      <c r="E37" s="78">
        <v>-32788.949999999997</v>
      </c>
      <c r="F37" s="78">
        <v>0</v>
      </c>
      <c r="G37" s="78">
        <v>1769838.7700000003</v>
      </c>
      <c r="H37" s="79">
        <v>1586771.5646153844</v>
      </c>
    </row>
    <row r="38" spans="1:8" x14ac:dyDescent="0.2">
      <c r="A38" s="73" t="s">
        <v>168</v>
      </c>
      <c r="B38" s="76">
        <v>39300</v>
      </c>
      <c r="C38" s="77">
        <v>0</v>
      </c>
      <c r="D38" s="78">
        <v>1283.3900000000001</v>
      </c>
      <c r="E38" s="78">
        <v>0</v>
      </c>
      <c r="F38" s="78">
        <v>0</v>
      </c>
      <c r="G38" s="78">
        <v>1283.3900000000001</v>
      </c>
      <c r="H38" s="79">
        <v>1184.6676923076923</v>
      </c>
    </row>
    <row r="39" spans="1:8" x14ac:dyDescent="0.2">
      <c r="A39" s="73" t="s">
        <v>169</v>
      </c>
      <c r="B39" s="76">
        <v>39400</v>
      </c>
      <c r="C39" s="77">
        <v>3703103.59</v>
      </c>
      <c r="D39" s="78">
        <v>2405996.5299999998</v>
      </c>
      <c r="E39" s="78">
        <v>-10941.39</v>
      </c>
      <c r="F39" s="78">
        <v>0</v>
      </c>
      <c r="G39" s="78">
        <v>6098158.7299999995</v>
      </c>
      <c r="H39" s="79">
        <v>5159588.306153846</v>
      </c>
    </row>
    <row r="40" spans="1:8" x14ac:dyDescent="0.2">
      <c r="A40" s="73" t="s">
        <v>666</v>
      </c>
      <c r="B40" s="76">
        <v>39401</v>
      </c>
      <c r="C40" s="77">
        <v>0</v>
      </c>
      <c r="D40" s="78">
        <v>7720.92</v>
      </c>
      <c r="E40" s="78">
        <v>0</v>
      </c>
      <c r="F40" s="78">
        <v>0</v>
      </c>
      <c r="G40" s="78">
        <v>7720.92</v>
      </c>
      <c r="H40" s="79">
        <v>7127.0030769230762</v>
      </c>
    </row>
    <row r="41" spans="1:8" x14ac:dyDescent="0.2">
      <c r="A41" s="73" t="s">
        <v>170</v>
      </c>
      <c r="B41" s="76">
        <v>39500</v>
      </c>
      <c r="C41" s="77">
        <v>0</v>
      </c>
      <c r="D41" s="78">
        <v>0</v>
      </c>
      <c r="E41" s="78">
        <v>0</v>
      </c>
      <c r="F41" s="78">
        <v>0</v>
      </c>
      <c r="G41" s="78">
        <v>0</v>
      </c>
      <c r="H41" s="79">
        <v>0</v>
      </c>
    </row>
    <row r="42" spans="1:8" x14ac:dyDescent="0.2">
      <c r="A42" s="73" t="s">
        <v>171</v>
      </c>
      <c r="B42" s="76">
        <v>39600</v>
      </c>
      <c r="C42" s="77">
        <v>2656740.21</v>
      </c>
      <c r="D42" s="78">
        <v>118928.18000000002</v>
      </c>
      <c r="E42" s="78">
        <v>0</v>
      </c>
      <c r="F42" s="78">
        <v>0</v>
      </c>
      <c r="G42" s="78">
        <v>2775668.39</v>
      </c>
      <c r="H42" s="79">
        <v>2694268.1569230761</v>
      </c>
    </row>
    <row r="43" spans="1:8" x14ac:dyDescent="0.2">
      <c r="A43" s="73" t="s">
        <v>172</v>
      </c>
      <c r="B43" s="76">
        <v>39700</v>
      </c>
      <c r="C43" s="77">
        <v>5024054.3400000008</v>
      </c>
      <c r="D43" s="78">
        <v>42035.16</v>
      </c>
      <c r="E43" s="78">
        <v>-224380.83999999997</v>
      </c>
      <c r="F43" s="78">
        <v>0</v>
      </c>
      <c r="G43" s="78">
        <v>4841708.66</v>
      </c>
      <c r="H43" s="79">
        <v>4847578.7784615392</v>
      </c>
    </row>
    <row r="44" spans="1:8" x14ac:dyDescent="0.2">
      <c r="A44" s="73" t="s">
        <v>173</v>
      </c>
      <c r="B44" s="76">
        <v>39800</v>
      </c>
      <c r="C44" s="77">
        <v>443145.93000000005</v>
      </c>
      <c r="D44" s="78">
        <v>45560.030000000006</v>
      </c>
      <c r="E44" s="78">
        <v>-20472.060000000001</v>
      </c>
      <c r="F44" s="78">
        <v>0</v>
      </c>
      <c r="G44" s="78">
        <v>468233.9</v>
      </c>
      <c r="H44" s="79">
        <v>444603.1761538462</v>
      </c>
    </row>
    <row r="45" spans="1:8" x14ac:dyDescent="0.2">
      <c r="A45" s="73" t="s">
        <v>676</v>
      </c>
      <c r="B45" s="76">
        <v>39900</v>
      </c>
      <c r="C45" s="77">
        <v>0</v>
      </c>
      <c r="D45" s="78">
        <v>0</v>
      </c>
      <c r="E45" s="78">
        <v>0</v>
      </c>
      <c r="F45" s="78">
        <v>0</v>
      </c>
      <c r="G45" s="78">
        <v>0</v>
      </c>
      <c r="H45" s="79">
        <v>0</v>
      </c>
    </row>
    <row r="46" spans="1:8" x14ac:dyDescent="0.2">
      <c r="A46" s="132" t="s">
        <v>174</v>
      </c>
      <c r="B46" s="133"/>
      <c r="C46" s="134">
        <v>1302933056.5999997</v>
      </c>
      <c r="D46" s="135">
        <v>102797990.43000001</v>
      </c>
      <c r="E46" s="135">
        <v>-13483051.630000001</v>
      </c>
      <c r="F46" s="135">
        <v>0</v>
      </c>
      <c r="G46" s="135">
        <v>1392247995.4000001</v>
      </c>
      <c r="H46" s="136">
        <v>1344679295.1638458</v>
      </c>
    </row>
    <row r="52" spans="1:9" x14ac:dyDescent="0.2">
      <c r="A52" s="137" t="s">
        <v>176</v>
      </c>
      <c r="B52" s="1">
        <v>11501</v>
      </c>
      <c r="C52" s="109">
        <v>5031897.24</v>
      </c>
      <c r="D52" s="109">
        <v>0</v>
      </c>
      <c r="E52" s="109">
        <v>0</v>
      </c>
      <c r="F52" s="109">
        <v>0</v>
      </c>
      <c r="G52" s="109">
        <v>5031897.24</v>
      </c>
      <c r="H52" s="109">
        <v>5031897.2400000012</v>
      </c>
      <c r="I52" s="10">
        <v>0</v>
      </c>
    </row>
    <row r="53" spans="1:9" x14ac:dyDescent="0.2">
      <c r="I53" s="10"/>
    </row>
    <row r="54" spans="1:9" x14ac:dyDescent="0.2">
      <c r="A54" s="143" t="s">
        <v>175</v>
      </c>
      <c r="B54" s="1">
        <v>10500</v>
      </c>
      <c r="C54" s="109">
        <v>2984633.79</v>
      </c>
      <c r="D54" s="109">
        <v>-1045082.24</v>
      </c>
      <c r="E54" s="109">
        <v>0</v>
      </c>
      <c r="F54" s="109">
        <v>0</v>
      </c>
      <c r="G54" s="109">
        <v>1939551.5499999998</v>
      </c>
      <c r="H54" s="109">
        <v>2459955.4253846155</v>
      </c>
      <c r="I54" s="10">
        <v>0</v>
      </c>
    </row>
    <row r="55" spans="1:9" x14ac:dyDescent="0.2">
      <c r="I55" s="10"/>
    </row>
    <row r="57" spans="1:9" ht="13.5" thickBot="1" x14ac:dyDescent="0.25">
      <c r="A57" s="143" t="s">
        <v>177</v>
      </c>
      <c r="C57" s="80">
        <v>1310949587.6299996</v>
      </c>
      <c r="D57" s="80">
        <v>101752908.19000001</v>
      </c>
      <c r="E57" s="80">
        <v>-13483051.630000001</v>
      </c>
      <c r="F57" s="80">
        <v>0</v>
      </c>
      <c r="G57" s="80">
        <v>1399219444.1900001</v>
      </c>
      <c r="H57" s="80">
        <v>1352171147.8292303</v>
      </c>
      <c r="I57" s="10">
        <v>0</v>
      </c>
    </row>
    <row r="58" spans="1:9" ht="13.5" thickTop="1" x14ac:dyDescent="0.2">
      <c r="A58" s="30"/>
      <c r="B58" s="30"/>
      <c r="C58" s="30"/>
      <c r="D58" s="30"/>
      <c r="E58" s="30"/>
      <c r="F58" s="30"/>
      <c r="G58" s="30"/>
      <c r="H58" s="30"/>
    </row>
    <row r="59" spans="1:9" x14ac:dyDescent="0.2">
      <c r="B59" s="7" t="s">
        <v>178</v>
      </c>
      <c r="C59" s="10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</row>
    <row r="60" spans="1:9" x14ac:dyDescent="0.2">
      <c r="B60" s="7" t="s">
        <v>178</v>
      </c>
      <c r="C60" s="10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</row>
    <row r="61" spans="1:9" x14ac:dyDescent="0.2">
      <c r="D61" s="10"/>
    </row>
    <row r="62" spans="1:9" x14ac:dyDescent="0.2">
      <c r="C62" s="9">
        <v>1310949587.6300004</v>
      </c>
      <c r="D62" s="9">
        <v>101752908.19</v>
      </c>
      <c r="E62" s="9">
        <v>-13483051.629999999</v>
      </c>
      <c r="F62" s="9">
        <v>0</v>
      </c>
      <c r="G62" s="9">
        <v>1399219444.1900005</v>
      </c>
    </row>
    <row r="63" spans="1:9" x14ac:dyDescent="0.2">
      <c r="C63" s="10">
        <v>0</v>
      </c>
      <c r="D63" s="10">
        <v>0</v>
      </c>
      <c r="E63" s="10">
        <v>0</v>
      </c>
      <c r="F63" s="10">
        <v>0</v>
      </c>
      <c r="G63" s="10">
        <v>0</v>
      </c>
    </row>
  </sheetData>
  <phoneticPr fontId="0" type="noConversion"/>
  <printOptions horizontalCentered="1"/>
  <pageMargins left="0.75" right="0.75" top="1" bottom="1" header="0.5" footer="0.5"/>
  <pageSetup scale="67" orientation="landscape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D000B5-652D-4881-9C83-2092B0D2E3F7}"/>
</file>

<file path=customXml/itemProps2.xml><?xml version="1.0" encoding="utf-8"?>
<ds:datastoreItem xmlns:ds="http://schemas.openxmlformats.org/officeDocument/2006/customXml" ds:itemID="{F61A3484-EA18-4A0E-A401-9EFDA2F65966}"/>
</file>

<file path=customXml/itemProps3.xml><?xml version="1.0" encoding="utf-8"?>
<ds:datastoreItem xmlns:ds="http://schemas.openxmlformats.org/officeDocument/2006/customXml" ds:itemID="{F97B188A-96AB-4AAA-B29A-973BC1B820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Proposed Rates</vt:lpstr>
      <vt:lpstr>Proposed Accruals</vt:lpstr>
      <vt:lpstr>Plant &amp; Reserve</vt:lpstr>
      <vt:lpstr>Reserve Allocation</vt:lpstr>
      <vt:lpstr>Avg Age</vt:lpstr>
      <vt:lpstr>Parameter</vt:lpstr>
      <vt:lpstr>Comparative</vt:lpstr>
      <vt:lpstr>Annual Status</vt:lpstr>
      <vt:lpstr>ASR Assets</vt:lpstr>
      <vt:lpstr>ASR Reserves</vt:lpstr>
      <vt:lpstr>COR Reserve</vt:lpstr>
      <vt:lpstr>Theoretical Reserve</vt:lpstr>
      <vt:lpstr>Rate Computation</vt:lpstr>
      <vt:lpstr>Report Table</vt:lpstr>
      <vt:lpstr>Rate Comparsion</vt:lpstr>
      <vt:lpstr>'ASR Assets'!Print_Area</vt:lpstr>
      <vt:lpstr>'ASR Reserves'!Print_Area</vt:lpstr>
      <vt:lpstr>Comparative!Print_Area</vt:lpstr>
      <vt:lpstr>'Plant &amp; Reserve'!Print_Area</vt:lpstr>
      <vt:lpstr>'Proposed Accruals'!Print_Area</vt:lpstr>
      <vt:lpstr>'Proposed Rates'!Print_Area</vt:lpstr>
      <vt:lpstr>Comparative!Print_Titles</vt:lpstr>
      <vt:lpstr>'Plant &amp; Reserve'!Print_Titles</vt:lpstr>
      <vt:lpstr>'Proposed Accruals'!Print_Titles</vt:lpstr>
      <vt:lpstr>'Proposed Rates'!Print_Titles</vt:lpstr>
    </vt:vector>
  </TitlesOfParts>
  <Company>TECO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TECO</dc:creator>
  <cp:lastModifiedBy>kponder</cp:lastModifiedBy>
  <cp:lastPrinted>2018-08-02T15:25:18Z</cp:lastPrinted>
  <dcterms:created xsi:type="dcterms:W3CDTF">1999-02-11T16:03:43Z</dcterms:created>
  <dcterms:modified xsi:type="dcterms:W3CDTF">2023-02-17T15:54:21Z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0x0101001B9469E761E20748A773F85B33816D32</vt:lpwstr>
  </property>
</Properties>
</file>