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activeX/activeX3.bin" ContentType="application/vnd.ms-office.activeX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1.bin" ContentType="application/vnd.openxmlformats-officedocument.spreadsheetml.customProperty"/>
  <Override PartName="/xl/activeX/activeX5.xml" ContentType="application/vnd.ms-office.activeX+xml"/>
  <Override PartName="/xl/activeX/activeX5.bin" ContentType="application/vnd.ms-office.activeX"/>
  <Override PartName="/xl/customProperty2.bin" ContentType="application/vnd.openxmlformats-officedocument.spreadsheetml.customProperty"/>
  <Override PartName="/xl/activeX/activeX6.xml" ContentType="application/vnd.ms-office.activeX+xml"/>
  <Override PartName="/xl/activeX/activeX6.bin" ContentType="application/vnd.ms-office.activeX"/>
  <Override PartName="/xl/activeX/activeX1.xml" ContentType="application/vnd.ms-office.activeX+xml"/>
  <Override PartName="/xl/activeX/activeX7.xml" ContentType="application/vnd.ms-office.activeX+xml"/>
  <Override PartName="/xl/activeX/activeX7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2.xml" ContentType="application/vnd.ms-office.activeX+xml"/>
  <Override PartName="/xl/activeX/activeX9.xml" ContentType="application/vnd.ms-office.activeX+xml"/>
  <Override PartName="/xl/activeX/activeX9.bin" ContentType="application/vnd.ms-office.activeX"/>
  <Override PartName="/xl/activeX/activeX2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3.xml" ContentType="application/vnd.ms-office.activeX+xml"/>
  <Override PartName="/xl/activeX/activeX11.xml" ContentType="application/vnd.ms-office.activeX+xml"/>
  <Override PartName="/xl/activeX/activeX11.bin" ContentType="application/vnd.ms-office.activeX"/>
  <Override PartName="/xl/activeX/activeX4.xml" ContentType="application/vnd.ms-office.activeX+xml"/>
  <Override PartName="/xl/activeX/activeX12.xml" ContentType="application/vnd.ms-office.activeX+xml"/>
  <Override PartName="/xl/activeX/activeX12.bin" ContentType="application/vnd.ms-office.activeX"/>
  <Override PartName="/xl/activeX/activeX4.bin" ContentType="application/vnd.ms-office.activeX"/>
  <Override PartName="/xl/ctrlProps/ctrlProp65.xml" ContentType="application/vnd.ms-excel.controlproperties+xml"/>
  <Override PartName="/xl/ctrlProps/ctrlProp66.xml" ContentType="application/vnd.ms-excel.controlproperties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52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Yborfs\PLZAFP1V\VOL1\CORP\RGAF\SHARDATA\DATA\COMMON\Regulatory Filings with FPSC\PGS RC MFR Production\2024\MFR Supporting Workpapers\SRs\"/>
    </mc:Choice>
  </mc:AlternateContent>
  <xr:revisionPtr revIDLastSave="0" documentId="8_{0CD96072-7A9B-42E8-A0D8-CF24DD26FF8F}" xr6:coauthVersionLast="47" xr6:coauthVersionMax="47" xr10:uidLastSave="{00000000-0000-0000-0000-000000000000}"/>
  <bookViews>
    <workbookView xWindow="28680" yWindow="-120" windowWidth="51840" windowHeight="21240" firstSheet="1" activeTab="1" xr2:uid="{00000000-000D-0000-FFFF-FFFF00000000}"/>
  </bookViews>
  <sheets>
    <sheet name="EPMFormattingSheet" sheetId="4" state="hidden" r:id="rId1"/>
    <sheet name="INCOME_STATEMENT" sheetId="2" r:id="rId2"/>
  </sheets>
  <definedNames>
    <definedName name="__FPMExcelClient_CellBasedFunctionStatus" localSheetId="1" hidden="1">"2_1_2_2_2_2"</definedName>
    <definedName name="__FPMExcelClient_Connection" localSheetId="1">"_FPM_BPCNW10_[https://selfservice.tecoenergy.com/sap/bpc/]_[TECO_FINANCE]_[TECO_PLANNING]_[false]_[false]"</definedName>
    <definedName name="__FPMExcelClient_RefreshTime" localSheetId="1">636606437599610000</definedName>
    <definedName name="AddDimension" localSheetId="0" hidden="1">EPMFormattingSheet!$D$129</definedName>
    <definedName name="AddLevelFirst" localSheetId="0" hidden="1">EPMFormattingSheet!$D$20</definedName>
    <definedName name="AddLevelSecond" localSheetId="0" hidden="1">EPMFormattingSheet!$D$41</definedName>
    <definedName name="AddMemberFirst" localSheetId="0" hidden="1">EPMFormattingSheet!$D$97</definedName>
    <definedName name="AddMemberFirst_1" localSheetId="0" hidden="1">EPMFormattingSheet!$D$89</definedName>
    <definedName name="AddMemberFirst_2" localSheetId="0" hidden="1">EPMFormattingSheet!$D$92</definedName>
    <definedName name="AddMemberFirst_3" localSheetId="0" hidden="1">EPMFormattingSheet!$D$95</definedName>
    <definedName name="AddMemberSecond" localSheetId="0" hidden="1">EPMFormattingSheet!$D$67</definedName>
    <definedName name="DataFirst" localSheetId="0" hidden="1">EPMFormattingSheet!$E$70:$G$70</definedName>
    <definedName name="DataSecond" localSheetId="0" hidden="1">EPMFormattingSheet!$E$112:$G$112</definedName>
    <definedName name="DataUseFirst" localSheetId="0" hidden="1">EPMFormattingSheet!$H$70</definedName>
    <definedName name="DataUseSecond" localSheetId="0" hidden="1">EPMFormattingSheet!$H$112</definedName>
    <definedName name="EPMClientFormattingSheet" localSheetId="0" hidden="1">"2_0"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venDataFirst" localSheetId="0" hidden="1">EPMFormattingSheet!$F$109</definedName>
    <definedName name="EvenDataSecond" localSheetId="0" hidden="1">EPMFormattingSheet!$F$117</definedName>
    <definedName name="EvenDataUseFirst" localSheetId="0" hidden="1">EPMFormattingSheet!$H$109</definedName>
    <definedName name="EvenDataUseSecond" localSheetId="0" hidden="1">EPMFormattingSheet!$H$117</definedName>
    <definedName name="EvenHeaderFirst" localSheetId="0" hidden="1">EPMFormattingSheet!$J$109</definedName>
    <definedName name="EvenHeaderSecond" localSheetId="0" hidden="1">EPMFormattingSheet!$J$117</definedName>
    <definedName name="EvenHeaderUseFirst" localSheetId="0" hidden="1">EPMFormattingSheet!$L$109</definedName>
    <definedName name="EvenHeaderUseSecond" localSheetId="0" hidden="1">EPMFormattingSheet!$L$117</definedName>
    <definedName name="HeaderFirst" localSheetId="0" hidden="1">EPMFormattingSheet!$I$70:$K$70</definedName>
    <definedName name="HeaderSecond" localSheetId="0" hidden="1">EPMFormattingSheet!$I$112:$K$112</definedName>
    <definedName name="HeaderSmallGrid" localSheetId="0" hidden="1">EPMFormattingSheet!$E$123:$G$123</definedName>
    <definedName name="HeaderUseFirst" localSheetId="0" hidden="1">EPMFormattingSheet!$L$70</definedName>
    <definedName name="HeaderUseSecond" localSheetId="0" hidden="1">EPMFormattingSheet!$L$112</definedName>
    <definedName name="HeaderUseSmallGrid" localSheetId="0" hidden="1">EPMFormattingSheet!$H$123:$L$123</definedName>
    <definedName name="LevelEndBlock" localSheetId="0" hidden="1">EPMFormattingSheet!$B$43</definedName>
    <definedName name="LevelFirstBlock" localSheetId="0" hidden="1">EPMFormattingSheet!$B$7:$B$21</definedName>
    <definedName name="LevelFirstDataDefault" localSheetId="0" hidden="1">EPMFormattingSheet!$F$11</definedName>
    <definedName name="LevelFirstDataLeaf" localSheetId="0" hidden="1">EPMFormattingSheet!$F$14</definedName>
    <definedName name="LevelFirstDataLevel_1" localSheetId="0" hidden="1">EPMFormattingSheet!$F$18</definedName>
    <definedName name="LevelFirstDataUseDefault" localSheetId="0" hidden="1">EPMFormattingSheet!$H$11</definedName>
    <definedName name="LevelFirstDataUseLeaf" localSheetId="0" hidden="1">EPMFormattingSheet!$H$14</definedName>
    <definedName name="LevelFirstDataUseLevel_1" localSheetId="0" hidden="1">EPMFormattingSheet!$H$18</definedName>
    <definedName name="LevelFirstHeaderDefault" localSheetId="0" hidden="1">EPMFormattingSheet!$J$11</definedName>
    <definedName name="LevelFirstHeaderLeaf" localSheetId="0" hidden="1">EPMFormattingSheet!$J$14</definedName>
    <definedName name="LevelFirstHeaderLevel_1" localSheetId="0" hidden="1">EPMFormattingSheet!$J$18</definedName>
    <definedName name="LevelFirstHeaderUseDefault" localSheetId="0" hidden="1">EPMFormattingSheet!$L$11</definedName>
    <definedName name="LevelFirstHeaderUseLeaf" localSheetId="0" hidden="1">EPMFormattingSheet!$L$14</definedName>
    <definedName name="LevelFirstHeaderUseLevel_1" localSheetId="0" hidden="1">EPMFormattingSheet!$L$18</definedName>
    <definedName name="LevelSecondBlock" localSheetId="0" hidden="1">EPMFormattingSheet!$B$22:$B$42</definedName>
    <definedName name="LevelSecondDataDefault" localSheetId="0" hidden="1">EPMFormattingSheet!$F$26</definedName>
    <definedName name="LevelSecondDataLeaf" localSheetId="0" hidden="1">EPMFormattingSheet!$F$29</definedName>
    <definedName name="LevelSecondDataLevel_1" localSheetId="0" hidden="1">EPMFormattingSheet!$F$33</definedName>
    <definedName name="LevelSecondDataLevel_2" localSheetId="0" hidden="1">EPMFormattingSheet!$F$36</definedName>
    <definedName name="LevelSecondDataLevel_3" localSheetId="0" hidden="1">EPMFormattingSheet!$F$39</definedName>
    <definedName name="LevelSecondDataUseDefault" localSheetId="0" hidden="1">EPMFormattingSheet!$H$26</definedName>
    <definedName name="LevelSecondDataUseLeaf" localSheetId="0" hidden="1">EPMFormattingSheet!$H$29</definedName>
    <definedName name="LevelSecondDataUseLevel_1" localSheetId="0" hidden="1">EPMFormattingSheet!$H$33</definedName>
    <definedName name="LevelSecondDataUseLevel_2" localSheetId="0" hidden="1">EPMFormattingSheet!$H$36</definedName>
    <definedName name="LevelSecondDataUseLevel_3" localSheetId="0" hidden="1">EPMFormattingSheet!$H$39</definedName>
    <definedName name="LevelSecondHeaderDefault" localSheetId="0" hidden="1">EPMFormattingSheet!$J$26</definedName>
    <definedName name="LevelSecondHeaderLeaf" localSheetId="0" hidden="1">EPMFormattingSheet!$J$29</definedName>
    <definedName name="LevelSecondHeaderLevel_1" localSheetId="0" hidden="1">EPMFormattingSheet!$J$33</definedName>
    <definedName name="LevelSecondHeaderLevel_2" localSheetId="0" hidden="1">EPMFormattingSheet!$J$36</definedName>
    <definedName name="LevelSecondHeaderLevel_3" localSheetId="0" hidden="1">EPMFormattingSheet!$J$39</definedName>
    <definedName name="LevelSecondHeaderUseDefault" localSheetId="0" hidden="1">EPMFormattingSheet!$L$26</definedName>
    <definedName name="LevelSecondHeaderUseLeaf" localSheetId="0" hidden="1">EPMFormattingSheet!$L$29</definedName>
    <definedName name="LevelSecondHeaderUseLevel_1" localSheetId="0" hidden="1">EPMFormattingSheet!$L$33</definedName>
    <definedName name="LevelSecondHeaderUseLevel_2" localSheetId="0" hidden="1">EPMFormattingSheet!$L$36</definedName>
    <definedName name="LevelSecondHeaderUseLevel_3" localSheetId="0" hidden="1">EPMFormattingSheet!$L$39</definedName>
    <definedName name="MemberEndBlock" localSheetId="0" hidden="1">EPMFormattingSheet!$B$99</definedName>
    <definedName name="MemberFirstBlock" localSheetId="0" hidden="1">EPMFormattingSheet!$B$69:$B$98</definedName>
    <definedName name="MemberFirstDataCalculated" localSheetId="0" hidden="1">EPMFormattingSheet!$F$75</definedName>
    <definedName name="MemberFirstDataChanged" localSheetId="0" hidden="1">EPMFormattingSheet!$F$84</definedName>
    <definedName name="MemberFirstDataCustom" localSheetId="0" hidden="1">EPMFormattingSheet!$F$72</definedName>
    <definedName name="MemberFirstDataInputable" localSheetId="0" hidden="1">EPMFormattingSheet!$F$78</definedName>
    <definedName name="MemberFirstDataItem_1" localSheetId="0" hidden="1">EPMFormattingSheet!$F$89</definedName>
    <definedName name="MemberFirstDataItem_2" localSheetId="0" hidden="1">EPMFormattingSheet!$F$92</definedName>
    <definedName name="MemberFirstDataItem_3" localSheetId="0" hidden="1">EPMFormattingSheet!$F$95</definedName>
    <definedName name="MemberFirstDataLocal" localSheetId="0" hidden="1">EPMFormattingSheet!$F$81</definedName>
    <definedName name="MemberFirstDataUseCalculated" localSheetId="0" hidden="1">EPMFormattingSheet!$H$75</definedName>
    <definedName name="MemberFirstDataUseChanged" localSheetId="0" hidden="1">EPMFormattingSheet!$H$84</definedName>
    <definedName name="MemberFirstDataUseCustom" localSheetId="0" hidden="1">EPMFormattingSheet!$H$72</definedName>
    <definedName name="MemberFirstDataUseInputable" localSheetId="0" hidden="1">EPMFormattingSheet!$H$78</definedName>
    <definedName name="MemberFirstDataUseItem_1" localSheetId="0" hidden="1">EPMFormattingSheet!$H$89</definedName>
    <definedName name="MemberFirstDataUseItem_2" localSheetId="0" hidden="1">EPMFormattingSheet!$H$92</definedName>
    <definedName name="MemberFirstDataUseItem_3" localSheetId="0" hidden="1">EPMFormattingSheet!$H$95</definedName>
    <definedName name="MemberFirstDataUseLocal" localSheetId="0" hidden="1">EPMFormattingSheet!$H$81</definedName>
    <definedName name="MemberFirstHeaderCalculated" localSheetId="0" hidden="1">EPMFormattingSheet!$J$75</definedName>
    <definedName name="MemberFirstHeaderChanged" localSheetId="0" hidden="1">EPMFormattingSheet!$J$84</definedName>
    <definedName name="MemberFirstHeaderCustom" localSheetId="0" hidden="1">EPMFormattingSheet!$J$72</definedName>
    <definedName name="MemberFirstHeaderInputable" localSheetId="0" hidden="1">EPMFormattingSheet!$J$78</definedName>
    <definedName name="MemberFirstHeaderItem_1" localSheetId="0" hidden="1">EPMFormattingSheet!$J$89</definedName>
    <definedName name="MemberFirstHeaderItem_2" localSheetId="0" hidden="1">EPMFormattingSheet!$J$92</definedName>
    <definedName name="MemberFirstHeaderItem_3" localSheetId="0" hidden="1">EPMFormattingSheet!$J$95</definedName>
    <definedName name="MemberFirstHeaderLocal" localSheetId="0" hidden="1">EPMFormattingSheet!$J$81</definedName>
    <definedName name="MemberFirstHeaderUseCalculated" localSheetId="0" hidden="1">EPMFormattingSheet!$L$75</definedName>
    <definedName name="MemberFirstHeaderUseChanged" localSheetId="0" hidden="1">EPMFormattingSheet!$L$84</definedName>
    <definedName name="MemberFirstHeaderUseCustom" localSheetId="0" hidden="1">EPMFormattingSheet!$L$72</definedName>
    <definedName name="MemberFirstHeaderUseInputable" localSheetId="0" hidden="1">EPMFormattingSheet!$L$78</definedName>
    <definedName name="MemberFirstHeaderUseItem_1" localSheetId="0" hidden="1">EPMFormattingSheet!$L$89</definedName>
    <definedName name="MemberFirstHeaderUseItem_2" localSheetId="0" hidden="1">EPMFormattingSheet!$L$92</definedName>
    <definedName name="MemberFirstHeaderUseItem_3" localSheetId="0" hidden="1">EPMFormattingSheet!$L$95</definedName>
    <definedName name="MemberFirstHeaderUseLocal" localSheetId="0" hidden="1">EPMFormattingSheet!$L$81</definedName>
    <definedName name="MemberSecondBlock" localSheetId="0" hidden="1">EPMFormattingSheet!$B$48:$B$68</definedName>
    <definedName name="MemberSecondDataCalculated" localSheetId="0" hidden="1">EPMFormattingSheet!$F$54</definedName>
    <definedName name="MemberSecondDataChanged" localSheetId="0" hidden="1">EPMFormattingSheet!$F$63</definedName>
    <definedName name="MemberSecondDataCustom" localSheetId="0" hidden="1">EPMFormattingSheet!$F$51</definedName>
    <definedName name="MemberSecondDataInputable" localSheetId="0" hidden="1">EPMFormattingSheet!$F$57</definedName>
    <definedName name="MemberSecondDataLocal" localSheetId="0" hidden="1">EPMFormattingSheet!$F$60</definedName>
    <definedName name="MemberSecondDataUseCalculated" localSheetId="0" hidden="1">EPMFormattingSheet!$H$54</definedName>
    <definedName name="MemberSecondDataUseChanged" localSheetId="0" hidden="1">EPMFormattingSheet!$H$63</definedName>
    <definedName name="MemberSecondDataUseCustom" localSheetId="0" hidden="1">EPMFormattingSheet!$H$51</definedName>
    <definedName name="MemberSecondDataUseInputable" localSheetId="0" hidden="1">EPMFormattingSheet!$H$57</definedName>
    <definedName name="MemberSecondDataUseLocal" localSheetId="0" hidden="1">EPMFormattingSheet!$H$60</definedName>
    <definedName name="MemberSecondHeaderCalculated" localSheetId="0" hidden="1">EPMFormattingSheet!$J$54</definedName>
    <definedName name="MemberSecondHeaderChanged" localSheetId="0" hidden="1">EPMFormattingSheet!$J$63</definedName>
    <definedName name="MemberSecondHeaderCustom" localSheetId="0" hidden="1">EPMFormattingSheet!$J$51</definedName>
    <definedName name="MemberSecondHeaderInputable" localSheetId="0" hidden="1">EPMFormattingSheet!$J$57</definedName>
    <definedName name="MemberSecondHeaderLocal" localSheetId="0" hidden="1">EPMFormattingSheet!$J$60</definedName>
    <definedName name="MemberSecondHeaderUseCalculated" localSheetId="0" hidden="1">EPMFormattingSheet!$L$54</definedName>
    <definedName name="MemberSecondHeaderUseChanged" localSheetId="0" hidden="1">EPMFormattingSheet!$L$63</definedName>
    <definedName name="MemberSecondHeaderUseCustom" localSheetId="0" hidden="1">EPMFormattingSheet!$L$51</definedName>
    <definedName name="MemberSecondHeaderUseInputable" localSheetId="0" hidden="1">EPMFormattingSheet!$L$57</definedName>
    <definedName name="MemberSecondHeaderUseLocal" localSheetId="0" hidden="1">EPMFormattingSheet!$L$60</definedName>
    <definedName name="OddDataFirst" localSheetId="0" hidden="1">EPMFormattingSheet!$F$106</definedName>
    <definedName name="OddDataSecond" localSheetId="0" hidden="1">EPMFormattingSheet!$F$114</definedName>
    <definedName name="OddDataUseFirst" localSheetId="0" hidden="1">EPMFormattingSheet!$H$106</definedName>
    <definedName name="OddDataUseSecond" localSheetId="0" hidden="1">EPMFormattingSheet!$H$114</definedName>
    <definedName name="OddEvenEndBlock" localSheetId="0" hidden="1">EPMFormattingSheet!$B$119</definedName>
    <definedName name="OddEvenFirstBlock" localSheetId="0" hidden="1">EPMFormattingSheet!$B$103:$B$110</definedName>
    <definedName name="OddEvenSecondBlock" localSheetId="0" hidden="1">EPMFormattingSheet!$B$111:$B$118</definedName>
    <definedName name="OddHeaderFirst" localSheetId="0" hidden="1">EPMFormattingSheet!$J$106</definedName>
    <definedName name="OddHeaderSecond" localSheetId="0" hidden="1">EPMFormattingSheet!$J$114</definedName>
    <definedName name="OddHeaderUseFirst" localSheetId="0" hidden="1">EPMFormattingSheet!$L$106</definedName>
    <definedName name="OddHeaderUseSecond" localSheetId="0" hidden="1">EPMFormattingSheet!$L$114</definedName>
    <definedName name="PageHeaderDefaultHeader" localSheetId="0" hidden="1">EPMFormattingSheet!$F$125</definedName>
    <definedName name="PageHeaderDefaultHeaderUse" localSheetId="0" hidden="1">EPMFormattingSheet!$H$125:$L$125</definedName>
    <definedName name="_xlnm.Print_Titles" localSheetId="1">INCOME_STATEMENT!$I:$J,INCOME_STATEMENT!$31:$32</definedName>
    <definedName name="RemoveLevelFirst" localSheetId="0" hidden="1">EPMFormattingSheet!$D$20</definedName>
    <definedName name="RemoveLevelSecond" localSheetId="0" hidden="1">EPMFormattingSheet!$D$41</definedName>
    <definedName name="SUPRESS">INCOME_STATEMENT!$P$1</definedName>
    <definedName name="SUPRESS2">INCOME_STATEMENT!$O$1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" i="2" l="1"/>
  <c r="L17" i="2"/>
  <c r="L18" i="2"/>
  <c r="L19" i="2"/>
  <c r="B12" i="2"/>
  <c r="B11" i="2"/>
  <c r="B10" i="2"/>
  <c r="L22" i="2"/>
  <c r="K34" i="2"/>
  <c r="L34" i="2" s="1"/>
  <c r="K38" i="2"/>
  <c r="L38" i="2" s="1"/>
  <c r="K42" i="2"/>
  <c r="L42" i="2" s="1"/>
  <c r="K46" i="2"/>
  <c r="L46" i="2" s="1"/>
  <c r="K53" i="2"/>
  <c r="L53" i="2" s="1"/>
  <c r="K57" i="2"/>
  <c r="L57" i="2" s="1"/>
  <c r="K61" i="2"/>
  <c r="L61" i="2" s="1"/>
  <c r="K65" i="2"/>
  <c r="L65" i="2" s="1"/>
  <c r="K69" i="2"/>
  <c r="L69" i="2" s="1"/>
  <c r="K72" i="2"/>
  <c r="L72" i="2" s="1"/>
  <c r="K75" i="2"/>
  <c r="L75" i="2" s="1"/>
  <c r="K82" i="2"/>
  <c r="L82" i="2" s="1"/>
  <c r="K86" i="2"/>
  <c r="L86" i="2" s="1"/>
  <c r="K90" i="2"/>
  <c r="L90" i="2" s="1"/>
  <c r="K94" i="2"/>
  <c r="L94" i="2" s="1"/>
  <c r="K98" i="2"/>
  <c r="L98" i="2" s="1"/>
  <c r="K102" i="2"/>
  <c r="L102" i="2" s="1"/>
  <c r="K106" i="2"/>
  <c r="L106" i="2" s="1"/>
  <c r="K109" i="2"/>
  <c r="L109" i="2" s="1"/>
  <c r="K110" i="2"/>
  <c r="L110" i="2" s="1"/>
  <c r="K114" i="2"/>
  <c r="L114" i="2" s="1"/>
  <c r="K117" i="2"/>
  <c r="L117" i="2" s="1"/>
  <c r="K121" i="2"/>
  <c r="L121" i="2" s="1"/>
  <c r="K125" i="2"/>
  <c r="L125" i="2" s="1"/>
  <c r="K129" i="2"/>
  <c r="L129" i="2" s="1"/>
  <c r="K133" i="2"/>
  <c r="L133" i="2" s="1"/>
  <c r="K137" i="2"/>
  <c r="L137" i="2" s="1"/>
  <c r="K146" i="2"/>
  <c r="L146" i="2" s="1"/>
  <c r="K150" i="2"/>
  <c r="L150" i="2" s="1"/>
  <c r="K154" i="2"/>
  <c r="L154" i="2" s="1"/>
  <c r="K158" i="2"/>
  <c r="L158" i="2" s="1"/>
  <c r="K162" i="2"/>
  <c r="L162" i="2" s="1"/>
  <c r="K167" i="2"/>
  <c r="L167" i="2" s="1"/>
  <c r="K171" i="2"/>
  <c r="L171" i="2" s="1"/>
  <c r="K175" i="2"/>
  <c r="L175" i="2" s="1"/>
  <c r="K179" i="2"/>
  <c r="L179" i="2" s="1"/>
  <c r="K182" i="2"/>
  <c r="L182" i="2" s="1"/>
  <c r="K184" i="2"/>
  <c r="L184" i="2" s="1"/>
  <c r="K191" i="2"/>
  <c r="L191" i="2" s="1"/>
  <c r="J35" i="2"/>
  <c r="J39" i="2"/>
  <c r="J43" i="2"/>
  <c r="J47" i="2"/>
  <c r="J50" i="2"/>
  <c r="J54" i="2"/>
  <c r="J58" i="2"/>
  <c r="J62" i="2"/>
  <c r="J66" i="2"/>
  <c r="J70" i="2"/>
  <c r="J76" i="2"/>
  <c r="J79" i="2"/>
  <c r="J83" i="2"/>
  <c r="J87" i="2"/>
  <c r="J91" i="2"/>
  <c r="J95" i="2"/>
  <c r="J99" i="2"/>
  <c r="J103" i="2"/>
  <c r="J107" i="2"/>
  <c r="J111" i="2"/>
  <c r="J118" i="2"/>
  <c r="J122" i="2"/>
  <c r="J126" i="2"/>
  <c r="J130" i="2"/>
  <c r="J134" i="2"/>
  <c r="J138" i="2"/>
  <c r="J141" i="2"/>
  <c r="J147" i="2"/>
  <c r="J151" i="2"/>
  <c r="J155" i="2"/>
  <c r="J156" i="2"/>
  <c r="J159" i="2"/>
  <c r="J163" i="2"/>
  <c r="J168" i="2"/>
  <c r="J172" i="2"/>
  <c r="J176" i="2"/>
  <c r="J180" i="2"/>
  <c r="J185" i="2"/>
  <c r="K35" i="2"/>
  <c r="L35" i="2" s="1"/>
  <c r="K39" i="2"/>
  <c r="L39" i="2" s="1"/>
  <c r="K43" i="2"/>
  <c r="L43" i="2" s="1"/>
  <c r="K47" i="2"/>
  <c r="L47" i="2" s="1"/>
  <c r="K50" i="2"/>
  <c r="L50" i="2" s="1"/>
  <c r="K54" i="2"/>
  <c r="L54" i="2" s="1"/>
  <c r="K58" i="2"/>
  <c r="L58" i="2" s="1"/>
  <c r="K62" i="2"/>
  <c r="L62" i="2" s="1"/>
  <c r="K66" i="2"/>
  <c r="L66" i="2" s="1"/>
  <c r="K70" i="2"/>
  <c r="L70" i="2" s="1"/>
  <c r="K76" i="2"/>
  <c r="L76" i="2" s="1"/>
  <c r="K79" i="2"/>
  <c r="L79" i="2" s="1"/>
  <c r="K83" i="2"/>
  <c r="L83" i="2" s="1"/>
  <c r="K87" i="2"/>
  <c r="L87" i="2" s="1"/>
  <c r="K91" i="2"/>
  <c r="L91" i="2" s="1"/>
  <c r="K95" i="2"/>
  <c r="L95" i="2" s="1"/>
  <c r="K99" i="2"/>
  <c r="L99" i="2" s="1"/>
  <c r="K103" i="2"/>
  <c r="L103" i="2" s="1"/>
  <c r="K107" i="2"/>
  <c r="L107" i="2" s="1"/>
  <c r="K111" i="2"/>
  <c r="L111" i="2" s="1"/>
  <c r="K118" i="2"/>
  <c r="L118" i="2" s="1"/>
  <c r="K122" i="2"/>
  <c r="L122" i="2" s="1"/>
  <c r="K126" i="2"/>
  <c r="L126" i="2" s="1"/>
  <c r="K130" i="2"/>
  <c r="L130" i="2" s="1"/>
  <c r="K134" i="2"/>
  <c r="L134" i="2" s="1"/>
  <c r="K138" i="2"/>
  <c r="L138" i="2" s="1"/>
  <c r="K141" i="2"/>
  <c r="L141" i="2" s="1"/>
  <c r="K147" i="2"/>
  <c r="L147" i="2" s="1"/>
  <c r="K151" i="2"/>
  <c r="L151" i="2" s="1"/>
  <c r="K155" i="2"/>
  <c r="L155" i="2" s="1"/>
  <c r="K156" i="2"/>
  <c r="L156" i="2" s="1"/>
  <c r="K159" i="2"/>
  <c r="L159" i="2" s="1"/>
  <c r="K163" i="2"/>
  <c r="L163" i="2" s="1"/>
  <c r="K168" i="2"/>
  <c r="L168" i="2" s="1"/>
  <c r="K172" i="2"/>
  <c r="L172" i="2" s="1"/>
  <c r="K176" i="2"/>
  <c r="L176" i="2" s="1"/>
  <c r="K180" i="2"/>
  <c r="L180" i="2" s="1"/>
  <c r="K185" i="2"/>
  <c r="L185" i="2" s="1"/>
  <c r="K188" i="2"/>
  <c r="L188" i="2" s="1"/>
  <c r="K192" i="2"/>
  <c r="L192" i="2" s="1"/>
  <c r="J36" i="2"/>
  <c r="J40" i="2"/>
  <c r="J44" i="2"/>
  <c r="J48" i="2"/>
  <c r="J51" i="2"/>
  <c r="J55" i="2"/>
  <c r="J59" i="2"/>
  <c r="J63" i="2"/>
  <c r="J67" i="2"/>
  <c r="J73" i="2"/>
  <c r="K36" i="2"/>
  <c r="L36" i="2" s="1"/>
  <c r="K40" i="2"/>
  <c r="L40" i="2" s="1"/>
  <c r="K44" i="2"/>
  <c r="L44" i="2" s="1"/>
  <c r="K48" i="2"/>
  <c r="L48" i="2" s="1"/>
  <c r="K51" i="2"/>
  <c r="L51" i="2" s="1"/>
  <c r="K55" i="2"/>
  <c r="L55" i="2" s="1"/>
  <c r="K59" i="2"/>
  <c r="L59" i="2" s="1"/>
  <c r="K63" i="2"/>
  <c r="L63" i="2" s="1"/>
  <c r="K67" i="2"/>
  <c r="L67" i="2" s="1"/>
  <c r="K73" i="2"/>
  <c r="L73" i="2" s="1"/>
  <c r="K77" i="2"/>
  <c r="L77" i="2" s="1"/>
  <c r="K80" i="2"/>
  <c r="L80" i="2" s="1"/>
  <c r="K84" i="2"/>
  <c r="L84" i="2" s="1"/>
  <c r="K88" i="2"/>
  <c r="L88" i="2" s="1"/>
  <c r="K92" i="2"/>
  <c r="L92" i="2" s="1"/>
  <c r="K96" i="2"/>
  <c r="L96" i="2" s="1"/>
  <c r="K100" i="2"/>
  <c r="L100" i="2" s="1"/>
  <c r="K104" i="2"/>
  <c r="L104" i="2" s="1"/>
  <c r="K108" i="2"/>
  <c r="L108" i="2" s="1"/>
  <c r="K112" i="2"/>
  <c r="L112" i="2" s="1"/>
  <c r="K115" i="2"/>
  <c r="L115" i="2" s="1"/>
  <c r="K119" i="2"/>
  <c r="L119" i="2" s="1"/>
  <c r="K123" i="2"/>
  <c r="L123" i="2" s="1"/>
  <c r="K127" i="2"/>
  <c r="L127" i="2" s="1"/>
  <c r="K131" i="2"/>
  <c r="L131" i="2" s="1"/>
  <c r="K135" i="2"/>
  <c r="L135" i="2" s="1"/>
  <c r="K139" i="2"/>
  <c r="L139" i="2" s="1"/>
  <c r="K142" i="2"/>
  <c r="L142" i="2" s="1"/>
  <c r="K144" i="2"/>
  <c r="L144" i="2" s="1"/>
  <c r="K148" i="2"/>
  <c r="L148" i="2" s="1"/>
  <c r="K152" i="2"/>
  <c r="L152" i="2" s="1"/>
  <c r="K160" i="2"/>
  <c r="L160" i="2" s="1"/>
  <c r="K164" i="2"/>
  <c r="L164" i="2" s="1"/>
  <c r="K169" i="2"/>
  <c r="L169" i="2" s="1"/>
  <c r="K173" i="2"/>
  <c r="L173" i="2" s="1"/>
  <c r="K177" i="2"/>
  <c r="L177" i="2" s="1"/>
  <c r="K181" i="2"/>
  <c r="L181" i="2" s="1"/>
  <c r="K186" i="2"/>
  <c r="L186" i="2" s="1"/>
  <c r="K37" i="2"/>
  <c r="L37" i="2" s="1"/>
  <c r="K41" i="2"/>
  <c r="L41" i="2" s="1"/>
  <c r="K45" i="2"/>
  <c r="L45" i="2" s="1"/>
  <c r="K49" i="2"/>
  <c r="L49" i="2" s="1"/>
  <c r="K52" i="2"/>
  <c r="L52" i="2" s="1"/>
  <c r="K56" i="2"/>
  <c r="L56" i="2" s="1"/>
  <c r="K60" i="2"/>
  <c r="L60" i="2" s="1"/>
  <c r="K64" i="2"/>
  <c r="L64" i="2" s="1"/>
  <c r="K68" i="2"/>
  <c r="L68" i="2" s="1"/>
  <c r="K71" i="2"/>
  <c r="L71" i="2" s="1"/>
  <c r="K74" i="2"/>
  <c r="L74" i="2" s="1"/>
  <c r="K78" i="2"/>
  <c r="L78" i="2" s="1"/>
  <c r="K81" i="2"/>
  <c r="L81" i="2" s="1"/>
  <c r="K85" i="2"/>
  <c r="L85" i="2" s="1"/>
  <c r="K89" i="2"/>
  <c r="L89" i="2" s="1"/>
  <c r="K93" i="2"/>
  <c r="L93" i="2" s="1"/>
  <c r="K97" i="2"/>
  <c r="L97" i="2" s="1"/>
  <c r="K101" i="2"/>
  <c r="L101" i="2" s="1"/>
  <c r="K105" i="2"/>
  <c r="L105" i="2" s="1"/>
  <c r="K113" i="2"/>
  <c r="L113" i="2" s="1"/>
  <c r="K116" i="2"/>
  <c r="L116" i="2" s="1"/>
  <c r="K120" i="2"/>
  <c r="L120" i="2" s="1"/>
  <c r="K124" i="2"/>
  <c r="L124" i="2" s="1"/>
  <c r="K128" i="2"/>
  <c r="L128" i="2" s="1"/>
  <c r="K132" i="2"/>
  <c r="L132" i="2" s="1"/>
  <c r="K136" i="2"/>
  <c r="L136" i="2" s="1"/>
  <c r="K140" i="2"/>
  <c r="L140" i="2" s="1"/>
  <c r="K143" i="2"/>
  <c r="L143" i="2" s="1"/>
  <c r="K145" i="2"/>
  <c r="L145" i="2" s="1"/>
  <c r="K149" i="2"/>
  <c r="L149" i="2" s="1"/>
  <c r="K153" i="2"/>
  <c r="L153" i="2" s="1"/>
  <c r="K157" i="2"/>
  <c r="L157" i="2" s="1"/>
  <c r="K161" i="2"/>
  <c r="L161" i="2" s="1"/>
  <c r="K165" i="2"/>
  <c r="L165" i="2" s="1"/>
  <c r="K166" i="2"/>
  <c r="L166" i="2" s="1"/>
  <c r="K170" i="2"/>
  <c r="L170" i="2" s="1"/>
  <c r="K174" i="2"/>
  <c r="L174" i="2" s="1"/>
  <c r="K178" i="2"/>
  <c r="L178" i="2" s="1"/>
  <c r="K183" i="2"/>
  <c r="L183" i="2" s="1"/>
  <c r="J34" i="2"/>
  <c r="J38" i="2"/>
  <c r="J42" i="2"/>
  <c r="J46" i="2"/>
  <c r="J53" i="2"/>
  <c r="J57" i="2"/>
  <c r="J61" i="2"/>
  <c r="J65" i="2"/>
  <c r="J69" i="2"/>
  <c r="J72" i="2"/>
  <c r="J75" i="2"/>
  <c r="J82" i="2"/>
  <c r="J86" i="2"/>
  <c r="J90" i="2"/>
  <c r="J94" i="2"/>
  <c r="J98" i="2"/>
  <c r="J102" i="2"/>
  <c r="J106" i="2"/>
  <c r="J109" i="2"/>
  <c r="J110" i="2"/>
  <c r="J114" i="2"/>
  <c r="J117" i="2"/>
  <c r="J121" i="2"/>
  <c r="J125" i="2"/>
  <c r="J129" i="2"/>
  <c r="J133" i="2"/>
  <c r="J137" i="2"/>
  <c r="J146" i="2"/>
  <c r="J150" i="2"/>
  <c r="J154" i="2"/>
  <c r="J158" i="2"/>
  <c r="J162" i="2"/>
  <c r="J167" i="2"/>
  <c r="J171" i="2"/>
  <c r="J175" i="2"/>
  <c r="J179" i="2"/>
  <c r="J182" i="2"/>
  <c r="J184" i="2"/>
  <c r="J41" i="2"/>
  <c r="J71" i="2"/>
  <c r="J88" i="2"/>
  <c r="J104" i="2"/>
  <c r="J123" i="2"/>
  <c r="J139" i="2"/>
  <c r="J152" i="2"/>
  <c r="J160" i="2"/>
  <c r="J177" i="2"/>
  <c r="K187" i="2"/>
  <c r="L187" i="2" s="1"/>
  <c r="J193" i="2"/>
  <c r="J195" i="2"/>
  <c r="J199" i="2"/>
  <c r="J203" i="2"/>
  <c r="J207" i="2"/>
  <c r="J211" i="2"/>
  <c r="J213" i="2"/>
  <c r="J216" i="2"/>
  <c r="J220" i="2"/>
  <c r="J224" i="2"/>
  <c r="J227" i="2"/>
  <c r="J231" i="2"/>
  <c r="J232" i="2"/>
  <c r="J234" i="2"/>
  <c r="J240" i="2"/>
  <c r="J244" i="2"/>
  <c r="J248" i="2"/>
  <c r="J252" i="2"/>
  <c r="J256" i="2"/>
  <c r="J260" i="2"/>
  <c r="J264" i="2"/>
  <c r="J268" i="2"/>
  <c r="J272" i="2"/>
  <c r="J276" i="2"/>
  <c r="J280" i="2"/>
  <c r="J287" i="2"/>
  <c r="J293" i="2"/>
  <c r="J297" i="2"/>
  <c r="J301" i="2"/>
  <c r="J305" i="2"/>
  <c r="J309" i="2"/>
  <c r="J316" i="2"/>
  <c r="J320" i="2"/>
  <c r="J324" i="2"/>
  <c r="J328" i="2"/>
  <c r="J336" i="2"/>
  <c r="J340" i="2"/>
  <c r="J344" i="2"/>
  <c r="J347" i="2"/>
  <c r="J351" i="2"/>
  <c r="J354" i="2"/>
  <c r="J358" i="2"/>
  <c r="J362" i="2"/>
  <c r="J366" i="2"/>
  <c r="J370" i="2"/>
  <c r="J374" i="2"/>
  <c r="J378" i="2"/>
  <c r="J381" i="2"/>
  <c r="J384" i="2"/>
  <c r="J390" i="2"/>
  <c r="J394" i="2"/>
  <c r="J398" i="2"/>
  <c r="J402" i="2"/>
  <c r="J407" i="2"/>
  <c r="J409" i="2"/>
  <c r="J413" i="2"/>
  <c r="J417" i="2"/>
  <c r="J421" i="2"/>
  <c r="K407" i="2"/>
  <c r="L407" i="2" s="1"/>
  <c r="K413" i="2"/>
  <c r="L413" i="2" s="1"/>
  <c r="K392" i="2"/>
  <c r="L392" i="2" s="1"/>
  <c r="K411" i="2"/>
  <c r="L411" i="2" s="1"/>
  <c r="J45" i="2"/>
  <c r="J74" i="2"/>
  <c r="J89" i="2"/>
  <c r="J105" i="2"/>
  <c r="J124" i="2"/>
  <c r="J140" i="2"/>
  <c r="J153" i="2"/>
  <c r="J161" i="2"/>
  <c r="J178" i="2"/>
  <c r="J188" i="2"/>
  <c r="K193" i="2"/>
  <c r="L193" i="2" s="1"/>
  <c r="K195" i="2"/>
  <c r="L195" i="2" s="1"/>
  <c r="K199" i="2"/>
  <c r="L199" i="2" s="1"/>
  <c r="K203" i="2"/>
  <c r="L203" i="2" s="1"/>
  <c r="K207" i="2"/>
  <c r="L207" i="2" s="1"/>
  <c r="K211" i="2"/>
  <c r="L211" i="2" s="1"/>
  <c r="K213" i="2"/>
  <c r="L213" i="2" s="1"/>
  <c r="K216" i="2"/>
  <c r="L216" i="2" s="1"/>
  <c r="K220" i="2"/>
  <c r="L220" i="2" s="1"/>
  <c r="K224" i="2"/>
  <c r="L224" i="2" s="1"/>
  <c r="K227" i="2"/>
  <c r="L227" i="2" s="1"/>
  <c r="K231" i="2"/>
  <c r="L231" i="2" s="1"/>
  <c r="K232" i="2"/>
  <c r="L232" i="2" s="1"/>
  <c r="K234" i="2"/>
  <c r="L234" i="2" s="1"/>
  <c r="K240" i="2"/>
  <c r="L240" i="2" s="1"/>
  <c r="K244" i="2"/>
  <c r="L244" i="2" s="1"/>
  <c r="K248" i="2"/>
  <c r="L248" i="2" s="1"/>
  <c r="K252" i="2"/>
  <c r="L252" i="2" s="1"/>
  <c r="K256" i="2"/>
  <c r="L256" i="2" s="1"/>
  <c r="K260" i="2"/>
  <c r="L260" i="2" s="1"/>
  <c r="K264" i="2"/>
  <c r="L264" i="2" s="1"/>
  <c r="K268" i="2"/>
  <c r="L268" i="2" s="1"/>
  <c r="K272" i="2"/>
  <c r="L272" i="2" s="1"/>
  <c r="K276" i="2"/>
  <c r="L276" i="2" s="1"/>
  <c r="K280" i="2"/>
  <c r="L280" i="2" s="1"/>
  <c r="K287" i="2"/>
  <c r="L287" i="2" s="1"/>
  <c r="K293" i="2"/>
  <c r="L293" i="2" s="1"/>
  <c r="K297" i="2"/>
  <c r="L297" i="2" s="1"/>
  <c r="K301" i="2"/>
  <c r="L301" i="2" s="1"/>
  <c r="K305" i="2"/>
  <c r="L305" i="2" s="1"/>
  <c r="K309" i="2"/>
  <c r="L309" i="2" s="1"/>
  <c r="K316" i="2"/>
  <c r="L316" i="2" s="1"/>
  <c r="K320" i="2"/>
  <c r="L320" i="2" s="1"/>
  <c r="K324" i="2"/>
  <c r="L324" i="2" s="1"/>
  <c r="K328" i="2"/>
  <c r="L328" i="2" s="1"/>
  <c r="K336" i="2"/>
  <c r="L336" i="2" s="1"/>
  <c r="K340" i="2"/>
  <c r="L340" i="2" s="1"/>
  <c r="K344" i="2"/>
  <c r="L344" i="2" s="1"/>
  <c r="K347" i="2"/>
  <c r="L347" i="2" s="1"/>
  <c r="K351" i="2"/>
  <c r="L351" i="2" s="1"/>
  <c r="K354" i="2"/>
  <c r="L354" i="2" s="1"/>
  <c r="K358" i="2"/>
  <c r="L358" i="2" s="1"/>
  <c r="K362" i="2"/>
  <c r="L362" i="2" s="1"/>
  <c r="K366" i="2"/>
  <c r="L366" i="2" s="1"/>
  <c r="K370" i="2"/>
  <c r="L370" i="2" s="1"/>
  <c r="K374" i="2"/>
  <c r="L374" i="2" s="1"/>
  <c r="K378" i="2"/>
  <c r="L378" i="2" s="1"/>
  <c r="K381" i="2"/>
  <c r="L381" i="2" s="1"/>
  <c r="K384" i="2"/>
  <c r="L384" i="2" s="1"/>
  <c r="K390" i="2"/>
  <c r="L390" i="2" s="1"/>
  <c r="K394" i="2"/>
  <c r="L394" i="2" s="1"/>
  <c r="K398" i="2"/>
  <c r="L398" i="2" s="1"/>
  <c r="K402" i="2"/>
  <c r="L402" i="2" s="1"/>
  <c r="K409" i="2"/>
  <c r="L409" i="2" s="1"/>
  <c r="K417" i="2"/>
  <c r="L417" i="2" s="1"/>
  <c r="K421" i="2"/>
  <c r="L421" i="2" s="1"/>
  <c r="K396" i="2"/>
  <c r="L396" i="2" s="1"/>
  <c r="J49" i="2"/>
  <c r="J77" i="2"/>
  <c r="J92" i="2"/>
  <c r="J112" i="2"/>
  <c r="J127" i="2"/>
  <c r="J142" i="2"/>
  <c r="J164" i="2"/>
  <c r="J181" i="2"/>
  <c r="J189" i="2"/>
  <c r="J196" i="2"/>
  <c r="J200" i="2"/>
  <c r="J204" i="2"/>
  <c r="J208" i="2"/>
  <c r="J217" i="2"/>
  <c r="J221" i="2"/>
  <c r="J228" i="2"/>
  <c r="J235" i="2"/>
  <c r="J236" i="2"/>
  <c r="J241" i="2"/>
  <c r="J245" i="2"/>
  <c r="J249" i="2"/>
  <c r="J253" i="2"/>
  <c r="J257" i="2"/>
  <c r="J261" i="2"/>
  <c r="J265" i="2"/>
  <c r="J269" i="2"/>
  <c r="J273" i="2"/>
  <c r="J277" i="2"/>
  <c r="J281" i="2"/>
  <c r="J284" i="2"/>
  <c r="J288" i="2"/>
  <c r="J294" i="2"/>
  <c r="J298" i="2"/>
  <c r="J302" i="2"/>
  <c r="J306" i="2"/>
  <c r="J310" i="2"/>
  <c r="J313" i="2"/>
  <c r="J317" i="2"/>
  <c r="J321" i="2"/>
  <c r="J325" i="2"/>
  <c r="J329" i="2"/>
  <c r="J331" i="2"/>
  <c r="J334" i="2"/>
  <c r="J337" i="2"/>
  <c r="J341" i="2"/>
  <c r="J345" i="2"/>
  <c r="J348" i="2"/>
  <c r="J355" i="2"/>
  <c r="J359" i="2"/>
  <c r="J363" i="2"/>
  <c r="J367" i="2"/>
  <c r="J371" i="2"/>
  <c r="J375" i="2"/>
  <c r="J379" i="2"/>
  <c r="J385" i="2"/>
  <c r="J388" i="2"/>
  <c r="J391" i="2"/>
  <c r="J395" i="2"/>
  <c r="J403" i="2"/>
  <c r="J410" i="2"/>
  <c r="J414" i="2"/>
  <c r="J418" i="2"/>
  <c r="K418" i="2"/>
  <c r="L418" i="2" s="1"/>
  <c r="J52" i="2"/>
  <c r="J78" i="2"/>
  <c r="J93" i="2"/>
  <c r="J113" i="2"/>
  <c r="J128" i="2"/>
  <c r="J143" i="2"/>
  <c r="J165" i="2"/>
  <c r="J166" i="2"/>
  <c r="K189" i="2"/>
  <c r="L189" i="2" s="1"/>
  <c r="K196" i="2"/>
  <c r="L196" i="2" s="1"/>
  <c r="K200" i="2"/>
  <c r="L200" i="2" s="1"/>
  <c r="K204" i="2"/>
  <c r="L204" i="2" s="1"/>
  <c r="K208" i="2"/>
  <c r="L208" i="2" s="1"/>
  <c r="K217" i="2"/>
  <c r="L217" i="2" s="1"/>
  <c r="K221" i="2"/>
  <c r="L221" i="2" s="1"/>
  <c r="K228" i="2"/>
  <c r="L228" i="2" s="1"/>
  <c r="K235" i="2"/>
  <c r="L235" i="2" s="1"/>
  <c r="K236" i="2"/>
  <c r="L236" i="2" s="1"/>
  <c r="K241" i="2"/>
  <c r="L241" i="2" s="1"/>
  <c r="K245" i="2"/>
  <c r="L245" i="2" s="1"/>
  <c r="K249" i="2"/>
  <c r="L249" i="2" s="1"/>
  <c r="K253" i="2"/>
  <c r="L253" i="2" s="1"/>
  <c r="K257" i="2"/>
  <c r="L257" i="2" s="1"/>
  <c r="K261" i="2"/>
  <c r="L261" i="2" s="1"/>
  <c r="K265" i="2"/>
  <c r="L265" i="2" s="1"/>
  <c r="K269" i="2"/>
  <c r="L269" i="2" s="1"/>
  <c r="K273" i="2"/>
  <c r="L273" i="2" s="1"/>
  <c r="K277" i="2"/>
  <c r="L277" i="2" s="1"/>
  <c r="K281" i="2"/>
  <c r="L281" i="2" s="1"/>
  <c r="K284" i="2"/>
  <c r="L284" i="2" s="1"/>
  <c r="K288" i="2"/>
  <c r="L288" i="2" s="1"/>
  <c r="K294" i="2"/>
  <c r="L294" i="2" s="1"/>
  <c r="K298" i="2"/>
  <c r="L298" i="2" s="1"/>
  <c r="K302" i="2"/>
  <c r="L302" i="2" s="1"/>
  <c r="K306" i="2"/>
  <c r="L306" i="2" s="1"/>
  <c r="K310" i="2"/>
  <c r="L310" i="2" s="1"/>
  <c r="K313" i="2"/>
  <c r="L313" i="2" s="1"/>
  <c r="K317" i="2"/>
  <c r="L317" i="2" s="1"/>
  <c r="K321" i="2"/>
  <c r="L321" i="2" s="1"/>
  <c r="K325" i="2"/>
  <c r="L325" i="2" s="1"/>
  <c r="K329" i="2"/>
  <c r="L329" i="2" s="1"/>
  <c r="K331" i="2"/>
  <c r="L331" i="2" s="1"/>
  <c r="K334" i="2"/>
  <c r="L334" i="2" s="1"/>
  <c r="K337" i="2"/>
  <c r="L337" i="2" s="1"/>
  <c r="K341" i="2"/>
  <c r="L341" i="2" s="1"/>
  <c r="K345" i="2"/>
  <c r="L345" i="2" s="1"/>
  <c r="K348" i="2"/>
  <c r="L348" i="2" s="1"/>
  <c r="K355" i="2"/>
  <c r="L355" i="2" s="1"/>
  <c r="K359" i="2"/>
  <c r="L359" i="2" s="1"/>
  <c r="K363" i="2"/>
  <c r="L363" i="2" s="1"/>
  <c r="K367" i="2"/>
  <c r="L367" i="2" s="1"/>
  <c r="K371" i="2"/>
  <c r="L371" i="2" s="1"/>
  <c r="K375" i="2"/>
  <c r="L375" i="2" s="1"/>
  <c r="K379" i="2"/>
  <c r="L379" i="2" s="1"/>
  <c r="K385" i="2"/>
  <c r="L385" i="2" s="1"/>
  <c r="K388" i="2"/>
  <c r="L388" i="2" s="1"/>
  <c r="K391" i="2"/>
  <c r="L391" i="2" s="1"/>
  <c r="K395" i="2"/>
  <c r="L395" i="2" s="1"/>
  <c r="K403" i="2"/>
  <c r="L403" i="2" s="1"/>
  <c r="K410" i="2"/>
  <c r="L410" i="2" s="1"/>
  <c r="K414" i="2"/>
  <c r="L414" i="2" s="1"/>
  <c r="K404" i="2"/>
  <c r="L404" i="2" s="1"/>
  <c r="J56" i="2"/>
  <c r="J80" i="2"/>
  <c r="J96" i="2"/>
  <c r="J115" i="2"/>
  <c r="J131" i="2"/>
  <c r="J144" i="2"/>
  <c r="J169" i="2"/>
  <c r="J190" i="2"/>
  <c r="J197" i="2"/>
  <c r="J198" i="2"/>
  <c r="J201" i="2"/>
  <c r="J205" i="2"/>
  <c r="J209" i="2"/>
  <c r="J214" i="2"/>
  <c r="J219" i="2"/>
  <c r="J222" i="2"/>
  <c r="J225" i="2"/>
  <c r="J229" i="2"/>
  <c r="J237" i="2"/>
  <c r="J239" i="2"/>
  <c r="J242" i="2"/>
  <c r="J246" i="2"/>
  <c r="J250" i="2"/>
  <c r="J254" i="2"/>
  <c r="J258" i="2"/>
  <c r="J262" i="2"/>
  <c r="J266" i="2"/>
  <c r="J270" i="2"/>
  <c r="J274" i="2"/>
  <c r="J278" i="2"/>
  <c r="J282" i="2"/>
  <c r="J285" i="2"/>
  <c r="J289" i="2"/>
  <c r="J291" i="2"/>
  <c r="J295" i="2"/>
  <c r="J299" i="2"/>
  <c r="J303" i="2"/>
  <c r="J307" i="2"/>
  <c r="J311" i="2"/>
  <c r="J314" i="2"/>
  <c r="J318" i="2"/>
  <c r="J322" i="2"/>
  <c r="J326" i="2"/>
  <c r="J330" i="2"/>
  <c r="J332" i="2"/>
  <c r="J335" i="2"/>
  <c r="J338" i="2"/>
  <c r="J342" i="2"/>
  <c r="J346" i="2"/>
  <c r="J349" i="2"/>
  <c r="J352" i="2"/>
  <c r="J356" i="2"/>
  <c r="J360" i="2"/>
  <c r="J364" i="2"/>
  <c r="J368" i="2"/>
  <c r="J372" i="2"/>
  <c r="J376" i="2"/>
  <c r="J382" i="2"/>
  <c r="J386" i="2"/>
  <c r="J392" i="2"/>
  <c r="J396" i="2"/>
  <c r="J399" i="2"/>
  <c r="J400" i="2"/>
  <c r="J404" i="2"/>
  <c r="J405" i="2"/>
  <c r="J411" i="2"/>
  <c r="J415" i="2"/>
  <c r="J419" i="2"/>
  <c r="K382" i="2"/>
  <c r="L382" i="2" s="1"/>
  <c r="K399" i="2"/>
  <c r="L399" i="2" s="1"/>
  <c r="K415" i="2"/>
  <c r="L415" i="2" s="1"/>
  <c r="J60" i="2"/>
  <c r="J81" i="2"/>
  <c r="J97" i="2"/>
  <c r="J116" i="2"/>
  <c r="J132" i="2"/>
  <c r="J145" i="2"/>
  <c r="J170" i="2"/>
  <c r="J183" i="2"/>
  <c r="K190" i="2"/>
  <c r="L190" i="2" s="1"/>
  <c r="K197" i="2"/>
  <c r="L197" i="2" s="1"/>
  <c r="K198" i="2"/>
  <c r="L198" i="2" s="1"/>
  <c r="K201" i="2"/>
  <c r="L201" i="2" s="1"/>
  <c r="K205" i="2"/>
  <c r="L205" i="2" s="1"/>
  <c r="K209" i="2"/>
  <c r="L209" i="2" s="1"/>
  <c r="K214" i="2"/>
  <c r="L214" i="2" s="1"/>
  <c r="K219" i="2"/>
  <c r="L219" i="2" s="1"/>
  <c r="K222" i="2"/>
  <c r="L222" i="2" s="1"/>
  <c r="K225" i="2"/>
  <c r="L225" i="2" s="1"/>
  <c r="K229" i="2"/>
  <c r="L229" i="2" s="1"/>
  <c r="K237" i="2"/>
  <c r="L237" i="2" s="1"/>
  <c r="K239" i="2"/>
  <c r="L239" i="2" s="1"/>
  <c r="K242" i="2"/>
  <c r="L242" i="2" s="1"/>
  <c r="K246" i="2"/>
  <c r="L246" i="2" s="1"/>
  <c r="K250" i="2"/>
  <c r="L250" i="2" s="1"/>
  <c r="K254" i="2"/>
  <c r="L254" i="2" s="1"/>
  <c r="K258" i="2"/>
  <c r="L258" i="2" s="1"/>
  <c r="K262" i="2"/>
  <c r="L262" i="2" s="1"/>
  <c r="K266" i="2"/>
  <c r="L266" i="2" s="1"/>
  <c r="K270" i="2"/>
  <c r="L270" i="2" s="1"/>
  <c r="K274" i="2"/>
  <c r="L274" i="2" s="1"/>
  <c r="K278" i="2"/>
  <c r="L278" i="2" s="1"/>
  <c r="K282" i="2"/>
  <c r="L282" i="2" s="1"/>
  <c r="K285" i="2"/>
  <c r="L285" i="2" s="1"/>
  <c r="K289" i="2"/>
  <c r="L289" i="2" s="1"/>
  <c r="K291" i="2"/>
  <c r="L291" i="2" s="1"/>
  <c r="K295" i="2"/>
  <c r="L295" i="2" s="1"/>
  <c r="K299" i="2"/>
  <c r="L299" i="2" s="1"/>
  <c r="K303" i="2"/>
  <c r="L303" i="2" s="1"/>
  <c r="K307" i="2"/>
  <c r="L307" i="2" s="1"/>
  <c r="K311" i="2"/>
  <c r="L311" i="2" s="1"/>
  <c r="K314" i="2"/>
  <c r="L314" i="2" s="1"/>
  <c r="K318" i="2"/>
  <c r="L318" i="2" s="1"/>
  <c r="K322" i="2"/>
  <c r="L322" i="2" s="1"/>
  <c r="K326" i="2"/>
  <c r="L326" i="2" s="1"/>
  <c r="K330" i="2"/>
  <c r="L330" i="2" s="1"/>
  <c r="K332" i="2"/>
  <c r="L332" i="2" s="1"/>
  <c r="K335" i="2"/>
  <c r="L335" i="2" s="1"/>
  <c r="K338" i="2"/>
  <c r="L338" i="2" s="1"/>
  <c r="K342" i="2"/>
  <c r="L342" i="2" s="1"/>
  <c r="K346" i="2"/>
  <c r="L346" i="2" s="1"/>
  <c r="K349" i="2"/>
  <c r="L349" i="2" s="1"/>
  <c r="K352" i="2"/>
  <c r="L352" i="2" s="1"/>
  <c r="K356" i="2"/>
  <c r="L356" i="2" s="1"/>
  <c r="K360" i="2"/>
  <c r="L360" i="2" s="1"/>
  <c r="K364" i="2"/>
  <c r="L364" i="2" s="1"/>
  <c r="K368" i="2"/>
  <c r="L368" i="2" s="1"/>
  <c r="K372" i="2"/>
  <c r="L372" i="2" s="1"/>
  <c r="K376" i="2"/>
  <c r="L376" i="2" s="1"/>
  <c r="K386" i="2"/>
  <c r="L386" i="2" s="1"/>
  <c r="K400" i="2"/>
  <c r="L400" i="2" s="1"/>
  <c r="K419" i="2"/>
  <c r="L419" i="2" s="1"/>
  <c r="J64" i="2"/>
  <c r="J84" i="2"/>
  <c r="J100" i="2"/>
  <c r="J108" i="2"/>
  <c r="J119" i="2"/>
  <c r="J135" i="2"/>
  <c r="J148" i="2"/>
  <c r="J173" i="2"/>
  <c r="J186" i="2"/>
  <c r="J191" i="2"/>
  <c r="J194" i="2"/>
  <c r="J202" i="2"/>
  <c r="J206" i="2"/>
  <c r="J210" i="2"/>
  <c r="J212" i="2"/>
  <c r="J215" i="2"/>
  <c r="J218" i="2"/>
  <c r="J223" i="2"/>
  <c r="J226" i="2"/>
  <c r="J230" i="2"/>
  <c r="J233" i="2"/>
  <c r="J238" i="2"/>
  <c r="J243" i="2"/>
  <c r="J247" i="2"/>
  <c r="J251" i="2"/>
  <c r="J255" i="2"/>
  <c r="J259" i="2"/>
  <c r="J263" i="2"/>
  <c r="J267" i="2"/>
  <c r="J271" i="2"/>
  <c r="J275" i="2"/>
  <c r="J279" i="2"/>
  <c r="J283" i="2"/>
  <c r="J286" i="2"/>
  <c r="J290" i="2"/>
  <c r="J292" i="2"/>
  <c r="J296" i="2"/>
  <c r="J300" i="2"/>
  <c r="J304" i="2"/>
  <c r="J308" i="2"/>
  <c r="J312" i="2"/>
  <c r="J315" i="2"/>
  <c r="J319" i="2"/>
  <c r="J323" i="2"/>
  <c r="J327" i="2"/>
  <c r="J333" i="2"/>
  <c r="J339" i="2"/>
  <c r="J343" i="2"/>
  <c r="J350" i="2"/>
  <c r="J353" i="2"/>
  <c r="J357" i="2"/>
  <c r="J361" i="2"/>
  <c r="J365" i="2"/>
  <c r="J369" i="2"/>
  <c r="J373" i="2"/>
  <c r="J377" i="2"/>
  <c r="J380" i="2"/>
  <c r="J383" i="2"/>
  <c r="J387" i="2"/>
  <c r="J389" i="2"/>
  <c r="J393" i="2"/>
  <c r="J397" i="2"/>
  <c r="J401" i="2"/>
  <c r="J406" i="2"/>
  <c r="J408" i="2"/>
  <c r="J412" i="2"/>
  <c r="J416" i="2"/>
  <c r="J420" i="2"/>
  <c r="K420" i="2"/>
  <c r="L420" i="2" s="1"/>
  <c r="J37" i="2"/>
  <c r="J68" i="2"/>
  <c r="J85" i="2"/>
  <c r="J101" i="2"/>
  <c r="J120" i="2"/>
  <c r="J136" i="2"/>
  <c r="J149" i="2"/>
  <c r="J157" i="2"/>
  <c r="J174" i="2"/>
  <c r="J187" i="2"/>
  <c r="J192" i="2"/>
  <c r="K194" i="2"/>
  <c r="L194" i="2" s="1"/>
  <c r="K202" i="2"/>
  <c r="L202" i="2" s="1"/>
  <c r="K206" i="2"/>
  <c r="L206" i="2" s="1"/>
  <c r="K210" i="2"/>
  <c r="L210" i="2" s="1"/>
  <c r="K212" i="2"/>
  <c r="L212" i="2" s="1"/>
  <c r="K215" i="2"/>
  <c r="L215" i="2" s="1"/>
  <c r="K218" i="2"/>
  <c r="L218" i="2" s="1"/>
  <c r="K223" i="2"/>
  <c r="L223" i="2" s="1"/>
  <c r="K226" i="2"/>
  <c r="L226" i="2" s="1"/>
  <c r="K230" i="2"/>
  <c r="L230" i="2" s="1"/>
  <c r="K233" i="2"/>
  <c r="L233" i="2" s="1"/>
  <c r="K238" i="2"/>
  <c r="L238" i="2" s="1"/>
  <c r="K243" i="2"/>
  <c r="L243" i="2" s="1"/>
  <c r="K247" i="2"/>
  <c r="L247" i="2" s="1"/>
  <c r="K251" i="2"/>
  <c r="L251" i="2" s="1"/>
  <c r="K255" i="2"/>
  <c r="L255" i="2" s="1"/>
  <c r="K259" i="2"/>
  <c r="L259" i="2" s="1"/>
  <c r="K263" i="2"/>
  <c r="L263" i="2" s="1"/>
  <c r="K267" i="2"/>
  <c r="L267" i="2" s="1"/>
  <c r="K271" i="2"/>
  <c r="L271" i="2" s="1"/>
  <c r="K275" i="2"/>
  <c r="L275" i="2" s="1"/>
  <c r="K279" i="2"/>
  <c r="L279" i="2" s="1"/>
  <c r="K283" i="2"/>
  <c r="L283" i="2" s="1"/>
  <c r="K286" i="2"/>
  <c r="L286" i="2" s="1"/>
  <c r="K290" i="2"/>
  <c r="L290" i="2" s="1"/>
  <c r="K292" i="2"/>
  <c r="L292" i="2" s="1"/>
  <c r="K296" i="2"/>
  <c r="L296" i="2" s="1"/>
  <c r="K300" i="2"/>
  <c r="L300" i="2" s="1"/>
  <c r="K304" i="2"/>
  <c r="L304" i="2" s="1"/>
  <c r="K308" i="2"/>
  <c r="L308" i="2" s="1"/>
  <c r="K312" i="2"/>
  <c r="L312" i="2" s="1"/>
  <c r="K315" i="2"/>
  <c r="L315" i="2" s="1"/>
  <c r="K319" i="2"/>
  <c r="L319" i="2" s="1"/>
  <c r="K323" i="2"/>
  <c r="L323" i="2" s="1"/>
  <c r="K327" i="2"/>
  <c r="L327" i="2" s="1"/>
  <c r="K333" i="2"/>
  <c r="L333" i="2" s="1"/>
  <c r="K339" i="2"/>
  <c r="L339" i="2" s="1"/>
  <c r="K343" i="2"/>
  <c r="L343" i="2" s="1"/>
  <c r="K350" i="2"/>
  <c r="L350" i="2" s="1"/>
  <c r="K353" i="2"/>
  <c r="L353" i="2" s="1"/>
  <c r="K357" i="2"/>
  <c r="L357" i="2" s="1"/>
  <c r="K361" i="2"/>
  <c r="L361" i="2" s="1"/>
  <c r="K365" i="2"/>
  <c r="L365" i="2" s="1"/>
  <c r="K369" i="2"/>
  <c r="L369" i="2" s="1"/>
  <c r="K373" i="2"/>
  <c r="L373" i="2" s="1"/>
  <c r="K377" i="2"/>
  <c r="L377" i="2" s="1"/>
  <c r="K380" i="2"/>
  <c r="L380" i="2" s="1"/>
  <c r="K383" i="2"/>
  <c r="L383" i="2" s="1"/>
  <c r="K387" i="2"/>
  <c r="L387" i="2" s="1"/>
  <c r="K389" i="2"/>
  <c r="L389" i="2" s="1"/>
  <c r="K393" i="2"/>
  <c r="L393" i="2" s="1"/>
  <c r="K397" i="2"/>
  <c r="L397" i="2" s="1"/>
  <c r="K401" i="2"/>
  <c r="L401" i="2" s="1"/>
  <c r="K406" i="2"/>
  <c r="L406" i="2" s="1"/>
  <c r="K408" i="2"/>
  <c r="L408" i="2" s="1"/>
  <c r="K412" i="2"/>
  <c r="L412" i="2" s="1"/>
  <c r="K416" i="2"/>
  <c r="L416" i="2" s="1"/>
  <c r="K405" i="2"/>
  <c r="L405" i="2" s="1"/>
  <c r="L24" i="2"/>
  <c r="L23" i="2"/>
  <c r="B9" i="2" s="1"/>
  <c r="D7" i="2"/>
  <c r="H3" i="2"/>
  <c r="D39" i="4" l="1"/>
  <c r="D36" i="4"/>
  <c r="D33" i="4"/>
  <c r="D18" i="4"/>
  <c r="B1" i="2"/>
  <c r="B18" i="2" s="1"/>
  <c r="L26" i="2"/>
  <c r="Z15" i="2" l="1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AA19" i="2"/>
  <c r="S19" i="2"/>
  <c r="Q19" i="2"/>
  <c r="Y19" i="2"/>
  <c r="X19" i="2"/>
  <c r="P19" i="2"/>
  <c r="W19" i="2"/>
  <c r="O19" i="2"/>
  <c r="Z19" i="2"/>
  <c r="V19" i="2"/>
  <c r="N19" i="2"/>
  <c r="R19" i="2"/>
  <c r="U19" i="2"/>
  <c r="M19" i="2"/>
  <c r="T19" i="2"/>
  <c r="H4" i="2"/>
  <c r="H5" i="2"/>
  <c r="H2" i="2"/>
  <c r="H1" i="2"/>
  <c r="M32" i="2"/>
  <c r="N32" i="2"/>
  <c r="H6" i="2" l="1"/>
  <c r="D15" i="2"/>
  <c r="B14" i="2"/>
  <c r="F17" i="2"/>
  <c r="F9" i="2"/>
  <c r="F16" i="2"/>
  <c r="F19" i="2"/>
  <c r="F11" i="2"/>
  <c r="F14" i="2"/>
  <c r="F13" i="2"/>
  <c r="F15" i="2"/>
  <c r="F20" i="2"/>
  <c r="N31" i="2"/>
  <c r="F18" i="2"/>
  <c r="F10" i="2"/>
  <c r="F12" i="2"/>
  <c r="J1" i="2" l="1"/>
  <c r="J3" i="2"/>
  <c r="J2" i="2"/>
  <c r="Y13" i="2"/>
  <c r="U13" i="2"/>
  <c r="Q13" i="2"/>
  <c r="N13" i="2"/>
  <c r="X13" i="2"/>
  <c r="T13" i="2"/>
  <c r="P13" i="2"/>
  <c r="W13" i="2"/>
  <c r="S13" i="2"/>
  <c r="O13" i="2"/>
  <c r="V13" i="2"/>
  <c r="R13" i="2"/>
  <c r="Z13" i="2"/>
  <c r="M14" i="2"/>
  <c r="O1" i="2"/>
  <c r="U17" i="2"/>
  <c r="N18" i="2"/>
  <c r="B17" i="2"/>
  <c r="Q17" i="2"/>
  <c r="X17" i="2"/>
  <c r="Z17" i="2"/>
  <c r="T17" i="2"/>
  <c r="V17" i="2"/>
  <c r="P17" i="2"/>
  <c r="R17" i="2"/>
  <c r="W17" i="2"/>
  <c r="O17" i="2"/>
  <c r="S17" i="2"/>
  <c r="Y17" i="2"/>
  <c r="AA17" i="2"/>
  <c r="E18" i="2"/>
  <c r="E15" i="2"/>
  <c r="E9" i="2"/>
  <c r="E14" i="2"/>
  <c r="E11" i="2"/>
  <c r="E17" i="2"/>
  <c r="E16" i="2"/>
  <c r="E13" i="2"/>
  <c r="E19" i="2"/>
  <c r="E12" i="2"/>
  <c r="F6" i="2"/>
  <c r="E20" i="2"/>
  <c r="E10" i="2"/>
  <c r="F7" i="2"/>
  <c r="Q11" i="2"/>
  <c r="T11" i="2"/>
  <c r="N11" i="2"/>
  <c r="R11" i="2"/>
  <c r="V11" i="2"/>
  <c r="S11" i="2"/>
  <c r="X11" i="2"/>
  <c r="O11" i="2"/>
  <c r="W11" i="2"/>
  <c r="U11" i="2"/>
  <c r="Y11" i="2"/>
  <c r="P11" i="2"/>
  <c r="F8" i="2" l="1"/>
  <c r="E7" i="2"/>
  <c r="E6" i="2"/>
  <c r="M31" i="2"/>
  <c r="E8" i="2" l="1"/>
  <c r="D6" i="2"/>
  <c r="L14" i="2"/>
  <c r="M18" i="2"/>
  <c r="T14" i="2" l="1"/>
  <c r="Q14" i="2"/>
  <c r="N14" i="2"/>
  <c r="V14" i="2"/>
  <c r="Y14" i="2"/>
  <c r="S14" i="2"/>
  <c r="Z14" i="2"/>
  <c r="U14" i="2"/>
  <c r="P14" i="2"/>
  <c r="O14" i="2"/>
  <c r="X14" i="2"/>
  <c r="W14" i="2"/>
  <c r="R14" i="2"/>
  <c r="L13" i="2"/>
  <c r="U18" i="2"/>
  <c r="Q18" i="2"/>
  <c r="P18" i="2"/>
  <c r="Y18" i="2"/>
  <c r="Z18" i="2"/>
  <c r="V18" i="2"/>
  <c r="R18" i="2"/>
  <c r="S18" i="2"/>
  <c r="O18" i="2"/>
  <c r="X18" i="2"/>
  <c r="T18" i="2"/>
  <c r="AA18" i="2"/>
  <c r="W18" i="2"/>
  <c r="M17" i="2"/>
  <c r="AA31" i="2"/>
  <c r="X31" i="2"/>
  <c r="P31" i="2"/>
  <c r="AA32" i="2"/>
  <c r="O31" i="2"/>
  <c r="S31" i="2"/>
  <c r="R31" i="2"/>
  <c r="Y31" i="2"/>
  <c r="W31" i="2"/>
  <c r="U31" i="2"/>
  <c r="V31" i="2"/>
  <c r="Z31" i="2"/>
  <c r="Q31" i="2"/>
  <c r="T31" i="2"/>
  <c r="B16" i="2" l="1"/>
  <c r="M13" i="2"/>
  <c r="N17" i="2"/>
  <c r="O22" i="2"/>
  <c r="V32" i="2"/>
  <c r="Q32" i="2"/>
  <c r="U32" i="2"/>
  <c r="W32" i="2"/>
  <c r="O24" i="2"/>
  <c r="R32" i="2"/>
  <c r="X32" i="2"/>
  <c r="P32" i="2"/>
  <c r="Y32" i="2"/>
  <c r="Z32" i="2"/>
  <c r="T32" i="2"/>
  <c r="O32" i="2"/>
  <c r="S32" i="2"/>
  <c r="O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Avila-Gonzalez, Alexis A.</author>
  </authors>
  <commentList>
    <comment ref="D89" authorId="0" shapeId="0" xr:uid="{00000000-0006-0000-0000-000001000000}">
      <text>
        <r>
          <rPr>
            <sz val="9"/>
            <color indexed="81"/>
            <rFont val="Tahoma"/>
            <family val="2"/>
          </rPr>
          <t>#NEW_MULTIPLECRITERIA||#NEW_PROPERTY|Dimension:C_ACCOUNT|Hierarchy:|Condition:CALC|Operator:Equals|Value:Y|HighValue:</t>
        </r>
      </text>
    </comment>
    <comment ref="D92" authorId="0" shapeId="0" xr:uid="{00000000-0006-0000-0000-000002000000}">
      <text>
        <r>
          <rPr>
            <sz val="9"/>
            <color indexed="81"/>
            <rFont val="Tahoma"/>
            <family val="2"/>
          </rPr>
          <t>#NEW_MULTIPLECRITERIA||#NEW_LOCALMEMBER|LocalMember:ACCOUNT_DESC||#NEW_PROPERTY|Dimension:C_ACCOUNT|Hierarchy:|Condition:CALC|Operator:Equals|Value:Y|HighValue:</t>
        </r>
      </text>
    </comment>
    <comment ref="D95" authorId="0" shapeId="0" xr:uid="{00000000-0006-0000-0000-000003000000}">
      <text>
        <r>
          <rPr>
            <sz val="9"/>
            <color indexed="81"/>
            <rFont val="Tahoma"/>
            <family val="2"/>
          </rPr>
          <t>#NEW_MULTIPLECRITERIA||#NEW_PROPERTY|Dimension:COSTCENTER|Hierarchy:|Condition:CALC|Operator:Equals|Value:N|HighValue:||#NEW_PROPERTY|Dimension:C_ACCOUNT|Hierarchy:|Condition:CALC|Operator:Equals|Value:N|HighValue:</t>
        </r>
      </text>
    </comment>
  </commentList>
</comments>
</file>

<file path=xl/sharedStrings.xml><?xml version="1.0" encoding="utf-8"?>
<sst xmlns="http://schemas.openxmlformats.org/spreadsheetml/2006/main" count="233" uniqueCount="107">
  <si>
    <t>TIME</t>
  </si>
  <si>
    <t>REPORT_ID</t>
  </si>
  <si>
    <t>REPORT CELLS</t>
  </si>
  <si>
    <t xml:space="preserve">EPMOLAP </t>
  </si>
  <si>
    <t>REPORT_NAME</t>
  </si>
  <si>
    <t>INPUT CELLS</t>
  </si>
  <si>
    <t>REPORT_MODEL</t>
  </si>
  <si>
    <t>LOCAL MEMBER</t>
  </si>
  <si>
    <t>ROW AXIS</t>
  </si>
  <si>
    <t>&lt;&lt; ROW AXIS</t>
  </si>
  <si>
    <t>&lt;&lt; FIXED</t>
  </si>
  <si>
    <t>CATEGORY</t>
  </si>
  <si>
    <t>ENTITY</t>
  </si>
  <si>
    <t>FLOW</t>
  </si>
  <si>
    <t>RPTCURRENCY</t>
  </si>
  <si>
    <t>COL AXIS</t>
  </si>
  <si>
    <t>&lt;&lt; COL AXIS</t>
  </si>
  <si>
    <t>MEASURES</t>
  </si>
  <si>
    <t>GLOBAL VARIABLES</t>
  </si>
  <si>
    <t/>
  </si>
  <si>
    <r>
      <rPr>
        <b/>
        <sz val="9"/>
        <color rgb="FFC00000"/>
        <rFont val="Arial Black"/>
        <family val="2"/>
      </rPr>
      <t>NOTE</t>
    </r>
    <r>
      <rPr>
        <b/>
        <sz val="9"/>
        <color theme="1"/>
        <rFont val="Arial"/>
        <family val="2"/>
      </rPr>
      <t xml:space="preserve"> - BEFORE STARTING ANY WORK ON THIS TAB, PLEASE RUN A REFRESH</t>
    </r>
  </si>
  <si>
    <t>I_ENTITY</t>
  </si>
  <si>
    <t>C_ACCOUNT</t>
  </si>
  <si>
    <t>DATASOURCE</t>
  </si>
  <si>
    <t>EPMCOPYRANGE</t>
  </si>
  <si>
    <t>EPM Formatting Sheet</t>
  </si>
  <si>
    <t>Note: The format settings in lower sections overrides the ones in upper section if there are conflicts.</t>
  </si>
  <si>
    <t>Hierarchy Level Formatting</t>
  </si>
  <si>
    <t>Data</t>
  </si>
  <si>
    <t>Use</t>
  </si>
  <si>
    <t>Header</t>
  </si>
  <si>
    <t>Row</t>
  </si>
  <si>
    <t>Default Format</t>
  </si>
  <si>
    <t>All</t>
  </si>
  <si>
    <t>Label</t>
  </si>
  <si>
    <t>Base Level Format</t>
  </si>
  <si>
    <t>Formatting on Specific Level:</t>
  </si>
  <si>
    <t>Column</t>
  </si>
  <si>
    <t>Dimension Member/Property Formatting</t>
  </si>
  <si>
    <t>Custom Member Default Format</t>
  </si>
  <si>
    <t>Calculated Member Default Format</t>
  </si>
  <si>
    <t>Inputable Member Default Format</t>
  </si>
  <si>
    <t>Local Member Default Format</t>
  </si>
  <si>
    <t>Changed Member Default Format</t>
  </si>
  <si>
    <t>Formatting on Specific Member/Property:</t>
  </si>
  <si>
    <t>Row and Column Banding</t>
  </si>
  <si>
    <t>Odd Formatting</t>
  </si>
  <si>
    <t>Even Formatting</t>
  </si>
  <si>
    <t>Page Axis Formatting</t>
  </si>
  <si>
    <t>Formatting on Specific Dimension:</t>
  </si>
  <si>
    <t>Help</t>
  </si>
  <si>
    <t>Formatting and "Use" Column:</t>
  </si>
  <si>
    <t>Inner or Outer Dimension:</t>
  </si>
  <si>
    <t xml:space="preserve">In the "1000" and "Label" cells, define the format you want by using the standard Microsoft Office Excel cell formatting functions._x000D_
By default, all the format settings are applied and "ALL" is displayed in the "Use" column._x000D_
_x000D_
You can then specify which settings of the defined format you want to apply or define additional settings.To do so, double-click in a "Use" cell and define the format settings in the dialog box that opens, or directly enter the format settings in a "Use" cell, using a specific syntax, for example: (FontBold = Y) | (FontSize = 18)._x000D_
		</t>
  </si>
  <si>
    <t>If a row or column axis contains more than one dimension, you can specify which dimension you want the defined format to be applied to; "Inner dimension" being the last dimension, Outer dimension" being the first dimension in the axis.</t>
  </si>
  <si>
    <t>Version_1_1</t>
  </si>
  <si>
    <r>
      <t xml:space="preserve">&lt;&lt; </t>
    </r>
    <r>
      <rPr>
        <b/>
        <sz val="9"/>
        <color rgb="FF0000FF"/>
        <rFont val="Arial"/>
        <family val="2"/>
      </rPr>
      <t>PICK</t>
    </r>
  </si>
  <si>
    <t>TECO_PLANNING</t>
  </si>
  <si>
    <t>&lt;&lt; PICK</t>
  </si>
  <si>
    <t>SOME</t>
  </si>
  <si>
    <t>NO</t>
  </si>
  <si>
    <t>FULL</t>
  </si>
  <si>
    <t>SUPRESS ZERO</t>
  </si>
  <si>
    <t>NO SUPRESS ZERO</t>
  </si>
  <si>
    <t>EPMDIMOVERRIDE</t>
  </si>
  <si>
    <r>
      <rPr>
        <b/>
        <sz val="9"/>
        <color rgb="FFC00000"/>
        <rFont val="Arial Black"/>
        <family val="2"/>
      </rPr>
      <t>NOTE</t>
    </r>
    <r>
      <rPr>
        <b/>
        <sz val="9"/>
        <color theme="1"/>
        <rFont val="Arial"/>
        <family val="2"/>
      </rPr>
      <t xml:space="preserve"> - PLEASE RUN A REFRESH IF YOU CHANGE THIS SETTING.</t>
    </r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</si>
  <si>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</si>
  <si>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</si>
  <si>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</si>
  <si>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</si>
  <si>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</si>
  <si>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</si>
  <si>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</si>
  <si>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</si>
  <si>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</si>
  <si>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</si>
  <si>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</si>
  <si>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</si>
  <si>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TEST</t>
  </si>
  <si>
    <r>
      <t xml:space="preserve">Select </t>
    </r>
    <r>
      <rPr>
        <b/>
        <sz val="9"/>
        <color theme="1"/>
        <rFont val="Arial"/>
        <family val="2"/>
      </rPr>
      <t>Category</t>
    </r>
    <r>
      <rPr>
        <sz val="9"/>
        <color theme="1"/>
        <rFont val="Arial"/>
        <family val="2"/>
      </rPr>
      <t>&gt;&gt;&gt;</t>
    </r>
  </si>
  <si>
    <r>
      <t xml:space="preserve">Select </t>
    </r>
    <r>
      <rPr>
        <b/>
        <sz val="9"/>
        <color theme="1"/>
        <rFont val="Arial"/>
        <family val="2"/>
      </rPr>
      <t>Entity</t>
    </r>
    <r>
      <rPr>
        <sz val="9"/>
        <color theme="1"/>
        <rFont val="Arial"/>
        <family val="2"/>
      </rPr>
      <t>&gt;&gt;&gt;</t>
    </r>
  </si>
  <si>
    <r>
      <t xml:space="preserve">Select </t>
    </r>
    <r>
      <rPr>
        <b/>
        <sz val="9"/>
        <color theme="1"/>
        <rFont val="Arial"/>
        <family val="2"/>
      </rPr>
      <t>Time</t>
    </r>
    <r>
      <rPr>
        <sz val="9"/>
        <color theme="1"/>
        <rFont val="Arial"/>
        <family val="2"/>
      </rPr>
      <t>&gt;&gt;&gt;</t>
    </r>
  </si>
  <si>
    <t>ADDITIONAL DETAIL Y/N&gt;&gt;&gt;</t>
  </si>
  <si>
    <t>Report Type&gt;&gt;&gt;</t>
  </si>
  <si>
    <t>TOTAL</t>
  </si>
  <si>
    <t>,EBITDA,EFFTAXRATE</t>
  </si>
  <si>
    <t>EMERA</t>
  </si>
  <si>
    <t>NET INCOME</t>
  </si>
  <si>
    <t>RECON / FLEX</t>
  </si>
  <si>
    <t>EMERA ADJUSMENTS</t>
  </si>
  <si>
    <t>INCOME_STATEMENT</t>
  </si>
  <si>
    <t>COSTCENTER</t>
  </si>
  <si>
    <t>COST/PROFIT</t>
  </si>
  <si>
    <t>CENTER</t>
  </si>
  <si>
    <t>.</t>
  </si>
  <si>
    <t>PC01001</t>
  </si>
  <si>
    <t>FREEZE REPORT</t>
  </si>
  <si>
    <t>UNFREEZE REPORT</t>
  </si>
  <si>
    <t>ACCOUNT ID</t>
  </si>
  <si>
    <t>ACCOUNT DESCRIPTION</t>
  </si>
  <si>
    <t xml:space="preserve">C_ACCOUNT.Calc member flag = Y </t>
  </si>
  <si>
    <t>\EPMCopyRange(B1,TRUE,L4:Z4,TRUE)</t>
  </si>
  <si>
    <t xml:space="preserve">ACCOUNT_DESC||C_ACCOUNT.Calc member flag = Y </t>
  </si>
  <si>
    <t>None</t>
  </si>
  <si>
    <t xml:space="preserve">COSTCENTER.Calc member flag = N ||C_ACCOUNT.Calc member flag = N </t>
  </si>
  <si>
    <t>INCOME STATEMENT REPORT</t>
  </si>
  <si>
    <t>RECON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</si>
</sst>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0033CC"/>
      <name val="Arial"/>
      <family val="2"/>
    </font>
    <font>
      <b/>
      <sz val="9"/>
      <color theme="3"/>
      <name val="Arial Black"/>
      <family val="2"/>
    </font>
    <font>
      <b/>
      <sz val="9"/>
      <color rgb="FF0000FF"/>
      <name val="Arial"/>
      <family val="2"/>
    </font>
    <font>
      <sz val="9"/>
      <color theme="1"/>
      <name val="Arial Black"/>
      <family val="2"/>
    </font>
    <font>
      <b/>
      <sz val="9"/>
      <color theme="4" tint="-0.499984740745262"/>
      <name val="Arial"/>
      <family val="2"/>
    </font>
    <font>
      <b/>
      <sz val="9"/>
      <color rgb="FF000099"/>
      <name val="Arial"/>
      <family val="2"/>
    </font>
    <font>
      <b/>
      <sz val="9"/>
      <color rgb="FFC00000"/>
      <name val="Arial Black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rgb="FFFFA500"/>
      <name val="Arial"/>
      <family val="2"/>
    </font>
    <font>
      <b/>
      <sz val="10"/>
      <color theme="1"/>
      <name val="Arial"/>
      <family val="2"/>
    </font>
    <font>
      <b/>
      <sz val="16"/>
      <color rgb="FFFFFFFF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FFFF"/>
      <name val="Arial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  <font>
      <sz val="9"/>
      <color theme="0"/>
      <name val="Arial Black"/>
      <family val="2"/>
    </font>
    <font>
      <sz val="16"/>
      <color theme="0"/>
      <name val="Arial Black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sz val="10"/>
      <color theme="1"/>
      <name val="Arial Black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 Black"/>
      <family val="2"/>
    </font>
    <font>
      <sz val="14"/>
      <color theme="0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8" tint="-0.499984740745262"/>
      </top>
      <bottom style="medium">
        <color theme="5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4" fillId="2" borderId="1" xfId="0" applyFont="1" applyFill="1" applyBorder="1" applyAlignment="1">
      <alignment vertical="center"/>
    </xf>
    <xf numFmtId="41" fontId="7" fillId="0" borderId="1" xfId="1" quotePrefix="1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7" fillId="5" borderId="3" xfId="0" applyFont="1" applyFill="1" applyBorder="1" applyAlignment="1">
      <alignment horizontal="center" vertical="center"/>
    </xf>
    <xf numFmtId="0" fontId="8" fillId="0" borderId="0" xfId="0" applyFont="1"/>
    <xf numFmtId="41" fontId="3" fillId="0" borderId="1" xfId="1" quotePrefix="1" applyNumberFormat="1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41" fontId="3" fillId="7" borderId="1" xfId="1" quotePrefix="1" applyNumberFormat="1" applyFont="1" applyFill="1" applyBorder="1" applyAlignment="1" applyProtection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/>
    </xf>
    <xf numFmtId="0" fontId="10" fillId="9" borderId="7" xfId="0" applyFont="1" applyFill="1" applyBorder="1" applyAlignment="1">
      <alignment horizontal="center" vertical="center"/>
    </xf>
    <xf numFmtId="41" fontId="8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1" fontId="2" fillId="0" borderId="8" xfId="1" quotePrefix="1" applyNumberFormat="1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1" fontId="7" fillId="4" borderId="10" xfId="1" quotePrefix="1" applyNumberFormat="1" applyFont="1" applyFill="1" applyBorder="1" applyAlignment="1" applyProtection="1">
      <alignment horizontal="center" vertical="center"/>
    </xf>
    <xf numFmtId="0" fontId="9" fillId="9" borderId="11" xfId="0" applyFont="1" applyFill="1" applyBorder="1" applyAlignment="1">
      <alignment horizontal="centerContinuous" vertical="center"/>
    </xf>
    <xf numFmtId="0" fontId="2" fillId="9" borderId="12" xfId="0" applyFont="1" applyFill="1" applyBorder="1" applyAlignment="1">
      <alignment horizontal="centerContinuous" vertical="center"/>
    </xf>
    <xf numFmtId="0" fontId="9" fillId="9" borderId="13" xfId="0" applyFont="1" applyFill="1" applyBorder="1" applyAlignment="1">
      <alignment horizontal="centerContinuous" vertical="center"/>
    </xf>
    <xf numFmtId="0" fontId="12" fillId="0" borderId="0" xfId="0" applyFont="1" applyAlignment="1" applyProtection="1">
      <alignment horizontal="left" indent="10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11" borderId="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3" fillId="11" borderId="29" xfId="0" applyFont="1" applyFill="1" applyBorder="1" applyAlignment="1">
      <alignment horizontal="center" vertical="center"/>
    </xf>
    <xf numFmtId="0" fontId="12" fillId="1" borderId="0" xfId="0" applyFont="1" applyFill="1" applyAlignment="1">
      <alignment horizontal="center"/>
    </xf>
    <xf numFmtId="0" fontId="12" fillId="0" borderId="27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 indent="3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1" borderId="32" xfId="0" applyFont="1" applyFill="1" applyBorder="1" applyAlignment="1">
      <alignment horizontal="center"/>
    </xf>
    <xf numFmtId="0" fontId="16" fillId="13" borderId="1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20" fillId="0" borderId="20" xfId="0" applyFont="1" applyBorder="1"/>
    <xf numFmtId="0" fontId="19" fillId="0" borderId="20" xfId="0" applyFont="1" applyBorder="1" applyAlignment="1" applyProtection="1">
      <alignment horizontal="left" vertical="center"/>
      <protection locked="0"/>
    </xf>
    <xf numFmtId="0" fontId="20" fillId="0" borderId="10" xfId="0" applyFont="1" applyBorder="1"/>
    <xf numFmtId="0" fontId="21" fillId="0" borderId="0" xfId="0" applyFont="1" applyAlignment="1">
      <alignment horizontal="center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7" fillId="2" borderId="1" xfId="1" quotePrefix="1" applyNumberFormat="1" applyFont="1" applyFill="1" applyBorder="1" applyAlignment="1" applyProtection="1">
      <alignment horizontal="center" vertical="center"/>
      <protection locked="0"/>
    </xf>
    <xf numFmtId="0" fontId="3" fillId="2" borderId="1" xfId="1" quotePrefix="1" applyNumberFormat="1" applyFont="1" applyFill="1" applyBorder="1" applyAlignment="1" applyProtection="1">
      <alignment horizontal="center" vertical="center"/>
      <protection locked="0"/>
    </xf>
    <xf numFmtId="0" fontId="2" fillId="15" borderId="1" xfId="0" applyFont="1" applyFill="1" applyBorder="1" applyAlignment="1">
      <alignment vertical="center"/>
    </xf>
    <xf numFmtId="0" fontId="2" fillId="15" borderId="1" xfId="0" applyFont="1" applyFill="1" applyBorder="1" applyAlignment="1">
      <alignment vertical="center" wrapText="1"/>
    </xf>
    <xf numFmtId="0" fontId="7" fillId="2" borderId="10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15" borderId="0" xfId="0" applyFont="1" applyFill="1" applyAlignment="1">
      <alignment vertical="center" wrapText="1"/>
    </xf>
    <xf numFmtId="0" fontId="4" fillId="0" borderId="0" xfId="0" applyFont="1" applyAlignment="1">
      <alignment horizontal="right"/>
    </xf>
    <xf numFmtId="0" fontId="24" fillId="14" borderId="37" xfId="0" applyFont="1" applyFill="1" applyBorder="1"/>
    <xf numFmtId="0" fontId="24" fillId="14" borderId="36" xfId="0" applyFont="1" applyFill="1" applyBorder="1"/>
    <xf numFmtId="0" fontId="24" fillId="14" borderId="44" xfId="0" applyFont="1" applyFill="1" applyBorder="1"/>
    <xf numFmtId="0" fontId="24" fillId="14" borderId="33" xfId="0" applyFont="1" applyFill="1" applyBorder="1"/>
    <xf numFmtId="0" fontId="12" fillId="1" borderId="46" xfId="0" applyFont="1" applyFill="1" applyBorder="1" applyAlignment="1">
      <alignment horizontal="center"/>
    </xf>
    <xf numFmtId="0" fontId="24" fillId="16" borderId="0" xfId="0" applyFont="1" applyFill="1"/>
    <xf numFmtId="0" fontId="25" fillId="16" borderId="0" xfId="0" applyFont="1" applyFill="1" applyAlignment="1">
      <alignment horizontal="center"/>
    </xf>
    <xf numFmtId="41" fontId="8" fillId="2" borderId="9" xfId="1" quotePrefix="1" applyNumberFormat="1" applyFont="1" applyFill="1" applyBorder="1" applyAlignment="1" applyProtection="1">
      <alignment horizontal="center" vertical="center"/>
    </xf>
    <xf numFmtId="41" fontId="8" fillId="2" borderId="10" xfId="1" quotePrefix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indent="1"/>
    </xf>
    <xf numFmtId="0" fontId="4" fillId="0" borderId="0" xfId="0" quotePrefix="1" applyFont="1" applyAlignment="1">
      <alignment horizontal="left" vertical="center" indent="1"/>
    </xf>
    <xf numFmtId="0" fontId="2" fillId="0" borderId="0" xfId="0" applyFont="1" applyAlignment="1">
      <alignment horizontal="right"/>
    </xf>
    <xf numFmtId="43" fontId="27" fillId="2" borderId="8" xfId="1" quotePrefix="1" applyFont="1" applyFill="1" applyBorder="1" applyAlignment="1" applyProtection="1">
      <alignment horizontal="left" vertical="center"/>
      <protection locked="0"/>
    </xf>
    <xf numFmtId="0" fontId="28" fillId="0" borderId="0" xfId="0" applyFont="1"/>
    <xf numFmtId="0" fontId="27" fillId="0" borderId="0" xfId="0" applyFont="1"/>
    <xf numFmtId="41" fontId="27" fillId="0" borderId="42" xfId="0" applyNumberFormat="1" applyFont="1" applyBorder="1" applyAlignment="1">
      <alignment wrapText="1"/>
    </xf>
    <xf numFmtId="41" fontId="27" fillId="0" borderId="42" xfId="0" applyNumberFormat="1" applyFont="1" applyBorder="1" applyAlignment="1">
      <alignment horizontal="center" wrapText="1"/>
    </xf>
    <xf numFmtId="41" fontId="29" fillId="2" borderId="16" xfId="1" quotePrefix="1" applyNumberFormat="1" applyFont="1" applyFill="1" applyBorder="1" applyAlignment="1" applyProtection="1">
      <alignment horizontal="left" vertical="center"/>
      <protection locked="0"/>
    </xf>
    <xf numFmtId="0" fontId="30" fillId="15" borderId="1" xfId="0" applyFont="1" applyFill="1" applyBorder="1" applyAlignment="1" applyProtection="1">
      <alignment vertical="center"/>
      <protection locked="0"/>
    </xf>
    <xf numFmtId="41" fontId="31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Protection="1">
      <protection locked="0"/>
    </xf>
    <xf numFmtId="41" fontId="2" fillId="0" borderId="0" xfId="0" applyNumberFormat="1" applyFont="1" applyAlignment="1">
      <alignment wrapText="1"/>
    </xf>
    <xf numFmtId="41" fontId="7" fillId="2" borderId="1" xfId="1" quotePrefix="1" applyNumberFormat="1" applyFont="1" applyFill="1" applyBorder="1" applyAlignment="1" applyProtection="1">
      <alignment horizontal="center" vertical="center"/>
      <protection locked="0"/>
    </xf>
    <xf numFmtId="41" fontId="25" fillId="17" borderId="9" xfId="1" quotePrefix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20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1" xfId="0" applyFont="1" applyBorder="1" applyAlignment="1">
      <alignment horizontal="center"/>
    </xf>
    <xf numFmtId="0" fontId="15" fillId="0" borderId="45" xfId="0" applyFont="1" applyBorder="1" applyAlignment="1">
      <alignment horizontal="left" vertic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32" fillId="0" borderId="0" xfId="0" quotePrefix="1" applyFont="1" applyAlignment="1">
      <alignment horizontal="left" vertical="center"/>
    </xf>
    <xf numFmtId="0" fontId="12" fillId="0" borderId="45" xfId="0" applyFont="1" applyBorder="1" applyAlignment="1">
      <alignment horizontal="center"/>
    </xf>
    <xf numFmtId="0" fontId="30" fillId="0" borderId="20" xfId="0" applyFont="1" applyBorder="1" applyAlignment="1" applyProtection="1">
      <alignment horizontal="left"/>
      <protection locked="0"/>
    </xf>
    <xf numFmtId="0" fontId="12" fillId="0" borderId="46" xfId="0" applyFont="1" applyBorder="1" applyAlignment="1">
      <alignment horizontal="center"/>
    </xf>
    <xf numFmtId="0" fontId="30" fillId="5" borderId="20" xfId="0" applyFont="1" applyFill="1" applyBorder="1" applyProtection="1">
      <protection locked="0"/>
    </xf>
    <xf numFmtId="41" fontId="34" fillId="2" borderId="40" xfId="1" quotePrefix="1" applyNumberFormat="1" applyFont="1" applyFill="1" applyBorder="1" applyAlignment="1" applyProtection="1">
      <alignment horizontal="center" vertical="center"/>
    </xf>
    <xf numFmtId="41" fontId="34" fillId="2" borderId="45" xfId="1" quotePrefix="1" applyNumberFormat="1" applyFont="1" applyFill="1" applyBorder="1" applyAlignment="1" applyProtection="1">
      <alignment horizontal="center" vertical="center"/>
    </xf>
    <xf numFmtId="43" fontId="30" fillId="0" borderId="0" xfId="0" applyNumberFormat="1" applyFont="1" applyProtection="1">
      <protection locked="0"/>
    </xf>
    <xf numFmtId="0" fontId="25" fillId="14" borderId="0" xfId="0" applyFont="1" applyFill="1" applyAlignment="1">
      <alignment horizontal="center"/>
    </xf>
    <xf numFmtId="0" fontId="24" fillId="14" borderId="34" xfId="0" applyFont="1" applyFill="1" applyBorder="1"/>
    <xf numFmtId="0" fontId="26" fillId="14" borderId="27" xfId="0" applyFont="1" applyFill="1" applyBorder="1" applyAlignment="1">
      <alignment horizontal="left" vertical="center" indent="15"/>
    </xf>
    <xf numFmtId="0" fontId="24" fillId="14" borderId="32" xfId="0" applyFont="1" applyFill="1" applyBorder="1"/>
    <xf numFmtId="0" fontId="26" fillId="14" borderId="43" xfId="0" applyFont="1" applyFill="1" applyBorder="1" applyAlignment="1">
      <alignment horizontal="left" vertical="center" indent="21"/>
    </xf>
    <xf numFmtId="0" fontId="12" fillId="0" borderId="0" xfId="0" applyFont="1" applyAlignment="1" applyProtection="1">
      <alignment horizontal="left" vertical="center"/>
      <protection locked="0"/>
    </xf>
    <xf numFmtId="43" fontId="30" fillId="0" borderId="20" xfId="1" quotePrefix="1" applyFont="1" applyFill="1" applyBorder="1" applyAlignment="1" applyProtection="1">
      <alignment horizontal="left" vertical="center"/>
      <protection locked="0"/>
    </xf>
    <xf numFmtId="43" fontId="30" fillId="5" borderId="20" xfId="0" applyNumberFormat="1" applyFont="1" applyFill="1" applyBorder="1" applyProtection="1">
      <protection locked="0"/>
    </xf>
    <xf numFmtId="43" fontId="35" fillId="18" borderId="49" xfId="1" quotePrefix="1" applyFont="1" applyFill="1" applyBorder="1" applyAlignment="1" applyProtection="1">
      <alignment horizontal="left" vertical="center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Alignment="1">
      <alignment horizontal="left" vertical="center" indent="2"/>
    </xf>
    <xf numFmtId="41" fontId="36" fillId="2" borderId="9" xfId="1" quotePrefix="1" applyNumberFormat="1" applyFont="1" applyFill="1" applyBorder="1" applyAlignment="1" applyProtection="1">
      <alignment horizontal="center" vertical="center"/>
    </xf>
    <xf numFmtId="41" fontId="36" fillId="2" borderId="10" xfId="1" quotePrefix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indent="1"/>
    </xf>
    <xf numFmtId="0" fontId="37" fillId="14" borderId="50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2" fillId="12" borderId="20" xfId="0" applyFont="1" applyFill="1" applyBorder="1" applyAlignment="1">
      <alignment horizontal="center"/>
    </xf>
    <xf numFmtId="0" fontId="12" fillId="12" borderId="10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1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6" fillId="10" borderId="40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16" fillId="10" borderId="37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/>
    </xf>
    <xf numFmtId="0" fontId="16" fillId="10" borderId="36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7" fillId="12" borderId="26" xfId="0" applyFont="1" applyFill="1" applyBorder="1" applyAlignment="1" applyProtection="1">
      <alignment horizontal="center" vertical="center"/>
      <protection hidden="1"/>
    </xf>
    <xf numFmtId="0" fontId="17" fillId="12" borderId="28" xfId="0" applyFont="1" applyFill="1" applyBorder="1" applyAlignment="1" applyProtection="1">
      <alignment horizontal="center" vertical="center"/>
      <protection hidden="1"/>
    </xf>
    <xf numFmtId="0" fontId="17" fillId="12" borderId="41" xfId="0" applyFont="1" applyFill="1" applyBorder="1" applyAlignment="1" applyProtection="1">
      <alignment horizontal="center" vertical="center"/>
      <protection hidden="1"/>
    </xf>
    <xf numFmtId="0" fontId="17" fillId="12" borderId="30" xfId="0" applyFont="1" applyFill="1" applyBorder="1" applyAlignment="1" applyProtection="1">
      <alignment horizontal="center" vertical="center"/>
      <protection hidden="1"/>
    </xf>
    <xf numFmtId="0" fontId="12" fillId="0" borderId="31" xfId="0" applyFont="1" applyBorder="1" applyAlignment="1">
      <alignment horizontal="center"/>
    </xf>
    <xf numFmtId="0" fontId="17" fillId="12" borderId="35" xfId="0" applyFont="1" applyFill="1" applyBorder="1" applyAlignment="1" applyProtection="1">
      <alignment horizontal="center" vertical="center"/>
      <protection hidden="1"/>
    </xf>
    <xf numFmtId="0" fontId="20" fillId="0" borderId="20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6" fillId="10" borderId="21" xfId="0" applyFont="1" applyFill="1" applyBorder="1" applyAlignment="1">
      <alignment horizontal="center" vertical="center"/>
    </xf>
    <xf numFmtId="0" fontId="16" fillId="10" borderId="22" xfId="0" applyFont="1" applyFill="1" applyBorder="1" applyAlignment="1">
      <alignment horizontal="center" vertical="center"/>
    </xf>
    <xf numFmtId="0" fontId="16" fillId="10" borderId="23" xfId="0" applyFont="1" applyFill="1" applyBorder="1" applyAlignment="1">
      <alignment horizontal="center" vertical="center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0" fillId="0" borderId="0" xfId="0" applyNumberFormat="1"/>
    <xf numFmtId="41" fontId="4" fillId="18" borderId="49" xfId="1" quotePrefix="1" applyNumberFormat="1" applyFont="1" applyFill="1" applyBorder="1" applyAlignment="1" applyProtection="1">
      <alignment horizontal="left" vertical="center" indent="1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 indent="2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 indent="3"/>
      <protection locked="0"/>
    </xf>
    <xf numFmtId="0" fontId="30" fillId="0" borderId="20" xfId="0" applyFont="1" applyBorder="1" applyAlignment="1" applyProtection="1">
      <alignment horizontal="left" indent="3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 indent="4"/>
      <protection locked="0"/>
    </xf>
    <xf numFmtId="0" fontId="30" fillId="0" borderId="20" xfId="0" applyFont="1" applyBorder="1" applyAlignment="1" applyProtection="1">
      <alignment horizontal="left" indent="4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 indent="5"/>
      <protection locked="0"/>
    </xf>
    <xf numFmtId="0" fontId="30" fillId="0" borderId="20" xfId="0" applyFont="1" applyBorder="1" applyAlignment="1" applyProtection="1">
      <alignment horizontal="left" indent="5"/>
      <protection locked="0"/>
    </xf>
    <xf numFmtId="0" fontId="30" fillId="0" borderId="20" xfId="0" applyFont="1" applyBorder="1" applyAlignment="1" applyProtection="1">
      <alignment horizontal="left" indent="6"/>
      <protection locked="0"/>
    </xf>
    <xf numFmtId="41" fontId="4" fillId="18" borderId="49" xfId="1" quotePrefix="1" applyNumberFormat="1" applyFont="1" applyFill="1" applyBorder="1" applyAlignment="1" applyProtection="1">
      <alignment horizontal="left" vertical="center" indent="6"/>
      <protection locked="0"/>
    </xf>
    <xf numFmtId="0" fontId="30" fillId="0" borderId="20" xfId="0" applyFont="1" applyBorder="1" applyAlignment="1" applyProtection="1">
      <alignment horizontal="left" indent="7"/>
      <protection locked="0"/>
    </xf>
  </cellXfs>
  <cellStyles count="2">
    <cellStyle name="Comma" xfId="1" builtinId="3"/>
    <cellStyle name="Normal" xfId="0" builtinId="0"/>
  </cellStyles>
  <dxfs count="4">
    <dxf>
      <font>
        <b/>
        <i val="0"/>
      </font>
      <numFmt numFmtId="35" formatCode="_(* #,##0.00_);_(* \(#,##0.00\);_(* &quot;-&quot;??_);_(@_)"/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</dxf>
    <dxf>
      <font>
        <b/>
        <i val="0"/>
      </font>
      <numFmt numFmtId="35" formatCode="_(* #,##0.00_);_(* \(#,##0.00\);_(* &quot;-&quot;??_);_(@_)"/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D966"/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Label" lockText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checked="Checked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checked="Checked" firstButton="1" fmlaLink="AA1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Drop" dropStyle="combo" dx="16" fmlaLink="$P$1" fmlaRange="$N$1:$N$2" sel="1" val="0"/>
</file>

<file path=xl/ctrlProps/ctrlProp66.xml><?xml version="1.0" encoding="utf-8"?>
<formControlPr xmlns="http://schemas.microsoft.com/office/spreadsheetml/2009/9/main" objectType="Drop" dropStyle="combo" dx="16" fmlaLink="$C$17" fmlaRange="$D$17:$D$18" sel="2" val="0"/>
</file>

<file path=xl/ctrlProps/ctrlProp7.xml><?xml version="1.0" encoding="utf-8"?>
<formControlPr xmlns="http://schemas.microsoft.com/office/spreadsheetml/2009/9/main" objectType="CheckBox" fmlaLink="AB1" lockText="1" noThreeD="1"/>
</file>

<file path=xl/ctrlProps/ctrlProp8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GBox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3" Type="http://schemas.openxmlformats.org/officeDocument/2006/relationships/image" Target="../media/image9.emf"/><Relationship Id="rId7" Type="http://schemas.openxmlformats.org/officeDocument/2006/relationships/image" Target="../media/image5.emf"/><Relationship Id="rId2" Type="http://schemas.openxmlformats.org/officeDocument/2006/relationships/image" Target="../media/image10.emf"/><Relationship Id="rId1" Type="http://schemas.openxmlformats.org/officeDocument/2006/relationships/image" Target="../media/image11.emf"/><Relationship Id="rId6" Type="http://schemas.openxmlformats.org/officeDocument/2006/relationships/image" Target="../media/image6.emf"/><Relationship Id="rId5" Type="http://schemas.openxmlformats.org/officeDocument/2006/relationships/image" Target="../media/image7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1485900</xdr:colOff>
          <xdr:row>4</xdr:row>
          <xdr:rowOff>66675</xdr:rowOff>
        </xdr:from>
        <xdr:to>
          <xdr:col>7</xdr:col>
          <xdr:colOff>1619250</xdr:colOff>
          <xdr:row>4</xdr:row>
          <xdr:rowOff>342900</xdr:rowOff>
        </xdr:to>
        <xdr:sp macro="" textlink="">
          <xdr:nvSpPr>
            <xdr:cNvPr id="5121" name="cbApplyLevelFormatting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3</xdr:col>
          <xdr:colOff>2800350</xdr:colOff>
          <xdr:row>6</xdr:row>
          <xdr:rowOff>0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5</xdr:row>
          <xdr:rowOff>57150</xdr:rowOff>
        </xdr:from>
        <xdr:to>
          <xdr:col>3</xdr:col>
          <xdr:colOff>2619375</xdr:colOff>
          <xdr:row>5</xdr:row>
          <xdr:rowOff>276225</xdr:rowOff>
        </xdr:to>
        <xdr:sp macro="" textlink="">
          <xdr:nvSpPr>
            <xdr:cNvPr id="5123" name="obLevelRowFirst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Row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57150</xdr:rowOff>
        </xdr:from>
        <xdr:to>
          <xdr:col>3</xdr:col>
          <xdr:colOff>447675</xdr:colOff>
          <xdr:row>5</xdr:row>
          <xdr:rowOff>276225</xdr:rowOff>
        </xdr:to>
        <xdr:sp macro="" textlink="">
          <xdr:nvSpPr>
            <xdr:cNvPr id="5124" name="obLevelColumnFirst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Column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2762250</xdr:colOff>
          <xdr:row>5</xdr:row>
          <xdr:rowOff>0</xdr:rowOff>
        </xdr:from>
        <xdr:to>
          <xdr:col>10</xdr:col>
          <xdr:colOff>180975</xdr:colOff>
          <xdr:row>6</xdr:row>
          <xdr:rowOff>0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4229100</xdr:colOff>
          <xdr:row>5</xdr:row>
          <xdr:rowOff>57150</xdr:rowOff>
        </xdr:from>
        <xdr:to>
          <xdr:col>6</xdr:col>
          <xdr:colOff>180975</xdr:colOff>
          <xdr:row>5</xdr:row>
          <xdr:rowOff>276225</xdr:rowOff>
        </xdr:to>
        <xdr:sp macro="" textlink="">
          <xdr:nvSpPr>
            <xdr:cNvPr id="5126" name="obRelativeLevelHierarchy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Relative Levels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2771775</xdr:colOff>
          <xdr:row>5</xdr:row>
          <xdr:rowOff>57150</xdr:rowOff>
        </xdr:from>
        <xdr:to>
          <xdr:col>3</xdr:col>
          <xdr:colOff>4210050</xdr:colOff>
          <xdr:row>5</xdr:row>
          <xdr:rowOff>276225</xdr:rowOff>
        </xdr:to>
        <xdr:sp macro="" textlink="">
          <xdr:nvSpPr>
            <xdr:cNvPr id="5127" name="obDatabaseLevelHierarchy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Structure Levels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0</xdr:rowOff>
        </xdr:from>
        <xdr:to>
          <xdr:col>11</xdr:col>
          <xdr:colOff>2419350</xdr:colOff>
          <xdr:row>5</xdr:row>
          <xdr:rowOff>333375</xdr:rowOff>
        </xdr:to>
        <xdr:sp macro="" textlink="">
          <xdr:nvSpPr>
            <xdr:cNvPr id="5128" name="cbApplyLevelFromTopToBottom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Start formatting from the lowest level displayed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6</xdr:row>
          <xdr:rowOff>133350</xdr:rowOff>
        </xdr:from>
        <xdr:to>
          <xdr:col>11</xdr:col>
          <xdr:colOff>1133475</xdr:colOff>
          <xdr:row>7</xdr:row>
          <xdr:rowOff>133350</xdr:rowOff>
        </xdr:to>
        <xdr:sp macro="" textlink="">
          <xdr:nvSpPr>
            <xdr:cNvPr id="5129" name="LVL1tbFormattingByLevel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 Format to: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12</xdr:col>
          <xdr:colOff>0</xdr:colOff>
          <xdr:row>8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6</xdr:row>
          <xdr:rowOff>228600</xdr:rowOff>
        </xdr:from>
        <xdr:to>
          <xdr:col>11</xdr:col>
          <xdr:colOff>2105025</xdr:colOff>
          <xdr:row>7</xdr:row>
          <xdr:rowOff>152400</xdr:rowOff>
        </xdr:to>
        <xdr:sp macro="" textlink="">
          <xdr:nvSpPr>
            <xdr:cNvPr id="5131" name="obLevelOuterFirst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Outer Dimension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6</xdr:row>
          <xdr:rowOff>19050</xdr:rowOff>
        </xdr:from>
        <xdr:to>
          <xdr:col>11</xdr:col>
          <xdr:colOff>2105025</xdr:colOff>
          <xdr:row>6</xdr:row>
          <xdr:rowOff>247650</xdr:rowOff>
        </xdr:to>
        <xdr:sp macro="" textlink="">
          <xdr:nvSpPr>
            <xdr:cNvPr id="5132" name="obLevelInnerFirst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Inner Dimension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8</xdr:row>
          <xdr:rowOff>209550</xdr:rowOff>
        </xdr:from>
        <xdr:to>
          <xdr:col>2</xdr:col>
          <xdr:colOff>1019175</xdr:colOff>
          <xdr:row>11</xdr:row>
          <xdr:rowOff>38100</xdr:rowOff>
        </xdr:to>
        <xdr:sp macro="" textlink="">
          <xdr:nvSpPr>
            <xdr:cNvPr id="5133" name="cbUseDefaultLevelFirst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0</xdr:rowOff>
        </xdr:from>
        <xdr:to>
          <xdr:col>2</xdr:col>
          <xdr:colOff>1019175</xdr:colOff>
          <xdr:row>14</xdr:row>
          <xdr:rowOff>38100</xdr:rowOff>
        </xdr:to>
        <xdr:sp macro="" textlink="">
          <xdr:nvSpPr>
            <xdr:cNvPr id="5134" name="cbUseLeafLevelFirst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38100</xdr:rowOff>
        </xdr:from>
        <xdr:to>
          <xdr:col>2</xdr:col>
          <xdr:colOff>1019175</xdr:colOff>
          <xdr:row>16</xdr:row>
          <xdr:rowOff>104775</xdr:rowOff>
        </xdr:to>
        <xdr:sp macro="" textlink="">
          <xdr:nvSpPr>
            <xdr:cNvPr id="5135" name="cbUseSpecificLevelFirst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28575</xdr:rowOff>
        </xdr:from>
        <xdr:to>
          <xdr:col>3</xdr:col>
          <xdr:colOff>2124075</xdr:colOff>
          <xdr:row>20</xdr:row>
          <xdr:rowOff>19050</xdr:rowOff>
        </xdr:to>
        <xdr:sp macro="" textlink="">
          <xdr:nvSpPr>
            <xdr:cNvPr id="5136" name="AddLevelFirst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Add Level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2228850</xdr:colOff>
          <xdr:row>19</xdr:row>
          <xdr:rowOff>28575</xdr:rowOff>
        </xdr:from>
        <xdr:to>
          <xdr:col>3</xdr:col>
          <xdr:colOff>4305300</xdr:colOff>
          <xdr:row>20</xdr:row>
          <xdr:rowOff>19050</xdr:rowOff>
        </xdr:to>
        <xdr:sp macro="" textlink="">
          <xdr:nvSpPr>
            <xdr:cNvPr id="5137" name="RemoveLevelFirst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Remove Last Level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21</xdr:row>
          <xdr:rowOff>142875</xdr:rowOff>
        </xdr:from>
        <xdr:to>
          <xdr:col>11</xdr:col>
          <xdr:colOff>1133475</xdr:colOff>
          <xdr:row>22</xdr:row>
          <xdr:rowOff>133350</xdr:rowOff>
        </xdr:to>
        <xdr:sp macro="" textlink="">
          <xdr:nvSpPr>
            <xdr:cNvPr id="5138" name="LVL2tbFormattingByLevel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 Format to: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21</xdr:row>
          <xdr:rowOff>0</xdr:rowOff>
        </xdr:from>
        <xdr:to>
          <xdr:col>12</xdr:col>
          <xdr:colOff>0</xdr:colOff>
          <xdr:row>23</xdr:row>
          <xdr:rowOff>0</xdr:rowOff>
        </xdr:to>
        <xdr:sp macro="" textlink="">
          <xdr:nvSpPr>
            <xdr:cNvPr id="5139" name="Group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21</xdr:row>
          <xdr:rowOff>228600</xdr:rowOff>
        </xdr:from>
        <xdr:to>
          <xdr:col>11</xdr:col>
          <xdr:colOff>2105025</xdr:colOff>
          <xdr:row>22</xdr:row>
          <xdr:rowOff>180975</xdr:rowOff>
        </xdr:to>
        <xdr:sp macro="" textlink="">
          <xdr:nvSpPr>
            <xdr:cNvPr id="5140" name="obLevelOuterSecond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Outer Dimension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904875</xdr:colOff>
          <xdr:row>21</xdr:row>
          <xdr:rowOff>38100</xdr:rowOff>
        </xdr:from>
        <xdr:to>
          <xdr:col>11</xdr:col>
          <xdr:colOff>2105025</xdr:colOff>
          <xdr:row>21</xdr:row>
          <xdr:rowOff>257175</xdr:rowOff>
        </xdr:to>
        <xdr:sp macro="" textlink="">
          <xdr:nvSpPr>
            <xdr:cNvPr id="5141" name="obLevelInnerSecond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Inner Dimension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24</xdr:row>
          <xdr:rowOff>0</xdr:rowOff>
        </xdr:from>
        <xdr:to>
          <xdr:col>2</xdr:col>
          <xdr:colOff>1019175</xdr:colOff>
          <xdr:row>26</xdr:row>
          <xdr:rowOff>38100</xdr:rowOff>
        </xdr:to>
        <xdr:sp macro="" textlink="">
          <xdr:nvSpPr>
            <xdr:cNvPr id="5142" name="cbUseDefaultLevelSecond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27</xdr:row>
          <xdr:rowOff>0</xdr:rowOff>
        </xdr:from>
        <xdr:to>
          <xdr:col>2</xdr:col>
          <xdr:colOff>1019175</xdr:colOff>
          <xdr:row>29</xdr:row>
          <xdr:rowOff>38100</xdr:rowOff>
        </xdr:to>
        <xdr:sp macro="" textlink="">
          <xdr:nvSpPr>
            <xdr:cNvPr id="5143" name="cbUseLeafLevelSecond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30</xdr:row>
          <xdr:rowOff>38100</xdr:rowOff>
        </xdr:from>
        <xdr:to>
          <xdr:col>2</xdr:col>
          <xdr:colOff>1019175</xdr:colOff>
          <xdr:row>31</xdr:row>
          <xdr:rowOff>104775</xdr:rowOff>
        </xdr:to>
        <xdr:sp macro="" textlink="">
          <xdr:nvSpPr>
            <xdr:cNvPr id="5144" name="cbUseSpecificLevelSecond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40</xdr:row>
          <xdr:rowOff>19050</xdr:rowOff>
        </xdr:from>
        <xdr:to>
          <xdr:col>3</xdr:col>
          <xdr:colOff>2124075</xdr:colOff>
          <xdr:row>41</xdr:row>
          <xdr:rowOff>0</xdr:rowOff>
        </xdr:to>
        <xdr:sp macro="" textlink="">
          <xdr:nvSpPr>
            <xdr:cNvPr id="5145" name="AddLevelSecond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Add Level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2228850</xdr:colOff>
          <xdr:row>40</xdr:row>
          <xdr:rowOff>19050</xdr:rowOff>
        </xdr:from>
        <xdr:to>
          <xdr:col>3</xdr:col>
          <xdr:colOff>4305300</xdr:colOff>
          <xdr:row>41</xdr:row>
          <xdr:rowOff>0</xdr:rowOff>
        </xdr:to>
        <xdr:sp macro="" textlink="">
          <xdr:nvSpPr>
            <xdr:cNvPr id="5146" name="RemoveLevelSecond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Remove Last Level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45</xdr:row>
          <xdr:rowOff>66675</xdr:rowOff>
        </xdr:from>
        <xdr:to>
          <xdr:col>9</xdr:col>
          <xdr:colOff>600075</xdr:colOff>
          <xdr:row>45</xdr:row>
          <xdr:rowOff>342900</xdr:rowOff>
        </xdr:to>
        <xdr:sp macro="" textlink="">
          <xdr:nvSpPr>
            <xdr:cNvPr id="5147" name="cbApplyMemberFormatting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12</xdr:col>
          <xdr:colOff>0</xdr:colOff>
          <xdr:row>47</xdr:row>
          <xdr:rowOff>0</xdr:rowOff>
        </xdr:to>
        <xdr:sp macro="" textlink="">
          <xdr:nvSpPr>
            <xdr:cNvPr id="5148" name="Group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46</xdr:row>
          <xdr:rowOff>57150</xdr:rowOff>
        </xdr:from>
        <xdr:to>
          <xdr:col>3</xdr:col>
          <xdr:colOff>2619375</xdr:colOff>
          <xdr:row>46</xdr:row>
          <xdr:rowOff>276225</xdr:rowOff>
        </xdr:to>
        <xdr:sp macro="" textlink="">
          <xdr:nvSpPr>
            <xdr:cNvPr id="5149" name="obMemberRowFirst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Row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46</xdr:row>
          <xdr:rowOff>57150</xdr:rowOff>
        </xdr:from>
        <xdr:to>
          <xdr:col>3</xdr:col>
          <xdr:colOff>447675</xdr:colOff>
          <xdr:row>46</xdr:row>
          <xdr:rowOff>276225</xdr:rowOff>
        </xdr:to>
        <xdr:sp macro="" textlink="">
          <xdr:nvSpPr>
            <xdr:cNvPr id="5150" name="obMemberColumnFirst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Column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69</xdr:row>
          <xdr:rowOff>209550</xdr:rowOff>
        </xdr:from>
        <xdr:to>
          <xdr:col>2</xdr:col>
          <xdr:colOff>1019175</xdr:colOff>
          <xdr:row>72</xdr:row>
          <xdr:rowOff>47625</xdr:rowOff>
        </xdr:to>
        <xdr:sp macro="" textlink="">
          <xdr:nvSpPr>
            <xdr:cNvPr id="5151" name="cbApplyCustomMemberDefaultFirst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72</xdr:row>
          <xdr:rowOff>57150</xdr:rowOff>
        </xdr:from>
        <xdr:to>
          <xdr:col>2</xdr:col>
          <xdr:colOff>1019175</xdr:colOff>
          <xdr:row>75</xdr:row>
          <xdr:rowOff>38100</xdr:rowOff>
        </xdr:to>
        <xdr:sp macro="" textlink="">
          <xdr:nvSpPr>
            <xdr:cNvPr id="5152" name="cbApplyCalculatedMemberFirst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76</xdr:row>
          <xdr:rowOff>0</xdr:rowOff>
        </xdr:from>
        <xdr:to>
          <xdr:col>2</xdr:col>
          <xdr:colOff>1019175</xdr:colOff>
          <xdr:row>78</xdr:row>
          <xdr:rowOff>38100</xdr:rowOff>
        </xdr:to>
        <xdr:sp macro="" textlink="">
          <xdr:nvSpPr>
            <xdr:cNvPr id="5153" name="cbApplyImputableMemberFirst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79</xdr:row>
          <xdr:rowOff>0</xdr:rowOff>
        </xdr:from>
        <xdr:to>
          <xdr:col>2</xdr:col>
          <xdr:colOff>1019175</xdr:colOff>
          <xdr:row>81</xdr:row>
          <xdr:rowOff>38100</xdr:rowOff>
        </xdr:to>
        <xdr:sp macro="" textlink="">
          <xdr:nvSpPr>
            <xdr:cNvPr id="5154" name="cbApplyLocalMemberFirst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82</xdr:row>
          <xdr:rowOff>0</xdr:rowOff>
        </xdr:from>
        <xdr:to>
          <xdr:col>2</xdr:col>
          <xdr:colOff>1019175</xdr:colOff>
          <xdr:row>84</xdr:row>
          <xdr:rowOff>38100</xdr:rowOff>
        </xdr:to>
        <xdr:sp macro="" textlink="">
          <xdr:nvSpPr>
            <xdr:cNvPr id="5155" name="cbApplyChangedMemberFirst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85</xdr:row>
          <xdr:rowOff>57150</xdr:rowOff>
        </xdr:from>
        <xdr:to>
          <xdr:col>2</xdr:col>
          <xdr:colOff>1019175</xdr:colOff>
          <xdr:row>87</xdr:row>
          <xdr:rowOff>0</xdr:rowOff>
        </xdr:to>
        <xdr:sp macro="" textlink="">
          <xdr:nvSpPr>
            <xdr:cNvPr id="5156" name="cbApplySpecificMemberFirst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96</xdr:row>
          <xdr:rowOff>19050</xdr:rowOff>
        </xdr:from>
        <xdr:to>
          <xdr:col>3</xdr:col>
          <xdr:colOff>4295775</xdr:colOff>
          <xdr:row>96</xdr:row>
          <xdr:rowOff>257175</xdr:rowOff>
        </xdr:to>
        <xdr:sp macro="" textlink="">
          <xdr:nvSpPr>
            <xdr:cNvPr id="5157" name="AddMemberFirst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Add Member/Property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49</xdr:row>
          <xdr:rowOff>0</xdr:rowOff>
        </xdr:from>
        <xdr:to>
          <xdr:col>2</xdr:col>
          <xdr:colOff>1019175</xdr:colOff>
          <xdr:row>51</xdr:row>
          <xdr:rowOff>38100</xdr:rowOff>
        </xdr:to>
        <xdr:sp macro="" textlink="">
          <xdr:nvSpPr>
            <xdr:cNvPr id="5158" name="cbApplyCustomMemberDefaultSecond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51</xdr:row>
          <xdr:rowOff>57150</xdr:rowOff>
        </xdr:from>
        <xdr:to>
          <xdr:col>2</xdr:col>
          <xdr:colOff>1019175</xdr:colOff>
          <xdr:row>54</xdr:row>
          <xdr:rowOff>38100</xdr:rowOff>
        </xdr:to>
        <xdr:sp macro="" textlink="">
          <xdr:nvSpPr>
            <xdr:cNvPr id="5159" name="cbApplyCalculatedMemberSecond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55</xdr:row>
          <xdr:rowOff>0</xdr:rowOff>
        </xdr:from>
        <xdr:to>
          <xdr:col>2</xdr:col>
          <xdr:colOff>1019175</xdr:colOff>
          <xdr:row>57</xdr:row>
          <xdr:rowOff>47625</xdr:rowOff>
        </xdr:to>
        <xdr:sp macro="" textlink="">
          <xdr:nvSpPr>
            <xdr:cNvPr id="5160" name="cbApplyImputableMemberSecond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58</xdr:row>
          <xdr:rowOff>0</xdr:rowOff>
        </xdr:from>
        <xdr:to>
          <xdr:col>2</xdr:col>
          <xdr:colOff>1019175</xdr:colOff>
          <xdr:row>60</xdr:row>
          <xdr:rowOff>38100</xdr:rowOff>
        </xdr:to>
        <xdr:sp macro="" textlink="">
          <xdr:nvSpPr>
            <xdr:cNvPr id="5161" name="cbApplyLocalMemberSecond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61</xdr:row>
          <xdr:rowOff>0</xdr:rowOff>
        </xdr:from>
        <xdr:to>
          <xdr:col>2</xdr:col>
          <xdr:colOff>1019175</xdr:colOff>
          <xdr:row>63</xdr:row>
          <xdr:rowOff>38100</xdr:rowOff>
        </xdr:to>
        <xdr:sp macro="" textlink="">
          <xdr:nvSpPr>
            <xdr:cNvPr id="5162" name="cbApplyChangedMemberSecond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64</xdr:row>
          <xdr:rowOff>57150</xdr:rowOff>
        </xdr:from>
        <xdr:to>
          <xdr:col>2</xdr:col>
          <xdr:colOff>1019175</xdr:colOff>
          <xdr:row>66</xdr:row>
          <xdr:rowOff>0</xdr:rowOff>
        </xdr:to>
        <xdr:sp macro="" textlink="">
          <xdr:nvSpPr>
            <xdr:cNvPr id="5163" name="cbApplySpecificMemberSecond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66</xdr:row>
          <xdr:rowOff>19050</xdr:rowOff>
        </xdr:from>
        <xdr:to>
          <xdr:col>3</xdr:col>
          <xdr:colOff>4295775</xdr:colOff>
          <xdr:row>66</xdr:row>
          <xdr:rowOff>257175</xdr:rowOff>
        </xdr:to>
        <xdr:sp macro="" textlink="">
          <xdr:nvSpPr>
            <xdr:cNvPr id="5164" name="AddMemberSecond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Add Member/Property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1676400</xdr:colOff>
          <xdr:row>100</xdr:row>
          <xdr:rowOff>66675</xdr:rowOff>
        </xdr:from>
        <xdr:to>
          <xdr:col>7</xdr:col>
          <xdr:colOff>1800225</xdr:colOff>
          <xdr:row>100</xdr:row>
          <xdr:rowOff>342900</xdr:rowOff>
        </xdr:to>
        <xdr:sp macro="" textlink="">
          <xdr:nvSpPr>
            <xdr:cNvPr id="5165" name="cbApplyOddEvenFormatting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101</xdr:row>
          <xdr:rowOff>0</xdr:rowOff>
        </xdr:from>
        <xdr:to>
          <xdr:col>12</xdr:col>
          <xdr:colOff>0</xdr:colOff>
          <xdr:row>102</xdr:row>
          <xdr:rowOff>0</xdr:rowOff>
        </xdr:to>
        <xdr:sp macro="" textlink="">
          <xdr:nvSpPr>
            <xdr:cNvPr id="5166" name="Group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101</xdr:row>
          <xdr:rowOff>66675</xdr:rowOff>
        </xdr:from>
        <xdr:to>
          <xdr:col>3</xdr:col>
          <xdr:colOff>2619375</xdr:colOff>
          <xdr:row>101</xdr:row>
          <xdr:rowOff>276225</xdr:rowOff>
        </xdr:to>
        <xdr:sp macro="" textlink="">
          <xdr:nvSpPr>
            <xdr:cNvPr id="5167" name="obOddEvenRowFirst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Row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101</xdr:row>
          <xdr:rowOff>66675</xdr:rowOff>
        </xdr:from>
        <xdr:to>
          <xdr:col>3</xdr:col>
          <xdr:colOff>447675</xdr:colOff>
          <xdr:row>101</xdr:row>
          <xdr:rowOff>276225</xdr:rowOff>
        </xdr:to>
        <xdr:sp macro="" textlink="">
          <xdr:nvSpPr>
            <xdr:cNvPr id="5168" name="obOddEvenColumnFirst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Priority to Column Format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104</xdr:row>
          <xdr:rowOff>0</xdr:rowOff>
        </xdr:from>
        <xdr:to>
          <xdr:col>2</xdr:col>
          <xdr:colOff>1019175</xdr:colOff>
          <xdr:row>106</xdr:row>
          <xdr:rowOff>38100</xdr:rowOff>
        </xdr:to>
        <xdr:sp macro="" textlink="">
          <xdr:nvSpPr>
            <xdr:cNvPr id="5169" name="cbUseOddFirst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107</xdr:row>
          <xdr:rowOff>0</xdr:rowOff>
        </xdr:from>
        <xdr:to>
          <xdr:col>2</xdr:col>
          <xdr:colOff>1019175</xdr:colOff>
          <xdr:row>109</xdr:row>
          <xdr:rowOff>38100</xdr:rowOff>
        </xdr:to>
        <xdr:sp macro="" textlink="">
          <xdr:nvSpPr>
            <xdr:cNvPr id="5170" name="cbUseEvenFirst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112</xdr:row>
          <xdr:rowOff>0</xdr:rowOff>
        </xdr:from>
        <xdr:to>
          <xdr:col>2</xdr:col>
          <xdr:colOff>1019175</xdr:colOff>
          <xdr:row>114</xdr:row>
          <xdr:rowOff>38100</xdr:rowOff>
        </xdr:to>
        <xdr:sp macro="" textlink="">
          <xdr:nvSpPr>
            <xdr:cNvPr id="5171" name="cbUseOddSecond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114</xdr:row>
          <xdr:rowOff>57150</xdr:rowOff>
        </xdr:from>
        <xdr:to>
          <xdr:col>2</xdr:col>
          <xdr:colOff>1019175</xdr:colOff>
          <xdr:row>117</xdr:row>
          <xdr:rowOff>38100</xdr:rowOff>
        </xdr:to>
        <xdr:sp macro="" textlink="">
          <xdr:nvSpPr>
            <xdr:cNvPr id="5172" name="cbUseEvenSecond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1524000</xdr:colOff>
          <xdr:row>120</xdr:row>
          <xdr:rowOff>66675</xdr:rowOff>
        </xdr:from>
        <xdr:to>
          <xdr:col>7</xdr:col>
          <xdr:colOff>1647825</xdr:colOff>
          <xdr:row>120</xdr:row>
          <xdr:rowOff>342900</xdr:rowOff>
        </xdr:to>
        <xdr:sp macro="" textlink="">
          <xdr:nvSpPr>
            <xdr:cNvPr id="5173" name="cbApplyPageHeaderFormatting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122</xdr:row>
          <xdr:rowOff>209550</xdr:rowOff>
        </xdr:from>
        <xdr:to>
          <xdr:col>2</xdr:col>
          <xdr:colOff>1019175</xdr:colOff>
          <xdr:row>125</xdr:row>
          <xdr:rowOff>38100</xdr:rowOff>
        </xdr:to>
        <xdr:sp macro="" textlink="">
          <xdr:nvSpPr>
            <xdr:cNvPr id="5174" name="cbUseDefaultPageHeaderFormat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126</xdr:row>
          <xdr:rowOff>0</xdr:rowOff>
        </xdr:from>
        <xdr:to>
          <xdr:col>2</xdr:col>
          <xdr:colOff>1019175</xdr:colOff>
          <xdr:row>127</xdr:row>
          <xdr:rowOff>180975</xdr:rowOff>
        </xdr:to>
        <xdr:sp macro="" textlink="">
          <xdr:nvSpPr>
            <xdr:cNvPr id="5175" name="cbUseDimensionFormatting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128</xdr:row>
          <xdr:rowOff>19050</xdr:rowOff>
        </xdr:from>
        <xdr:to>
          <xdr:col>3</xdr:col>
          <xdr:colOff>4295775</xdr:colOff>
          <xdr:row>129</xdr:row>
          <xdr:rowOff>0</xdr:rowOff>
        </xdr:to>
        <xdr:sp macro="" textlink="">
          <xdr:nvSpPr>
            <xdr:cNvPr id="5176" name="AddDimension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Add Dimension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87</xdr:row>
          <xdr:rowOff>57150</xdr:rowOff>
        </xdr:from>
        <xdr:to>
          <xdr:col>12</xdr:col>
          <xdr:colOff>723900</xdr:colOff>
          <xdr:row>89</xdr:row>
          <xdr:rowOff>0</xdr:rowOff>
        </xdr:to>
        <xdr:sp macro="" textlink="">
          <xdr:nvSpPr>
            <xdr:cNvPr id="5177" name="AddedMember1_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Remove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57150</xdr:rowOff>
        </xdr:from>
        <xdr:to>
          <xdr:col>13</xdr:col>
          <xdr:colOff>723900</xdr:colOff>
          <xdr:row>89</xdr:row>
          <xdr:rowOff>0</xdr:rowOff>
        </xdr:to>
        <xdr:sp macro="" textlink="">
          <xdr:nvSpPr>
            <xdr:cNvPr id="5178" name="ChangeMember1_1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57150</xdr:rowOff>
        </xdr:from>
        <xdr:to>
          <xdr:col>14</xdr:col>
          <xdr:colOff>723900</xdr:colOff>
          <xdr:row>89</xdr:row>
          <xdr:rowOff>0</xdr:rowOff>
        </xdr:to>
        <xdr:sp macro="" textlink="">
          <xdr:nvSpPr>
            <xdr:cNvPr id="5179" name="UpMember1_1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87</xdr:row>
          <xdr:rowOff>57150</xdr:rowOff>
        </xdr:from>
        <xdr:to>
          <xdr:col>15</xdr:col>
          <xdr:colOff>723900</xdr:colOff>
          <xdr:row>89</xdr:row>
          <xdr:rowOff>0</xdr:rowOff>
        </xdr:to>
        <xdr:sp macro="" textlink="">
          <xdr:nvSpPr>
            <xdr:cNvPr id="5180" name="DownMember1_1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0</xdr:rowOff>
        </xdr:from>
        <xdr:to>
          <xdr:col>12</xdr:col>
          <xdr:colOff>714375</xdr:colOff>
          <xdr:row>92</xdr:row>
          <xdr:rowOff>0</xdr:rowOff>
        </xdr:to>
        <xdr:sp macro="" textlink="">
          <xdr:nvSpPr>
            <xdr:cNvPr id="5189" name="AddedMember1_2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Remove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0</xdr:rowOff>
        </xdr:from>
        <xdr:to>
          <xdr:col>13</xdr:col>
          <xdr:colOff>704850</xdr:colOff>
          <xdr:row>92</xdr:row>
          <xdr:rowOff>0</xdr:rowOff>
        </xdr:to>
        <xdr:sp macro="" textlink="">
          <xdr:nvSpPr>
            <xdr:cNvPr id="5190" name="ChangeMember1_2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91</xdr:row>
          <xdr:rowOff>0</xdr:rowOff>
        </xdr:from>
        <xdr:to>
          <xdr:col>14</xdr:col>
          <xdr:colOff>704850</xdr:colOff>
          <xdr:row>92</xdr:row>
          <xdr:rowOff>0</xdr:rowOff>
        </xdr:to>
        <xdr:sp macro="" textlink="">
          <xdr:nvSpPr>
            <xdr:cNvPr id="5191" name="UpMember1_2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733425</xdr:colOff>
          <xdr:row>91</xdr:row>
          <xdr:rowOff>0</xdr:rowOff>
        </xdr:from>
        <xdr:to>
          <xdr:col>15</xdr:col>
          <xdr:colOff>704850</xdr:colOff>
          <xdr:row>92</xdr:row>
          <xdr:rowOff>0</xdr:rowOff>
        </xdr:to>
        <xdr:sp macro="" textlink="">
          <xdr:nvSpPr>
            <xdr:cNvPr id="5192" name="DownMember1_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57150</xdr:rowOff>
        </xdr:from>
        <xdr:to>
          <xdr:col>12</xdr:col>
          <xdr:colOff>714375</xdr:colOff>
          <xdr:row>95</xdr:row>
          <xdr:rowOff>0</xdr:rowOff>
        </xdr:to>
        <xdr:sp macro="" textlink="">
          <xdr:nvSpPr>
            <xdr:cNvPr id="5194" name="AddedMember1_3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Remove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57150</xdr:rowOff>
        </xdr:from>
        <xdr:to>
          <xdr:col>13</xdr:col>
          <xdr:colOff>704850</xdr:colOff>
          <xdr:row>95</xdr:row>
          <xdr:rowOff>0</xdr:rowOff>
        </xdr:to>
        <xdr:sp macro="" textlink="">
          <xdr:nvSpPr>
            <xdr:cNvPr id="5195" name="ChangeMember1_3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Change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93</xdr:row>
          <xdr:rowOff>57150</xdr:rowOff>
        </xdr:from>
        <xdr:to>
          <xdr:col>14</xdr:col>
          <xdr:colOff>704850</xdr:colOff>
          <xdr:row>95</xdr:row>
          <xdr:rowOff>0</xdr:rowOff>
        </xdr:to>
        <xdr:sp macro="" textlink="">
          <xdr:nvSpPr>
            <xdr:cNvPr id="5196" name="UpMember1_3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733425</xdr:colOff>
          <xdr:row>93</xdr:row>
          <xdr:rowOff>57150</xdr:rowOff>
        </xdr:from>
        <xdr:to>
          <xdr:col>15</xdr:col>
          <xdr:colOff>704850</xdr:colOff>
          <xdr:row>95</xdr:row>
          <xdr:rowOff>0</xdr:rowOff>
        </xdr:to>
        <xdr:sp macro="" textlink="">
          <xdr:nvSpPr>
            <xdr:cNvPr id="5197" name="DownMember1_3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Down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981075</xdr:colOff>
          <xdr:row>0</xdr:row>
          <xdr:rowOff>0</xdr:rowOff>
        </xdr:to>
        <xdr:sp macro="" textlink="">
          <xdr:nvSpPr>
            <xdr:cNvPr id="2049" name="FPMExcelClientSheetOptionstb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981075</xdr:colOff>
          <xdr:row>0</xdr:row>
          <xdr:rowOff>0</xdr:rowOff>
        </xdr:to>
        <xdr:sp macro="" textlink="">
          <xdr:nvSpPr>
            <xdr:cNvPr id="2050" name="ConnectionDescriptorsInfotb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981075</xdr:colOff>
          <xdr:row>0</xdr:row>
          <xdr:rowOff>0</xdr:rowOff>
        </xdr:to>
        <xdr:sp macro="" textlink="">
          <xdr:nvSpPr>
            <xdr:cNvPr id="2051" name="MultipleReportManagerInfotb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981075</xdr:colOff>
          <xdr:row>0</xdr:row>
          <xdr:rowOff>0</xdr:rowOff>
        </xdr:to>
        <xdr:sp macro="" textlink="">
          <xdr:nvSpPr>
            <xdr:cNvPr id="2052" name="AnalyzerDynReport000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981075</xdr:colOff>
          <xdr:row>0</xdr:row>
          <xdr:rowOff>0</xdr:rowOff>
        </xdr:to>
        <xdr:sp macro="" textlink="">
          <xdr:nvSpPr>
            <xdr:cNvPr id="2053" name="CustomMemberDispatchertb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219755</xdr:colOff>
      <xdr:row>19</xdr:row>
      <xdr:rowOff>468191</xdr:rowOff>
    </xdr:from>
    <xdr:to>
      <xdr:col>10</xdr:col>
      <xdr:colOff>1765086</xdr:colOff>
      <xdr:row>24</xdr:row>
      <xdr:rowOff>53968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684" y="468191"/>
          <a:ext cx="2570402" cy="819491"/>
        </a:xfrm>
        <a:prstGeom prst="rect">
          <a:avLst/>
        </a:prstGeom>
      </xdr:spPr>
    </xdr:pic>
    <xdr:clientData/>
  </xdr:twoCellAnchor>
  <xdr:twoCellAnchor editAs="absolute">
    <xdr:from>
      <xdr:col>14</xdr:col>
      <xdr:colOff>261766</xdr:colOff>
      <xdr:row>25</xdr:row>
      <xdr:rowOff>230149</xdr:rowOff>
    </xdr:from>
    <xdr:to>
      <xdr:col>14</xdr:col>
      <xdr:colOff>1335746</xdr:colOff>
      <xdr:row>27</xdr:row>
      <xdr:rowOff>31431</xdr:rowOff>
    </xdr:to>
    <xdr:sp macro="[0]!REFRESH1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087954" y="1649507"/>
          <a:ext cx="1073980" cy="36766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133350</xdr:colOff>
          <xdr:row>24</xdr:row>
          <xdr:rowOff>161925</xdr:rowOff>
        </xdr:from>
        <xdr:to>
          <xdr:col>15</xdr:col>
          <xdr:colOff>190500</xdr:colOff>
          <xdr:row>25</xdr:row>
          <xdr:rowOff>133350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942975</xdr:colOff>
          <xdr:row>19</xdr:row>
          <xdr:rowOff>38100</xdr:rowOff>
        </xdr:from>
        <xdr:to>
          <xdr:col>12</xdr:col>
          <xdr:colOff>0</xdr:colOff>
          <xdr:row>19</xdr:row>
          <xdr:rowOff>438150</xdr:rowOff>
        </xdr:to>
        <xdr:sp macro="" textlink="">
          <xdr:nvSpPr>
            <xdr:cNvPr id="2067" name="CheckBox2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2943225</xdr:colOff>
          <xdr:row>19</xdr:row>
          <xdr:rowOff>57150</xdr:rowOff>
        </xdr:from>
        <xdr:to>
          <xdr:col>11</xdr:col>
          <xdr:colOff>971550</xdr:colOff>
          <xdr:row>19</xdr:row>
          <xdr:rowOff>400050</xdr:rowOff>
        </xdr:to>
        <xdr:sp macro="" textlink="">
          <xdr:nvSpPr>
            <xdr:cNvPr id="2068" name="CheckBox3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104775</xdr:colOff>
          <xdr:row>19</xdr:row>
          <xdr:rowOff>371475</xdr:rowOff>
        </xdr:from>
        <xdr:to>
          <xdr:col>15</xdr:col>
          <xdr:colOff>190500</xdr:colOff>
          <xdr:row>20</xdr:row>
          <xdr:rowOff>104775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1514475</xdr:colOff>
          <xdr:row>19</xdr:row>
          <xdr:rowOff>57150</xdr:rowOff>
        </xdr:from>
        <xdr:to>
          <xdr:col>10</xdr:col>
          <xdr:colOff>2743200</xdr:colOff>
          <xdr:row>19</xdr:row>
          <xdr:rowOff>400050</xdr:rowOff>
        </xdr:to>
        <xdr:sp macro="" textlink="">
          <xdr:nvSpPr>
            <xdr:cNvPr id="2073" name="CheckBox1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trlProp" Target="../ctrlProps/ctrlProp5.xml"/><Relationship Id="rId26" Type="http://schemas.openxmlformats.org/officeDocument/2006/relationships/ctrlProp" Target="../ctrlProps/ctrlProp13.xml"/><Relationship Id="rId39" Type="http://schemas.openxmlformats.org/officeDocument/2006/relationships/ctrlProp" Target="../ctrlProps/ctrlProp26.xml"/><Relationship Id="rId21" Type="http://schemas.openxmlformats.org/officeDocument/2006/relationships/ctrlProp" Target="../ctrlProps/ctrlProp8.xml"/><Relationship Id="rId34" Type="http://schemas.openxmlformats.org/officeDocument/2006/relationships/ctrlProp" Target="../ctrlProps/ctrlProp21.xml"/><Relationship Id="rId42" Type="http://schemas.openxmlformats.org/officeDocument/2006/relationships/ctrlProp" Target="../ctrlProps/ctrlProp29.xml"/><Relationship Id="rId47" Type="http://schemas.openxmlformats.org/officeDocument/2006/relationships/ctrlProp" Target="../ctrlProps/ctrlProp34.xml"/><Relationship Id="rId50" Type="http://schemas.openxmlformats.org/officeDocument/2006/relationships/ctrlProp" Target="../ctrlProps/ctrlProp37.xml"/><Relationship Id="rId55" Type="http://schemas.openxmlformats.org/officeDocument/2006/relationships/ctrlProp" Target="../ctrlProps/ctrlProp42.xml"/><Relationship Id="rId63" Type="http://schemas.openxmlformats.org/officeDocument/2006/relationships/ctrlProp" Target="../ctrlProps/ctrlProp50.xml"/><Relationship Id="rId68" Type="http://schemas.openxmlformats.org/officeDocument/2006/relationships/ctrlProp" Target="../ctrlProps/ctrlProp55.xml"/><Relationship Id="rId76" Type="http://schemas.openxmlformats.org/officeDocument/2006/relationships/ctrlProp" Target="../ctrlProps/ctrlProp63.xml"/><Relationship Id="rId7" Type="http://schemas.openxmlformats.org/officeDocument/2006/relationships/image" Target="../media/image1.emf"/><Relationship Id="rId71" Type="http://schemas.openxmlformats.org/officeDocument/2006/relationships/ctrlProp" Target="../ctrlProps/ctrlProp58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3.xml"/><Relationship Id="rId29" Type="http://schemas.openxmlformats.org/officeDocument/2006/relationships/ctrlProp" Target="../ctrlProps/ctrlProp16.xml"/><Relationship Id="rId11" Type="http://schemas.openxmlformats.org/officeDocument/2006/relationships/image" Target="../media/image3.emf"/><Relationship Id="rId24" Type="http://schemas.openxmlformats.org/officeDocument/2006/relationships/ctrlProp" Target="../ctrlProps/ctrlProp11.xml"/><Relationship Id="rId32" Type="http://schemas.openxmlformats.org/officeDocument/2006/relationships/ctrlProp" Target="../ctrlProps/ctrlProp19.xml"/><Relationship Id="rId37" Type="http://schemas.openxmlformats.org/officeDocument/2006/relationships/ctrlProp" Target="../ctrlProps/ctrlProp24.xml"/><Relationship Id="rId40" Type="http://schemas.openxmlformats.org/officeDocument/2006/relationships/ctrlProp" Target="../ctrlProps/ctrlProp27.xml"/><Relationship Id="rId45" Type="http://schemas.openxmlformats.org/officeDocument/2006/relationships/ctrlProp" Target="../ctrlProps/ctrlProp32.xml"/><Relationship Id="rId53" Type="http://schemas.openxmlformats.org/officeDocument/2006/relationships/ctrlProp" Target="../ctrlProps/ctrlProp40.xml"/><Relationship Id="rId58" Type="http://schemas.openxmlformats.org/officeDocument/2006/relationships/ctrlProp" Target="../ctrlProps/ctrlProp45.xml"/><Relationship Id="rId66" Type="http://schemas.openxmlformats.org/officeDocument/2006/relationships/ctrlProp" Target="../ctrlProps/ctrlProp53.xml"/><Relationship Id="rId74" Type="http://schemas.openxmlformats.org/officeDocument/2006/relationships/ctrlProp" Target="../ctrlProps/ctrlProp61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2.xml"/><Relationship Id="rId23" Type="http://schemas.openxmlformats.org/officeDocument/2006/relationships/ctrlProp" Target="../ctrlProps/ctrlProp10.xml"/><Relationship Id="rId28" Type="http://schemas.openxmlformats.org/officeDocument/2006/relationships/ctrlProp" Target="../ctrlProps/ctrlProp15.xml"/><Relationship Id="rId36" Type="http://schemas.openxmlformats.org/officeDocument/2006/relationships/ctrlProp" Target="../ctrlProps/ctrlProp23.xml"/><Relationship Id="rId49" Type="http://schemas.openxmlformats.org/officeDocument/2006/relationships/ctrlProp" Target="../ctrlProps/ctrlProp36.xml"/><Relationship Id="rId57" Type="http://schemas.openxmlformats.org/officeDocument/2006/relationships/ctrlProp" Target="../ctrlProps/ctrlProp44.xml"/><Relationship Id="rId61" Type="http://schemas.openxmlformats.org/officeDocument/2006/relationships/ctrlProp" Target="../ctrlProps/ctrlProp48.xml"/><Relationship Id="rId10" Type="http://schemas.openxmlformats.org/officeDocument/2006/relationships/control" Target="../activeX/activeX3.xml"/><Relationship Id="rId19" Type="http://schemas.openxmlformats.org/officeDocument/2006/relationships/ctrlProp" Target="../ctrlProps/ctrlProp6.xml"/><Relationship Id="rId31" Type="http://schemas.openxmlformats.org/officeDocument/2006/relationships/ctrlProp" Target="../ctrlProps/ctrlProp18.xml"/><Relationship Id="rId44" Type="http://schemas.openxmlformats.org/officeDocument/2006/relationships/ctrlProp" Target="../ctrlProps/ctrlProp31.xml"/><Relationship Id="rId52" Type="http://schemas.openxmlformats.org/officeDocument/2006/relationships/ctrlProp" Target="../ctrlProps/ctrlProp39.xml"/><Relationship Id="rId60" Type="http://schemas.openxmlformats.org/officeDocument/2006/relationships/ctrlProp" Target="../ctrlProps/ctrlProp47.xml"/><Relationship Id="rId65" Type="http://schemas.openxmlformats.org/officeDocument/2006/relationships/ctrlProp" Target="../ctrlProps/ctrlProp52.xml"/><Relationship Id="rId73" Type="http://schemas.openxmlformats.org/officeDocument/2006/relationships/ctrlProp" Target="../ctrlProps/ctrlProp60.xml"/><Relationship Id="rId78" Type="http://schemas.openxmlformats.org/officeDocument/2006/relationships/comments" Target="../comments1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trlProp" Target="../ctrlProps/ctrlProp1.xml"/><Relationship Id="rId22" Type="http://schemas.openxmlformats.org/officeDocument/2006/relationships/ctrlProp" Target="../ctrlProps/ctrlProp9.xml"/><Relationship Id="rId27" Type="http://schemas.openxmlformats.org/officeDocument/2006/relationships/ctrlProp" Target="../ctrlProps/ctrlProp14.xml"/><Relationship Id="rId30" Type="http://schemas.openxmlformats.org/officeDocument/2006/relationships/ctrlProp" Target="../ctrlProps/ctrlProp17.xml"/><Relationship Id="rId35" Type="http://schemas.openxmlformats.org/officeDocument/2006/relationships/ctrlProp" Target="../ctrlProps/ctrlProp22.xml"/><Relationship Id="rId43" Type="http://schemas.openxmlformats.org/officeDocument/2006/relationships/ctrlProp" Target="../ctrlProps/ctrlProp30.xml"/><Relationship Id="rId48" Type="http://schemas.openxmlformats.org/officeDocument/2006/relationships/ctrlProp" Target="../ctrlProps/ctrlProp35.xml"/><Relationship Id="rId56" Type="http://schemas.openxmlformats.org/officeDocument/2006/relationships/ctrlProp" Target="../ctrlProps/ctrlProp43.xml"/><Relationship Id="rId64" Type="http://schemas.openxmlformats.org/officeDocument/2006/relationships/ctrlProp" Target="../ctrlProps/ctrlProp51.xml"/><Relationship Id="rId69" Type="http://schemas.openxmlformats.org/officeDocument/2006/relationships/ctrlProp" Target="../ctrlProps/ctrlProp56.xml"/><Relationship Id="rId77" Type="http://schemas.openxmlformats.org/officeDocument/2006/relationships/ctrlProp" Target="../ctrlProps/ctrlProp64.xml"/><Relationship Id="rId8" Type="http://schemas.openxmlformats.org/officeDocument/2006/relationships/control" Target="../activeX/activeX2.xml"/><Relationship Id="rId51" Type="http://schemas.openxmlformats.org/officeDocument/2006/relationships/ctrlProp" Target="../ctrlProps/ctrlProp38.xml"/><Relationship Id="rId72" Type="http://schemas.openxmlformats.org/officeDocument/2006/relationships/ctrlProp" Target="../ctrlProps/ctrlProp59.xml"/><Relationship Id="rId3" Type="http://schemas.openxmlformats.org/officeDocument/2006/relationships/customProperty" Target="../customProperty2.bin"/><Relationship Id="rId12" Type="http://schemas.openxmlformats.org/officeDocument/2006/relationships/control" Target="../activeX/activeX4.xml"/><Relationship Id="rId17" Type="http://schemas.openxmlformats.org/officeDocument/2006/relationships/ctrlProp" Target="../ctrlProps/ctrlProp4.xml"/><Relationship Id="rId25" Type="http://schemas.openxmlformats.org/officeDocument/2006/relationships/ctrlProp" Target="../ctrlProps/ctrlProp12.xml"/><Relationship Id="rId33" Type="http://schemas.openxmlformats.org/officeDocument/2006/relationships/ctrlProp" Target="../ctrlProps/ctrlProp20.xml"/><Relationship Id="rId38" Type="http://schemas.openxmlformats.org/officeDocument/2006/relationships/ctrlProp" Target="../ctrlProps/ctrlProp25.xml"/><Relationship Id="rId46" Type="http://schemas.openxmlformats.org/officeDocument/2006/relationships/ctrlProp" Target="../ctrlProps/ctrlProp33.xml"/><Relationship Id="rId59" Type="http://schemas.openxmlformats.org/officeDocument/2006/relationships/ctrlProp" Target="../ctrlProps/ctrlProp46.xml"/><Relationship Id="rId67" Type="http://schemas.openxmlformats.org/officeDocument/2006/relationships/ctrlProp" Target="../ctrlProps/ctrlProp54.xml"/><Relationship Id="rId20" Type="http://schemas.openxmlformats.org/officeDocument/2006/relationships/ctrlProp" Target="../ctrlProps/ctrlProp7.xml"/><Relationship Id="rId41" Type="http://schemas.openxmlformats.org/officeDocument/2006/relationships/ctrlProp" Target="../ctrlProps/ctrlProp28.xml"/><Relationship Id="rId54" Type="http://schemas.openxmlformats.org/officeDocument/2006/relationships/ctrlProp" Target="../ctrlProps/ctrlProp41.xml"/><Relationship Id="rId62" Type="http://schemas.openxmlformats.org/officeDocument/2006/relationships/ctrlProp" Target="../ctrlProps/ctrlProp49.xml"/><Relationship Id="rId70" Type="http://schemas.openxmlformats.org/officeDocument/2006/relationships/ctrlProp" Target="../ctrlProps/ctrlProp57.xml"/><Relationship Id="rId75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image" Target="../media/image7.emf"/><Relationship Id="rId18" Type="http://schemas.openxmlformats.org/officeDocument/2006/relationships/control" Target="../activeX/activeX10.xml"/><Relationship Id="rId3" Type="http://schemas.openxmlformats.org/officeDocument/2006/relationships/customProperty" Target="../customProperty4.bin"/><Relationship Id="rId21" Type="http://schemas.openxmlformats.org/officeDocument/2006/relationships/image" Target="../media/image11.emf"/><Relationship Id="rId7" Type="http://schemas.openxmlformats.org/officeDocument/2006/relationships/vmlDrawing" Target="../drawings/vmlDrawing2.vml"/><Relationship Id="rId12" Type="http://schemas.openxmlformats.org/officeDocument/2006/relationships/control" Target="../activeX/activeX7.xml"/><Relationship Id="rId17" Type="http://schemas.openxmlformats.org/officeDocument/2006/relationships/image" Target="../media/image9.emf"/><Relationship Id="rId25" Type="http://schemas.openxmlformats.org/officeDocument/2006/relationships/ctrlProp" Target="../ctrlProps/ctrlProp66.xml"/><Relationship Id="rId2" Type="http://schemas.openxmlformats.org/officeDocument/2006/relationships/customProperty" Target="../customProperty3.bin"/><Relationship Id="rId16" Type="http://schemas.openxmlformats.org/officeDocument/2006/relationships/control" Target="../activeX/activeX9.xml"/><Relationship Id="rId20" Type="http://schemas.openxmlformats.org/officeDocument/2006/relationships/control" Target="../activeX/activeX11.xml"/><Relationship Id="rId1" Type="http://schemas.openxmlformats.org/officeDocument/2006/relationships/printerSettings" Target="../printerSettings/printerSettings2.bin"/><Relationship Id="rId6" Type="http://schemas.openxmlformats.org/officeDocument/2006/relationships/drawing" Target="../drawings/drawing2.xml"/><Relationship Id="rId11" Type="http://schemas.openxmlformats.org/officeDocument/2006/relationships/image" Target="../media/image6.emf"/><Relationship Id="rId24" Type="http://schemas.openxmlformats.org/officeDocument/2006/relationships/ctrlProp" Target="../ctrlProps/ctrlProp65.xml"/><Relationship Id="rId5" Type="http://schemas.openxmlformats.org/officeDocument/2006/relationships/customProperty" Target="../customProperty6.bin"/><Relationship Id="rId15" Type="http://schemas.openxmlformats.org/officeDocument/2006/relationships/image" Target="../media/image8.emf"/><Relationship Id="rId23" Type="http://schemas.openxmlformats.org/officeDocument/2006/relationships/image" Target="../media/image12.emf"/><Relationship Id="rId10" Type="http://schemas.openxmlformats.org/officeDocument/2006/relationships/control" Target="../activeX/activeX6.xml"/><Relationship Id="rId19" Type="http://schemas.openxmlformats.org/officeDocument/2006/relationships/image" Target="../media/image10.emf"/><Relationship Id="rId4" Type="http://schemas.openxmlformats.org/officeDocument/2006/relationships/customProperty" Target="../customProperty5.bin"/><Relationship Id="rId9" Type="http://schemas.openxmlformats.org/officeDocument/2006/relationships/image" Target="../media/image5.emf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142"/>
  <sheetViews>
    <sheetView showGridLines="0" topLeftCell="D79" zoomScale="145" zoomScaleNormal="145" workbookViewId="0">
      <selection activeCell="F92" sqref="F92"/>
    </sheetView>
  </sheetViews>
  <sheetFormatPr defaultColWidth="9.28515625" defaultRowHeight="14.25" x14ac:dyDescent="0.2"/>
  <cols>
    <col min="1" max="1" width="1.7109375" style="24" customWidth="1"/>
    <col min="2" max="2" width="12.7109375" style="24" customWidth="1"/>
    <col min="3" max="3" width="15.7109375" style="24" customWidth="1"/>
    <col min="4" max="4" width="64.7109375" style="24" customWidth="1"/>
    <col min="5" max="5" width="3.28515625" style="24" customWidth="1"/>
    <col min="6" max="6" width="14.28515625" style="24" customWidth="1"/>
    <col min="7" max="7" width="3.28515625" style="24" customWidth="1"/>
    <col min="8" max="8" width="30.7109375" style="24" customWidth="1"/>
    <col min="9" max="9" width="3.28515625" style="24" customWidth="1"/>
    <col min="10" max="10" width="14.28515625" style="24" customWidth="1"/>
    <col min="11" max="11" width="3.28515625" style="24" customWidth="1"/>
    <col min="12" max="12" width="36.7109375" style="24" customWidth="1"/>
    <col min="13" max="16" width="10.7109375" style="24" customWidth="1"/>
    <col min="17" max="17" width="90.7109375" style="24" customWidth="1"/>
    <col min="18" max="27" width="9.28515625" style="24"/>
    <col min="28" max="28" width="21.28515625" style="24" bestFit="1" customWidth="1"/>
    <col min="29" max="16384" width="9.28515625" style="24"/>
  </cols>
  <sheetData>
    <row r="1" spans="1:28" ht="42" customHeight="1" x14ac:dyDescent="0.2">
      <c r="A1" s="25"/>
      <c r="B1" s="151" t="s">
        <v>25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AA1" s="23">
        <v>1</v>
      </c>
      <c r="AB1" s="23" t="b">
        <v>0</v>
      </c>
    </row>
    <row r="2" spans="1:28" ht="15.75" customHeight="1" x14ac:dyDescent="0.2">
      <c r="A2" s="48" t="s">
        <v>55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8" ht="15.75" customHeight="1" x14ac:dyDescent="0.2">
      <c r="A3" s="25"/>
      <c r="B3" s="26" t="s">
        <v>26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8" ht="18" customHeight="1" thickBo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8" ht="28.35" customHeight="1" x14ac:dyDescent="0.2">
      <c r="A5" s="25"/>
      <c r="B5" s="152" t="s">
        <v>27</v>
      </c>
      <c r="C5" s="153"/>
      <c r="D5" s="153"/>
      <c r="E5" s="153"/>
      <c r="F5" s="153"/>
      <c r="G5" s="153"/>
      <c r="H5" s="153"/>
      <c r="I5" s="153"/>
      <c r="J5" s="153"/>
      <c r="K5" s="153"/>
      <c r="L5" s="154"/>
      <c r="Q5" s="43" t="s">
        <v>50</v>
      </c>
    </row>
    <row r="6" spans="1:28" ht="28.35" customHeight="1" x14ac:dyDescent="0.2">
      <c r="A6" s="25"/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57"/>
      <c r="Q6" s="44" t="s">
        <v>51</v>
      </c>
    </row>
    <row r="7" spans="1:28" ht="21.75" customHeight="1" x14ac:dyDescent="0.2">
      <c r="A7" s="25"/>
      <c r="B7" s="143" t="s">
        <v>31</v>
      </c>
      <c r="C7" s="25"/>
      <c r="D7" s="25"/>
      <c r="E7" s="25"/>
      <c r="F7" s="25"/>
      <c r="G7" s="25"/>
      <c r="H7" s="25"/>
      <c r="I7" s="25"/>
      <c r="J7" s="25"/>
      <c r="K7" s="25"/>
      <c r="L7" s="30"/>
      <c r="Q7" s="149" t="s">
        <v>53</v>
      </c>
    </row>
    <row r="8" spans="1:28" ht="18" customHeight="1" x14ac:dyDescent="0.2">
      <c r="A8" s="25"/>
      <c r="B8" s="144"/>
      <c r="C8" s="25"/>
      <c r="D8" s="25"/>
      <c r="E8" s="25"/>
      <c r="F8" s="25"/>
      <c r="G8" s="25"/>
      <c r="H8" s="25"/>
      <c r="I8" s="25"/>
      <c r="J8" s="25"/>
      <c r="K8" s="25"/>
      <c r="L8" s="30"/>
      <c r="Q8" s="149"/>
    </row>
    <row r="9" spans="1:28" ht="17.100000000000001" customHeight="1" x14ac:dyDescent="0.2">
      <c r="A9" s="25"/>
      <c r="B9" s="144"/>
      <c r="C9" s="99"/>
      <c r="D9" s="96"/>
      <c r="E9" s="126" t="s">
        <v>28</v>
      </c>
      <c r="F9" s="127"/>
      <c r="G9" s="128"/>
      <c r="H9" s="27" t="s">
        <v>29</v>
      </c>
      <c r="I9" s="126" t="s">
        <v>30</v>
      </c>
      <c r="J9" s="127"/>
      <c r="K9" s="128"/>
      <c r="L9" s="31" t="s">
        <v>29</v>
      </c>
      <c r="Q9" s="149"/>
    </row>
    <row r="10" spans="1:28" ht="5.0999999999999996" customHeight="1" x14ac:dyDescent="0.2">
      <c r="A10" s="25"/>
      <c r="B10" s="144"/>
      <c r="C10" s="129"/>
      <c r="D10" s="25"/>
      <c r="E10" s="32"/>
      <c r="F10" s="32"/>
      <c r="G10" s="32"/>
      <c r="H10" s="28"/>
      <c r="I10" s="32"/>
      <c r="J10" s="32"/>
      <c r="K10" s="32"/>
      <c r="L10" s="30"/>
      <c r="Q10" s="149"/>
    </row>
    <row r="11" spans="1:28" ht="15.75" customHeight="1" x14ac:dyDescent="0.2">
      <c r="A11" s="25"/>
      <c r="B11" s="144"/>
      <c r="C11" s="130"/>
      <c r="D11" s="91" t="s">
        <v>32</v>
      </c>
      <c r="E11" s="32"/>
      <c r="F11" s="112">
        <v>-15.05</v>
      </c>
      <c r="G11" s="32"/>
      <c r="H11" s="93" t="s">
        <v>33</v>
      </c>
      <c r="I11" s="32"/>
      <c r="J11" s="100">
        <v>1001</v>
      </c>
      <c r="K11" s="32"/>
      <c r="L11" s="33" t="s">
        <v>33</v>
      </c>
      <c r="Q11" s="149"/>
    </row>
    <row r="12" spans="1:28" ht="5.0999999999999996" customHeight="1" x14ac:dyDescent="0.2">
      <c r="A12" s="25"/>
      <c r="B12" s="144"/>
      <c r="C12" s="131"/>
      <c r="D12" s="101"/>
      <c r="E12" s="66"/>
      <c r="F12" s="66"/>
      <c r="G12" s="66"/>
      <c r="H12" s="96"/>
      <c r="I12" s="66"/>
      <c r="J12" s="66"/>
      <c r="K12" s="66"/>
      <c r="L12" s="97"/>
      <c r="Q12" s="149"/>
    </row>
    <row r="13" spans="1:28" ht="5.0999999999999996" customHeight="1" x14ac:dyDescent="0.2">
      <c r="A13" s="25"/>
      <c r="B13" s="144"/>
      <c r="C13" s="130"/>
      <c r="D13" s="25"/>
      <c r="E13" s="32"/>
      <c r="F13" s="32"/>
      <c r="G13" s="32"/>
      <c r="H13" s="29"/>
      <c r="I13" s="32"/>
      <c r="J13" s="32"/>
      <c r="K13" s="32"/>
      <c r="L13" s="30"/>
      <c r="Q13" s="149"/>
    </row>
    <row r="14" spans="1:28" ht="15.75" customHeight="1" x14ac:dyDescent="0.2">
      <c r="A14" s="25"/>
      <c r="B14" s="144"/>
      <c r="C14" s="130"/>
      <c r="D14" s="91" t="s">
        <v>35</v>
      </c>
      <c r="E14" s="32"/>
      <c r="F14" s="105">
        <v>-15.7</v>
      </c>
      <c r="G14" s="32"/>
      <c r="H14" s="93" t="s">
        <v>33</v>
      </c>
      <c r="I14" s="32"/>
      <c r="J14" s="102" t="s">
        <v>95</v>
      </c>
      <c r="K14" s="32"/>
      <c r="L14" s="33" t="s">
        <v>33</v>
      </c>
      <c r="Q14" s="149"/>
    </row>
    <row r="15" spans="1:28" ht="5.0999999999999996" customHeight="1" x14ac:dyDescent="0.2">
      <c r="A15" s="25"/>
      <c r="B15" s="144"/>
      <c r="C15" s="131"/>
      <c r="D15" s="101"/>
      <c r="E15" s="66"/>
      <c r="F15" s="66"/>
      <c r="G15" s="66"/>
      <c r="H15" s="96"/>
      <c r="I15" s="66"/>
      <c r="J15" s="66"/>
      <c r="K15" s="66"/>
      <c r="L15" s="97"/>
      <c r="Q15" s="149"/>
    </row>
    <row r="16" spans="1:28" ht="11.1" customHeight="1" x14ac:dyDescent="0.2">
      <c r="A16" s="25"/>
      <c r="B16" s="144"/>
      <c r="C16" s="130"/>
      <c r="D16" s="150" t="s">
        <v>36</v>
      </c>
      <c r="E16" s="32"/>
      <c r="F16" s="32"/>
      <c r="G16" s="32"/>
      <c r="H16" s="29"/>
      <c r="I16" s="32"/>
      <c r="J16" s="32"/>
      <c r="K16" s="32"/>
      <c r="L16" s="30"/>
      <c r="Q16" s="149"/>
    </row>
    <row r="17" spans="1:17" ht="11.1" customHeight="1" x14ac:dyDescent="0.2">
      <c r="A17" s="25"/>
      <c r="B17" s="144"/>
      <c r="C17" s="130"/>
      <c r="D17" s="150"/>
      <c r="E17" s="32"/>
      <c r="F17" s="32"/>
      <c r="G17" s="32"/>
      <c r="H17" s="29"/>
      <c r="I17" s="32"/>
      <c r="J17" s="32"/>
      <c r="K17" s="32"/>
      <c r="L17" s="30"/>
      <c r="Q17" s="149"/>
    </row>
    <row r="18" spans="1:17" ht="15.75" customHeight="1" x14ac:dyDescent="0.2">
      <c r="A18" s="25"/>
      <c r="B18" s="144"/>
      <c r="C18" s="90"/>
      <c r="D18" s="34" t="str">
        <f>IF(AA1=2, "Level 1", IF(AB1=TRUE, IF(A20-1=0, "Lowest Level","Lowest Level -"&amp;(A20-1)), "Level 1"))</f>
        <v>Level 1</v>
      </c>
      <c r="E18" s="32"/>
      <c r="F18" s="74">
        <v>10000</v>
      </c>
      <c r="G18" s="32"/>
      <c r="H18" s="93" t="s">
        <v>33</v>
      </c>
      <c r="I18" s="32"/>
      <c r="J18" s="79" t="s">
        <v>78</v>
      </c>
      <c r="K18" s="32"/>
      <c r="L18" s="33" t="s">
        <v>33</v>
      </c>
      <c r="Q18" s="149"/>
    </row>
    <row r="19" spans="1:17" ht="5.0999999999999996" customHeight="1" x14ac:dyDescent="0.2">
      <c r="A19" s="25"/>
      <c r="B19" s="144"/>
      <c r="C19" s="90"/>
      <c r="D19" s="101"/>
      <c r="E19" s="66"/>
      <c r="F19" s="66"/>
      <c r="G19" s="66"/>
      <c r="H19" s="96"/>
      <c r="I19" s="66"/>
      <c r="J19" s="66"/>
      <c r="K19" s="66"/>
      <c r="L19" s="97"/>
      <c r="Q19" s="149"/>
    </row>
    <row r="20" spans="1:17" ht="22.15" customHeight="1" x14ac:dyDescent="0.2">
      <c r="A20" s="25">
        <v>1</v>
      </c>
      <c r="B20" s="144"/>
      <c r="C20" s="90"/>
      <c r="D20" s="25"/>
      <c r="E20" s="25"/>
      <c r="F20" s="25"/>
      <c r="G20" s="25"/>
      <c r="H20" s="25"/>
      <c r="I20" s="25"/>
      <c r="J20" s="25"/>
      <c r="K20" s="25"/>
      <c r="L20" s="30"/>
      <c r="Q20" s="149"/>
    </row>
    <row r="21" spans="1:17" ht="5.0999999999999996" customHeight="1" thickBot="1" x14ac:dyDescent="0.25">
      <c r="A21" s="25"/>
      <c r="B21" s="146"/>
      <c r="C21" s="94"/>
      <c r="D21" s="37"/>
      <c r="E21" s="37"/>
      <c r="F21" s="37"/>
      <c r="G21" s="37"/>
      <c r="H21" s="37"/>
      <c r="I21" s="37"/>
      <c r="J21" s="37"/>
      <c r="K21" s="37"/>
      <c r="L21" s="38"/>
      <c r="Q21" s="149"/>
    </row>
    <row r="22" spans="1:17" ht="21.75" customHeight="1" x14ac:dyDescent="0.2">
      <c r="A22" s="25"/>
      <c r="B22" s="148" t="s">
        <v>37</v>
      </c>
      <c r="C22" s="39"/>
      <c r="D22" s="39"/>
      <c r="E22" s="39"/>
      <c r="F22" s="39"/>
      <c r="G22" s="39"/>
      <c r="H22" s="39"/>
      <c r="I22" s="39"/>
      <c r="J22" s="39"/>
      <c r="K22" s="39"/>
      <c r="L22" s="40"/>
      <c r="Q22" s="149"/>
    </row>
    <row r="23" spans="1:17" ht="18" customHeight="1" x14ac:dyDescent="0.2">
      <c r="A23" s="25"/>
      <c r="B23" s="144"/>
      <c r="C23" s="25"/>
      <c r="D23" s="25"/>
      <c r="E23" s="25"/>
      <c r="F23" s="25"/>
      <c r="G23" s="25"/>
      <c r="H23" s="25"/>
      <c r="I23" s="25"/>
      <c r="J23" s="25"/>
      <c r="K23" s="25"/>
      <c r="L23" s="30"/>
      <c r="Q23" s="149"/>
    </row>
    <row r="24" spans="1:17" ht="17.100000000000001" customHeight="1" x14ac:dyDescent="0.25">
      <c r="A24" s="25"/>
      <c r="B24" s="144"/>
      <c r="C24" s="99"/>
      <c r="D24" s="96"/>
      <c r="E24" s="126" t="s">
        <v>28</v>
      </c>
      <c r="F24" s="127"/>
      <c r="G24" s="128"/>
      <c r="H24" s="27" t="s">
        <v>29</v>
      </c>
      <c r="I24" s="126" t="s">
        <v>30</v>
      </c>
      <c r="J24" s="127"/>
      <c r="K24" s="128"/>
      <c r="L24" s="31" t="s">
        <v>29</v>
      </c>
      <c r="Q24" s="45"/>
    </row>
    <row r="25" spans="1:17" ht="5.0999999999999996" customHeight="1" thickBot="1" x14ac:dyDescent="0.3">
      <c r="A25" s="25"/>
      <c r="B25" s="144"/>
      <c r="C25" s="129"/>
      <c r="D25" s="25"/>
      <c r="E25" s="32"/>
      <c r="F25" s="32"/>
      <c r="G25" s="32"/>
      <c r="H25" s="28"/>
      <c r="I25" s="32"/>
      <c r="J25" s="32"/>
      <c r="K25" s="32"/>
      <c r="L25" s="30"/>
      <c r="Q25" s="45"/>
    </row>
    <row r="26" spans="1:17" ht="15.75" customHeight="1" thickBot="1" x14ac:dyDescent="0.25">
      <c r="A26" s="25"/>
      <c r="B26" s="144"/>
      <c r="C26" s="130"/>
      <c r="D26" s="91" t="s">
        <v>32</v>
      </c>
      <c r="E26" s="32"/>
      <c r="F26" s="16">
        <v>10000</v>
      </c>
      <c r="G26" s="32"/>
      <c r="H26" s="93" t="s">
        <v>33</v>
      </c>
      <c r="I26" s="32"/>
      <c r="J26" s="49" t="s">
        <v>34</v>
      </c>
      <c r="K26" s="32"/>
      <c r="L26" s="33" t="s">
        <v>33</v>
      </c>
      <c r="Q26" s="46" t="s">
        <v>52</v>
      </c>
    </row>
    <row r="27" spans="1:17" ht="5.0999999999999996" customHeight="1" x14ac:dyDescent="0.2">
      <c r="A27" s="25"/>
      <c r="B27" s="144"/>
      <c r="C27" s="131"/>
      <c r="D27" s="101"/>
      <c r="E27" s="66"/>
      <c r="F27" s="66"/>
      <c r="G27" s="66"/>
      <c r="H27" s="96"/>
      <c r="I27" s="66"/>
      <c r="J27" s="66"/>
      <c r="K27" s="66"/>
      <c r="L27" s="97"/>
      <c r="Q27" s="149" t="s">
        <v>54</v>
      </c>
    </row>
    <row r="28" spans="1:17" ht="5.0999999999999996" customHeight="1" thickBot="1" x14ac:dyDescent="0.25">
      <c r="A28" s="25"/>
      <c r="B28" s="144"/>
      <c r="C28" s="130"/>
      <c r="D28" s="25"/>
      <c r="E28" s="32"/>
      <c r="F28" s="32"/>
      <c r="G28" s="32"/>
      <c r="H28" s="29"/>
      <c r="I28" s="32"/>
      <c r="J28" s="32"/>
      <c r="K28" s="32"/>
      <c r="L28" s="30"/>
      <c r="Q28" s="149"/>
    </row>
    <row r="29" spans="1:17" ht="15.75" customHeight="1" thickBot="1" x14ac:dyDescent="0.25">
      <c r="A29" s="25"/>
      <c r="B29" s="144"/>
      <c r="C29" s="130"/>
      <c r="D29" s="91" t="s">
        <v>35</v>
      </c>
      <c r="E29" s="32"/>
      <c r="F29" s="16">
        <v>10000</v>
      </c>
      <c r="G29" s="32"/>
      <c r="H29" s="93" t="s">
        <v>33</v>
      </c>
      <c r="I29" s="32"/>
      <c r="J29" s="49" t="s">
        <v>34</v>
      </c>
      <c r="K29" s="32"/>
      <c r="L29" s="33" t="s">
        <v>33</v>
      </c>
      <c r="Q29" s="149"/>
    </row>
    <row r="30" spans="1:17" ht="5.0999999999999996" customHeight="1" x14ac:dyDescent="0.2">
      <c r="A30" s="25"/>
      <c r="B30" s="144"/>
      <c r="C30" s="131"/>
      <c r="D30" s="101"/>
      <c r="E30" s="66"/>
      <c r="F30" s="66"/>
      <c r="G30" s="66"/>
      <c r="H30" s="96"/>
      <c r="I30" s="66"/>
      <c r="J30" s="66"/>
      <c r="K30" s="66"/>
      <c r="L30" s="97"/>
      <c r="Q30" s="149"/>
    </row>
    <row r="31" spans="1:17" ht="11.1" customHeight="1" x14ac:dyDescent="0.2">
      <c r="A31" s="25"/>
      <c r="B31" s="144"/>
      <c r="C31" s="130"/>
      <c r="D31" s="150" t="s">
        <v>36</v>
      </c>
      <c r="E31" s="32"/>
      <c r="F31" s="32"/>
      <c r="G31" s="32"/>
      <c r="H31" s="29"/>
      <c r="I31" s="32"/>
      <c r="J31" s="32"/>
      <c r="K31" s="32"/>
      <c r="L31" s="30"/>
      <c r="Q31" s="149"/>
    </row>
    <row r="32" spans="1:17" ht="11.1" customHeight="1" thickBot="1" x14ac:dyDescent="0.25">
      <c r="A32" s="25"/>
      <c r="B32" s="144"/>
      <c r="C32" s="130"/>
      <c r="D32" s="150"/>
      <c r="E32" s="32"/>
      <c r="F32" s="32"/>
      <c r="G32" s="32"/>
      <c r="H32" s="29"/>
      <c r="I32" s="32"/>
      <c r="J32" s="32"/>
      <c r="K32" s="32"/>
      <c r="L32" s="30"/>
      <c r="Q32" s="149"/>
    </row>
    <row r="33" spans="1:17" ht="15.75" customHeight="1" thickBot="1" x14ac:dyDescent="0.25">
      <c r="A33" s="25"/>
      <c r="B33" s="144"/>
      <c r="C33" s="90"/>
      <c r="D33" s="34" t="str">
        <f>IF(AA1=2, "Level 1", IF(AB1=TRUE, IF(A41-1=0, "Lowest Level","Lowest Level -"&amp;(A41-1)), "Level 1"))</f>
        <v>Level 1</v>
      </c>
      <c r="E33" s="32"/>
      <c r="F33" s="16">
        <v>10000</v>
      </c>
      <c r="G33" s="32"/>
      <c r="H33" s="93" t="s">
        <v>33</v>
      </c>
      <c r="I33" s="32"/>
      <c r="J33" s="49" t="s">
        <v>34</v>
      </c>
      <c r="K33" s="32"/>
      <c r="L33" s="33" t="s">
        <v>33</v>
      </c>
      <c r="Q33" s="149"/>
    </row>
    <row r="34" spans="1:17" ht="5.0999999999999996" customHeight="1" x14ac:dyDescent="0.25">
      <c r="A34" s="25"/>
      <c r="B34" s="144"/>
      <c r="C34" s="90"/>
      <c r="D34" s="101"/>
      <c r="E34" s="66"/>
      <c r="F34" s="66"/>
      <c r="G34" s="66"/>
      <c r="H34" s="96"/>
      <c r="I34" s="66"/>
      <c r="J34" s="66"/>
      <c r="K34" s="66"/>
      <c r="L34" s="97"/>
      <c r="Q34" s="47"/>
    </row>
    <row r="35" spans="1:17" ht="5.0999999999999996" customHeight="1" thickBot="1" x14ac:dyDescent="0.25">
      <c r="A35" s="25"/>
      <c r="B35" s="144"/>
      <c r="C35" s="90"/>
      <c r="D35" s="25"/>
      <c r="E35" s="32"/>
      <c r="F35" s="32"/>
      <c r="G35" s="32"/>
      <c r="H35" s="29"/>
      <c r="I35" s="32"/>
      <c r="J35" s="32"/>
      <c r="K35" s="32"/>
      <c r="L35" s="30"/>
    </row>
    <row r="36" spans="1:17" ht="15.75" customHeight="1" thickBot="1" x14ac:dyDescent="0.25">
      <c r="A36" s="25"/>
      <c r="B36" s="144"/>
      <c r="C36" s="90"/>
      <c r="D36" s="35" t="str">
        <f>IF(AA1=2, "Level 2", IF(AB1=TRUE, IF(A41-2=0, "Lowest Level","Lowest Level -"&amp;(A41-2)), "Level 2"))</f>
        <v>Level 2</v>
      </c>
      <c r="E36" s="32"/>
      <c r="F36" s="16">
        <v>10000</v>
      </c>
      <c r="G36" s="32"/>
      <c r="H36" s="93" t="s">
        <v>33</v>
      </c>
      <c r="I36" s="32"/>
      <c r="J36" s="49" t="s">
        <v>34</v>
      </c>
      <c r="K36" s="32"/>
      <c r="L36" s="33" t="s">
        <v>33</v>
      </c>
    </row>
    <row r="37" spans="1:17" ht="5.0999999999999996" customHeight="1" x14ac:dyDescent="0.2">
      <c r="A37" s="25"/>
      <c r="B37" s="144"/>
      <c r="C37" s="90"/>
      <c r="D37" s="101"/>
      <c r="E37" s="66"/>
      <c r="F37" s="66"/>
      <c r="G37" s="66"/>
      <c r="H37" s="96"/>
      <c r="I37" s="66"/>
      <c r="J37" s="66"/>
      <c r="K37" s="66"/>
      <c r="L37" s="97"/>
    </row>
    <row r="38" spans="1:17" ht="5.0999999999999996" customHeight="1" thickBot="1" x14ac:dyDescent="0.25">
      <c r="A38" s="25"/>
      <c r="B38" s="144"/>
      <c r="C38" s="90"/>
      <c r="D38" s="25"/>
      <c r="E38" s="32"/>
      <c r="F38" s="32"/>
      <c r="G38" s="32"/>
      <c r="H38" s="29"/>
      <c r="I38" s="32"/>
      <c r="J38" s="32"/>
      <c r="K38" s="32"/>
      <c r="L38" s="30"/>
    </row>
    <row r="39" spans="1:17" ht="15.75" customHeight="1" thickBot="1" x14ac:dyDescent="0.25">
      <c r="A39" s="25"/>
      <c r="B39" s="144"/>
      <c r="C39" s="90"/>
      <c r="D39" s="36" t="str">
        <f>IF(AA1=2, "Level 3", IF(AB1=TRUE, IF(A41-3=0, "Lowest Level","Lowest Level -"&amp;(A41-3)), "Level 3"))</f>
        <v>Level 3</v>
      </c>
      <c r="E39" s="32"/>
      <c r="F39" s="16">
        <v>10000</v>
      </c>
      <c r="G39" s="32"/>
      <c r="H39" s="93" t="s">
        <v>33</v>
      </c>
      <c r="I39" s="32"/>
      <c r="J39" s="49" t="s">
        <v>34</v>
      </c>
      <c r="K39" s="32"/>
      <c r="L39" s="33" t="s">
        <v>33</v>
      </c>
    </row>
    <row r="40" spans="1:17" ht="5.0999999999999996" customHeight="1" x14ac:dyDescent="0.2">
      <c r="A40" s="25"/>
      <c r="B40" s="144"/>
      <c r="C40" s="90"/>
      <c r="D40" s="101"/>
      <c r="E40" s="66"/>
      <c r="F40" s="66"/>
      <c r="G40" s="66"/>
      <c r="H40" s="96"/>
      <c r="I40" s="66"/>
      <c r="J40" s="66"/>
      <c r="K40" s="66"/>
      <c r="L40" s="97"/>
    </row>
    <row r="41" spans="1:17" ht="22.15" customHeight="1" x14ac:dyDescent="0.2">
      <c r="A41" s="25">
        <v>3</v>
      </c>
      <c r="B41" s="144"/>
      <c r="C41" s="90"/>
      <c r="D41" s="25"/>
      <c r="E41" s="25"/>
      <c r="F41" s="25"/>
      <c r="G41" s="25"/>
      <c r="H41" s="25"/>
      <c r="I41" s="25"/>
      <c r="J41" s="25"/>
      <c r="K41" s="25"/>
      <c r="L41" s="30"/>
    </row>
    <row r="42" spans="1:17" ht="5.0999999999999996" customHeight="1" thickBot="1" x14ac:dyDescent="0.25">
      <c r="A42" s="25"/>
      <c r="B42" s="146"/>
      <c r="C42" s="94"/>
      <c r="D42" s="37"/>
      <c r="E42" s="37"/>
      <c r="F42" s="37"/>
      <c r="G42" s="37"/>
      <c r="H42" s="37"/>
      <c r="I42" s="37"/>
      <c r="J42" s="37"/>
      <c r="K42" s="37"/>
      <c r="L42" s="38"/>
    </row>
    <row r="43" spans="1:17" ht="9" customHeight="1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7" ht="24.6" customHeight="1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7" ht="15" customHeight="1" thickBot="1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7" ht="28.35" customHeight="1" x14ac:dyDescent="0.2">
      <c r="A46" s="25"/>
      <c r="B46" s="137" t="s">
        <v>38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9"/>
    </row>
    <row r="47" spans="1:17" ht="28.35" customHeight="1" thickBot="1" x14ac:dyDescent="0.25">
      <c r="A47" s="25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2"/>
    </row>
    <row r="48" spans="1:17" ht="16.149999999999999" customHeight="1" x14ac:dyDescent="0.2">
      <c r="A48" s="25"/>
      <c r="B48" s="148" t="s">
        <v>37</v>
      </c>
      <c r="C48" s="39"/>
      <c r="D48" s="39"/>
      <c r="E48" s="39"/>
      <c r="F48" s="39"/>
      <c r="G48" s="39"/>
      <c r="H48" s="39"/>
      <c r="I48" s="39"/>
      <c r="J48" s="39"/>
      <c r="K48" s="39"/>
      <c r="L48" s="40"/>
    </row>
    <row r="49" spans="1:12" ht="18" customHeight="1" x14ac:dyDescent="0.2">
      <c r="A49" s="25"/>
      <c r="B49" s="144"/>
      <c r="C49" s="99"/>
      <c r="D49" s="96"/>
      <c r="E49" s="126" t="s">
        <v>28</v>
      </c>
      <c r="F49" s="127"/>
      <c r="G49" s="128"/>
      <c r="H49" s="27" t="s">
        <v>29</v>
      </c>
      <c r="I49" s="126" t="s">
        <v>30</v>
      </c>
      <c r="J49" s="127"/>
      <c r="K49" s="128"/>
      <c r="L49" s="31" t="s">
        <v>29</v>
      </c>
    </row>
    <row r="50" spans="1:12" ht="4.9000000000000004" customHeight="1" thickBot="1" x14ac:dyDescent="0.25">
      <c r="A50" s="25"/>
      <c r="B50" s="144"/>
      <c r="C50" s="129"/>
      <c r="D50" s="25"/>
      <c r="E50" s="32"/>
      <c r="F50" s="32"/>
      <c r="G50" s="32"/>
      <c r="H50" s="28"/>
      <c r="I50" s="32"/>
      <c r="J50" s="32"/>
      <c r="K50" s="32"/>
      <c r="L50" s="30"/>
    </row>
    <row r="51" spans="1:12" ht="16.149999999999999" customHeight="1" thickBot="1" x14ac:dyDescent="0.25">
      <c r="A51" s="25"/>
      <c r="B51" s="144"/>
      <c r="C51" s="130"/>
      <c r="D51" s="91" t="s">
        <v>39</v>
      </c>
      <c r="E51" s="32"/>
      <c r="F51" s="16">
        <v>10000</v>
      </c>
      <c r="G51" s="32"/>
      <c r="H51" s="93" t="s">
        <v>33</v>
      </c>
      <c r="I51" s="32"/>
      <c r="J51" s="49" t="s">
        <v>34</v>
      </c>
      <c r="K51" s="32"/>
      <c r="L51" s="33" t="s">
        <v>33</v>
      </c>
    </row>
    <row r="52" spans="1:12" ht="4.9000000000000004" customHeight="1" x14ac:dyDescent="0.2">
      <c r="A52" s="25"/>
      <c r="B52" s="144"/>
      <c r="C52" s="131"/>
      <c r="D52" s="101"/>
      <c r="E52" s="66"/>
      <c r="F52" s="66"/>
      <c r="G52" s="66"/>
      <c r="H52" s="96"/>
      <c r="I52" s="66"/>
      <c r="J52" s="66"/>
      <c r="K52" s="66"/>
      <c r="L52" s="97"/>
    </row>
    <row r="53" spans="1:12" ht="4.9000000000000004" customHeight="1" thickBot="1" x14ac:dyDescent="0.25">
      <c r="A53" s="25"/>
      <c r="B53" s="144"/>
      <c r="C53" s="130"/>
      <c r="D53" s="25"/>
      <c r="E53" s="32"/>
      <c r="F53" s="32"/>
      <c r="G53" s="32"/>
      <c r="H53" s="29"/>
      <c r="I53" s="32"/>
      <c r="J53" s="32"/>
      <c r="K53" s="32"/>
      <c r="L53" s="30"/>
    </row>
    <row r="54" spans="1:12" ht="16.149999999999999" customHeight="1" thickBot="1" x14ac:dyDescent="0.25">
      <c r="A54" s="25"/>
      <c r="B54" s="144"/>
      <c r="C54" s="130"/>
      <c r="D54" s="91" t="s">
        <v>40</v>
      </c>
      <c r="E54" s="32"/>
      <c r="F54" s="16">
        <v>10000</v>
      </c>
      <c r="G54" s="32"/>
      <c r="H54" s="93" t="s">
        <v>33</v>
      </c>
      <c r="I54" s="32"/>
      <c r="J54" s="49" t="s">
        <v>34</v>
      </c>
      <c r="K54" s="32"/>
      <c r="L54" s="33" t="s">
        <v>33</v>
      </c>
    </row>
    <row r="55" spans="1:12" ht="4.9000000000000004" customHeight="1" x14ac:dyDescent="0.2">
      <c r="A55" s="25"/>
      <c r="B55" s="144"/>
      <c r="C55" s="131"/>
      <c r="D55" s="101"/>
      <c r="E55" s="66"/>
      <c r="F55" s="66"/>
      <c r="G55" s="66"/>
      <c r="H55" s="96"/>
      <c r="I55" s="66"/>
      <c r="J55" s="66"/>
      <c r="K55" s="66"/>
      <c r="L55" s="97"/>
    </row>
    <row r="56" spans="1:12" ht="4.9000000000000004" customHeight="1" thickBot="1" x14ac:dyDescent="0.25">
      <c r="A56" s="25"/>
      <c r="B56" s="144"/>
      <c r="C56" s="130"/>
      <c r="D56" s="25"/>
      <c r="E56" s="32"/>
      <c r="F56" s="32"/>
      <c r="G56" s="32"/>
      <c r="H56" s="29"/>
      <c r="I56" s="32"/>
      <c r="J56" s="32"/>
      <c r="K56" s="32"/>
      <c r="L56" s="30"/>
    </row>
    <row r="57" spans="1:12" ht="16.149999999999999" customHeight="1" thickBot="1" x14ac:dyDescent="0.25">
      <c r="A57" s="25"/>
      <c r="B57" s="144"/>
      <c r="C57" s="130"/>
      <c r="D57" s="91" t="s">
        <v>41</v>
      </c>
      <c r="E57" s="32"/>
      <c r="F57" s="16">
        <v>10000</v>
      </c>
      <c r="G57" s="32"/>
      <c r="H57" s="93" t="s">
        <v>33</v>
      </c>
      <c r="I57" s="32"/>
      <c r="J57" s="49" t="s">
        <v>34</v>
      </c>
      <c r="K57" s="32"/>
      <c r="L57" s="33" t="s">
        <v>33</v>
      </c>
    </row>
    <row r="58" spans="1:12" ht="4.9000000000000004" customHeight="1" x14ac:dyDescent="0.2">
      <c r="A58" s="25"/>
      <c r="B58" s="144"/>
      <c r="C58" s="131"/>
      <c r="D58" s="101"/>
      <c r="E58" s="66"/>
      <c r="F58" s="66"/>
      <c r="G58" s="66"/>
      <c r="H58" s="96"/>
      <c r="I58" s="66"/>
      <c r="J58" s="66"/>
      <c r="K58" s="66"/>
      <c r="L58" s="97"/>
    </row>
    <row r="59" spans="1:12" ht="4.9000000000000004" customHeight="1" thickBot="1" x14ac:dyDescent="0.25">
      <c r="A59" s="25"/>
      <c r="B59" s="144"/>
      <c r="C59" s="130"/>
      <c r="D59" s="25"/>
      <c r="E59" s="32"/>
      <c r="F59" s="32"/>
      <c r="G59" s="32"/>
      <c r="H59" s="29"/>
      <c r="I59" s="32"/>
      <c r="J59" s="32"/>
      <c r="K59" s="32"/>
      <c r="L59" s="30"/>
    </row>
    <row r="60" spans="1:12" ht="16.149999999999999" customHeight="1" thickBot="1" x14ac:dyDescent="0.25">
      <c r="A60" s="25"/>
      <c r="B60" s="144"/>
      <c r="C60" s="130"/>
      <c r="D60" s="91" t="s">
        <v>42</v>
      </c>
      <c r="E60" s="32"/>
      <c r="F60" s="16">
        <v>10000</v>
      </c>
      <c r="G60" s="32"/>
      <c r="H60" s="93" t="s">
        <v>33</v>
      </c>
      <c r="I60" s="32"/>
      <c r="J60" s="49" t="s">
        <v>34</v>
      </c>
      <c r="K60" s="32"/>
      <c r="L60" s="33" t="s">
        <v>33</v>
      </c>
    </row>
    <row r="61" spans="1:12" ht="4.9000000000000004" customHeight="1" x14ac:dyDescent="0.2">
      <c r="A61" s="25"/>
      <c r="B61" s="144"/>
      <c r="C61" s="131"/>
      <c r="D61" s="101"/>
      <c r="E61" s="66"/>
      <c r="F61" s="66"/>
      <c r="G61" s="66"/>
      <c r="H61" s="96"/>
      <c r="I61" s="66"/>
      <c r="J61" s="66"/>
      <c r="K61" s="66"/>
      <c r="L61" s="97"/>
    </row>
    <row r="62" spans="1:12" ht="4.9000000000000004" customHeight="1" thickBot="1" x14ac:dyDescent="0.25">
      <c r="A62" s="25"/>
      <c r="B62" s="144"/>
      <c r="C62" s="130"/>
      <c r="D62" s="25"/>
      <c r="E62" s="32"/>
      <c r="F62" s="32"/>
      <c r="G62" s="32"/>
      <c r="H62" s="29"/>
      <c r="I62" s="32"/>
      <c r="J62" s="32"/>
      <c r="K62" s="32"/>
      <c r="L62" s="30"/>
    </row>
    <row r="63" spans="1:12" ht="16.149999999999999" customHeight="1" thickBot="1" x14ac:dyDescent="0.25">
      <c r="A63" s="25"/>
      <c r="B63" s="144"/>
      <c r="C63" s="130"/>
      <c r="D63" s="91" t="s">
        <v>43</v>
      </c>
      <c r="E63" s="32"/>
      <c r="F63" s="16">
        <v>10000</v>
      </c>
      <c r="G63" s="32"/>
      <c r="H63" s="93" t="s">
        <v>33</v>
      </c>
      <c r="I63" s="32"/>
      <c r="J63" s="49" t="s">
        <v>34</v>
      </c>
      <c r="K63" s="32"/>
      <c r="L63" s="33" t="s">
        <v>33</v>
      </c>
    </row>
    <row r="64" spans="1:12" ht="4.9000000000000004" customHeight="1" x14ac:dyDescent="0.2">
      <c r="A64" s="25"/>
      <c r="B64" s="144"/>
      <c r="C64" s="131"/>
      <c r="D64" s="101"/>
      <c r="E64" s="66"/>
      <c r="F64" s="66"/>
      <c r="G64" s="66"/>
      <c r="H64" s="96"/>
      <c r="I64" s="66"/>
      <c r="J64" s="66"/>
      <c r="K64" s="66"/>
      <c r="L64" s="97"/>
    </row>
    <row r="65" spans="1:12" ht="4.9000000000000004" customHeight="1" x14ac:dyDescent="0.2">
      <c r="A65" s="25"/>
      <c r="B65" s="144"/>
      <c r="C65" s="130"/>
      <c r="D65" s="25"/>
      <c r="E65" s="32"/>
      <c r="F65" s="32"/>
      <c r="G65" s="32"/>
      <c r="H65" s="29"/>
      <c r="I65" s="32"/>
      <c r="J65" s="32"/>
      <c r="K65" s="32"/>
      <c r="L65" s="30"/>
    </row>
    <row r="66" spans="1:12" ht="16.149999999999999" customHeight="1" x14ac:dyDescent="0.2">
      <c r="A66" s="25"/>
      <c r="B66" s="144"/>
      <c r="C66" s="130"/>
      <c r="D66" s="91" t="s">
        <v>44</v>
      </c>
      <c r="E66" s="32"/>
      <c r="F66" s="32"/>
      <c r="G66" s="32"/>
      <c r="H66" s="29"/>
      <c r="I66" s="32"/>
      <c r="J66" s="32"/>
      <c r="K66" s="32"/>
      <c r="L66" s="30"/>
    </row>
    <row r="67" spans="1:12" ht="22.15" customHeight="1" x14ac:dyDescent="0.2">
      <c r="A67" s="25"/>
      <c r="B67" s="144"/>
      <c r="C67" s="90"/>
      <c r="D67" s="25"/>
      <c r="E67" s="25"/>
      <c r="F67" s="25"/>
      <c r="G67" s="25"/>
      <c r="H67" s="29"/>
      <c r="I67" s="25"/>
      <c r="J67" s="25"/>
      <c r="K67" s="25"/>
      <c r="L67" s="30"/>
    </row>
    <row r="68" spans="1:12" ht="4.9000000000000004" customHeight="1" thickBot="1" x14ac:dyDescent="0.25">
      <c r="A68" s="25"/>
      <c r="B68" s="146"/>
      <c r="C68" s="94"/>
      <c r="D68" s="37"/>
      <c r="E68" s="37"/>
      <c r="F68" s="37"/>
      <c r="G68" s="37"/>
      <c r="H68" s="41"/>
      <c r="I68" s="37"/>
      <c r="J68" s="37"/>
      <c r="K68" s="37"/>
      <c r="L68" s="38"/>
    </row>
    <row r="69" spans="1:12" ht="18" customHeight="1" x14ac:dyDescent="0.2">
      <c r="A69" s="25"/>
      <c r="B69" s="143" t="s">
        <v>31</v>
      </c>
      <c r="C69" s="25"/>
      <c r="D69" s="25"/>
      <c r="E69" s="25"/>
      <c r="F69" s="25"/>
      <c r="G69" s="25"/>
      <c r="H69" s="25"/>
      <c r="I69" s="25"/>
      <c r="J69" s="25"/>
      <c r="K69" s="25"/>
      <c r="L69" s="30"/>
    </row>
    <row r="70" spans="1:12" ht="16.899999999999999" customHeight="1" x14ac:dyDescent="0.2">
      <c r="A70" s="25"/>
      <c r="B70" s="144"/>
      <c r="C70" s="99"/>
      <c r="D70" s="96"/>
      <c r="E70" s="126" t="s">
        <v>28</v>
      </c>
      <c r="F70" s="127"/>
      <c r="G70" s="128"/>
      <c r="H70" s="27" t="s">
        <v>29</v>
      </c>
      <c r="I70" s="126" t="s">
        <v>30</v>
      </c>
      <c r="J70" s="127"/>
      <c r="K70" s="128"/>
      <c r="L70" s="31" t="s">
        <v>29</v>
      </c>
    </row>
    <row r="71" spans="1:12" ht="4.9000000000000004" customHeight="1" thickBot="1" x14ac:dyDescent="0.25">
      <c r="A71" s="25"/>
      <c r="B71" s="144"/>
      <c r="C71" s="129"/>
      <c r="D71" s="25"/>
      <c r="E71" s="32"/>
      <c r="F71" s="32"/>
      <c r="G71" s="32"/>
      <c r="H71" s="28"/>
      <c r="I71" s="32"/>
      <c r="J71" s="32"/>
      <c r="K71" s="32"/>
      <c r="L71" s="30"/>
    </row>
    <row r="72" spans="1:12" ht="16.149999999999999" customHeight="1" thickBot="1" x14ac:dyDescent="0.25">
      <c r="A72" s="25"/>
      <c r="B72" s="144"/>
      <c r="C72" s="130"/>
      <c r="D72" s="91" t="s">
        <v>39</v>
      </c>
      <c r="E72" s="32"/>
      <c r="F72" s="16">
        <v>10000</v>
      </c>
      <c r="G72" s="32"/>
      <c r="H72" s="93" t="s">
        <v>33</v>
      </c>
      <c r="I72" s="32"/>
      <c r="J72" s="49" t="s">
        <v>34</v>
      </c>
      <c r="K72" s="32"/>
      <c r="L72" s="33" t="s">
        <v>33</v>
      </c>
    </row>
    <row r="73" spans="1:12" ht="4.9000000000000004" customHeight="1" x14ac:dyDescent="0.2">
      <c r="A73" s="25"/>
      <c r="B73" s="144"/>
      <c r="C73" s="131"/>
      <c r="D73" s="101"/>
      <c r="E73" s="66"/>
      <c r="F73" s="66"/>
      <c r="G73" s="66"/>
      <c r="H73" s="96"/>
      <c r="I73" s="66"/>
      <c r="J73" s="66"/>
      <c r="K73" s="66"/>
      <c r="L73" s="97"/>
    </row>
    <row r="74" spans="1:12" ht="4.9000000000000004" customHeight="1" thickBot="1" x14ac:dyDescent="0.25">
      <c r="A74" s="25"/>
      <c r="B74" s="144"/>
      <c r="C74" s="130"/>
      <c r="D74" s="25"/>
      <c r="E74" s="32"/>
      <c r="F74" s="32"/>
      <c r="G74" s="32"/>
      <c r="H74" s="29"/>
      <c r="I74" s="32"/>
      <c r="J74" s="32"/>
      <c r="K74" s="32"/>
      <c r="L74" s="30"/>
    </row>
    <row r="75" spans="1:12" ht="16.149999999999999" customHeight="1" thickBot="1" x14ac:dyDescent="0.25">
      <c r="A75" s="25"/>
      <c r="B75" s="144"/>
      <c r="C75" s="130"/>
      <c r="D75" s="91" t="s">
        <v>40</v>
      </c>
      <c r="E75" s="32"/>
      <c r="F75" s="16">
        <v>10000</v>
      </c>
      <c r="G75" s="32"/>
      <c r="H75" s="93" t="s">
        <v>33</v>
      </c>
      <c r="I75" s="32"/>
      <c r="J75" s="49" t="s">
        <v>34</v>
      </c>
      <c r="K75" s="32"/>
      <c r="L75" s="33" t="s">
        <v>33</v>
      </c>
    </row>
    <row r="76" spans="1:12" ht="4.9000000000000004" customHeight="1" x14ac:dyDescent="0.2">
      <c r="A76" s="25"/>
      <c r="B76" s="144"/>
      <c r="C76" s="131"/>
      <c r="D76" s="101"/>
      <c r="E76" s="66"/>
      <c r="F76" s="66"/>
      <c r="G76" s="66"/>
      <c r="H76" s="96"/>
      <c r="I76" s="66"/>
      <c r="J76" s="66"/>
      <c r="K76" s="66"/>
      <c r="L76" s="97"/>
    </row>
    <row r="77" spans="1:12" ht="4.9000000000000004" customHeight="1" thickBot="1" x14ac:dyDescent="0.25">
      <c r="A77" s="25"/>
      <c r="B77" s="144"/>
      <c r="C77" s="130"/>
      <c r="D77" s="25"/>
      <c r="E77" s="32"/>
      <c r="F77" s="32"/>
      <c r="G77" s="32"/>
      <c r="H77" s="29"/>
      <c r="I77" s="32"/>
      <c r="J77" s="32"/>
      <c r="K77" s="32"/>
      <c r="L77" s="30"/>
    </row>
    <row r="78" spans="1:12" ht="16.149999999999999" customHeight="1" thickBot="1" x14ac:dyDescent="0.25">
      <c r="A78" s="25"/>
      <c r="B78" s="144"/>
      <c r="C78" s="130"/>
      <c r="D78" s="91" t="s">
        <v>41</v>
      </c>
      <c r="E78" s="32"/>
      <c r="F78" s="16">
        <v>10000</v>
      </c>
      <c r="G78" s="32"/>
      <c r="H78" s="93" t="s">
        <v>33</v>
      </c>
      <c r="I78" s="32"/>
      <c r="J78" s="49" t="s">
        <v>34</v>
      </c>
      <c r="K78" s="32"/>
      <c r="L78" s="33" t="s">
        <v>33</v>
      </c>
    </row>
    <row r="79" spans="1:12" ht="4.9000000000000004" customHeight="1" x14ac:dyDescent="0.2">
      <c r="A79" s="25"/>
      <c r="B79" s="144"/>
      <c r="C79" s="131"/>
      <c r="D79" s="101"/>
      <c r="E79" s="66"/>
      <c r="F79" s="66"/>
      <c r="G79" s="66"/>
      <c r="H79" s="96"/>
      <c r="I79" s="66"/>
      <c r="J79" s="66"/>
      <c r="K79" s="66"/>
      <c r="L79" s="97"/>
    </row>
    <row r="80" spans="1:12" ht="4.9000000000000004" customHeight="1" thickBot="1" x14ac:dyDescent="0.25">
      <c r="A80" s="25"/>
      <c r="B80" s="144"/>
      <c r="C80" s="130"/>
      <c r="D80" s="25"/>
      <c r="E80" s="32"/>
      <c r="F80" s="32"/>
      <c r="G80" s="32"/>
      <c r="H80" s="29"/>
      <c r="I80" s="32"/>
      <c r="J80" s="32"/>
      <c r="K80" s="32"/>
      <c r="L80" s="30"/>
    </row>
    <row r="81" spans="1:12" ht="16.149999999999999" customHeight="1" thickBot="1" x14ac:dyDescent="0.25">
      <c r="A81" s="25"/>
      <c r="B81" s="144"/>
      <c r="C81" s="130"/>
      <c r="D81" s="91" t="s">
        <v>42</v>
      </c>
      <c r="E81" s="32"/>
      <c r="F81" s="16">
        <v>10000</v>
      </c>
      <c r="G81" s="32"/>
      <c r="H81" s="93" t="s">
        <v>33</v>
      </c>
      <c r="I81" s="32"/>
      <c r="J81" s="49" t="s">
        <v>34</v>
      </c>
      <c r="K81" s="32"/>
      <c r="L81" s="33" t="s">
        <v>33</v>
      </c>
    </row>
    <row r="82" spans="1:12" ht="4.9000000000000004" customHeight="1" x14ac:dyDescent="0.2">
      <c r="A82" s="25"/>
      <c r="B82" s="144"/>
      <c r="C82" s="131"/>
      <c r="D82" s="101"/>
      <c r="E82" s="66"/>
      <c r="F82" s="66"/>
      <c r="G82" s="66"/>
      <c r="H82" s="96"/>
      <c r="I82" s="66"/>
      <c r="J82" s="66"/>
      <c r="K82" s="66"/>
      <c r="L82" s="97"/>
    </row>
    <row r="83" spans="1:12" ht="4.9000000000000004" customHeight="1" thickBot="1" x14ac:dyDescent="0.25">
      <c r="A83" s="25"/>
      <c r="B83" s="144"/>
      <c r="C83" s="130"/>
      <c r="D83" s="25"/>
      <c r="E83" s="32"/>
      <c r="F83" s="32"/>
      <c r="G83" s="32"/>
      <c r="H83" s="29"/>
      <c r="I83" s="32"/>
      <c r="J83" s="32"/>
      <c r="K83" s="32"/>
      <c r="L83" s="30"/>
    </row>
    <row r="84" spans="1:12" ht="16.149999999999999" customHeight="1" thickBot="1" x14ac:dyDescent="0.25">
      <c r="A84" s="25"/>
      <c r="B84" s="144"/>
      <c r="C84" s="130"/>
      <c r="D84" s="91" t="s">
        <v>43</v>
      </c>
      <c r="E84" s="32"/>
      <c r="F84" s="16">
        <v>10000</v>
      </c>
      <c r="G84" s="32"/>
      <c r="H84" s="93" t="s">
        <v>33</v>
      </c>
      <c r="I84" s="32"/>
      <c r="J84" s="49" t="s">
        <v>34</v>
      </c>
      <c r="K84" s="32"/>
      <c r="L84" s="33" t="s">
        <v>33</v>
      </c>
    </row>
    <row r="85" spans="1:12" ht="4.9000000000000004" customHeight="1" x14ac:dyDescent="0.2">
      <c r="A85" s="25"/>
      <c r="B85" s="144"/>
      <c r="C85" s="131"/>
      <c r="D85" s="101"/>
      <c r="E85" s="66"/>
      <c r="F85" s="66"/>
      <c r="G85" s="66"/>
      <c r="H85" s="96"/>
      <c r="I85" s="66"/>
      <c r="J85" s="66"/>
      <c r="K85" s="66"/>
      <c r="L85" s="97"/>
    </row>
    <row r="86" spans="1:12" ht="4.9000000000000004" customHeight="1" x14ac:dyDescent="0.2">
      <c r="A86" s="25"/>
      <c r="B86" s="144"/>
      <c r="C86" s="130"/>
      <c r="D86" s="25"/>
      <c r="E86" s="32"/>
      <c r="F86" s="32"/>
      <c r="G86" s="32"/>
      <c r="H86" s="29"/>
      <c r="I86" s="32"/>
      <c r="J86" s="32"/>
      <c r="K86" s="32"/>
      <c r="L86" s="30"/>
    </row>
    <row r="87" spans="1:12" ht="16.149999999999999" customHeight="1" x14ac:dyDescent="0.2">
      <c r="A87" s="25"/>
      <c r="B87" s="144"/>
      <c r="C87" s="130"/>
      <c r="D87" s="91" t="s">
        <v>44</v>
      </c>
      <c r="E87" s="32"/>
      <c r="F87" s="32"/>
      <c r="G87" s="32"/>
      <c r="H87" s="29"/>
      <c r="I87" s="32"/>
      <c r="J87" s="32"/>
      <c r="K87" s="32"/>
      <c r="L87" s="30"/>
    </row>
    <row r="88" spans="1:12" ht="4.9000000000000004" customHeight="1" x14ac:dyDescent="0.2">
      <c r="A88" s="25"/>
      <c r="B88" s="144"/>
      <c r="C88" s="90"/>
      <c r="D88" s="91"/>
      <c r="E88" s="32"/>
      <c r="F88" s="32"/>
      <c r="G88" s="32"/>
      <c r="H88" s="29"/>
      <c r="I88" s="32"/>
      <c r="J88" s="32"/>
      <c r="K88" s="32"/>
      <c r="L88" s="30"/>
    </row>
    <row r="89" spans="1:12" ht="16.149999999999999" customHeight="1" x14ac:dyDescent="0.2">
      <c r="A89" s="25"/>
      <c r="B89" s="144"/>
      <c r="C89" s="90"/>
      <c r="D89" s="98" t="s">
        <v>100</v>
      </c>
      <c r="E89" s="32"/>
      <c r="F89" s="114">
        <v>-15.05</v>
      </c>
      <c r="G89" s="32"/>
      <c r="H89" s="93" t="s">
        <v>33</v>
      </c>
      <c r="I89" s="32"/>
      <c r="J89" s="115" t="s">
        <v>78</v>
      </c>
      <c r="K89" s="32"/>
      <c r="L89" s="33" t="s">
        <v>33</v>
      </c>
    </row>
    <row r="90" spans="1:12" ht="4.9000000000000004" customHeight="1" x14ac:dyDescent="0.2">
      <c r="A90" s="25"/>
      <c r="B90" s="144"/>
      <c r="C90" s="90"/>
      <c r="D90" s="95"/>
      <c r="E90" s="66"/>
      <c r="F90" s="66"/>
      <c r="G90" s="66"/>
      <c r="H90" s="96"/>
      <c r="I90" s="66"/>
      <c r="J90" s="66"/>
      <c r="K90" s="66"/>
      <c r="L90" s="97"/>
    </row>
    <row r="91" spans="1:12" ht="4.9000000000000004" customHeight="1" x14ac:dyDescent="0.2">
      <c r="A91" s="25"/>
      <c r="B91" s="144"/>
      <c r="C91" s="90"/>
      <c r="D91" s="91"/>
      <c r="E91" s="32"/>
      <c r="F91" s="32"/>
      <c r="G91" s="32"/>
      <c r="H91" s="29"/>
      <c r="I91" s="32"/>
      <c r="J91" s="32"/>
      <c r="K91" s="32"/>
      <c r="L91" s="30"/>
    </row>
    <row r="92" spans="1:12" ht="15.75" customHeight="1" x14ac:dyDescent="0.2">
      <c r="A92" s="25"/>
      <c r="B92" s="144"/>
      <c r="C92" s="90"/>
      <c r="D92" s="98" t="s">
        <v>102</v>
      </c>
      <c r="E92" s="32"/>
      <c r="F92" s="115" t="s">
        <v>78</v>
      </c>
      <c r="G92" s="32"/>
      <c r="H92" s="93" t="s">
        <v>33</v>
      </c>
      <c r="I92" s="32"/>
      <c r="J92" s="111" t="s">
        <v>34</v>
      </c>
      <c r="K92" s="32"/>
      <c r="L92" s="33" t="s">
        <v>103</v>
      </c>
    </row>
    <row r="93" spans="1:12" ht="4.9000000000000004" customHeight="1" x14ac:dyDescent="0.2">
      <c r="A93" s="25"/>
      <c r="B93" s="144"/>
      <c r="C93" s="90"/>
      <c r="D93" s="95"/>
      <c r="E93" s="66"/>
      <c r="F93" s="66"/>
      <c r="G93" s="66"/>
      <c r="H93" s="96"/>
      <c r="I93" s="66"/>
      <c r="J93" s="66"/>
      <c r="K93" s="66"/>
      <c r="L93" s="97"/>
    </row>
    <row r="94" spans="1:12" ht="4.9000000000000004" customHeight="1" x14ac:dyDescent="0.2">
      <c r="A94" s="25"/>
      <c r="B94" s="144"/>
      <c r="C94" s="90"/>
      <c r="D94" s="91"/>
      <c r="E94" s="32"/>
      <c r="F94" s="32"/>
      <c r="G94" s="32"/>
      <c r="H94" s="29"/>
      <c r="I94" s="32"/>
      <c r="J94" s="32"/>
      <c r="K94" s="32"/>
      <c r="L94" s="30"/>
    </row>
    <row r="95" spans="1:12" ht="15.75" customHeight="1" x14ac:dyDescent="0.2">
      <c r="A95" s="25"/>
      <c r="B95" s="144"/>
      <c r="C95" s="90"/>
      <c r="D95" s="98" t="s">
        <v>104</v>
      </c>
      <c r="E95" s="32"/>
      <c r="F95" s="113">
        <v>-15.99</v>
      </c>
      <c r="G95" s="32"/>
      <c r="H95" s="93" t="s">
        <v>33</v>
      </c>
      <c r="I95" s="32"/>
      <c r="J95" s="102" t="s">
        <v>95</v>
      </c>
      <c r="K95" s="32"/>
      <c r="L95" s="33" t="s">
        <v>33</v>
      </c>
    </row>
    <row r="96" spans="1:12" ht="4.9000000000000004" customHeight="1" x14ac:dyDescent="0.2">
      <c r="A96" s="25"/>
      <c r="B96" s="144"/>
      <c r="C96" s="90"/>
      <c r="D96" s="95"/>
      <c r="E96" s="66"/>
      <c r="F96" s="66"/>
      <c r="G96" s="66"/>
      <c r="H96" s="96"/>
      <c r="I96" s="66"/>
      <c r="J96" s="66"/>
      <c r="K96" s="66"/>
      <c r="L96" s="97"/>
    </row>
    <row r="97" spans="1:12" ht="22.15" customHeight="1" x14ac:dyDescent="0.2">
      <c r="A97" s="25"/>
      <c r="B97" s="144"/>
      <c r="C97" s="90"/>
      <c r="D97" s="25"/>
      <c r="E97" s="25"/>
      <c r="F97" s="25"/>
      <c r="G97" s="25"/>
      <c r="H97" s="29"/>
      <c r="I97" s="25"/>
      <c r="J97" s="25"/>
      <c r="K97" s="25"/>
      <c r="L97" s="30"/>
    </row>
    <row r="98" spans="1:12" ht="4.9000000000000004" customHeight="1" thickBot="1" x14ac:dyDescent="0.25">
      <c r="A98" s="25"/>
      <c r="B98" s="146"/>
      <c r="C98" s="94"/>
      <c r="D98" s="37"/>
      <c r="E98" s="37"/>
      <c r="F98" s="37"/>
      <c r="G98" s="37"/>
      <c r="H98" s="41"/>
      <c r="I98" s="37"/>
      <c r="J98" s="37"/>
      <c r="K98" s="37"/>
      <c r="L98" s="38"/>
    </row>
    <row r="99" spans="1:12" ht="24.6" customHeight="1" x14ac:dyDescent="0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</row>
    <row r="100" spans="1:12" ht="15" thickBot="1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</row>
    <row r="101" spans="1:12" ht="28.35" customHeight="1" x14ac:dyDescent="0.2">
      <c r="A101" s="25"/>
      <c r="B101" s="137" t="s">
        <v>45</v>
      </c>
      <c r="C101" s="138"/>
      <c r="D101" s="138"/>
      <c r="E101" s="138"/>
      <c r="F101" s="138"/>
      <c r="G101" s="138"/>
      <c r="H101" s="138"/>
      <c r="I101" s="138"/>
      <c r="J101" s="138"/>
      <c r="K101" s="138"/>
      <c r="L101" s="139"/>
    </row>
    <row r="102" spans="1:12" ht="28.35" customHeight="1" x14ac:dyDescent="0.2">
      <c r="A102" s="25"/>
      <c r="B102" s="140"/>
      <c r="C102" s="141"/>
      <c r="D102" s="141"/>
      <c r="E102" s="141"/>
      <c r="F102" s="141"/>
      <c r="G102" s="141"/>
      <c r="H102" s="141"/>
      <c r="I102" s="141"/>
      <c r="J102" s="141"/>
      <c r="K102" s="141"/>
      <c r="L102" s="142"/>
    </row>
    <row r="103" spans="1:12" ht="21.75" customHeight="1" x14ac:dyDescent="0.2">
      <c r="A103" s="25"/>
      <c r="B103" s="143" t="s">
        <v>31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30"/>
    </row>
    <row r="104" spans="1:12" ht="18" customHeight="1" x14ac:dyDescent="0.2">
      <c r="A104" s="25"/>
      <c r="B104" s="144"/>
      <c r="C104" s="99"/>
      <c r="D104" s="96"/>
      <c r="E104" s="126" t="s">
        <v>28</v>
      </c>
      <c r="F104" s="127"/>
      <c r="G104" s="128"/>
      <c r="H104" s="27" t="s">
        <v>29</v>
      </c>
      <c r="I104" s="126" t="s">
        <v>30</v>
      </c>
      <c r="J104" s="127"/>
      <c r="K104" s="128"/>
      <c r="L104" s="31" t="s">
        <v>29</v>
      </c>
    </row>
    <row r="105" spans="1:12" ht="5.0999999999999996" customHeight="1" thickBot="1" x14ac:dyDescent="0.25">
      <c r="A105" s="25"/>
      <c r="B105" s="144"/>
      <c r="C105" s="129"/>
      <c r="D105" s="25"/>
      <c r="E105" s="32"/>
      <c r="F105" s="32"/>
      <c r="G105" s="32"/>
      <c r="H105" s="28"/>
      <c r="I105" s="32"/>
      <c r="J105" s="32"/>
      <c r="K105" s="32"/>
      <c r="L105" s="30"/>
    </row>
    <row r="106" spans="1:12" ht="15.75" customHeight="1" thickBot="1" x14ac:dyDescent="0.25">
      <c r="A106" s="25"/>
      <c r="B106" s="144"/>
      <c r="C106" s="130"/>
      <c r="D106" s="91" t="s">
        <v>46</v>
      </c>
      <c r="E106" s="32"/>
      <c r="F106" s="16">
        <v>10000</v>
      </c>
      <c r="G106" s="32"/>
      <c r="H106" s="93" t="s">
        <v>33</v>
      </c>
      <c r="I106" s="32"/>
      <c r="J106" s="49" t="s">
        <v>34</v>
      </c>
      <c r="K106" s="32"/>
      <c r="L106" s="33" t="s">
        <v>33</v>
      </c>
    </row>
    <row r="107" spans="1:12" ht="5.0999999999999996" customHeight="1" x14ac:dyDescent="0.2">
      <c r="A107" s="25"/>
      <c r="B107" s="144"/>
      <c r="C107" s="131"/>
      <c r="D107" s="101"/>
      <c r="E107" s="66"/>
      <c r="F107" s="66"/>
      <c r="G107" s="66"/>
      <c r="H107" s="96"/>
      <c r="I107" s="66"/>
      <c r="J107" s="66"/>
      <c r="K107" s="66"/>
      <c r="L107" s="97"/>
    </row>
    <row r="108" spans="1:12" ht="5.0999999999999996" customHeight="1" thickBot="1" x14ac:dyDescent="0.25">
      <c r="A108" s="25"/>
      <c r="B108" s="144"/>
      <c r="C108" s="130"/>
      <c r="D108" s="25"/>
      <c r="E108" s="32"/>
      <c r="F108" s="32"/>
      <c r="G108" s="32"/>
      <c r="H108" s="29"/>
      <c r="I108" s="32"/>
      <c r="J108" s="32"/>
      <c r="K108" s="32"/>
      <c r="L108" s="30"/>
    </row>
    <row r="109" spans="1:12" ht="15.75" customHeight="1" thickBot="1" x14ac:dyDescent="0.25">
      <c r="A109" s="25"/>
      <c r="B109" s="144"/>
      <c r="C109" s="130"/>
      <c r="D109" s="91" t="s">
        <v>47</v>
      </c>
      <c r="E109" s="32"/>
      <c r="F109" s="16">
        <v>10000</v>
      </c>
      <c r="G109" s="32"/>
      <c r="H109" s="93" t="s">
        <v>33</v>
      </c>
      <c r="I109" s="32"/>
      <c r="J109" s="49" t="s">
        <v>34</v>
      </c>
      <c r="K109" s="32"/>
      <c r="L109" s="33" t="s">
        <v>33</v>
      </c>
    </row>
    <row r="110" spans="1:12" ht="5.0999999999999996" customHeight="1" x14ac:dyDescent="0.2">
      <c r="A110" s="25"/>
      <c r="B110" s="145"/>
      <c r="C110" s="131"/>
      <c r="D110" s="101"/>
      <c r="E110" s="66"/>
      <c r="F110" s="66"/>
      <c r="G110" s="66"/>
      <c r="H110" s="96"/>
      <c r="I110" s="66"/>
      <c r="J110" s="66"/>
      <c r="K110" s="66"/>
      <c r="L110" s="97"/>
    </row>
    <row r="111" spans="1:12" ht="21.75" customHeight="1" x14ac:dyDescent="0.2">
      <c r="A111" s="25"/>
      <c r="B111" s="143" t="s">
        <v>37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30"/>
    </row>
    <row r="112" spans="1:12" ht="18" customHeight="1" x14ac:dyDescent="0.2">
      <c r="A112" s="25"/>
      <c r="B112" s="144"/>
      <c r="C112" s="99"/>
      <c r="D112" s="96"/>
      <c r="E112" s="126" t="s">
        <v>28</v>
      </c>
      <c r="F112" s="127"/>
      <c r="G112" s="128"/>
      <c r="H112" s="27" t="s">
        <v>29</v>
      </c>
      <c r="I112" s="126" t="s">
        <v>30</v>
      </c>
      <c r="J112" s="127"/>
      <c r="K112" s="128"/>
      <c r="L112" s="31" t="s">
        <v>29</v>
      </c>
    </row>
    <row r="113" spans="1:12" ht="5.0999999999999996" customHeight="1" thickBot="1" x14ac:dyDescent="0.25">
      <c r="A113" s="25"/>
      <c r="B113" s="144"/>
      <c r="C113" s="129"/>
      <c r="D113" s="25"/>
      <c r="E113" s="32"/>
      <c r="F113" s="32"/>
      <c r="G113" s="32"/>
      <c r="H113" s="28"/>
      <c r="I113" s="32"/>
      <c r="J113" s="32"/>
      <c r="K113" s="32"/>
      <c r="L113" s="30"/>
    </row>
    <row r="114" spans="1:12" ht="15.75" customHeight="1" thickBot="1" x14ac:dyDescent="0.25">
      <c r="A114" s="25"/>
      <c r="B114" s="144"/>
      <c r="C114" s="130"/>
      <c r="D114" s="91" t="s">
        <v>46</v>
      </c>
      <c r="E114" s="32"/>
      <c r="F114" s="16">
        <v>10000</v>
      </c>
      <c r="G114" s="32"/>
      <c r="H114" s="93" t="s">
        <v>33</v>
      </c>
      <c r="I114" s="32"/>
      <c r="J114" s="49" t="s">
        <v>34</v>
      </c>
      <c r="K114" s="32"/>
      <c r="L114" s="33" t="s">
        <v>33</v>
      </c>
    </row>
    <row r="115" spans="1:12" ht="5.0999999999999996" customHeight="1" x14ac:dyDescent="0.2">
      <c r="A115" s="25"/>
      <c r="B115" s="144"/>
      <c r="C115" s="131"/>
      <c r="D115" s="101"/>
      <c r="E115" s="66"/>
      <c r="F115" s="66"/>
      <c r="G115" s="66"/>
      <c r="H115" s="96"/>
      <c r="I115" s="66"/>
      <c r="J115" s="66"/>
      <c r="K115" s="66"/>
      <c r="L115" s="97"/>
    </row>
    <row r="116" spans="1:12" ht="5.0999999999999996" customHeight="1" thickBot="1" x14ac:dyDescent="0.25">
      <c r="A116" s="25"/>
      <c r="B116" s="144"/>
      <c r="C116" s="130"/>
      <c r="D116" s="25"/>
      <c r="E116" s="32"/>
      <c r="F116" s="32"/>
      <c r="G116" s="32"/>
      <c r="H116" s="29"/>
      <c r="I116" s="32"/>
      <c r="J116" s="32"/>
      <c r="K116" s="32"/>
      <c r="L116" s="30"/>
    </row>
    <row r="117" spans="1:12" ht="15.75" customHeight="1" thickBot="1" x14ac:dyDescent="0.25">
      <c r="A117" s="25"/>
      <c r="B117" s="144"/>
      <c r="C117" s="130"/>
      <c r="D117" s="91" t="s">
        <v>47</v>
      </c>
      <c r="E117" s="32"/>
      <c r="F117" s="16">
        <v>10000</v>
      </c>
      <c r="G117" s="32"/>
      <c r="H117" s="93" t="s">
        <v>33</v>
      </c>
      <c r="I117" s="32"/>
      <c r="J117" s="49" t="s">
        <v>34</v>
      </c>
      <c r="K117" s="32"/>
      <c r="L117" s="33" t="s">
        <v>33</v>
      </c>
    </row>
    <row r="118" spans="1:12" ht="5.0999999999999996" customHeight="1" thickBot="1" x14ac:dyDescent="0.25">
      <c r="A118" s="25"/>
      <c r="B118" s="146"/>
      <c r="C118" s="147"/>
      <c r="D118" s="37"/>
      <c r="E118" s="42"/>
      <c r="F118" s="42"/>
      <c r="G118" s="42"/>
      <c r="H118" s="41"/>
      <c r="I118" s="42"/>
      <c r="J118" s="42"/>
      <c r="K118" s="42"/>
      <c r="L118" s="38"/>
    </row>
    <row r="119" spans="1:12" ht="15" customHeight="1" x14ac:dyDescent="0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1:12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1:12" ht="28.35" customHeight="1" x14ac:dyDescent="0.2">
      <c r="A121" s="25"/>
      <c r="B121" s="134" t="s">
        <v>48</v>
      </c>
      <c r="C121" s="135"/>
      <c r="D121" s="135"/>
      <c r="E121" s="135"/>
      <c r="F121" s="135"/>
      <c r="G121" s="135"/>
      <c r="H121" s="135"/>
      <c r="I121" s="135"/>
      <c r="J121" s="135"/>
      <c r="K121" s="135"/>
      <c r="L121" s="136"/>
    </row>
    <row r="122" spans="1:12" ht="18" customHeight="1" x14ac:dyDescent="0.2">
      <c r="A122" s="25"/>
      <c r="B122" s="124"/>
      <c r="C122" s="25"/>
      <c r="D122" s="25"/>
      <c r="E122" s="25"/>
      <c r="F122" s="25"/>
      <c r="G122" s="25"/>
      <c r="H122" s="25"/>
      <c r="I122" s="25"/>
      <c r="J122" s="25"/>
      <c r="K122" s="25"/>
      <c r="L122" s="29"/>
    </row>
    <row r="123" spans="1:12" ht="17.100000000000001" customHeight="1" x14ac:dyDescent="0.2">
      <c r="A123" s="25"/>
      <c r="B123" s="124"/>
      <c r="C123" s="99"/>
      <c r="D123" s="96"/>
      <c r="E123" s="126" t="s">
        <v>30</v>
      </c>
      <c r="F123" s="127"/>
      <c r="G123" s="128"/>
      <c r="H123" s="126" t="s">
        <v>29</v>
      </c>
      <c r="I123" s="127"/>
      <c r="J123" s="127"/>
      <c r="K123" s="127"/>
      <c r="L123" s="128"/>
    </row>
    <row r="124" spans="1:12" ht="5.0999999999999996" customHeight="1" x14ac:dyDescent="0.2">
      <c r="A124" s="25"/>
      <c r="B124" s="124"/>
      <c r="C124" s="129"/>
      <c r="D124" s="25"/>
      <c r="E124" s="32"/>
      <c r="F124" s="32"/>
      <c r="G124" s="32"/>
      <c r="H124" s="25"/>
      <c r="I124" s="25"/>
      <c r="J124" s="25"/>
      <c r="K124" s="25"/>
      <c r="L124" s="29"/>
    </row>
    <row r="125" spans="1:12" ht="15.75" customHeight="1" x14ac:dyDescent="0.2">
      <c r="A125" s="25"/>
      <c r="B125" s="124"/>
      <c r="C125" s="130"/>
      <c r="D125" s="91" t="s">
        <v>32</v>
      </c>
      <c r="E125" s="32"/>
      <c r="F125" s="50" t="s">
        <v>34</v>
      </c>
      <c r="G125" s="32"/>
      <c r="H125" s="132" t="s">
        <v>33</v>
      </c>
      <c r="I125" s="132"/>
      <c r="J125" s="132"/>
      <c r="K125" s="132"/>
      <c r="L125" s="133"/>
    </row>
    <row r="126" spans="1:12" ht="5.0999999999999996" customHeight="1" x14ac:dyDescent="0.2">
      <c r="A126" s="25"/>
      <c r="B126" s="124"/>
      <c r="C126" s="131"/>
      <c r="D126" s="101"/>
      <c r="E126" s="66"/>
      <c r="F126" s="66"/>
      <c r="G126" s="66"/>
      <c r="H126" s="101"/>
      <c r="I126" s="101"/>
      <c r="J126" s="101"/>
      <c r="K126" s="101"/>
      <c r="L126" s="96"/>
    </row>
    <row r="127" spans="1:12" ht="5.0999999999999996" customHeight="1" x14ac:dyDescent="0.2">
      <c r="A127" s="25"/>
      <c r="B127" s="124"/>
      <c r="C127" s="130"/>
      <c r="D127" s="25"/>
      <c r="E127" s="32"/>
      <c r="F127" s="32"/>
      <c r="G127" s="32"/>
      <c r="H127" s="25"/>
      <c r="I127" s="25"/>
      <c r="J127" s="25"/>
      <c r="K127" s="25"/>
      <c r="L127" s="29"/>
    </row>
    <row r="128" spans="1:12" ht="15.75" customHeight="1" x14ac:dyDescent="0.2">
      <c r="A128" s="25"/>
      <c r="B128" s="124"/>
      <c r="C128" s="130"/>
      <c r="D128" s="91" t="s">
        <v>49</v>
      </c>
      <c r="E128" s="32"/>
      <c r="F128" s="32"/>
      <c r="G128" s="32"/>
      <c r="H128" s="25"/>
      <c r="I128" s="25"/>
      <c r="J128" s="25"/>
      <c r="K128" s="25"/>
      <c r="L128" s="29"/>
    </row>
    <row r="129" spans="1:12" ht="22.15" customHeight="1" x14ac:dyDescent="0.2">
      <c r="A129" s="25"/>
      <c r="B129" s="124"/>
      <c r="C129" s="90"/>
      <c r="D129" s="25"/>
      <c r="E129" s="25"/>
      <c r="F129" s="25"/>
      <c r="G129" s="25"/>
      <c r="H129" s="25"/>
      <c r="I129" s="25"/>
      <c r="J129" s="25"/>
      <c r="K129" s="25"/>
      <c r="L129" s="29"/>
    </row>
    <row r="130" spans="1:12" ht="5.0999999999999996" customHeight="1" x14ac:dyDescent="0.2">
      <c r="A130" s="25"/>
      <c r="B130" s="125"/>
      <c r="C130" s="92"/>
      <c r="D130" s="101"/>
      <c r="E130" s="101"/>
      <c r="F130" s="101"/>
      <c r="G130" s="101"/>
      <c r="H130" s="101"/>
      <c r="I130" s="101"/>
      <c r="J130" s="101"/>
      <c r="K130" s="101"/>
      <c r="L130" s="96"/>
    </row>
    <row r="131" spans="1:12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</row>
    <row r="132" spans="1:12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1:12" ht="28.35" customHeight="1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</row>
    <row r="134" spans="1:12" ht="28.35" customHeight="1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1:12" ht="18" customHeight="1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</row>
    <row r="136" spans="1:12" ht="17.100000000000001" customHeight="1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1:12" ht="5.0999999999999996" customHeight="1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</row>
    <row r="138" spans="1:12" ht="15.75" customHeight="1" x14ac:dyDescent="0.2"/>
    <row r="139" spans="1:12" ht="5.0999999999999996" customHeight="1" x14ac:dyDescent="0.2"/>
    <row r="140" spans="1:12" ht="5.0999999999999996" customHeight="1" x14ac:dyDescent="0.2"/>
    <row r="141" spans="1:12" ht="15.75" customHeight="1" x14ac:dyDescent="0.2"/>
    <row r="142" spans="1:12" ht="5.0999999999999996" customHeight="1" x14ac:dyDescent="0.2"/>
  </sheetData>
  <sheetProtection algorithmName="SHA-512" hashValue="wbjFkzWE7bLEqaN7W52Typz5EPIWCGZpn4E/6+exQwUZmTLCYiY491XZi90ZEONOrCo/nGAlX/Jl4cKu/gIRwQ==" saltValue="b9hfHdY7Qb13JjoKLhlQXw==" spinCount="100000" sheet="1" objects="1" scenarios="1" formatCells="0" formatColumns="0" formatRows="0"/>
  <mergeCells count="59">
    <mergeCell ref="B1:L1"/>
    <mergeCell ref="B5:L5"/>
    <mergeCell ref="B6:L6"/>
    <mergeCell ref="B7:B21"/>
    <mergeCell ref="Q7:Q19"/>
    <mergeCell ref="E9:G9"/>
    <mergeCell ref="I9:K9"/>
    <mergeCell ref="C10:C12"/>
    <mergeCell ref="C13:C15"/>
    <mergeCell ref="C16:C17"/>
    <mergeCell ref="D16:D17"/>
    <mergeCell ref="Q20:Q23"/>
    <mergeCell ref="B22:B42"/>
    <mergeCell ref="E24:G24"/>
    <mergeCell ref="I24:K24"/>
    <mergeCell ref="C25:C27"/>
    <mergeCell ref="Q27:Q33"/>
    <mergeCell ref="C28:C30"/>
    <mergeCell ref="C31:C32"/>
    <mergeCell ref="D31:D32"/>
    <mergeCell ref="B46:L46"/>
    <mergeCell ref="B47:L47"/>
    <mergeCell ref="B69:B98"/>
    <mergeCell ref="E70:G70"/>
    <mergeCell ref="I70:K70"/>
    <mergeCell ref="C71:C73"/>
    <mergeCell ref="C74:C76"/>
    <mergeCell ref="C77:C79"/>
    <mergeCell ref="C80:C82"/>
    <mergeCell ref="C83:C85"/>
    <mergeCell ref="C86:C87"/>
    <mergeCell ref="B48:B68"/>
    <mergeCell ref="E49:G49"/>
    <mergeCell ref="I49:K49"/>
    <mergeCell ref="C50:C52"/>
    <mergeCell ref="C53:C55"/>
    <mergeCell ref="C56:C58"/>
    <mergeCell ref="C59:C61"/>
    <mergeCell ref="C62:C64"/>
    <mergeCell ref="C65:C66"/>
    <mergeCell ref="B121:L121"/>
    <mergeCell ref="B101:L101"/>
    <mergeCell ref="B102:L102"/>
    <mergeCell ref="B103:B110"/>
    <mergeCell ref="E104:G104"/>
    <mergeCell ref="I104:K104"/>
    <mergeCell ref="C105:C107"/>
    <mergeCell ref="C108:C110"/>
    <mergeCell ref="B111:B118"/>
    <mergeCell ref="E112:G112"/>
    <mergeCell ref="I112:K112"/>
    <mergeCell ref="C113:C115"/>
    <mergeCell ref="C116:C118"/>
    <mergeCell ref="B122:B130"/>
    <mergeCell ref="E123:G123"/>
    <mergeCell ref="H123:L123"/>
    <mergeCell ref="C124:C126"/>
    <mergeCell ref="H125:L125"/>
    <mergeCell ref="C127:C128"/>
  </mergeCells>
  <conditionalFormatting sqref="F14">
    <cfRule type="expression" dxfId="3" priority="1">
      <formula>$L14="Y"</formula>
    </cfRule>
  </conditionalFormatting>
  <pageMargins left="0.7" right="0.7" top="0.75" bottom="0.75" header="0.3" footer="0.3"/>
  <pageSetup orientation="portrait" r:id="rId1"/>
  <customProperties>
    <customPr name="CofWorksheetType" r:id="rId2"/>
    <customPr name="EpmWorksheetKeyString_GUID" r:id="rId3"/>
  </customProperties>
  <drawing r:id="rId4"/>
  <legacyDrawing r:id="rId5"/>
  <controls>
    <mc:AlternateContent xmlns:mc="http://schemas.openxmlformats.org/markup-compatibility/2006">
      <mc:Choice Requires="x14">
        <control shapeId="5121" r:id="rId6" name="cbApplyLevelFormatting">
          <controlPr defaultSize="0" autoFill="0" autoLine="0" r:id="rId7">
            <anchor moveWithCells="1">
              <from>
                <xdr:col>7</xdr:col>
                <xdr:colOff>1485900</xdr:colOff>
                <xdr:row>4</xdr:row>
                <xdr:rowOff>66675</xdr:rowOff>
              </from>
              <to>
                <xdr:col>7</xdr:col>
                <xdr:colOff>1619250</xdr:colOff>
                <xdr:row>4</xdr:row>
                <xdr:rowOff>342900</xdr:rowOff>
              </to>
            </anchor>
          </controlPr>
        </control>
      </mc:Choice>
      <mc:Fallback>
        <control shapeId="5121" r:id="rId6" name="cbApplyLevelFormatting"/>
      </mc:Fallback>
    </mc:AlternateContent>
    <mc:AlternateContent xmlns:mc="http://schemas.openxmlformats.org/markup-compatibility/2006">
      <mc:Choice Requires="x14">
        <control shapeId="5147" r:id="rId8" name="cbApplyMemberFormatting">
          <controlPr defaultSize="0" autoFill="0" autoLine="0" r:id="rId9">
            <anchor moveWithCells="1">
              <from>
                <xdr:col>9</xdr:col>
                <xdr:colOff>476250</xdr:colOff>
                <xdr:row>45</xdr:row>
                <xdr:rowOff>66675</xdr:rowOff>
              </from>
              <to>
                <xdr:col>9</xdr:col>
                <xdr:colOff>600075</xdr:colOff>
                <xdr:row>45</xdr:row>
                <xdr:rowOff>342900</xdr:rowOff>
              </to>
            </anchor>
          </controlPr>
        </control>
      </mc:Choice>
      <mc:Fallback>
        <control shapeId="5147" r:id="rId8" name="cbApplyMemberFormatting"/>
      </mc:Fallback>
    </mc:AlternateContent>
    <mc:AlternateContent xmlns:mc="http://schemas.openxmlformats.org/markup-compatibility/2006">
      <mc:Choice Requires="x14">
        <control shapeId="5165" r:id="rId10" name="cbApplyOddEvenFormatting">
          <controlPr defaultSize="0" autoFill="0" autoLine="0" r:id="rId11">
            <anchor moveWithCells="1">
              <from>
                <xdr:col>7</xdr:col>
                <xdr:colOff>1676400</xdr:colOff>
                <xdr:row>100</xdr:row>
                <xdr:rowOff>66675</xdr:rowOff>
              </from>
              <to>
                <xdr:col>7</xdr:col>
                <xdr:colOff>1800225</xdr:colOff>
                <xdr:row>100</xdr:row>
                <xdr:rowOff>342900</xdr:rowOff>
              </to>
            </anchor>
          </controlPr>
        </control>
      </mc:Choice>
      <mc:Fallback>
        <control shapeId="5165" r:id="rId10" name="cbApplyOddEvenFormatting"/>
      </mc:Fallback>
    </mc:AlternateContent>
    <mc:AlternateContent xmlns:mc="http://schemas.openxmlformats.org/markup-compatibility/2006">
      <mc:Choice Requires="x14">
        <control shapeId="5173" r:id="rId12" name="cbApplyPageHeaderFormatting">
          <controlPr defaultSize="0" autoFill="0" autoLine="0" r:id="rId13">
            <anchor moveWithCells="1">
              <from>
                <xdr:col>7</xdr:col>
                <xdr:colOff>1524000</xdr:colOff>
                <xdr:row>120</xdr:row>
                <xdr:rowOff>66675</xdr:rowOff>
              </from>
              <to>
                <xdr:col>7</xdr:col>
                <xdr:colOff>1647825</xdr:colOff>
                <xdr:row>120</xdr:row>
                <xdr:rowOff>342900</xdr:rowOff>
              </to>
            </anchor>
          </controlPr>
        </control>
      </mc:Choice>
      <mc:Fallback>
        <control shapeId="5173" r:id="rId12" name="cbApplyPageHeaderFormatting"/>
      </mc:Fallback>
    </mc:AlternateContent>
    <mc:AlternateContent xmlns:mc="http://schemas.openxmlformats.org/markup-compatibility/2006">
      <mc:Choice Requires="x14">
        <control shapeId="5122" r:id="rId14" name="Group Box 2">
          <controlPr defaultSize="0" autoPict="0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3</xdr:col>
                <xdr:colOff>2800350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3" r:id="rId15" name="obLevel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485775</xdr:colOff>
                <xdr:row>5</xdr:row>
                <xdr:rowOff>57150</xdr:rowOff>
              </from>
              <to>
                <xdr:col>3</xdr:col>
                <xdr:colOff>2619375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4" r:id="rId16" name="obLevel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5</xdr:row>
                <xdr:rowOff>57150</xdr:rowOff>
              </from>
              <to>
                <xdr:col>3</xdr:col>
                <xdr:colOff>447675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" r:id="rId17" name="Group Box 5">
          <controlPr defaultSize="0" autoPict="0">
            <anchor moveWithCells="1">
              <from>
                <xdr:col>3</xdr:col>
                <xdr:colOff>2762250</xdr:colOff>
                <xdr:row>5</xdr:row>
                <xdr:rowOff>0</xdr:rowOff>
              </from>
              <to>
                <xdr:col>10</xdr:col>
                <xdr:colOff>180975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" r:id="rId18" name="obRelativ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4229100</xdr:colOff>
                <xdr:row>5</xdr:row>
                <xdr:rowOff>57150</xdr:rowOff>
              </from>
              <to>
                <xdr:col>6</xdr:col>
                <xdr:colOff>180975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" r:id="rId19" name="obDatabas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2771775</xdr:colOff>
                <xdr:row>5</xdr:row>
                <xdr:rowOff>57150</xdr:rowOff>
              </from>
              <to>
                <xdr:col>3</xdr:col>
                <xdr:colOff>4210050</xdr:colOff>
                <xdr:row>5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" r:id="rId20" name="cbApplyLevelFromTopToBottom">
          <controlPr defaultSize="0" autoFill="0" autoLine="0" autoPict="0">
            <anchor moveWithCells="1">
              <from>
                <xdr:col>7</xdr:col>
                <xdr:colOff>19050</xdr:colOff>
                <xdr:row>5</xdr:row>
                <xdr:rowOff>0</xdr:rowOff>
              </from>
              <to>
                <xdr:col>11</xdr:col>
                <xdr:colOff>2419350</xdr:colOff>
                <xdr:row>5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" r:id="rId21" name="LVL1tbFormattingByLevel">
          <controlPr defaultSize="0" autoFill="0" autoPict="0">
            <anchor moveWithCells="1" sizeWithCells="1">
              <from>
                <xdr:col>10</xdr:col>
                <xdr:colOff>19050</xdr:colOff>
                <xdr:row>6</xdr:row>
                <xdr:rowOff>133350</xdr:rowOff>
              </from>
              <to>
                <xdr:col>11</xdr:col>
                <xdr:colOff>1133475</xdr:colOff>
                <xdr:row>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" r:id="rId22" name="Group Box 10">
          <controlPr defaultSize="0" autoPict="0">
            <anchor moveWithCells="1">
              <from>
                <xdr:col>10</xdr:col>
                <xdr:colOff>209550</xdr:colOff>
                <xdr:row>6</xdr:row>
                <xdr:rowOff>0</xdr:rowOff>
              </from>
              <to>
                <xdr:col>12</xdr:col>
                <xdr:colOff>0</xdr:colOff>
                <xdr:row>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" r:id="rId23" name="obLevelOuterFirst">
          <controlPr defaultSize="0" autoFill="0" autoLine="0" autoPict="0">
            <anchor moveWithCells="1">
              <from>
                <xdr:col>11</xdr:col>
                <xdr:colOff>904875</xdr:colOff>
                <xdr:row>6</xdr:row>
                <xdr:rowOff>228600</xdr:rowOff>
              </from>
              <to>
                <xdr:col>11</xdr:col>
                <xdr:colOff>2105025</xdr:colOff>
                <xdr:row>7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" r:id="rId24" name="obLevelInnerFirst">
          <controlPr defaultSize="0" autoFill="0" autoLine="0" autoPict="0">
            <anchor moveWithCells="1">
              <from>
                <xdr:col>11</xdr:col>
                <xdr:colOff>904875</xdr:colOff>
                <xdr:row>6</xdr:row>
                <xdr:rowOff>19050</xdr:rowOff>
              </from>
              <to>
                <xdr:col>11</xdr:col>
                <xdr:colOff>2105025</xdr:colOff>
                <xdr:row>6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3" r:id="rId25" name="cbUseDefaultLevelFirst">
          <controlPr defaultSize="0" autoFill="0" autoLine="0" autoPict="0">
            <anchor moveWithCells="1">
              <from>
                <xdr:col>2</xdr:col>
                <xdr:colOff>133350</xdr:colOff>
                <xdr:row>8</xdr:row>
                <xdr:rowOff>209550</xdr:rowOff>
              </from>
              <to>
                <xdr:col>2</xdr:col>
                <xdr:colOff>1019175</xdr:colOff>
                <xdr:row>11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4" r:id="rId26" name="cbUseLeafLevelFirst">
          <controlPr defaultSize="0" autoFill="0" autoLine="0" autoPict="0">
            <anchor moveWithCells="1">
              <from>
                <xdr:col>2</xdr:col>
                <xdr:colOff>133350</xdr:colOff>
                <xdr:row>12</xdr:row>
                <xdr:rowOff>0</xdr:rowOff>
              </from>
              <to>
                <xdr:col>2</xdr:col>
                <xdr:colOff>1019175</xdr:colOff>
                <xdr:row>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5" r:id="rId27" name="cbUseSpecificLevelFirst">
          <controlPr defaultSize="0" autoFill="0" autoLine="0" autoPict="0">
            <anchor moveWithCells="1">
              <from>
                <xdr:col>2</xdr:col>
                <xdr:colOff>133350</xdr:colOff>
                <xdr:row>15</xdr:row>
                <xdr:rowOff>38100</xdr:rowOff>
              </from>
              <to>
                <xdr:col>2</xdr:col>
                <xdr:colOff>1019175</xdr:colOff>
                <xdr:row>16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6" r:id="rId28" name="AddLevel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19</xdr:row>
                <xdr:rowOff>28575</xdr:rowOff>
              </from>
              <to>
                <xdr:col>3</xdr:col>
                <xdr:colOff>2124075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7" r:id="rId29" name="RemoveLevel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2228850</xdr:colOff>
                <xdr:row>19</xdr:row>
                <xdr:rowOff>28575</xdr:rowOff>
              </from>
              <to>
                <xdr:col>3</xdr:col>
                <xdr:colOff>4305300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8" r:id="rId30" name="LVL2tbFormattingByLevel">
          <controlPr defaultSize="0" autoFill="0" autoPict="0">
            <anchor moveWithCells="1" sizeWithCells="1">
              <from>
                <xdr:col>10</xdr:col>
                <xdr:colOff>19050</xdr:colOff>
                <xdr:row>21</xdr:row>
                <xdr:rowOff>142875</xdr:rowOff>
              </from>
              <to>
                <xdr:col>11</xdr:col>
                <xdr:colOff>1133475</xdr:colOff>
                <xdr:row>22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9" r:id="rId31" name="Group Box 19">
          <controlPr defaultSize="0" autoPict="0">
            <anchor moveWithCells="1">
              <from>
                <xdr:col>10</xdr:col>
                <xdr:colOff>209550</xdr:colOff>
                <xdr:row>21</xdr:row>
                <xdr:rowOff>0</xdr:rowOff>
              </from>
              <to>
                <xdr:col>12</xdr:col>
                <xdr:colOff>0</xdr:colOff>
                <xdr:row>23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0" r:id="rId32" name="obLevelOuterSecond">
          <controlPr defaultSize="0" autoFill="0" autoLine="0" autoPict="0">
            <anchor moveWithCells="1">
              <from>
                <xdr:col>11</xdr:col>
                <xdr:colOff>904875</xdr:colOff>
                <xdr:row>21</xdr:row>
                <xdr:rowOff>228600</xdr:rowOff>
              </from>
              <to>
                <xdr:col>11</xdr:col>
                <xdr:colOff>2105025</xdr:colOff>
                <xdr:row>22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1" r:id="rId33" name="obLevelInnerSecond">
          <controlPr defaultSize="0" autoFill="0" autoLine="0" autoPict="0">
            <anchor moveWithCells="1">
              <from>
                <xdr:col>11</xdr:col>
                <xdr:colOff>904875</xdr:colOff>
                <xdr:row>21</xdr:row>
                <xdr:rowOff>38100</xdr:rowOff>
              </from>
              <to>
                <xdr:col>11</xdr:col>
                <xdr:colOff>2105025</xdr:colOff>
                <xdr:row>21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2" r:id="rId34" name="cbUseDefaultLevelSecond">
          <controlPr defaultSize="0" autoFill="0" autoLine="0" autoPict="0">
            <anchor moveWithCells="1">
              <from>
                <xdr:col>2</xdr:col>
                <xdr:colOff>133350</xdr:colOff>
                <xdr:row>24</xdr:row>
                <xdr:rowOff>0</xdr:rowOff>
              </from>
              <to>
                <xdr:col>2</xdr:col>
                <xdr:colOff>1019175</xdr:colOff>
                <xdr:row>26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3" r:id="rId35" name="cbUseLeafLevelSecond">
          <controlPr defaultSize="0" autoFill="0" autoLine="0" autoPict="0">
            <anchor moveWithCells="1">
              <from>
                <xdr:col>2</xdr:col>
                <xdr:colOff>133350</xdr:colOff>
                <xdr:row>27</xdr:row>
                <xdr:rowOff>0</xdr:rowOff>
              </from>
              <to>
                <xdr:col>2</xdr:col>
                <xdr:colOff>1019175</xdr:colOff>
                <xdr:row>29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4" r:id="rId36" name="cbUseSpecificLevelSecond">
          <controlPr defaultSize="0" autoFill="0" autoLine="0" autoPict="0">
            <anchor moveWithCells="1">
              <from>
                <xdr:col>2</xdr:col>
                <xdr:colOff>133350</xdr:colOff>
                <xdr:row>30</xdr:row>
                <xdr:rowOff>38100</xdr:rowOff>
              </from>
              <to>
                <xdr:col>2</xdr:col>
                <xdr:colOff>1019175</xdr:colOff>
                <xdr:row>31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5" r:id="rId37" name="AddLevel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40</xdr:row>
                <xdr:rowOff>19050</xdr:rowOff>
              </from>
              <to>
                <xdr:col>3</xdr:col>
                <xdr:colOff>2124075</xdr:colOff>
                <xdr:row>41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6" r:id="rId38" name="RemoveLevel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2228850</xdr:colOff>
                <xdr:row>40</xdr:row>
                <xdr:rowOff>19050</xdr:rowOff>
              </from>
              <to>
                <xdr:col>3</xdr:col>
                <xdr:colOff>4305300</xdr:colOff>
                <xdr:row>41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8" r:id="rId39" name="Group Box 28">
          <controlPr defaultSize="0" autoPict="0">
            <anchor moveWithCells="1">
              <from>
                <xdr:col>1</xdr:col>
                <xdr:colOff>0</xdr:colOff>
                <xdr:row>46</xdr:row>
                <xdr:rowOff>0</xdr:rowOff>
              </from>
              <to>
                <xdr:col>12</xdr:col>
                <xdr:colOff>0</xdr:colOff>
                <xdr:row>47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9" r:id="rId40" name="obMember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485775</xdr:colOff>
                <xdr:row>46</xdr:row>
                <xdr:rowOff>57150</xdr:rowOff>
              </from>
              <to>
                <xdr:col>3</xdr:col>
                <xdr:colOff>2619375</xdr:colOff>
                <xdr:row>46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0" r:id="rId41" name="obMember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46</xdr:row>
                <xdr:rowOff>57150</xdr:rowOff>
              </from>
              <to>
                <xdr:col>3</xdr:col>
                <xdr:colOff>447675</xdr:colOff>
                <xdr:row>46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1" r:id="rId42" name="cbApplyCustomMemberDefaultFirst">
          <controlPr defaultSize="0" autoFill="0" autoLine="0" autoPict="0">
            <anchor moveWithCells="1">
              <from>
                <xdr:col>2</xdr:col>
                <xdr:colOff>133350</xdr:colOff>
                <xdr:row>69</xdr:row>
                <xdr:rowOff>209550</xdr:rowOff>
              </from>
              <to>
                <xdr:col>2</xdr:col>
                <xdr:colOff>1019175</xdr:colOff>
                <xdr:row>72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2" r:id="rId43" name="cbApplyCalculatedMemberFirst">
          <controlPr defaultSize="0" autoFill="0" autoLine="0" autoPict="0">
            <anchor moveWithCells="1">
              <from>
                <xdr:col>2</xdr:col>
                <xdr:colOff>133350</xdr:colOff>
                <xdr:row>72</xdr:row>
                <xdr:rowOff>57150</xdr:rowOff>
              </from>
              <to>
                <xdr:col>2</xdr:col>
                <xdr:colOff>1019175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3" r:id="rId44" name="cbApplyImputableMemberFirst">
          <controlPr defaultSize="0" autoFill="0" autoLine="0" autoPict="0">
            <anchor moveWithCells="1">
              <from>
                <xdr:col>2</xdr:col>
                <xdr:colOff>133350</xdr:colOff>
                <xdr:row>76</xdr:row>
                <xdr:rowOff>0</xdr:rowOff>
              </from>
              <to>
                <xdr:col>2</xdr:col>
                <xdr:colOff>1019175</xdr:colOff>
                <xdr:row>78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4" r:id="rId45" name="cbApplyLocalMemberFirst">
          <controlPr defaultSize="0" autoFill="0" autoLine="0" autoPict="0">
            <anchor moveWithCells="1">
              <from>
                <xdr:col>2</xdr:col>
                <xdr:colOff>133350</xdr:colOff>
                <xdr:row>79</xdr:row>
                <xdr:rowOff>0</xdr:rowOff>
              </from>
              <to>
                <xdr:col>2</xdr:col>
                <xdr:colOff>1019175</xdr:colOff>
                <xdr:row>81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5" r:id="rId46" name="cbApplyChangedMemberFirst">
          <controlPr defaultSize="0" autoFill="0" autoLine="0" autoPict="0">
            <anchor moveWithCells="1">
              <from>
                <xdr:col>2</xdr:col>
                <xdr:colOff>133350</xdr:colOff>
                <xdr:row>82</xdr:row>
                <xdr:rowOff>0</xdr:rowOff>
              </from>
              <to>
                <xdr:col>2</xdr:col>
                <xdr:colOff>1019175</xdr:colOff>
                <xdr:row>84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6" r:id="rId47" name="cbApplySpecificMemberFirst">
          <controlPr defaultSize="0" autoFill="0" autoLine="0" autoPict="0">
            <anchor moveWithCells="1">
              <from>
                <xdr:col>2</xdr:col>
                <xdr:colOff>133350</xdr:colOff>
                <xdr:row>85</xdr:row>
                <xdr:rowOff>57150</xdr:rowOff>
              </from>
              <to>
                <xdr:col>2</xdr:col>
                <xdr:colOff>1019175</xdr:colOff>
                <xdr:row>87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7" r:id="rId48" name="AddMember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96</xdr:row>
                <xdr:rowOff>19050</xdr:rowOff>
              </from>
              <to>
                <xdr:col>3</xdr:col>
                <xdr:colOff>4295775</xdr:colOff>
                <xdr:row>96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8" r:id="rId49" name="cbApplyCustomMemberDefaultSecond">
          <controlPr defaultSize="0" autoFill="0" autoLine="0" autoPict="0">
            <anchor moveWithCells="1">
              <from>
                <xdr:col>2</xdr:col>
                <xdr:colOff>133350</xdr:colOff>
                <xdr:row>49</xdr:row>
                <xdr:rowOff>0</xdr:rowOff>
              </from>
              <to>
                <xdr:col>2</xdr:col>
                <xdr:colOff>1019175</xdr:colOff>
                <xdr:row>51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9" r:id="rId50" name="cbApplyCalculatedMemberSecond">
          <controlPr defaultSize="0" autoFill="0" autoLine="0" autoPict="0">
            <anchor moveWithCells="1">
              <from>
                <xdr:col>2</xdr:col>
                <xdr:colOff>133350</xdr:colOff>
                <xdr:row>51</xdr:row>
                <xdr:rowOff>57150</xdr:rowOff>
              </from>
              <to>
                <xdr:col>2</xdr:col>
                <xdr:colOff>1019175</xdr:colOff>
                <xdr:row>54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0" r:id="rId51" name="cbApplyImputableMemberSecond">
          <controlPr defaultSize="0" autoFill="0" autoLine="0" autoPict="0">
            <anchor moveWithCells="1">
              <from>
                <xdr:col>2</xdr:col>
                <xdr:colOff>133350</xdr:colOff>
                <xdr:row>55</xdr:row>
                <xdr:rowOff>0</xdr:rowOff>
              </from>
              <to>
                <xdr:col>2</xdr:col>
                <xdr:colOff>1019175</xdr:colOff>
                <xdr:row>57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1" r:id="rId52" name="cbApplyLocalMemberSecond">
          <controlPr defaultSize="0" autoFill="0" autoLine="0" autoPict="0">
            <anchor moveWithCells="1">
              <from>
                <xdr:col>2</xdr:col>
                <xdr:colOff>133350</xdr:colOff>
                <xdr:row>58</xdr:row>
                <xdr:rowOff>0</xdr:rowOff>
              </from>
              <to>
                <xdr:col>2</xdr:col>
                <xdr:colOff>1019175</xdr:colOff>
                <xdr:row>60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2" r:id="rId53" name="cbApplyChangedMemberSecond">
          <controlPr defaultSize="0" autoFill="0" autoLine="0" autoPict="0">
            <anchor moveWithCells="1">
              <from>
                <xdr:col>2</xdr:col>
                <xdr:colOff>133350</xdr:colOff>
                <xdr:row>61</xdr:row>
                <xdr:rowOff>0</xdr:rowOff>
              </from>
              <to>
                <xdr:col>2</xdr:col>
                <xdr:colOff>1019175</xdr:colOff>
                <xdr:row>63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3" r:id="rId54" name="cbApplySpecificMemberSecond">
          <controlPr defaultSize="0" autoFill="0" autoLine="0" autoPict="0">
            <anchor moveWithCells="1">
              <from>
                <xdr:col>2</xdr:col>
                <xdr:colOff>133350</xdr:colOff>
                <xdr:row>64</xdr:row>
                <xdr:rowOff>57150</xdr:rowOff>
              </from>
              <to>
                <xdr:col>2</xdr:col>
                <xdr:colOff>1019175</xdr:colOff>
                <xdr:row>66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4" r:id="rId55" name="AddMember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66</xdr:row>
                <xdr:rowOff>19050</xdr:rowOff>
              </from>
              <to>
                <xdr:col>3</xdr:col>
                <xdr:colOff>4295775</xdr:colOff>
                <xdr:row>66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6" r:id="rId56" name="Group Box 46">
          <controlPr defaultSize="0" autoPict="0">
            <anchor moveWithCells="1">
              <from>
                <xdr:col>1</xdr:col>
                <xdr:colOff>0</xdr:colOff>
                <xdr:row>101</xdr:row>
                <xdr:rowOff>0</xdr:rowOff>
              </from>
              <to>
                <xdr:col>12</xdr:col>
                <xdr:colOff>0</xdr:colOff>
                <xdr:row>102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7" r:id="rId57" name="obOddEven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485775</xdr:colOff>
                <xdr:row>101</xdr:row>
                <xdr:rowOff>66675</xdr:rowOff>
              </from>
              <to>
                <xdr:col>3</xdr:col>
                <xdr:colOff>2619375</xdr:colOff>
                <xdr:row>101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8" r:id="rId58" name="obOddEven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101</xdr:row>
                <xdr:rowOff>66675</xdr:rowOff>
              </from>
              <to>
                <xdr:col>3</xdr:col>
                <xdr:colOff>447675</xdr:colOff>
                <xdr:row>101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69" r:id="rId59" name="cbUseOddFirst">
          <controlPr defaultSize="0" autoFill="0" autoLine="0" autoPict="0">
            <anchor moveWithCells="1">
              <from>
                <xdr:col>2</xdr:col>
                <xdr:colOff>133350</xdr:colOff>
                <xdr:row>104</xdr:row>
                <xdr:rowOff>0</xdr:rowOff>
              </from>
              <to>
                <xdr:col>2</xdr:col>
                <xdr:colOff>1019175</xdr:colOff>
                <xdr:row>106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0" r:id="rId60" name="cbUseEvenFirst">
          <controlPr defaultSize="0" autoFill="0" autoLine="0" autoPict="0">
            <anchor moveWithCells="1">
              <from>
                <xdr:col>2</xdr:col>
                <xdr:colOff>133350</xdr:colOff>
                <xdr:row>107</xdr:row>
                <xdr:rowOff>0</xdr:rowOff>
              </from>
              <to>
                <xdr:col>2</xdr:col>
                <xdr:colOff>1019175</xdr:colOff>
                <xdr:row>109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1" r:id="rId61" name="cbUseOddSecond">
          <controlPr defaultSize="0" autoFill="0" autoLine="0" autoPict="0">
            <anchor moveWithCells="1">
              <from>
                <xdr:col>2</xdr:col>
                <xdr:colOff>133350</xdr:colOff>
                <xdr:row>112</xdr:row>
                <xdr:rowOff>0</xdr:rowOff>
              </from>
              <to>
                <xdr:col>2</xdr:col>
                <xdr:colOff>1019175</xdr:colOff>
                <xdr:row>114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2" r:id="rId62" name="cbUseEvenSecond">
          <controlPr defaultSize="0" autoFill="0" autoLine="0" autoPict="0">
            <anchor moveWithCells="1">
              <from>
                <xdr:col>2</xdr:col>
                <xdr:colOff>133350</xdr:colOff>
                <xdr:row>114</xdr:row>
                <xdr:rowOff>57150</xdr:rowOff>
              </from>
              <to>
                <xdr:col>2</xdr:col>
                <xdr:colOff>1019175</xdr:colOff>
                <xdr:row>117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4" r:id="rId63" name="cbUseDefaultPageHeaderFormat">
          <controlPr defaultSize="0" autoFill="0" autoLine="0" autoPict="0">
            <anchor moveWithCells="1">
              <from>
                <xdr:col>2</xdr:col>
                <xdr:colOff>133350</xdr:colOff>
                <xdr:row>122</xdr:row>
                <xdr:rowOff>209550</xdr:rowOff>
              </from>
              <to>
                <xdr:col>2</xdr:col>
                <xdr:colOff>1019175</xdr:colOff>
                <xdr:row>125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5" r:id="rId64" name="cbUseDimensionFormatting">
          <controlPr defaultSize="0" autoFill="0" autoLine="0" autoPict="0">
            <anchor moveWithCells="1">
              <from>
                <xdr:col>2</xdr:col>
                <xdr:colOff>133350</xdr:colOff>
                <xdr:row>126</xdr:row>
                <xdr:rowOff>0</xdr:rowOff>
              </from>
              <to>
                <xdr:col>2</xdr:col>
                <xdr:colOff>1019175</xdr:colOff>
                <xdr:row>127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6" r:id="rId65" name="AddDimension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128</xdr:row>
                <xdr:rowOff>19050</xdr:rowOff>
              </from>
              <to>
                <xdr:col>3</xdr:col>
                <xdr:colOff>4295775</xdr:colOff>
                <xdr:row>129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7" r:id="rId66" name="AddedMember1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87</xdr:row>
                <xdr:rowOff>57150</xdr:rowOff>
              </from>
              <to>
                <xdr:col>12</xdr:col>
                <xdr:colOff>723900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8" r:id="rId67" name="ChangeMember1_1">
          <controlPr defaultSize="0" print="0" autoFill="0" autoPict="0" macro="_xll.FPMXLClient.TechnicalCategory.ButtonActionInEPMClientFormattingSheet">
            <anchor moveWithCells="1">
              <from>
                <xdr:col>13</xdr:col>
                <xdr:colOff>0</xdr:colOff>
                <xdr:row>87</xdr:row>
                <xdr:rowOff>57150</xdr:rowOff>
              </from>
              <to>
                <xdr:col>13</xdr:col>
                <xdr:colOff>723900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79" r:id="rId68" name="UpMember1_1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87</xdr:row>
                <xdr:rowOff>57150</xdr:rowOff>
              </from>
              <to>
                <xdr:col>14</xdr:col>
                <xdr:colOff>723900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0" r:id="rId69" name="DownMember1_1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87</xdr:row>
                <xdr:rowOff>57150</xdr:rowOff>
              </from>
              <to>
                <xdr:col>15</xdr:col>
                <xdr:colOff>723900</xdr:colOff>
                <xdr:row>89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89" r:id="rId70" name="AddedMember1_2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91</xdr:row>
                <xdr:rowOff>0</xdr:rowOff>
              </from>
              <to>
                <xdr:col>12</xdr:col>
                <xdr:colOff>714375</xdr:colOff>
                <xdr:row>92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0" r:id="rId71" name="ChangeMember1_2">
          <controlPr defaultSize="0" print="0" autoFill="0" autoPict="0" macro="_xll.FPMXLClient.TechnicalCategory.ButtonActionInEPMClientFormattingSheet">
            <anchor moveWithCells="1">
              <from>
                <xdr:col>13</xdr:col>
                <xdr:colOff>0</xdr:colOff>
                <xdr:row>91</xdr:row>
                <xdr:rowOff>0</xdr:rowOff>
              </from>
              <to>
                <xdr:col>13</xdr:col>
                <xdr:colOff>704850</xdr:colOff>
                <xdr:row>92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1" r:id="rId72" name="UpMember1_2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91</xdr:row>
                <xdr:rowOff>0</xdr:rowOff>
              </from>
              <to>
                <xdr:col>14</xdr:col>
                <xdr:colOff>704850</xdr:colOff>
                <xdr:row>92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2" r:id="rId73" name="DownMember1_2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733425</xdr:colOff>
                <xdr:row>91</xdr:row>
                <xdr:rowOff>0</xdr:rowOff>
              </from>
              <to>
                <xdr:col>15</xdr:col>
                <xdr:colOff>704850</xdr:colOff>
                <xdr:row>92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4" r:id="rId74" name="AddedMember1_3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93</xdr:row>
                <xdr:rowOff>57150</xdr:rowOff>
              </from>
              <to>
                <xdr:col>12</xdr:col>
                <xdr:colOff>714375</xdr:colOff>
                <xdr:row>95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5" r:id="rId75" name="ChangeMember1_3">
          <controlPr defaultSize="0" print="0" autoFill="0" autoPict="0" macro="_xll.FPMXLClient.TechnicalCategory.ButtonActionInEPMClientFormattingSheet">
            <anchor moveWithCells="1">
              <from>
                <xdr:col>13</xdr:col>
                <xdr:colOff>0</xdr:colOff>
                <xdr:row>93</xdr:row>
                <xdr:rowOff>57150</xdr:rowOff>
              </from>
              <to>
                <xdr:col>13</xdr:col>
                <xdr:colOff>704850</xdr:colOff>
                <xdr:row>95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6" r:id="rId76" name="UpMember1_3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93</xdr:row>
                <xdr:rowOff>57150</xdr:rowOff>
              </from>
              <to>
                <xdr:col>14</xdr:col>
                <xdr:colOff>704850</xdr:colOff>
                <xdr:row>95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97" r:id="rId77" name="DownMember1_3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733425</xdr:colOff>
                <xdr:row>93</xdr:row>
                <xdr:rowOff>57150</xdr:rowOff>
              </from>
              <to>
                <xdr:col>15</xdr:col>
                <xdr:colOff>704850</xdr:colOff>
                <xdr:row>95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howOutlineSymbols="0"/>
    <pageSetUpPr fitToPage="1"/>
  </sheetPr>
  <dimension ref="A1:AC421"/>
  <sheetViews>
    <sheetView showGridLines="0" tabSelected="1" showOutlineSymbols="0" zoomScaleNormal="100" workbookViewId="0">
      <pane xSplit="14" ySplit="32" topLeftCell="O33" activePane="bottomRight" state="frozen"/>
      <selection activeCell="I20" sqref="I20"/>
      <selection pane="topRight" activeCell="O20" sqref="O20"/>
      <selection pane="bottomLeft" activeCell="I33" sqref="I33"/>
      <selection pane="bottomRight" activeCell="L22" sqref="L22"/>
    </sheetView>
  </sheetViews>
  <sheetFormatPr defaultColWidth="9.28515625" defaultRowHeight="15" customHeight="1" outlineLevelRow="1" outlineLevelCol="1" x14ac:dyDescent="0.2"/>
  <cols>
    <col min="1" max="1" width="15.7109375" style="3" hidden="1" customWidth="1" outlineLevel="1"/>
    <col min="2" max="2" width="20.7109375" style="3" hidden="1" customWidth="1" outlineLevel="1"/>
    <col min="3" max="4" width="15.7109375" style="3" hidden="1" customWidth="1" outlineLevel="1"/>
    <col min="5" max="5" width="18.5703125" style="3" hidden="1" customWidth="1" outlineLevel="1"/>
    <col min="6" max="6" width="12.7109375" style="3" hidden="1" customWidth="1" outlineLevel="1"/>
    <col min="7" max="7" width="19.5703125" style="3" hidden="1" customWidth="1" outlineLevel="1"/>
    <col min="8" max="8" width="23.85546875" style="3" hidden="1" customWidth="1" outlineLevel="1" collapsed="1"/>
    <col min="9" max="9" width="1.7109375" style="3" customWidth="1" collapsed="1"/>
    <col min="10" max="10" width="14.7109375" style="3" customWidth="1"/>
    <col min="11" max="11" width="46.7109375" style="3" customWidth="1"/>
    <col min="12" max="12" width="50.7109375" style="3" customWidth="1"/>
    <col min="13" max="13" width="20.28515625" style="3" hidden="1" customWidth="1"/>
    <col min="14" max="14" width="20.7109375" style="3" hidden="1" customWidth="1"/>
    <col min="15" max="27" width="20.7109375" style="3" customWidth="1"/>
    <col min="28" max="29" width="20.7109375" style="3" hidden="1" customWidth="1"/>
    <col min="30" max="37" width="20.7109375" style="3" customWidth="1"/>
    <col min="38" max="16384" width="9.28515625" style="3"/>
  </cols>
  <sheetData>
    <row r="1" spans="1:26" ht="15" hidden="1" customHeight="1" outlineLevel="1" thickBot="1" x14ac:dyDescent="0.35">
      <c r="A1" s="1" t="s">
        <v>1</v>
      </c>
      <c r="B1" s="2" t="str">
        <f>_xll.EPMReportID(B10)</f>
        <v>000</v>
      </c>
      <c r="C1" s="15" t="b">
        <v>0</v>
      </c>
      <c r="D1" s="4" t="s">
        <v>2</v>
      </c>
      <c r="E1" s="5" t="s">
        <v>3</v>
      </c>
      <c r="G1" s="3" t="s">
        <v>87</v>
      </c>
      <c r="H1" s="3" t="str">
        <f>_xll.EPMSelectMember(,"NET_INCOME")</f>
        <v>NET_INCOME</v>
      </c>
      <c r="I1" s="56" t="s">
        <v>60</v>
      </c>
      <c r="J1" s="57" t="str">
        <f>IF($G$7=FALSE,IF($H$6="RECON_TEC","",$H$6&amp;",")&amp;"LDEP(2,"&amp;$H$6&amp;") AND CALC=Y"&amp;IF($H$6="RECON_TEC",",parentafter,"&amp;$H$6,""),$H$6&amp;",LDEP(3,"&amp;$H$6&amp;")"&amp;$H$7)</f>
        <v>RECON,LDEP(2,RECON) AND CALC=Y</v>
      </c>
      <c r="K1" s="57"/>
      <c r="L1" s="57"/>
      <c r="M1" s="57"/>
      <c r="N1" s="80" t="s">
        <v>62</v>
      </c>
      <c r="O1" s="81" t="str">
        <f>IF(P1=1,"TRUE","FALSE")</f>
        <v>TRUE</v>
      </c>
      <c r="P1" s="81">
        <v>1</v>
      </c>
    </row>
    <row r="2" spans="1:26" ht="15" hidden="1" customHeight="1" outlineLevel="1" thickBot="1" x14ac:dyDescent="0.35">
      <c r="A2" s="1" t="s">
        <v>4</v>
      </c>
      <c r="B2" s="6" t="s">
        <v>90</v>
      </c>
      <c r="D2" s="7" t="s">
        <v>5</v>
      </c>
      <c r="E2" s="5" t="s">
        <v>3</v>
      </c>
      <c r="G2" s="3" t="s">
        <v>88</v>
      </c>
      <c r="H2" s="3" t="str">
        <f>_xll.EPMSelectMember("","[C_ACCOUNT].[PARENTH2].[RECON]","","",FALSE)</f>
        <v>RECON</v>
      </c>
      <c r="I2" s="56" t="s">
        <v>59</v>
      </c>
      <c r="J2" s="57" t="str">
        <f>IF($G$7=FALSE,IF($H$6="RECON_TEC","",$H$6&amp;",")&amp;"LDEP(99,"&amp;$H$6&amp;") AND CALC=Y"&amp;IF($H$6="RECON_TEC",",parentafter,"&amp;$H$6,""),$H$6&amp;",LDEP(99,"&amp;$H$6&amp;")"&amp;$H$7)</f>
        <v>RECON,LDEP(99,RECON) AND CALC=Y</v>
      </c>
      <c r="K2" s="57"/>
      <c r="L2" s="57"/>
      <c r="M2" s="57"/>
      <c r="N2" s="80" t="s">
        <v>63</v>
      </c>
      <c r="O2" s="82" t="str">
        <f>_xll.EPMReportOptions("000",IF(P1=1,"KeepEmptyRows =RemoveEmptyandZero","KeepEmptyRows =True"))</f>
        <v>EPMReportOptions on report 000</v>
      </c>
      <c r="P2" s="82" t="b">
        <v>0</v>
      </c>
    </row>
    <row r="3" spans="1:26" ht="15" hidden="1" customHeight="1" outlineLevel="1" thickBot="1" x14ac:dyDescent="0.25">
      <c r="A3" s="1" t="s">
        <v>6</v>
      </c>
      <c r="B3" s="8" t="s">
        <v>57</v>
      </c>
      <c r="D3" s="9" t="s">
        <v>7</v>
      </c>
      <c r="G3" s="3" t="s">
        <v>106</v>
      </c>
      <c r="H3" s="3" t="str">
        <f>_xll.EPMSelectMember("","[C_ACCOUNT].[PARENTH5].[RECON_TEC]","","",FALSE)</f>
        <v>RECON_TEC</v>
      </c>
      <c r="I3" s="56" t="s">
        <v>61</v>
      </c>
      <c r="J3" s="57" t="str">
        <f>IF($G$7=FALSE,IF($H$6="RECON_TEC","",$H$6&amp;",")&amp;"LDEP(99,"&amp;$H$6&amp;")"&amp;IF($H$6="RECON_TEC",",parentafter,"&amp;$H$6,""),$H$6&amp;",LDEP(99,"&amp;$H$6&amp;")"&amp;$H$7)</f>
        <v>RECON,LDEP(99,RECON)</v>
      </c>
      <c r="K3" s="60"/>
      <c r="L3" s="83"/>
      <c r="M3" s="83"/>
    </row>
    <row r="4" spans="1:26" ht="15" hidden="1" customHeight="1" outlineLevel="1" thickBot="1" x14ac:dyDescent="0.25">
      <c r="D4" s="22" t="s">
        <v>24</v>
      </c>
      <c r="E4" s="51" t="s">
        <v>101</v>
      </c>
      <c r="F4" s="51"/>
      <c r="G4" s="3" t="s">
        <v>86</v>
      </c>
      <c r="H4" s="3" t="str">
        <f>_xll.EPMSelectMember("","[C_ACCOUNT].[PARENTH4].[E_NETINCOMECS_USGAAP]","","",FALSE)</f>
        <v>E_NetIncomeCS_USGAAP</v>
      </c>
      <c r="I4" s="51"/>
      <c r="J4" s="75"/>
      <c r="K4" s="76"/>
      <c r="L4" s="77"/>
      <c r="M4" s="77"/>
      <c r="N4" s="78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15" hidden="1" customHeight="1" outlineLevel="1" thickBot="1" x14ac:dyDescent="0.25">
      <c r="A5" s="1" t="s">
        <v>22</v>
      </c>
      <c r="B5" s="10" t="s">
        <v>8</v>
      </c>
      <c r="C5" s="11" t="s">
        <v>9</v>
      </c>
      <c r="D5" s="53"/>
      <c r="G5" s="3" t="s">
        <v>89</v>
      </c>
      <c r="H5" s="3" t="str">
        <f>_xll.EPMSelectMember("","[C_ACCOUNT].[PARENTH4].[E_NETINCOMECS_USGAAP]","","",FALSE)</f>
        <v>E_NetIncomeCS_USGAAP</v>
      </c>
    </row>
    <row r="6" spans="1:26" ht="15" hidden="1" customHeight="1" outlineLevel="1" thickBot="1" x14ac:dyDescent="0.25">
      <c r="A6" s="1" t="s">
        <v>11</v>
      </c>
      <c r="B6" s="10" t="s">
        <v>15</v>
      </c>
      <c r="C6" s="11" t="s">
        <v>16</v>
      </c>
      <c r="D6" s="3" t="str">
        <f>IFERROR(VLOOKUP(LEFT(L24,4),$E$6:$F$7,2,FALSE),"ACTUAL")</f>
        <v>FORECAST</v>
      </c>
      <c r="E6" s="86" t="str">
        <f>_xll.EPMMemberProperty(,F6,"YEAR")</f>
        <v>2024</v>
      </c>
      <c r="F6" s="87" t="str">
        <f>_xll.EPMSelectMember("","[CATEGORY].[PARENTH1].[WKG_BUDGET]","","",FALSE)</f>
        <v>WKG_BUDGET</v>
      </c>
      <c r="H6" s="57" t="str">
        <f>VLOOKUP(L21,$G$1:$H$5,2,FALSE)</f>
        <v>RECON</v>
      </c>
    </row>
    <row r="7" spans="1:26" ht="15" hidden="1" customHeight="1" outlineLevel="1" thickBot="1" x14ac:dyDescent="0.3">
      <c r="A7" s="1" t="s">
        <v>91</v>
      </c>
      <c r="B7"/>
      <c r="C7" s="11" t="s">
        <v>10</v>
      </c>
      <c r="D7" s="3" t="str">
        <f>"1001,E10000"</f>
        <v>1001,E10000</v>
      </c>
      <c r="E7" s="86" t="str">
        <f>_xll.EPMMemberProperty(,F7,"YEAR")</f>
        <v>2023</v>
      </c>
      <c r="F7" s="87" t="str">
        <f>_xll.EPMSelectMember("","[CATEGORY].[PARENTH1].[FORECAST]","","",FALSE)</f>
        <v>FORECAST</v>
      </c>
      <c r="G7" s="123" t="b">
        <v>0</v>
      </c>
      <c r="H7" s="51" t="s">
        <v>85</v>
      </c>
    </row>
    <row r="8" spans="1:26" ht="15" hidden="1" customHeight="1" outlineLevel="1" thickBot="1" x14ac:dyDescent="0.35">
      <c r="A8" s="1" t="s">
        <v>23</v>
      </c>
      <c r="B8" s="10" t="s">
        <v>15</v>
      </c>
      <c r="C8" s="11" t="s">
        <v>16</v>
      </c>
      <c r="E8" s="86" t="str">
        <f>E7&amp;".TOTAL"</f>
        <v>2023.TOTAL</v>
      </c>
      <c r="F8" s="87" t="str">
        <f>VLOOKUP("CURRENT",$E$9:$F$20,2,FALSE)</f>
        <v>FCST_0_12</v>
      </c>
      <c r="N8" s="12"/>
    </row>
    <row r="9" spans="1:26" ht="15" hidden="1" customHeight="1" outlineLevel="1" thickBot="1" x14ac:dyDescent="0.25">
      <c r="A9" s="1" t="s">
        <v>12</v>
      </c>
      <c r="B9" s="50" t="str">
        <f xml:space="preserve"> _xll.EPMOlapMemberO(L23,"[ENTITY].[PARENTH1].[E_2301]","E_2301","","000")</f>
        <v>E_2301</v>
      </c>
      <c r="C9" s="11" t="s">
        <v>56</v>
      </c>
      <c r="E9" s="86" t="str">
        <f>_xll.EPMMemberProperty(,F9,"COMPARISON")</f>
        <v>CURRENT</v>
      </c>
      <c r="F9" s="87" t="str">
        <f>_xll.EPMSelectMember("","[CATEGORY].[PARENTH1].[FCST_0_12]","","",FALSE)</f>
        <v>FCST_0_12</v>
      </c>
      <c r="N9" s="13"/>
    </row>
    <row r="10" spans="1:26" ht="15" hidden="1" customHeight="1" outlineLevel="1" thickBot="1" x14ac:dyDescent="0.25">
      <c r="A10" s="1" t="s">
        <v>13</v>
      </c>
      <c r="B10" s="50" t="str">
        <f xml:space="preserve"> _xll.EPMOlapMemberO("[FLOW].[PARENTH1].[NO_FLOW]","","NO_FLOW","","000")</f>
        <v>NO_FLOW</v>
      </c>
      <c r="C10" s="11" t="s">
        <v>10</v>
      </c>
      <c r="E10" s="86" t="str">
        <f>_xll.EPMMemberProperty(,F10,"COMPARISON")</f>
        <v/>
      </c>
      <c r="F10" s="87" t="str">
        <f>_xll.EPMSelectMember("","[CATEGORY].[PARENTH1].[FCST_1_11]","","",FALSE)</f>
        <v>FCST_1_11</v>
      </c>
      <c r="N10" s="13"/>
    </row>
    <row r="11" spans="1:26" ht="15" hidden="1" customHeight="1" outlineLevel="1" thickBot="1" x14ac:dyDescent="0.25">
      <c r="A11" s="1" t="s">
        <v>21</v>
      </c>
      <c r="B11" s="50" t="str">
        <f xml:space="preserve"> _xll.EPMOlapMemberO("[I_ENTITY].[PARENTH1].[ALL_IE_ENTITIES]","","ALL_IE_ENTITIES","","000")</f>
        <v>ALL_IE_ENTITIES</v>
      </c>
      <c r="C11" s="11" t="s">
        <v>10</v>
      </c>
      <c r="E11" s="86" t="str">
        <f>_xll.EPMMemberProperty(,F11,"COMPARISON")</f>
        <v/>
      </c>
      <c r="F11" s="87" t="str">
        <f>_xll.EPMSelectMember("","[CATEGORY].[PARENTH1].[FCST_2_10]","","",FALSE)</f>
        <v>FCST_2_10</v>
      </c>
      <c r="N11" s="13" t="str">
        <f>_xll.EPMMemberProperty(,N13,"currentmonth")</f>
        <v>A</v>
      </c>
      <c r="O11" s="13" t="str">
        <f>_xll.EPMMemberProperty(,O13,"currentmonth")</f>
        <v>F</v>
      </c>
      <c r="P11" s="13" t="str">
        <f>_xll.EPMMemberProperty(,P13,"currentmonth")</f>
        <v>F</v>
      </c>
      <c r="Q11" s="13" t="str">
        <f>_xll.EPMMemberProperty(,Q13,"currentmonth")</f>
        <v>F</v>
      </c>
      <c r="R11" s="13" t="str">
        <f>_xll.EPMMemberProperty(,R13,"currentmonth")</f>
        <v>F</v>
      </c>
      <c r="S11" s="13" t="str">
        <f>_xll.EPMMemberProperty(,S13,"currentmonth")</f>
        <v>F</v>
      </c>
      <c r="T11" s="13" t="str">
        <f>_xll.EPMMemberProperty(,T13,"currentmonth")</f>
        <v>F</v>
      </c>
      <c r="U11" s="13" t="str">
        <f>_xll.EPMMemberProperty(,U13,"currentmonth")</f>
        <v>F</v>
      </c>
      <c r="V11" s="13" t="str">
        <f>_xll.EPMMemberProperty(,V13,"currentmonth")</f>
        <v>F</v>
      </c>
      <c r="W11" s="13" t="str">
        <f>_xll.EPMMemberProperty(,W13,"currentmonth")</f>
        <v>F</v>
      </c>
      <c r="X11" s="13" t="str">
        <f>_xll.EPMMemberProperty(,X13,"currentmonth")</f>
        <v>F</v>
      </c>
      <c r="Y11" s="13" t="str">
        <f>_xll.EPMMemberProperty(,Y13,"currentmonth")</f>
        <v>F</v>
      </c>
    </row>
    <row r="12" spans="1:26" ht="15" hidden="1" customHeight="1" outlineLevel="1" thickBot="1" x14ac:dyDescent="0.25">
      <c r="A12" s="1" t="s">
        <v>14</v>
      </c>
      <c r="B12" s="50" t="str">
        <f xml:space="preserve"> _xll.EPMOlapMemberO("[RPTCURRENCY].[].[LC]","","LC","","000")</f>
        <v>LC</v>
      </c>
      <c r="C12" s="11" t="s">
        <v>10</v>
      </c>
      <c r="E12" s="86" t="str">
        <f>_xll.EPMMemberProperty(,F12,"COMPARISON")</f>
        <v/>
      </c>
      <c r="F12" s="87" t="str">
        <f>_xll.EPMSelectMember("","[CATEGORY].[PARENTH1].[FCST_3_9]","","",FALSE)</f>
        <v>FCST_3_9</v>
      </c>
      <c r="N12" s="59" t="s">
        <v>66</v>
      </c>
      <c r="O12" s="59" t="s">
        <v>67</v>
      </c>
      <c r="P12" s="59" t="s">
        <v>68</v>
      </c>
      <c r="Q12" s="59" t="s">
        <v>69</v>
      </c>
      <c r="R12" s="59" t="s">
        <v>70</v>
      </c>
      <c r="S12" s="59" t="s">
        <v>71</v>
      </c>
      <c r="T12" s="59" t="s">
        <v>72</v>
      </c>
      <c r="U12" s="59" t="s">
        <v>73</v>
      </c>
      <c r="V12" s="59" t="s">
        <v>74</v>
      </c>
      <c r="W12" s="59" t="s">
        <v>75</v>
      </c>
      <c r="X12" s="59" t="s">
        <v>76</v>
      </c>
      <c r="Y12" s="59" t="s">
        <v>77</v>
      </c>
      <c r="Z12" s="59" t="s">
        <v>84</v>
      </c>
    </row>
    <row r="13" spans="1:26" ht="15" hidden="1" customHeight="1" outlineLevel="1" thickBot="1" x14ac:dyDescent="0.25">
      <c r="A13" s="1" t="s">
        <v>0</v>
      </c>
      <c r="B13" s="10" t="s">
        <v>15</v>
      </c>
      <c r="C13" s="11" t="s">
        <v>16</v>
      </c>
      <c r="E13" s="86" t="str">
        <f>_xll.EPMMemberProperty(,F13,"COMPARISON")</f>
        <v/>
      </c>
      <c r="F13" s="87" t="str">
        <f>_xll.EPMSelectMember("","[CATEGORY].[PARENTH1].[FCST_4_8]","","",FALSE)</f>
        <v>FCST_4_8</v>
      </c>
      <c r="J13" s="103"/>
      <c r="L13" s="84" t="str">
        <f>M32</f>
        <v>2023.TOTAL</v>
      </c>
      <c r="M13" s="84" t="str">
        <f>N32</f>
        <v>2023.TOTAL</v>
      </c>
      <c r="N13" s="58" t="str">
        <f t="shared" ref="N13:Z13" si="0">LEFT($L$24,5)&amp;N12</f>
        <v>2023.JAN</v>
      </c>
      <c r="O13" s="58" t="str">
        <f t="shared" si="0"/>
        <v>2023.FEB</v>
      </c>
      <c r="P13" s="58" t="str">
        <f t="shared" si="0"/>
        <v>2023.MAR</v>
      </c>
      <c r="Q13" s="58" t="str">
        <f t="shared" si="0"/>
        <v>2023.APR</v>
      </c>
      <c r="R13" s="58" t="str">
        <f t="shared" si="0"/>
        <v>2023.MAY</v>
      </c>
      <c r="S13" s="58" t="str">
        <f t="shared" si="0"/>
        <v>2023.JUN</v>
      </c>
      <c r="T13" s="58" t="str">
        <f t="shared" si="0"/>
        <v>2023.JUL</v>
      </c>
      <c r="U13" s="58" t="str">
        <f t="shared" si="0"/>
        <v>2023.AUG</v>
      </c>
      <c r="V13" s="58" t="str">
        <f t="shared" si="0"/>
        <v>2023.SEP</v>
      </c>
      <c r="W13" s="58" t="str">
        <f t="shared" si="0"/>
        <v>2023.OCT</v>
      </c>
      <c r="X13" s="58" t="str">
        <f t="shared" si="0"/>
        <v>2023.NOV</v>
      </c>
      <c r="Y13" s="58" t="str">
        <f t="shared" si="0"/>
        <v>2023.DEC</v>
      </c>
      <c r="Z13" s="58" t="str">
        <f t="shared" si="0"/>
        <v>2023.TOTAL</v>
      </c>
    </row>
    <row r="14" spans="1:26" ht="15" hidden="1" customHeight="1" outlineLevel="1" thickBot="1" x14ac:dyDescent="0.25">
      <c r="A14" s="17" t="s">
        <v>17</v>
      </c>
      <c r="B14" s="50" t="str">
        <f xml:space="preserve"> _xll.EPMOlapMemberO(D15,"[MEASURES].[].[PERIODIC]","PERIODIC","","000")</f>
        <v>PERIODIC</v>
      </c>
      <c r="C14" s="11" t="s">
        <v>10</v>
      </c>
      <c r="D14" s="15" t="b">
        <v>0</v>
      </c>
      <c r="E14" s="86" t="str">
        <f>_xll.EPMMemberProperty(,F14,"COMPARISON")</f>
        <v/>
      </c>
      <c r="F14" s="87" t="str">
        <f>_xll.EPMSelectMember("","[CATEGORY].[PARENTH1].[FCST_5_7]","","",FALSE)</f>
        <v>FCST_5_7</v>
      </c>
      <c r="J14" s="104" t="s">
        <v>98</v>
      </c>
      <c r="L14" s="84" t="str">
        <f>M31</f>
        <v>FCST_0_12</v>
      </c>
      <c r="M14" s="84" t="str">
        <f>N31</f>
        <v>FNL_BUDGET</v>
      </c>
      <c r="N14" s="54" t="str">
        <f t="shared" ref="N14:Z14" si="1">$L$22</f>
        <v>WKG_BUDGET</v>
      </c>
      <c r="O14" s="54" t="str">
        <f t="shared" si="1"/>
        <v>WKG_BUDGET</v>
      </c>
      <c r="P14" s="54" t="str">
        <f t="shared" si="1"/>
        <v>WKG_BUDGET</v>
      </c>
      <c r="Q14" s="54" t="str">
        <f t="shared" si="1"/>
        <v>WKG_BUDGET</v>
      </c>
      <c r="R14" s="54" t="str">
        <f t="shared" si="1"/>
        <v>WKG_BUDGET</v>
      </c>
      <c r="S14" s="54" t="str">
        <f t="shared" si="1"/>
        <v>WKG_BUDGET</v>
      </c>
      <c r="T14" s="54" t="str">
        <f t="shared" si="1"/>
        <v>WKG_BUDGET</v>
      </c>
      <c r="U14" s="54" t="str">
        <f t="shared" si="1"/>
        <v>WKG_BUDGET</v>
      </c>
      <c r="V14" s="54" t="str">
        <f t="shared" si="1"/>
        <v>WKG_BUDGET</v>
      </c>
      <c r="W14" s="54" t="str">
        <f t="shared" si="1"/>
        <v>WKG_BUDGET</v>
      </c>
      <c r="X14" s="54" t="str">
        <f t="shared" si="1"/>
        <v>WKG_BUDGET</v>
      </c>
      <c r="Y14" s="54" t="str">
        <f t="shared" si="1"/>
        <v>WKG_BUDGET</v>
      </c>
      <c r="Z14" s="54" t="str">
        <f t="shared" si="1"/>
        <v>WKG_BUDGET</v>
      </c>
    </row>
    <row r="15" spans="1:26" ht="15" hidden="1" customHeight="1" outlineLevel="1" thickBot="1" x14ac:dyDescent="0.25">
      <c r="A15" s="20" t="s">
        <v>18</v>
      </c>
      <c r="B15" s="21"/>
      <c r="D15" s="3" t="str">
        <f>IF(D14=FALSE,"PERIODIC","YTD")</f>
        <v>PERIODIC</v>
      </c>
      <c r="E15" s="86" t="str">
        <f>_xll.EPMMemberProperty(,F15,"COMPARISON")</f>
        <v/>
      </c>
      <c r="F15" s="87" t="str">
        <f>_xll.EPMSelectMember("","[CATEGORY].[PARENTH1].[FCST_6_6]","","",FALSE)</f>
        <v>FCST_6_6</v>
      </c>
      <c r="L15" s="55" t="str">
        <f t="shared" ref="L15:Z15" si="2">IF($L$21=$G$5,"TOTAL_EMERA","TOTAL_REST_FI")</f>
        <v>TOTAL_REST_FI</v>
      </c>
      <c r="M15" s="55" t="str">
        <f t="shared" si="2"/>
        <v>TOTAL_REST_FI</v>
      </c>
      <c r="N15" s="55" t="str">
        <f t="shared" si="2"/>
        <v>TOTAL_REST_FI</v>
      </c>
      <c r="O15" s="55" t="str">
        <f t="shared" si="2"/>
        <v>TOTAL_REST_FI</v>
      </c>
      <c r="P15" s="55" t="str">
        <f t="shared" si="2"/>
        <v>TOTAL_REST_FI</v>
      </c>
      <c r="Q15" s="55" t="str">
        <f t="shared" si="2"/>
        <v>TOTAL_REST_FI</v>
      </c>
      <c r="R15" s="55" t="str">
        <f t="shared" si="2"/>
        <v>TOTAL_REST_FI</v>
      </c>
      <c r="S15" s="55" t="str">
        <f t="shared" si="2"/>
        <v>TOTAL_REST_FI</v>
      </c>
      <c r="T15" s="55" t="str">
        <f t="shared" si="2"/>
        <v>TOTAL_REST_FI</v>
      </c>
      <c r="U15" s="55" t="str">
        <f t="shared" si="2"/>
        <v>TOTAL_REST_FI</v>
      </c>
      <c r="V15" s="55" t="str">
        <f t="shared" si="2"/>
        <v>TOTAL_REST_FI</v>
      </c>
      <c r="W15" s="55" t="str">
        <f t="shared" si="2"/>
        <v>TOTAL_REST_FI</v>
      </c>
      <c r="X15" s="55" t="str">
        <f t="shared" si="2"/>
        <v>TOTAL_REST_FI</v>
      </c>
      <c r="Y15" s="55" t="str">
        <f t="shared" si="2"/>
        <v>TOTAL_REST_FI</v>
      </c>
      <c r="Z15" s="55" t="str">
        <f t="shared" si="2"/>
        <v>TOTAL_REST_FI</v>
      </c>
    </row>
    <row r="16" spans="1:26" ht="15" hidden="1" customHeight="1" outlineLevel="1" thickBot="1" x14ac:dyDescent="0.25">
      <c r="A16" s="18" t="s">
        <v>12</v>
      </c>
      <c r="B16" s="19" t="str">
        <f>L23</f>
        <v>E_2301</v>
      </c>
      <c r="C16" s="52" t="s">
        <v>58</v>
      </c>
      <c r="E16" s="86" t="str">
        <f>_xll.EPMMemberProperty(,F16,"COMPARISON")</f>
        <v/>
      </c>
      <c r="F16" s="87" t="str">
        <f>_xll.EPMSelectMember("","[CATEGORY].[PARENTH1].[FCST_7_5]","","",FALSE)</f>
        <v>FCST_7_5</v>
      </c>
    </row>
    <row r="17" spans="1:27" ht="15" hidden="1" customHeight="1" outlineLevel="1" thickBot="1" x14ac:dyDescent="0.3">
      <c r="A17" s="22" t="s">
        <v>64</v>
      </c>
      <c r="B17" s="51" t="str">
        <f>IF(C17=1,"",_xll.EPMDimensionOverride($B$1,$A$5,VLOOKUP(L25,$I$1:$J$3,2,"FALSE")))</f>
        <v>Expansion of C_ACCOUNT Overriden</v>
      </c>
      <c r="C17" s="15">
        <v>2</v>
      </c>
      <c r="D17" s="3" t="s">
        <v>96</v>
      </c>
      <c r="E17" s="86" t="str">
        <f>_xll.EPMMemberProperty(,F17,"COMPARISON")</f>
        <v/>
      </c>
      <c r="F17" s="87" t="str">
        <f>_xll.EPMSelectMember("","[CATEGORY].[PARENTH1].[FCST_8_4]","","",FALSE)</f>
        <v>FCST_8_4</v>
      </c>
      <c r="L17" s="158" t="str">
        <f xml:space="preserve"> _xll.EPMOlapMemberO("[Blank Member]","","","","000")</f>
        <v/>
      </c>
      <c r="M17" s="158" t="str">
        <f xml:space="preserve"> _xll.EPMOlapMemberO(L13,"[TIME].[PARENTH1].[2023.TOTAL]","2023 TOTAL","","000")</f>
        <v>2023.TOTAL</v>
      </c>
      <c r="N17" s="158" t="str">
        <f xml:space="preserve"> _xll.EPMOlapMemberO(M13,"[TIME].[PARENTH1].[2023.TOTAL]","2023 TOTAL","","000")</f>
        <v>2023.TOTAL</v>
      </c>
      <c r="O17" s="158" t="str">
        <f xml:space="preserve"> _xll.EPMOlapMemberO(N13,"[TIME].[PARENTH1].[2023.JAN]","2023 JAN","","000")</f>
        <v>2023.JAN</v>
      </c>
      <c r="P17" s="158" t="str">
        <f xml:space="preserve"> _xll.EPMOlapMemberO(O13,"[TIME].[PARENTH1].[2023.FEB]","2023 FEB","","000")</f>
        <v>2023.FEB</v>
      </c>
      <c r="Q17" s="158" t="str">
        <f xml:space="preserve"> _xll.EPMOlapMemberO(P13,"[TIME].[PARENTH1].[2023.MAR]","2023 MAR","","000")</f>
        <v>2023.MAR</v>
      </c>
      <c r="R17" s="158" t="str">
        <f xml:space="preserve"> _xll.EPMOlapMemberO(Q13,"[TIME].[PARENTH1].[2023.APR]","2023 APR","","000")</f>
        <v>2023.APR</v>
      </c>
      <c r="S17" s="158" t="str">
        <f xml:space="preserve"> _xll.EPMOlapMemberO(R13,"[TIME].[PARENTH1].[2023.MAY]","2023 MAY","","000")</f>
        <v>2023.MAY</v>
      </c>
      <c r="T17" s="158" t="str">
        <f xml:space="preserve"> _xll.EPMOlapMemberO(S13,"[TIME].[PARENTH1].[2023.JUN]","2023 JUN","","000")</f>
        <v>2023.JUN</v>
      </c>
      <c r="U17" s="158" t="str">
        <f xml:space="preserve"> _xll.EPMOlapMemberO(T13,"[TIME].[PARENTH1].[2023.JUL]","2023 JUL","","000")</f>
        <v>2023.JUL</v>
      </c>
      <c r="V17" s="158" t="str">
        <f xml:space="preserve"> _xll.EPMOlapMemberO(U13,"[TIME].[PARENTH1].[2023.AUG]","2023 AUG","","000")</f>
        <v>2023.AUG</v>
      </c>
      <c r="W17" s="158" t="str">
        <f xml:space="preserve"> _xll.EPMOlapMemberO(V13,"[TIME].[PARENTH1].[2023.SEP]","2023 SEP","","000")</f>
        <v>2023.SEP</v>
      </c>
      <c r="X17" s="158" t="str">
        <f xml:space="preserve"> _xll.EPMOlapMemberO(W13,"[TIME].[PARENTH1].[2023.OCT]","2023 OCT","","000")</f>
        <v>2023.OCT</v>
      </c>
      <c r="Y17" s="158" t="str">
        <f xml:space="preserve"> _xll.EPMOlapMemberO(X13,"[TIME].[PARENTH1].[2023.NOV]","2023 NOV","","000")</f>
        <v>2023.NOV</v>
      </c>
      <c r="Z17" s="158" t="str">
        <f xml:space="preserve"> _xll.EPMOlapMemberO(Y13,"[TIME].[PARENTH1].[2023.DEC]","2023 DEC","","000")</f>
        <v>2023.DEC</v>
      </c>
      <c r="AA17" s="158" t="str">
        <f xml:space="preserve"> _xll.EPMOlapMemberO(Z13,"[TIME].[PARENTH1].[2023.TOTAL]","2023 TOTAL","","000")</f>
        <v>2023.TOTAL</v>
      </c>
    </row>
    <row r="18" spans="1:27" ht="15" hidden="1" customHeight="1" outlineLevel="1" x14ac:dyDescent="0.25">
      <c r="B18" s="51" t="str">
        <f>_xll.EPMDimensionOverride($B$1,$A$7,$D$7)</f>
        <v>Expansion of COSTCENTER Overriden</v>
      </c>
      <c r="D18" s="3" t="s">
        <v>97</v>
      </c>
      <c r="E18" s="86" t="str">
        <f>_xll.EPMMemberProperty(,F18,"COMPARISON")</f>
        <v/>
      </c>
      <c r="F18" s="87" t="str">
        <f>_xll.EPMSelectMember("","[CATEGORY].[PARENTH1].[FCST_9_3]","","",FALSE)</f>
        <v>FCST_9_3</v>
      </c>
      <c r="L18" s="158" t="str">
        <f xml:space="preserve"> _xll.EPMOlapMemberO("[Blank Member]","","","","000")</f>
        <v/>
      </c>
      <c r="M18" s="158" t="str">
        <f xml:space="preserve"> _xll.EPMOlapMemberO(L14,"[CATEGORY].[PARENTH1].[FCST_0_12]","FCST_0_12","","000")</f>
        <v>FCST_0_12</v>
      </c>
      <c r="N18" s="158" t="str">
        <f xml:space="preserve"> _xll.EPMOlapMemberO(M14,"[CATEGORY].[PARENTH1].[FNL_BUDGET]","FNL_BUDGET","","000")</f>
        <v>FNL_BUDGET</v>
      </c>
      <c r="O18" s="158" t="str">
        <f xml:space="preserve"> _xll.EPMOlapMemberO(N14,"[CATEGORY].[PARENTH1].[WKG_BUDGET]","WKG_BUDGET","","000")</f>
        <v>WKG_BUDGET</v>
      </c>
      <c r="P18" s="158" t="str">
        <f xml:space="preserve"> _xll.EPMOlapMemberO(O14,"[CATEGORY].[PARENTH1].[WKG_BUDGET]","WKG_BUDGET","","000")</f>
        <v>WKG_BUDGET</v>
      </c>
      <c r="Q18" s="158" t="str">
        <f xml:space="preserve"> _xll.EPMOlapMemberO(P14,"[CATEGORY].[PARENTH1].[WKG_BUDGET]","WKG_BUDGET","","000")</f>
        <v>WKG_BUDGET</v>
      </c>
      <c r="R18" s="158" t="str">
        <f xml:space="preserve"> _xll.EPMOlapMemberO(Q14,"[CATEGORY].[PARENTH1].[WKG_BUDGET]","WKG_BUDGET","","000")</f>
        <v>WKG_BUDGET</v>
      </c>
      <c r="S18" s="158" t="str">
        <f xml:space="preserve"> _xll.EPMOlapMemberO(R14,"[CATEGORY].[PARENTH1].[WKG_BUDGET]","WKG_BUDGET","","000")</f>
        <v>WKG_BUDGET</v>
      </c>
      <c r="T18" s="158" t="str">
        <f xml:space="preserve"> _xll.EPMOlapMemberO(S14,"[CATEGORY].[PARENTH1].[WKG_BUDGET]","WKG_BUDGET","","000")</f>
        <v>WKG_BUDGET</v>
      </c>
      <c r="U18" s="158" t="str">
        <f xml:space="preserve"> _xll.EPMOlapMemberO(T14,"[CATEGORY].[PARENTH1].[WKG_BUDGET]","WKG_BUDGET","","000")</f>
        <v>WKG_BUDGET</v>
      </c>
      <c r="V18" s="158" t="str">
        <f xml:space="preserve"> _xll.EPMOlapMemberO(U14,"[CATEGORY].[PARENTH1].[WKG_BUDGET]","WKG_BUDGET","","000")</f>
        <v>WKG_BUDGET</v>
      </c>
      <c r="W18" s="158" t="str">
        <f xml:space="preserve"> _xll.EPMOlapMemberO(V14,"[CATEGORY].[PARENTH1].[WKG_BUDGET]","WKG_BUDGET","","000")</f>
        <v>WKG_BUDGET</v>
      </c>
      <c r="X18" s="158" t="str">
        <f xml:space="preserve"> _xll.EPMOlapMemberO(W14,"[CATEGORY].[PARENTH1].[WKG_BUDGET]","WKG_BUDGET","","000")</f>
        <v>WKG_BUDGET</v>
      </c>
      <c r="Y18" s="158" t="str">
        <f xml:space="preserve"> _xll.EPMOlapMemberO(X14,"[CATEGORY].[PARENTH1].[WKG_BUDGET]","WKG_BUDGET","","000")</f>
        <v>WKG_BUDGET</v>
      </c>
      <c r="Z18" s="158" t="str">
        <f xml:space="preserve"> _xll.EPMOlapMemberO(Y14,"[CATEGORY].[PARENTH1].[WKG_BUDGET]","WKG_BUDGET","","000")</f>
        <v>WKG_BUDGET</v>
      </c>
      <c r="AA18" s="158" t="str">
        <f xml:space="preserve"> _xll.EPMOlapMemberO(Z14,"[CATEGORY].[PARENTH1].[WKG_BUDGET]","WKG_BUDGET","","000")</f>
        <v>WKG_BUDGET</v>
      </c>
    </row>
    <row r="19" spans="1:27" ht="15" hidden="1" customHeight="1" outlineLevel="1" x14ac:dyDescent="0.25">
      <c r="E19" s="86" t="str">
        <f>_xll.EPMMemberProperty(,F19,"COMPARISON")</f>
        <v/>
      </c>
      <c r="F19" s="87" t="str">
        <f>_xll.EPMSelectMember("","[CATEGORY].[PARENTH1].[FCST_10_2]","","",FALSE)</f>
        <v>FCST_10_2</v>
      </c>
      <c r="L19" s="158" t="str">
        <f xml:space="preserve"> _xll.FPMXLClient.TechnicalCategory.EPMLocalMember("","000","000")</f>
        <v/>
      </c>
      <c r="M19" s="158" t="str">
        <f xml:space="preserve"> _xll.EPMOlapMemberO(L15,"[DATASOURCE].[PARENTH1].[TOTAL_REST_FI]","TOTAL_REST_FI","","000")</f>
        <v>TOTAL_REST_FI</v>
      </c>
      <c r="N19" s="158" t="str">
        <f xml:space="preserve"> _xll.EPMOlapMemberO(M15,"[DATASOURCE].[PARENTH1].[TOTAL_REST_FI]","TOTAL_REST_FI","","000")</f>
        <v>TOTAL_REST_FI</v>
      </c>
      <c r="O19" s="158" t="str">
        <f xml:space="preserve"> _xll.EPMOlapMemberO(N15,"[DATASOURCE].[PARENTH1].[TOTAL_REST_FI]","TOTAL_REST_FI","","000")</f>
        <v>TOTAL_REST_FI</v>
      </c>
      <c r="P19" s="158" t="str">
        <f xml:space="preserve"> _xll.EPMOlapMemberO(O15,"[DATASOURCE].[PARENTH1].[TOTAL_REST_FI]","TOTAL_REST_FI","","000")</f>
        <v>TOTAL_REST_FI</v>
      </c>
      <c r="Q19" s="158" t="str">
        <f xml:space="preserve"> _xll.EPMOlapMemberO(P15,"[DATASOURCE].[PARENTH1].[TOTAL_REST_FI]","TOTAL_REST_FI","","000")</f>
        <v>TOTAL_REST_FI</v>
      </c>
      <c r="R19" s="158" t="str">
        <f xml:space="preserve"> _xll.EPMOlapMemberO(Q15,"[DATASOURCE].[PARENTH1].[TOTAL_REST_FI]","TOTAL_REST_FI","","000")</f>
        <v>TOTAL_REST_FI</v>
      </c>
      <c r="S19" s="158" t="str">
        <f xml:space="preserve"> _xll.EPMOlapMemberO(R15,"[DATASOURCE].[PARENTH1].[TOTAL_REST_FI]","TOTAL_REST_FI","","000")</f>
        <v>TOTAL_REST_FI</v>
      </c>
      <c r="T19" s="158" t="str">
        <f xml:space="preserve"> _xll.EPMOlapMemberO(S15,"[DATASOURCE].[PARENTH1].[TOTAL_REST_FI]","TOTAL_REST_FI","","000")</f>
        <v>TOTAL_REST_FI</v>
      </c>
      <c r="U19" s="158" t="str">
        <f xml:space="preserve"> _xll.EPMOlapMemberO(T15,"[DATASOURCE].[PARENTH1].[TOTAL_REST_FI]","TOTAL_REST_FI","","000")</f>
        <v>TOTAL_REST_FI</v>
      </c>
      <c r="V19" s="158" t="str">
        <f xml:space="preserve"> _xll.EPMOlapMemberO(U15,"[DATASOURCE].[PARENTH1].[TOTAL_REST_FI]","TOTAL_REST_FI","","000")</f>
        <v>TOTAL_REST_FI</v>
      </c>
      <c r="W19" s="158" t="str">
        <f xml:space="preserve"> _xll.EPMOlapMemberO(V15,"[DATASOURCE].[PARENTH1].[TOTAL_REST_FI]","TOTAL_REST_FI","","000")</f>
        <v>TOTAL_REST_FI</v>
      </c>
      <c r="X19" s="158" t="str">
        <f xml:space="preserve"> _xll.EPMOlapMemberO(W15,"[DATASOURCE].[PARENTH1].[TOTAL_REST_FI]","TOTAL_REST_FI","","000")</f>
        <v>TOTAL_REST_FI</v>
      </c>
      <c r="Y19" s="158" t="str">
        <f xml:space="preserve"> _xll.EPMOlapMemberO(X15,"[DATASOURCE].[PARENTH1].[TOTAL_REST_FI]","TOTAL_REST_FI","","000")</f>
        <v>TOTAL_REST_FI</v>
      </c>
      <c r="Z19" s="158" t="str">
        <f xml:space="preserve"> _xll.EPMOlapMemberO(Y15,"[DATASOURCE].[PARENTH1].[TOTAL_REST_FI]","TOTAL_REST_FI","","000")</f>
        <v>TOTAL_REST_FI</v>
      </c>
      <c r="AA19" s="158" t="str">
        <f xml:space="preserve"> _xll.EPMOlapMemberO(Z15,"[DATASOURCE].[PARENTH1].[TOTAL_REST_FI]","TOTAL_REST_FI","","000")</f>
        <v>TOTAL_REST_FI</v>
      </c>
    </row>
    <row r="20" spans="1:27" ht="36.950000000000003" customHeight="1" collapsed="1" thickBot="1" x14ac:dyDescent="0.25">
      <c r="E20" s="86" t="str">
        <f>_xll.EPMMemberProperty(,F20,"COMPARISON")</f>
        <v>CURRENT</v>
      </c>
      <c r="F20" s="87" t="str">
        <f>_xll.EPMSelectMember("","[CATEGORY].[PARENTH1].[FCST_11_1]","","",FALSE)</f>
        <v>FCST_11_1</v>
      </c>
    </row>
    <row r="21" spans="1:27" ht="15" customHeight="1" thickBot="1" x14ac:dyDescent="0.25">
      <c r="K21" s="73" t="s">
        <v>83</v>
      </c>
      <c r="L21" s="122" t="s">
        <v>88</v>
      </c>
    </row>
    <row r="22" spans="1:27" ht="15" customHeight="1" thickBot="1" x14ac:dyDescent="0.35">
      <c r="K22" s="88" t="s">
        <v>79</v>
      </c>
      <c r="L22" s="122" t="str">
        <f>_xll.EPMSelectMember("","[CATEGORY].[PARENTH1].[WKG_BUDGET]","","",FALSE)</f>
        <v>WKG_BUDGET</v>
      </c>
      <c r="M22" s="61"/>
      <c r="N22" s="61"/>
      <c r="O22" s="119" t="str">
        <f>_xll.EPMMemberDesc(L22)</f>
        <v>WORKING BUDGET</v>
      </c>
    </row>
    <row r="23" spans="1:27" ht="15" customHeight="1" thickBot="1" x14ac:dyDescent="0.35">
      <c r="K23" s="88" t="s">
        <v>80</v>
      </c>
      <c r="L23" s="122" t="str">
        <f>_xll.EPMContextMember(,"ENTITY")</f>
        <v>E_2301</v>
      </c>
      <c r="M23" s="61"/>
      <c r="N23" s="61"/>
      <c r="O23" s="119" t="str">
        <f>_xll.EPMMemberDesc(L23)</f>
        <v>Peoples Gas</v>
      </c>
    </row>
    <row r="24" spans="1:27" ht="15" customHeight="1" thickBot="1" x14ac:dyDescent="0.35">
      <c r="F24" s="5"/>
      <c r="K24" s="88" t="s">
        <v>81</v>
      </c>
      <c r="L24" s="122" t="str">
        <f>_xll.EPMContextMember(,"TIME","PERIOD=TOTAL")</f>
        <v>2023.TOTAL</v>
      </c>
      <c r="M24" s="61"/>
      <c r="N24" s="61"/>
      <c r="O24" s="119" t="str">
        <f>_xll.EPMMemberDesc(L24)</f>
        <v>2023 TOTAL</v>
      </c>
    </row>
    <row r="25" spans="1:27" ht="15" customHeight="1" thickBot="1" x14ac:dyDescent="0.35">
      <c r="F25" s="5"/>
      <c r="G25" s="5"/>
      <c r="K25" s="89" t="s">
        <v>82</v>
      </c>
      <c r="L25" s="121" t="s">
        <v>61</v>
      </c>
      <c r="Q25" s="71"/>
    </row>
    <row r="26" spans="1:27" ht="27" customHeight="1" thickBot="1" x14ac:dyDescent="0.35">
      <c r="F26" s="5"/>
      <c r="G26" s="5"/>
      <c r="K26" s="89"/>
      <c r="L26" s="120" t="str">
        <f>_xll.EPMMemberDesc(L23)</f>
        <v>Peoples Gas</v>
      </c>
      <c r="Q26" s="71"/>
    </row>
    <row r="27" spans="1:27" ht="17.100000000000001" customHeight="1" x14ac:dyDescent="0.3">
      <c r="F27" s="5"/>
      <c r="G27" s="5"/>
      <c r="J27" s="62"/>
      <c r="K27" s="107"/>
      <c r="L27" s="63"/>
      <c r="M27" s="67"/>
      <c r="N27" s="67"/>
      <c r="P27" s="116" t="s">
        <v>65</v>
      </c>
    </row>
    <row r="28" spans="1:27" ht="17.100000000000001" customHeight="1" x14ac:dyDescent="0.3">
      <c r="F28" s="5"/>
      <c r="G28" s="5"/>
      <c r="J28" s="110" t="s">
        <v>105</v>
      </c>
      <c r="K28" s="106"/>
      <c r="L28" s="108"/>
      <c r="M28" s="68"/>
      <c r="N28" s="68"/>
    </row>
    <row r="29" spans="1:27" ht="17.100000000000001" customHeight="1" thickBot="1" x14ac:dyDescent="0.35">
      <c r="F29" s="5"/>
      <c r="G29" s="5"/>
      <c r="J29" s="64"/>
      <c r="K29" s="109"/>
      <c r="L29" s="65"/>
      <c r="M29" s="67"/>
      <c r="N29" s="67"/>
      <c r="P29" s="72" t="s">
        <v>20</v>
      </c>
    </row>
    <row r="30" spans="1:27" ht="15" customHeight="1" x14ac:dyDescent="0.3">
      <c r="F30" s="5"/>
      <c r="G30" s="5"/>
      <c r="H30" s="14" t="s">
        <v>19</v>
      </c>
    </row>
    <row r="31" spans="1:27" ht="15" customHeight="1" x14ac:dyDescent="0.3">
      <c r="F31" s="5"/>
      <c r="G31" s="5"/>
      <c r="H31" s="14" t="s">
        <v>19</v>
      </c>
      <c r="I31" s="15"/>
      <c r="J31" s="117" t="s">
        <v>92</v>
      </c>
      <c r="K31" s="103"/>
      <c r="L31" s="103"/>
      <c r="M31" s="85" t="str">
        <f>_xll.EPMSelectMember(,$F$8)</f>
        <v>FCST_0_12</v>
      </c>
      <c r="N31" s="85" t="str">
        <f>_xll.EPMSelectMember(,"FNL_BUDGET")</f>
        <v>FNL_BUDGET</v>
      </c>
      <c r="O31" s="69" t="str">
        <f>IF($L$22="FORECAST",IF(OR(N11="PA",N11="A")=TRUE,"ACTUAL",_xll.EPMMemberDesc(N14)),_xll.EPMMemberDesc(N14))</f>
        <v>WORKING BUDGET</v>
      </c>
      <c r="P31" s="69" t="str">
        <f>IF($L$22="FORECAST",IF(OR(O11="PA",O11="A")=TRUE,"ACTUAL",_xll.EPMMemberDesc(O14)),_xll.EPMMemberDesc(O14))</f>
        <v>WORKING BUDGET</v>
      </c>
      <c r="Q31" s="69" t="str">
        <f>IF($L$22="FORECAST",IF(OR(P11="PA",P11="A")=TRUE,"ACTUAL",_xll.EPMMemberDesc(P14)),_xll.EPMMemberDesc(P14))</f>
        <v>WORKING BUDGET</v>
      </c>
      <c r="R31" s="69" t="str">
        <f>IF($L$22="FORECAST",IF(OR(Q11="PA",Q11="A")=TRUE,"ACTUAL",_xll.EPMMemberDesc(Q14)),_xll.EPMMemberDesc(Q14))</f>
        <v>WORKING BUDGET</v>
      </c>
      <c r="S31" s="69" t="str">
        <f>IF($L$22="FORECAST",IF(OR(R11="PA",R11="A")=TRUE,"ACTUAL",_xll.EPMMemberDesc(R14)),_xll.EPMMemberDesc(R14))</f>
        <v>WORKING BUDGET</v>
      </c>
      <c r="T31" s="69" t="str">
        <f>IF($L$22="FORECAST",IF(OR(S11="PA",S11="A")=TRUE,"ACTUAL",_xll.EPMMemberDesc(S14)),_xll.EPMMemberDesc(S14))</f>
        <v>WORKING BUDGET</v>
      </c>
      <c r="U31" s="69" t="str">
        <f>IF($L$22="FORECAST",IF(OR(T11="PA",T11="A")=TRUE,"ACTUAL",_xll.EPMMemberDesc(T14)),_xll.EPMMemberDesc(T14))</f>
        <v>WORKING BUDGET</v>
      </c>
      <c r="V31" s="69" t="str">
        <f>IF($L$22="FORECAST",IF(OR(U11="PA",U11="A")=TRUE,"ACTUAL",_xll.EPMMemberDesc(U14)),_xll.EPMMemberDesc(U14))</f>
        <v>WORKING BUDGET</v>
      </c>
      <c r="W31" s="69" t="str">
        <f>IF($L$22="FORECAST",IF(OR(V11="PA",V11="A")=TRUE,"ACTUAL",_xll.EPMMemberDesc(V14)),_xll.EPMMemberDesc(V14))</f>
        <v>WORKING BUDGET</v>
      </c>
      <c r="X31" s="69" t="str">
        <f>IF($L$22="FORECAST",IF(OR(W11="PA",W11="A")=TRUE,"ACTUAL",_xll.EPMMemberDesc(W14)),_xll.EPMMemberDesc(W14))</f>
        <v>WORKING BUDGET</v>
      </c>
      <c r="Y31" s="69" t="str">
        <f>IF($L$22="FORECAST",IF(OR(X11="PA",X11="A")=TRUE,"ACTUAL",_xll.EPMMemberDesc(X14)),_xll.EPMMemberDesc(X14))</f>
        <v>WORKING BUDGET</v>
      </c>
      <c r="Z31" s="69" t="str">
        <f>IF($L$22="FORECAST",IF(OR(Y11="PA",Y11="A")=TRUE,"ACTUAL",_xll.EPMMemberDesc(Y14)),_xll.EPMMemberDesc(Y14))</f>
        <v>WORKING BUDGET</v>
      </c>
      <c r="AA31" s="69" t="str">
        <f>IF($L$22="FORECAST",IF(OR(Z11="PA",Z11="A")=TRUE,"ACTUAL",_xll.EPMMemberDesc(Z14)),_xll.EPMMemberDesc(Z14))</f>
        <v>WORKING BUDGET</v>
      </c>
    </row>
    <row r="32" spans="1:27" ht="15" customHeight="1" x14ac:dyDescent="0.3">
      <c r="F32" s="5"/>
      <c r="G32" s="5"/>
      <c r="H32" s="15"/>
      <c r="I32" s="15"/>
      <c r="J32" s="118" t="s">
        <v>93</v>
      </c>
      <c r="K32" s="104" t="s">
        <v>98</v>
      </c>
      <c r="L32" s="104" t="s">
        <v>99</v>
      </c>
      <c r="M32" s="85" t="str">
        <f>_xll.EPMSelectMember(,$L$24)</f>
        <v>2023.TOTAL</v>
      </c>
      <c r="N32" s="85" t="str">
        <f>_xll.EPMSelectMember(,$L$24)</f>
        <v>2023.TOTAL</v>
      </c>
      <c r="O32" s="70" t="str">
        <f>_xll.EPMMemberDesc(N13)</f>
        <v>2023 JAN</v>
      </c>
      <c r="P32" s="70" t="str">
        <f>_xll.EPMMemberDesc(O13)</f>
        <v>2023 FEB</v>
      </c>
      <c r="Q32" s="70" t="str">
        <f>_xll.EPMMemberDesc(P13)</f>
        <v>2023 MAR</v>
      </c>
      <c r="R32" s="70" t="str">
        <f>_xll.EPMMemberDesc(Q13)</f>
        <v>2023 APR</v>
      </c>
      <c r="S32" s="70" t="str">
        <f>_xll.EPMMemberDesc(R13)</f>
        <v>2023 MAY</v>
      </c>
      <c r="T32" s="70" t="str">
        <f>_xll.EPMMemberDesc(S13)</f>
        <v>2023 JUN</v>
      </c>
      <c r="U32" s="70" t="str">
        <f>_xll.EPMMemberDesc(T13)</f>
        <v>2023 JUL</v>
      </c>
      <c r="V32" s="70" t="str">
        <f>_xll.EPMMemberDesc(U13)</f>
        <v>2023 AUG</v>
      </c>
      <c r="W32" s="70" t="str">
        <f>_xll.EPMMemberDesc(V13)</f>
        <v>2023 SEP</v>
      </c>
      <c r="X32" s="70" t="str">
        <f>_xll.EPMMemberDesc(W13)</f>
        <v>2023 OCT</v>
      </c>
      <c r="Y32" s="70" t="str">
        <f>_xll.EPMMemberDesc(X13)</f>
        <v>2023 NOV</v>
      </c>
      <c r="Z32" s="70" t="str">
        <f>_xll.EPMMemberDesc(Y13)</f>
        <v>2023 DEC</v>
      </c>
      <c r="AA32" s="70" t="str">
        <f>_xll.EPMMemberDesc(Z13)</f>
        <v>2023 TOTAL</v>
      </c>
    </row>
    <row r="33" spans="4:27" ht="8.65" customHeight="1" x14ac:dyDescent="0.3">
      <c r="F33" s="5"/>
      <c r="G33" s="5"/>
      <c r="I33" s="15"/>
      <c r="J33" s="15"/>
      <c r="K33" s="15"/>
      <c r="L33" s="15"/>
      <c r="M33" s="15"/>
      <c r="N33" s="15"/>
    </row>
    <row r="34" spans="4:27" ht="15" customHeight="1" x14ac:dyDescent="0.3">
      <c r="F34" s="5"/>
      <c r="G34" s="5"/>
      <c r="J34" s="115" t="str">
        <f xml:space="preserve"> _xll.EPMOlapMemberO("[COSTCENTER].[PARENTH1].[1001]","","1001","","000")</f>
        <v>1001</v>
      </c>
      <c r="K34" s="115" t="str">
        <f xml:space="preserve"> _xll.EPMOlapMemberO("[C_ACCOUNT].[PARENTH2].[RECON]","","RECON","","000")</f>
        <v>RECON</v>
      </c>
      <c r="L34" s="115" t="str">
        <f>_xll.EPMMemberDesc(K34)</f>
        <v>Net Income</v>
      </c>
      <c r="M34" s="114">
        <v>84702060.286948502</v>
      </c>
      <c r="N34" s="114">
        <v>84707230.383992299</v>
      </c>
      <c r="O34" s="114">
        <v>9570160.3602814991</v>
      </c>
      <c r="P34" s="114">
        <v>8660134.5869824998</v>
      </c>
      <c r="Q34" s="114">
        <v>10801310.2208541</v>
      </c>
      <c r="R34" s="114">
        <v>7004475.4626492001</v>
      </c>
      <c r="S34" s="114">
        <v>5310541.8954213001</v>
      </c>
      <c r="T34" s="114">
        <v>6878168.1710884003</v>
      </c>
      <c r="U34" s="114">
        <v>4422971.7958294004</v>
      </c>
      <c r="V34" s="114">
        <v>4216783.8093245002</v>
      </c>
      <c r="W34" s="114">
        <v>6262710.6788707003</v>
      </c>
      <c r="X34" s="114">
        <v>3193995.1911724</v>
      </c>
      <c r="Y34" s="114">
        <v>5800514.2451163996</v>
      </c>
      <c r="Z34" s="114">
        <v>12585463.966401899</v>
      </c>
      <c r="AA34" s="114">
        <v>84707230.383992299</v>
      </c>
    </row>
    <row r="35" spans="4:27" ht="15" customHeight="1" x14ac:dyDescent="0.3">
      <c r="F35" s="5"/>
      <c r="G35" s="5"/>
      <c r="J35" s="115" t="str">
        <f xml:space="preserve"> _xll.EPMOlapMemberO("[COSTCENTER].[PARENTH1].[1001]","","1001","","000")</f>
        <v>1001</v>
      </c>
      <c r="K35" s="159" t="str">
        <f xml:space="preserve"> _xll.EPMOlapMemberO("[C_ACCOUNT].[PARENTH2].[IS_RC]","","IS_RC","","000")</f>
        <v>IS_RC</v>
      </c>
      <c r="L35" s="115" t="str">
        <f>_xll.EPMMemberDesc(K35)</f>
        <v>Pre-Tax Income</v>
      </c>
      <c r="M35" s="114">
        <v>110672075.9269485</v>
      </c>
      <c r="N35" s="114">
        <v>110485740.7539923</v>
      </c>
      <c r="O35" s="114">
        <v>12694316.430281499</v>
      </c>
      <c r="P35" s="114">
        <v>11430223.5869825</v>
      </c>
      <c r="Q35" s="114">
        <v>13946352.000854099</v>
      </c>
      <c r="R35" s="114">
        <v>9167197.5726491995</v>
      </c>
      <c r="S35" s="114">
        <v>6908935.5754212998</v>
      </c>
      <c r="T35" s="114">
        <v>8927604.5510884002</v>
      </c>
      <c r="U35" s="114">
        <v>5721167.3858294003</v>
      </c>
      <c r="V35" s="114">
        <v>5442152.0193245001</v>
      </c>
      <c r="W35" s="114">
        <v>8182966.8488707002</v>
      </c>
      <c r="X35" s="114">
        <v>4048242.4011724</v>
      </c>
      <c r="Y35" s="114">
        <v>7565494.8151163999</v>
      </c>
      <c r="Z35" s="114">
        <v>16451087.566401901</v>
      </c>
      <c r="AA35" s="114">
        <v>110485740.7539923</v>
      </c>
    </row>
    <row r="36" spans="4:27" ht="15" customHeight="1" x14ac:dyDescent="0.3">
      <c r="F36" s="5"/>
      <c r="G36" s="5"/>
      <c r="J36" s="115" t="str">
        <f xml:space="preserve"> _xll.EPMOlapMemberO("[COSTCENTER].[PARENTH1].[1001]","","1001","","000")</f>
        <v>1001</v>
      </c>
      <c r="K36" s="160" t="str">
        <f xml:space="preserve"> _xll.EPMOlapMemberO("[C_ACCOUNT].[PARENTH2].[OPINC_RC]","","OPINC_RC","","000")</f>
        <v>OPINC_RC</v>
      </c>
      <c r="L36" s="115" t="str">
        <f>_xll.EPMMemberDesc(K36)</f>
        <v>Operating Income</v>
      </c>
      <c r="M36" s="114">
        <v>139649517.93194851</v>
      </c>
      <c r="N36" s="114">
        <v>140010753.5284476</v>
      </c>
      <c r="O36" s="114">
        <v>14655515.8814773</v>
      </c>
      <c r="P36" s="114">
        <v>13357317.3009717</v>
      </c>
      <c r="Q36" s="114">
        <v>16043638.7053212</v>
      </c>
      <c r="R36" s="114">
        <v>11129655.854553699</v>
      </c>
      <c r="S36" s="114">
        <v>8966136.7533077002</v>
      </c>
      <c r="T36" s="114">
        <v>11088921.881277099</v>
      </c>
      <c r="U36" s="114">
        <v>7840619.2935678</v>
      </c>
      <c r="V36" s="114">
        <v>7597737.9336644001</v>
      </c>
      <c r="W36" s="114">
        <v>10291354.844224799</v>
      </c>
      <c r="X36" s="114">
        <v>8010632.8678930001</v>
      </c>
      <c r="Y36" s="114">
        <v>11086731.3990853</v>
      </c>
      <c r="Z36" s="114">
        <v>19942490.813103601</v>
      </c>
      <c r="AA36" s="114">
        <v>140010753.5284476</v>
      </c>
    </row>
    <row r="37" spans="4:27" ht="15" customHeight="1" x14ac:dyDescent="0.3">
      <c r="F37" s="5"/>
      <c r="G37" s="5"/>
      <c r="J37" s="115" t="str">
        <f xml:space="preserve"> _xll.EPMOlapMemberO("[COSTCENTER].[PARENTH1].[1001]","","1001","","000")</f>
        <v>1001</v>
      </c>
      <c r="K37" s="161" t="str">
        <f xml:space="preserve"> _xll.EPMOlapMemberO("[C_ACCOUNT].[PARENTH2].[BASE_REV_RC]","","BASE_REV_RC","","000")</f>
        <v>BASE_REV_RC</v>
      </c>
      <c r="L37" s="115" t="str">
        <f>_xll.EPMMemberDesc(K37)</f>
        <v>Base Revenue</v>
      </c>
      <c r="M37" s="114">
        <v>315475223.82331061</v>
      </c>
      <c r="N37" s="114">
        <v>316532104.5187577</v>
      </c>
      <c r="O37" s="114">
        <v>30148296.991748001</v>
      </c>
      <c r="P37" s="114">
        <v>28666722.805989899</v>
      </c>
      <c r="Q37" s="114">
        <v>27922525.722130001</v>
      </c>
      <c r="R37" s="114">
        <v>26383736.732940901</v>
      </c>
      <c r="S37" s="114">
        <v>25042734.320993599</v>
      </c>
      <c r="T37" s="114">
        <v>24700733.439047899</v>
      </c>
      <c r="U37" s="114">
        <v>24065050.8447093</v>
      </c>
      <c r="V37" s="114">
        <v>23907369.0036567</v>
      </c>
      <c r="W37" s="114">
        <v>24838661.939122301</v>
      </c>
      <c r="X37" s="114">
        <v>24358318.063721001</v>
      </c>
      <c r="Y37" s="114">
        <v>26634367.657264099</v>
      </c>
      <c r="Z37" s="114">
        <v>29863586.997434001</v>
      </c>
      <c r="AA37" s="114">
        <v>316532104.5187577</v>
      </c>
    </row>
    <row r="38" spans="4:27" ht="15" customHeight="1" x14ac:dyDescent="0.3">
      <c r="F38" s="5"/>
      <c r="G38" s="5"/>
      <c r="J38" s="115" t="str">
        <f xml:space="preserve"> _xll.EPMOlapMemberO("[COSTCENTER].[PARENTH1].[1001]","","1001","","000")</f>
        <v>1001</v>
      </c>
      <c r="K38" s="163" t="str">
        <f xml:space="preserve"> _xll.EPMOlapMemberO("[C_ACCOUNT].[PARENTH2].[BASE_REVBIL_RC]","","BASE_REVBIL_RC","","000")</f>
        <v>BASE_REVBIL_RC</v>
      </c>
      <c r="L38" s="115" t="str">
        <f>_xll.EPMMemberDesc(K38)</f>
        <v>BASE REVENUE BILLED</v>
      </c>
      <c r="M38" s="114">
        <v>315475223.82331061</v>
      </c>
      <c r="N38" s="114">
        <v>316532104.5187577</v>
      </c>
      <c r="O38" s="114">
        <v>30148296.991748001</v>
      </c>
      <c r="P38" s="114">
        <v>28666722.805989899</v>
      </c>
      <c r="Q38" s="114">
        <v>27922525.722130001</v>
      </c>
      <c r="R38" s="114">
        <v>26383736.732940901</v>
      </c>
      <c r="S38" s="114">
        <v>25042734.320993599</v>
      </c>
      <c r="T38" s="114">
        <v>24700733.439047899</v>
      </c>
      <c r="U38" s="114">
        <v>24065050.8447093</v>
      </c>
      <c r="V38" s="114">
        <v>23907369.0036567</v>
      </c>
      <c r="W38" s="114">
        <v>24838661.939122301</v>
      </c>
      <c r="X38" s="114">
        <v>24358318.063721001</v>
      </c>
      <c r="Y38" s="114">
        <v>26634367.657264099</v>
      </c>
      <c r="Z38" s="114">
        <v>29863586.997434001</v>
      </c>
      <c r="AA38" s="114">
        <v>316532104.5187577</v>
      </c>
    </row>
    <row r="39" spans="4:27" ht="15" customHeight="1" x14ac:dyDescent="0.3">
      <c r="F39" s="5"/>
      <c r="G39" s="5"/>
      <c r="J39" s="115" t="str">
        <f xml:space="preserve"> _xll.EPMOlapMemberO("[COSTCENTER].[PARENTH1].[1001]","","1001","","000")</f>
        <v>1001</v>
      </c>
      <c r="K39" s="165" t="str">
        <f xml:space="preserve"> _xll.EPMOlapMemberO("[C_ACCOUNT].[PARENTH2].[RES_RC]","","RES_RC","","000")</f>
        <v>RES_RC</v>
      </c>
      <c r="L39" s="115" t="str">
        <f>_xll.EPMMemberDesc(K39)</f>
        <v>Residential</v>
      </c>
      <c r="M39" s="114">
        <v>130346676.4126668</v>
      </c>
      <c r="N39" s="114">
        <v>130833328.6741565</v>
      </c>
      <c r="O39" s="114">
        <v>12778749.9788494</v>
      </c>
      <c r="P39" s="114">
        <v>12294825.349263299</v>
      </c>
      <c r="Q39" s="114">
        <v>11528659.8926707</v>
      </c>
      <c r="R39" s="114">
        <v>10856267.184777001</v>
      </c>
      <c r="S39" s="114">
        <v>10140283.799077099</v>
      </c>
      <c r="T39" s="114">
        <v>9899795.5630022008</v>
      </c>
      <c r="U39" s="114">
        <v>9737528.0527487006</v>
      </c>
      <c r="V39" s="114">
        <v>9757954.9245663993</v>
      </c>
      <c r="W39" s="114">
        <v>10075917.9848394</v>
      </c>
      <c r="X39" s="114">
        <v>10115169.9809683</v>
      </c>
      <c r="Y39" s="114">
        <v>11040049.1771084</v>
      </c>
      <c r="Z39" s="114">
        <v>12608126.7862856</v>
      </c>
      <c r="AA39" s="114">
        <v>130833328.6741565</v>
      </c>
    </row>
    <row r="40" spans="4:27" ht="15" customHeight="1" x14ac:dyDescent="0.3">
      <c r="F40" s="5"/>
      <c r="G40" s="5"/>
      <c r="J40" s="100" t="str">
        <f xml:space="preserve"> _xll.EPMOlapMemberO("[COSTCENTER].[PARENTH1].[1001]","","1001","","000")</f>
        <v>1001</v>
      </c>
      <c r="K40" s="167" t="str">
        <f xml:space="preserve"> _xll.EPMOlapMemberO("[C_ACCOUNT].[PARENTH2].[A_4800010]","","A_4800010","","000")</f>
        <v>A_4800010</v>
      </c>
      <c r="L40" s="112" t="str">
        <f>_xll.EPMMemberDesc(K40)</f>
        <v>Residential - 1</v>
      </c>
      <c r="M40" s="112">
        <v>23640239.067314401</v>
      </c>
      <c r="N40" s="112">
        <v>23624274.057428502</v>
      </c>
      <c r="O40" s="112">
        <v>2124488.6252393001</v>
      </c>
      <c r="P40" s="112">
        <v>2081489.7284261</v>
      </c>
      <c r="Q40" s="112">
        <v>2049483.4437921001</v>
      </c>
      <c r="R40" s="112">
        <v>2002244.5545194</v>
      </c>
      <c r="S40" s="112">
        <v>1950535.7284575</v>
      </c>
      <c r="T40" s="112">
        <v>1936525.8404138</v>
      </c>
      <c r="U40" s="112">
        <v>1845479.2257578</v>
      </c>
      <c r="V40" s="112">
        <v>1859338.1360193</v>
      </c>
      <c r="W40" s="112">
        <v>1887729.6823793999</v>
      </c>
      <c r="X40" s="112">
        <v>1887956.1335893001</v>
      </c>
      <c r="Y40" s="112">
        <v>1951688.6136349</v>
      </c>
      <c r="Z40" s="112">
        <v>2047314.3451996001</v>
      </c>
      <c r="AA40" s="112">
        <v>23624274.057428502</v>
      </c>
    </row>
    <row r="41" spans="4:27" ht="15" customHeight="1" x14ac:dyDescent="0.3">
      <c r="G41" s="5"/>
      <c r="J41" s="100" t="str">
        <f xml:space="preserve"> _xll.EPMOlapMemberO("[COSTCENTER].[PARENTH1].[1001]","","1001","","000")</f>
        <v>1001</v>
      </c>
      <c r="K41" s="167" t="str">
        <f xml:space="preserve"> _xll.EPMOlapMemberO("[C_ACCOUNT].[PARENTH2].[A_4800020]","","A_4800020","","000")</f>
        <v>A_4800020</v>
      </c>
      <c r="L41" s="112" t="str">
        <f>_xll.EPMMemberDesc(K41)</f>
        <v>Residential - 2</v>
      </c>
      <c r="M41" s="112">
        <v>51669396.734309003</v>
      </c>
      <c r="N41" s="112">
        <v>51776242.141252503</v>
      </c>
      <c r="O41" s="112">
        <v>4874574.0079557002</v>
      </c>
      <c r="P41" s="112">
        <v>4706434.1949647004</v>
      </c>
      <c r="Q41" s="112">
        <v>4344697.1387996003</v>
      </c>
      <c r="R41" s="112">
        <v>4135138.9952171999</v>
      </c>
      <c r="S41" s="112">
        <v>4024625.4451318998</v>
      </c>
      <c r="T41" s="112">
        <v>4006497.4337817999</v>
      </c>
      <c r="U41" s="112">
        <v>4069725.7641909998</v>
      </c>
      <c r="V41" s="112">
        <v>4085378.7318664999</v>
      </c>
      <c r="W41" s="112">
        <v>4193530.7236509002</v>
      </c>
      <c r="X41" s="112">
        <v>4161600.5672295</v>
      </c>
      <c r="Y41" s="112">
        <v>4368103.2080456</v>
      </c>
      <c r="Z41" s="112">
        <v>4805935.9304181002</v>
      </c>
      <c r="AA41" s="112">
        <v>51776242.141252503</v>
      </c>
    </row>
    <row r="42" spans="4:27" ht="15" customHeight="1" x14ac:dyDescent="0.3">
      <c r="G42" s="5"/>
      <c r="J42" s="100" t="str">
        <f xml:space="preserve"> _xll.EPMOlapMemberO("[COSTCENTER].[PARENTH1].[1001]","","1001","","000")</f>
        <v>1001</v>
      </c>
      <c r="K42" s="167" t="str">
        <f xml:space="preserve"> _xll.EPMOlapMemberO("[C_ACCOUNT].[PARENTH2].[A_4800030]","","A_4800030","","000")</f>
        <v>A_4800030</v>
      </c>
      <c r="L42" s="112" t="str">
        <f>_xll.EPMMemberDesc(K42)</f>
        <v>Residential - 3</v>
      </c>
      <c r="M42" s="112">
        <v>47406900.862409197</v>
      </c>
      <c r="N42" s="112">
        <v>47656784.680061303</v>
      </c>
      <c r="O42" s="112">
        <v>4812148.2781875003</v>
      </c>
      <c r="P42" s="112">
        <v>4584320.2334567998</v>
      </c>
      <c r="Q42" s="112">
        <v>4331548.8811322004</v>
      </c>
      <c r="R42" s="112">
        <v>4043805.6488343999</v>
      </c>
      <c r="S42" s="112">
        <v>3671184.5420590998</v>
      </c>
      <c r="T42" s="112">
        <v>3525278.1948063001</v>
      </c>
      <c r="U42" s="112">
        <v>3406837.9310058998</v>
      </c>
      <c r="V42" s="112">
        <v>3421249.6479312</v>
      </c>
      <c r="W42" s="112">
        <v>3551258.7259030002</v>
      </c>
      <c r="X42" s="112">
        <v>3579553.1637937999</v>
      </c>
      <c r="Y42" s="112">
        <v>3993509.7637279001</v>
      </c>
      <c r="Z42" s="112">
        <v>4736089.6692231996</v>
      </c>
      <c r="AA42" s="112">
        <v>47656784.680061303</v>
      </c>
    </row>
    <row r="43" spans="4:27" ht="15" customHeight="1" x14ac:dyDescent="0.3">
      <c r="G43" s="5"/>
      <c r="J43" s="100" t="str">
        <f xml:space="preserve"> _xll.EPMOlapMemberO("[COSTCENTER].[PARENTH1].[1001]","","1001","","000")</f>
        <v>1001</v>
      </c>
      <c r="K43" s="167" t="str">
        <f xml:space="preserve"> _xll.EPMOlapMemberO("[C_ACCOUNT].[PARENTH2].[A_4800035]","","A_4800035","","000")</f>
        <v>A_4800035</v>
      </c>
      <c r="L43" s="112" t="str">
        <f>_xll.EPMMemberDesc(K43)</f>
        <v>Residential Stand By Generator</v>
      </c>
      <c r="M43" s="112">
        <v>317267.52913859999</v>
      </c>
      <c r="N43" s="112">
        <v>316231.69781350001</v>
      </c>
      <c r="O43" s="112">
        <v>25416.2824759</v>
      </c>
      <c r="P43" s="112">
        <v>25462.583986000001</v>
      </c>
      <c r="Q43" s="112">
        <v>25511.4771678</v>
      </c>
      <c r="R43" s="112">
        <v>25559.991336399999</v>
      </c>
      <c r="S43" s="112">
        <v>25605.903816599999</v>
      </c>
      <c r="T43" s="112">
        <v>25649.857112199999</v>
      </c>
      <c r="U43" s="112">
        <v>27062.026486300001</v>
      </c>
      <c r="V43" s="112">
        <v>27103.949608499999</v>
      </c>
      <c r="W43" s="112">
        <v>27147.6726805</v>
      </c>
      <c r="X43" s="112">
        <v>27192.127706800002</v>
      </c>
      <c r="Y43" s="112">
        <v>27237.247196</v>
      </c>
      <c r="Z43" s="112">
        <v>27282.578240499999</v>
      </c>
      <c r="AA43" s="112">
        <v>316231.69781350001</v>
      </c>
    </row>
    <row r="44" spans="4:27" ht="15" customHeight="1" x14ac:dyDescent="0.3">
      <c r="G44" s="5"/>
      <c r="J44" s="100" t="str">
        <f xml:space="preserve"> _xll.EPMOlapMemberO("[COSTCENTER].[PARENTH1].[1001]","","1001","","000")</f>
        <v>1001</v>
      </c>
      <c r="K44" s="167" t="str">
        <f xml:space="preserve"> _xll.EPMOlapMemberO("[C_ACCOUNT].[PARENTH2].[A_4800040]","","A_4800040","","000")</f>
        <v>A_4800040</v>
      </c>
      <c r="L44" s="112" t="str">
        <f>_xll.EPMMemberDesc(K44)</f>
        <v>Residential General Service 1</v>
      </c>
      <c r="M44" s="112">
        <v>3303837.9747640002</v>
      </c>
      <c r="N44" s="112">
        <v>3358449.7050354001</v>
      </c>
      <c r="O44" s="112">
        <v>419962.81463169999</v>
      </c>
      <c r="P44" s="112">
        <v>388077.62295470003</v>
      </c>
      <c r="Q44" s="112">
        <v>356893.4939837</v>
      </c>
      <c r="R44" s="112">
        <v>303125.39827100001</v>
      </c>
      <c r="S44" s="112">
        <v>208524.86326809999</v>
      </c>
      <c r="T44" s="112">
        <v>173740.54546610001</v>
      </c>
      <c r="U44" s="112">
        <v>188761.67580679999</v>
      </c>
      <c r="V44" s="112">
        <v>162782.2654911</v>
      </c>
      <c r="W44" s="112">
        <v>184012.172311</v>
      </c>
      <c r="X44" s="112">
        <v>192225.357789</v>
      </c>
      <c r="Y44" s="112">
        <v>322590.88725600002</v>
      </c>
      <c r="Z44" s="112">
        <v>457752.60780619999</v>
      </c>
      <c r="AA44" s="112">
        <v>3358449.7050354001</v>
      </c>
    </row>
    <row r="45" spans="4:27" ht="15" customHeight="1" x14ac:dyDescent="0.3">
      <c r="G45" s="5"/>
      <c r="J45" s="100" t="str">
        <f xml:space="preserve"> _xll.EPMOlapMemberO("[COSTCENTER].[PARENTH1].[1001]","","1001","","000")</f>
        <v>1001</v>
      </c>
      <c r="K45" s="167" t="str">
        <f xml:space="preserve"> _xll.EPMOlapMemberO("[C_ACCOUNT].[PARENTH2].[A_4800042]","","A_4800042","","000")</f>
        <v>A_4800042</v>
      </c>
      <c r="L45" s="112" t="str">
        <f>_xll.EPMMemberDesc(K45)</f>
        <v>Residential General Service 2</v>
      </c>
      <c r="M45" s="112">
        <v>206133.6560475</v>
      </c>
      <c r="N45" s="112">
        <v>210613.3425006</v>
      </c>
      <c r="O45" s="112">
        <v>25069.411957299999</v>
      </c>
      <c r="P45" s="112">
        <v>30511.8157464</v>
      </c>
      <c r="Q45" s="112">
        <v>18683.059711000002</v>
      </c>
      <c r="R45" s="112">
        <v>17864.892115999999</v>
      </c>
      <c r="S45" s="112">
        <v>13207.7168657</v>
      </c>
      <c r="T45" s="112">
        <v>11505.2048688</v>
      </c>
      <c r="U45" s="112">
        <v>11604.9886917</v>
      </c>
      <c r="V45" s="112">
        <v>9651.9375882999993</v>
      </c>
      <c r="W45" s="112">
        <v>11070.5304483</v>
      </c>
      <c r="X45" s="112">
        <v>14419.975963299999</v>
      </c>
      <c r="Y45" s="112">
        <v>20301.177396899999</v>
      </c>
      <c r="Z45" s="112">
        <v>26722.631146899999</v>
      </c>
      <c r="AA45" s="112">
        <v>210613.3425006</v>
      </c>
    </row>
    <row r="46" spans="4:27" ht="15" customHeight="1" x14ac:dyDescent="0.3">
      <c r="G46" s="5"/>
      <c r="J46" s="100" t="str">
        <f xml:space="preserve"> _xll.EPMOlapMemberO("[COSTCENTER].[PARENTH1].[1001]","","1001","","000")</f>
        <v>1001</v>
      </c>
      <c r="K46" s="167" t="str">
        <f xml:space="preserve"> _xll.EPMOlapMemberO("[C_ACCOUNT].[PARENTH2].[A_4800044]","","A_4800044","","000")</f>
        <v>A_4800044</v>
      </c>
      <c r="L46" s="112" t="str">
        <f>_xll.EPMMemberDesc(K46)</f>
        <v>Residential General Service 3</v>
      </c>
      <c r="M46" s="112">
        <v>78483.431133699996</v>
      </c>
      <c r="N46" s="112">
        <v>78154.390427799997</v>
      </c>
      <c r="O46" s="112">
        <v>1161.8571546999999</v>
      </c>
      <c r="P46" s="112">
        <v>1895.9187055</v>
      </c>
      <c r="Q46" s="112">
        <v>1520.3947657000001</v>
      </c>
      <c r="R46" s="112">
        <v>1105.4031364</v>
      </c>
      <c r="S46" s="112">
        <v>1192.5688625</v>
      </c>
      <c r="T46" s="112">
        <v>1511.3564908999999</v>
      </c>
      <c r="U46" s="112">
        <v>11286.6378546</v>
      </c>
      <c r="V46" s="112">
        <v>11552.946483600001</v>
      </c>
      <c r="W46" s="112">
        <v>11535.5420994</v>
      </c>
      <c r="X46" s="112">
        <v>11616.8001984</v>
      </c>
      <c r="Y46" s="112">
        <v>11763.1655481</v>
      </c>
      <c r="Z46" s="112">
        <v>12011.799128000001</v>
      </c>
      <c r="AA46" s="112">
        <v>78154.390427799997</v>
      </c>
    </row>
    <row r="47" spans="4:27" ht="15" customHeight="1" x14ac:dyDescent="0.3">
      <c r="D47" s="3" t="s">
        <v>94</v>
      </c>
      <c r="G47" s="5"/>
      <c r="J47" s="100" t="str">
        <f xml:space="preserve"> _xll.EPMOlapMemberO("[COSTCENTER].[PARENTH1].[1001]","","1001","","000")</f>
        <v>1001</v>
      </c>
      <c r="K47" s="167" t="str">
        <f xml:space="preserve"> _xll.EPMOlapMemberO("[C_ACCOUNT].[PARENTH2].[A_4893040]","","A_4893040","","000")</f>
        <v>A_4893040</v>
      </c>
      <c r="L47" s="112" t="str">
        <f>_xll.EPMMemberDesc(K47)</f>
        <v>Residential Transportation General Service 1</v>
      </c>
      <c r="M47" s="112">
        <v>923128.5869765</v>
      </c>
      <c r="N47" s="112">
        <v>947099.00033279997</v>
      </c>
      <c r="O47" s="112">
        <v>148740.8411738</v>
      </c>
      <c r="P47" s="112">
        <v>139976.5531822</v>
      </c>
      <c r="Q47" s="112">
        <v>104013.930847</v>
      </c>
      <c r="R47" s="112">
        <v>81975.078812699998</v>
      </c>
      <c r="S47" s="112">
        <v>50800.081084999998</v>
      </c>
      <c r="T47" s="112">
        <v>41108.633080500003</v>
      </c>
      <c r="U47" s="112">
        <v>30719.608419</v>
      </c>
      <c r="V47" s="112">
        <v>33901.023873500002</v>
      </c>
      <c r="W47" s="112">
        <v>38852.370325800002</v>
      </c>
      <c r="X47" s="112">
        <v>44977.7591359</v>
      </c>
      <c r="Y47" s="112">
        <v>86252.691188900004</v>
      </c>
      <c r="Z47" s="112">
        <v>145780.42920849999</v>
      </c>
      <c r="AA47" s="112">
        <v>947099.00033279997</v>
      </c>
    </row>
    <row r="48" spans="4:27" ht="15" customHeight="1" x14ac:dyDescent="0.3">
      <c r="F48" s="5"/>
      <c r="G48" s="5"/>
      <c r="J48" s="100" t="str">
        <f xml:space="preserve"> _xll.EPMOlapMemberO("[COSTCENTER].[PARENTH1].[1001]","","1001","","000")</f>
        <v>1001</v>
      </c>
      <c r="K48" s="167" t="str">
        <f xml:space="preserve"> _xll.EPMOlapMemberO("[C_ACCOUNT].[PARENTH2].[A_4893042]","","A_4893042","","000")</f>
        <v>A_4893042</v>
      </c>
      <c r="L48" s="112" t="str">
        <f>_xll.EPMMemberDesc(K48)</f>
        <v>Residential Transportation General Service 2</v>
      </c>
      <c r="M48" s="112">
        <v>1839344.6852503</v>
      </c>
      <c r="N48" s="112">
        <v>1885249.6397156999</v>
      </c>
      <c r="O48" s="112">
        <v>249043.96274089999</v>
      </c>
      <c r="P48" s="112">
        <v>226890.86312329999</v>
      </c>
      <c r="Q48" s="112">
        <v>202217.25293359999</v>
      </c>
      <c r="R48" s="112">
        <v>159443.90255090001</v>
      </c>
      <c r="S48" s="112">
        <v>123203.42822250001</v>
      </c>
      <c r="T48" s="112">
        <v>108299.56254109999</v>
      </c>
      <c r="U48" s="112">
        <v>83597.196108100004</v>
      </c>
      <c r="V48" s="112">
        <v>88728.891678999993</v>
      </c>
      <c r="W48" s="112">
        <v>102807.0807276</v>
      </c>
      <c r="X48" s="112">
        <v>120238.0470053</v>
      </c>
      <c r="Y48" s="112">
        <v>174010.46603040001</v>
      </c>
      <c r="Z48" s="112">
        <v>246768.986053</v>
      </c>
      <c r="AA48" s="112">
        <v>1885249.6397156999</v>
      </c>
    </row>
    <row r="49" spans="4:27" ht="15" customHeight="1" x14ac:dyDescent="0.3">
      <c r="F49" s="5"/>
      <c r="G49" s="5"/>
      <c r="J49" s="100" t="str">
        <f xml:space="preserve"> _xll.EPMOlapMemberO("[COSTCENTER].[PARENTH1].[1001]","","1001","","000")</f>
        <v>1001</v>
      </c>
      <c r="K49" s="167" t="str">
        <f xml:space="preserve"> _xll.EPMOlapMemberO("[C_ACCOUNT].[PARENTH2].[A_4893044]","","A_4893044","","000")</f>
        <v>A_4893044</v>
      </c>
      <c r="L49" s="112" t="str">
        <f>_xll.EPMMemberDesc(K49)</f>
        <v>Residential Transportation General Service 3</v>
      </c>
      <c r="M49" s="112">
        <v>961943.88532360003</v>
      </c>
      <c r="N49" s="112">
        <v>978950.39670839999</v>
      </c>
      <c r="O49" s="112">
        <v>98037.262092599995</v>
      </c>
      <c r="P49" s="112">
        <v>109659.19947760001</v>
      </c>
      <c r="Q49" s="112">
        <v>93984.184297999993</v>
      </c>
      <c r="R49" s="112">
        <v>85896.684742600002</v>
      </c>
      <c r="S49" s="112">
        <v>71296.886068199994</v>
      </c>
      <c r="T49" s="112">
        <v>69572.299200699999</v>
      </c>
      <c r="U49" s="112">
        <v>62346.363187499999</v>
      </c>
      <c r="V49" s="112">
        <v>58160.758785400001</v>
      </c>
      <c r="W49" s="112">
        <v>67866.849073499994</v>
      </c>
      <c r="X49" s="112">
        <v>75283.413316999999</v>
      </c>
      <c r="Y49" s="112">
        <v>84485.321843700003</v>
      </c>
      <c r="Z49" s="112">
        <v>102361.1746216</v>
      </c>
      <c r="AA49" s="112">
        <v>978950.39670839999</v>
      </c>
    </row>
    <row r="50" spans="4:27" ht="15" customHeight="1" x14ac:dyDescent="0.3">
      <c r="F50" s="5"/>
      <c r="G50" s="5"/>
      <c r="J50" s="100" t="str">
        <f xml:space="preserve"> _xll.EPMOlapMemberO("[COSTCENTER].[PARENTH1].[1001]","","1001","","000")</f>
        <v>1001</v>
      </c>
      <c r="K50" s="167" t="str">
        <f xml:space="preserve"> _xll.EPMOlapMemberO("[C_ACCOUNT].[PARENTH2].[A_4800037]","","A_4800037","","000")</f>
        <v>A_4800037</v>
      </c>
      <c r="L50" s="112" t="str">
        <f>_xll.EPMMemberDesc(K50)</f>
        <v>Residential Gas Heat Pump</v>
      </c>
      <c r="M50" s="112">
        <v>0</v>
      </c>
      <c r="N50" s="112">
        <v>1279.6228799999999</v>
      </c>
      <c r="O50" s="112">
        <v>106.63524</v>
      </c>
      <c r="P50" s="112">
        <v>106.63524</v>
      </c>
      <c r="Q50" s="112">
        <v>106.63524</v>
      </c>
      <c r="R50" s="112">
        <v>106.63524</v>
      </c>
      <c r="S50" s="112">
        <v>106.63524</v>
      </c>
      <c r="T50" s="112">
        <v>106.63524</v>
      </c>
      <c r="U50" s="112">
        <v>106.63524</v>
      </c>
      <c r="V50" s="112">
        <v>106.63524</v>
      </c>
      <c r="W50" s="112">
        <v>106.63524</v>
      </c>
      <c r="X50" s="112">
        <v>106.63524</v>
      </c>
      <c r="Y50" s="112">
        <v>106.63524</v>
      </c>
      <c r="Z50" s="112">
        <v>106.63524</v>
      </c>
      <c r="AA50" s="112">
        <v>1279.6228799999999</v>
      </c>
    </row>
    <row r="51" spans="4:27" ht="15" customHeight="1" x14ac:dyDescent="0.3">
      <c r="F51" s="5"/>
      <c r="G51" s="5"/>
      <c r="J51" s="115" t="str">
        <f xml:space="preserve"> _xll.EPMOlapMemberO("[COSTCENTER].[PARENTH1].[1001]","","1001","","000")</f>
        <v>1001</v>
      </c>
      <c r="K51" s="165" t="str">
        <f xml:space="preserve"> _xll.EPMOlapMemberO("[C_ACCOUNT].[PARENTH2].[COMM_RC]","","COMM_RC","","000")</f>
        <v>COMM_RC</v>
      </c>
      <c r="L51" s="115" t="str">
        <f>_xll.EPMMemberDesc(K51)</f>
        <v>Commercial</v>
      </c>
      <c r="M51" s="114">
        <v>149817173.19546181</v>
      </c>
      <c r="N51" s="114">
        <v>146905855.43822479</v>
      </c>
      <c r="O51" s="114">
        <v>14155323.370087299</v>
      </c>
      <c r="P51" s="114">
        <v>13296423.0941076</v>
      </c>
      <c r="Q51" s="114">
        <v>12993224.9804275</v>
      </c>
      <c r="R51" s="114">
        <v>12106468.2493749</v>
      </c>
      <c r="S51" s="114">
        <v>11481856.354170199</v>
      </c>
      <c r="T51" s="114">
        <v>11491335.234668201</v>
      </c>
      <c r="U51" s="114">
        <v>11111311.391991001</v>
      </c>
      <c r="V51" s="114">
        <v>11022317.9934105</v>
      </c>
      <c r="W51" s="114">
        <v>11672374.077333</v>
      </c>
      <c r="X51" s="114">
        <v>11026724.969794801</v>
      </c>
      <c r="Y51" s="114">
        <v>12434747.8491065</v>
      </c>
      <c r="Z51" s="114">
        <v>14113747.8737533</v>
      </c>
      <c r="AA51" s="114">
        <v>146905855.43822479</v>
      </c>
    </row>
    <row r="52" spans="4:27" ht="15" customHeight="1" x14ac:dyDescent="0.3">
      <c r="D52" s="3" t="s">
        <v>94</v>
      </c>
      <c r="G52" s="5"/>
      <c r="J52" s="100" t="str">
        <f xml:space="preserve"> _xll.EPMOlapMemberO("[COSTCENTER].[PARENTH1].[1001]","","1001","","000")</f>
        <v>1001</v>
      </c>
      <c r="K52" s="167" t="str">
        <f xml:space="preserve"> _xll.EPMOlapMemberO("[C_ACCOUNT].[PARENTH2].[A_4810004]","","A_4810004","","000")</f>
        <v>A_4810004</v>
      </c>
      <c r="L52" s="112" t="str">
        <f>_xll.EPMMemberDesc(K52)</f>
        <v>Commercial Street Lighting</v>
      </c>
      <c r="M52" s="112">
        <v>9965.2754172999994</v>
      </c>
      <c r="N52" s="112">
        <v>9247.4219429999994</v>
      </c>
      <c r="O52" s="112">
        <v>918.31515750000005</v>
      </c>
      <c r="P52" s="112">
        <v>719.90515800000003</v>
      </c>
      <c r="Q52" s="112">
        <v>823.60165500000005</v>
      </c>
      <c r="R52" s="112">
        <v>750.74723100000006</v>
      </c>
      <c r="S52" s="112">
        <v>611.64150299999994</v>
      </c>
      <c r="T52" s="112">
        <v>705.80474549999997</v>
      </c>
      <c r="U52" s="112">
        <v>610.32087899999999</v>
      </c>
      <c r="V52" s="112">
        <v>888.284718</v>
      </c>
      <c r="W52" s="112">
        <v>804.70022400000005</v>
      </c>
      <c r="X52" s="112">
        <v>804.70022400000005</v>
      </c>
      <c r="Y52" s="112">
        <v>804.70022400000005</v>
      </c>
      <c r="Z52" s="112">
        <v>804.70022400000005</v>
      </c>
      <c r="AA52" s="112">
        <v>9247.4219429999994</v>
      </c>
    </row>
    <row r="53" spans="4:27" ht="15" customHeight="1" x14ac:dyDescent="0.3">
      <c r="F53" s="5"/>
      <c r="G53" s="5"/>
      <c r="J53" s="100" t="str">
        <f xml:space="preserve"> _xll.EPMOlapMemberO("[COSTCENTER].[PARENTH1].[1001]","","1001","","000")</f>
        <v>1001</v>
      </c>
      <c r="K53" s="167" t="str">
        <f xml:space="preserve"> _xll.EPMOlapMemberO("[C_ACCOUNT].[PARENTH2].[A_4810035]","","A_4810035","","000")</f>
        <v>A_4810035</v>
      </c>
      <c r="L53" s="112" t="str">
        <f>_xll.EPMMemberDesc(K53)</f>
        <v>Commercial Standby Generator</v>
      </c>
      <c r="M53" s="112">
        <v>608777.11955399998</v>
      </c>
      <c r="N53" s="112">
        <v>608777.11953449994</v>
      </c>
      <c r="O53" s="112">
        <v>50259.040889999997</v>
      </c>
      <c r="P53" s="112">
        <v>49917.143700000001</v>
      </c>
      <c r="Q53" s="112">
        <v>50116.635764999999</v>
      </c>
      <c r="R53" s="112">
        <v>50367.752130000001</v>
      </c>
      <c r="S53" s="112">
        <v>49623.392970000001</v>
      </c>
      <c r="T53" s="112">
        <v>49143.461264999998</v>
      </c>
      <c r="U53" s="112">
        <v>49236.569414999998</v>
      </c>
      <c r="V53" s="112">
        <v>46902.252162899997</v>
      </c>
      <c r="W53" s="112">
        <v>46902.252162899997</v>
      </c>
      <c r="X53" s="112">
        <v>46902.252162899997</v>
      </c>
      <c r="Y53" s="112">
        <v>55456.3684479</v>
      </c>
      <c r="Z53" s="112">
        <v>63949.998462900003</v>
      </c>
      <c r="AA53" s="112">
        <v>608777.11953449994</v>
      </c>
    </row>
    <row r="54" spans="4:27" ht="15" customHeight="1" x14ac:dyDescent="0.3">
      <c r="F54" s="5"/>
      <c r="G54" s="5"/>
      <c r="J54" s="100" t="str">
        <f xml:space="preserve"> _xll.EPMOlapMemberO("[COSTCENTER].[PARENTH1].[1001]","","1001","","000")</f>
        <v>1001</v>
      </c>
      <c r="K54" s="167" t="str">
        <f xml:space="preserve"> _xll.EPMOlapMemberO("[C_ACCOUNT].[PARENTH2].[A_4810008]","","A_4810008","","000")</f>
        <v>A_4810008</v>
      </c>
      <c r="L54" s="112" t="str">
        <f>_xll.EPMMemberDesc(K54)</f>
        <v>General Service Small</v>
      </c>
      <c r="M54" s="112">
        <v>5002666.5330045996</v>
      </c>
      <c r="N54" s="112">
        <v>5025158.5651147999</v>
      </c>
      <c r="O54" s="112">
        <v>486562.6825995</v>
      </c>
      <c r="P54" s="112">
        <v>483453.40907659999</v>
      </c>
      <c r="Q54" s="112">
        <v>424108.75119809998</v>
      </c>
      <c r="R54" s="112">
        <v>408298.02177669998</v>
      </c>
      <c r="S54" s="112">
        <v>391030.2935114</v>
      </c>
      <c r="T54" s="112">
        <v>390278.9472241</v>
      </c>
      <c r="U54" s="112">
        <v>371461.81264000002</v>
      </c>
      <c r="V54" s="112">
        <v>378894.09138429997</v>
      </c>
      <c r="W54" s="112">
        <v>458790.33077669999</v>
      </c>
      <c r="X54" s="112">
        <v>334575.11195320002</v>
      </c>
      <c r="Y54" s="112">
        <v>428450.7952464</v>
      </c>
      <c r="Z54" s="112">
        <v>469254.31772779999</v>
      </c>
      <c r="AA54" s="112">
        <v>5025158.5651147999</v>
      </c>
    </row>
    <row r="55" spans="4:27" ht="15" customHeight="1" x14ac:dyDescent="0.3">
      <c r="F55" s="5"/>
      <c r="G55" s="5"/>
      <c r="J55" s="100" t="str">
        <f xml:space="preserve"> _xll.EPMOlapMemberO("[COSTCENTER].[PARENTH1].[1001]","","1001","","000")</f>
        <v>1001</v>
      </c>
      <c r="K55" s="167" t="str">
        <f xml:space="preserve"> _xll.EPMOlapMemberO("[C_ACCOUNT].[PARENTH2].[A_4810050]","","A_4810050","","000")</f>
        <v>A_4810050</v>
      </c>
      <c r="L55" s="112" t="str">
        <f>_xll.EPMMemberDesc(K55)</f>
        <v>General Service Large Vol. 1</v>
      </c>
      <c r="M55" s="112">
        <v>7438384.1501740003</v>
      </c>
      <c r="N55" s="112">
        <v>7487411.5063907998</v>
      </c>
      <c r="O55" s="112">
        <v>703582.42252410005</v>
      </c>
      <c r="P55" s="112">
        <v>699126.89466800005</v>
      </c>
      <c r="Q55" s="112">
        <v>667874.60806190001</v>
      </c>
      <c r="R55" s="112">
        <v>618647.88683690003</v>
      </c>
      <c r="S55" s="112">
        <v>584908.05110289995</v>
      </c>
      <c r="T55" s="112">
        <v>591306.96946970001</v>
      </c>
      <c r="U55" s="112">
        <v>546586.25266100001</v>
      </c>
      <c r="V55" s="112">
        <v>541965.24918769998</v>
      </c>
      <c r="W55" s="112">
        <v>601318.30086079997</v>
      </c>
      <c r="X55" s="112">
        <v>538506.10167440004</v>
      </c>
      <c r="Y55" s="112">
        <v>625508.15901409998</v>
      </c>
      <c r="Z55" s="112">
        <v>768080.61032930005</v>
      </c>
      <c r="AA55" s="112">
        <v>7487411.5063907998</v>
      </c>
    </row>
    <row r="56" spans="4:27" ht="15" customHeight="1" x14ac:dyDescent="0.3">
      <c r="F56" s="5"/>
      <c r="G56" s="5"/>
      <c r="J56" s="100" t="str">
        <f xml:space="preserve"> _xll.EPMOlapMemberO("[COSTCENTER].[PARENTH1].[1001]","","1001","","000")</f>
        <v>1001</v>
      </c>
      <c r="K56" s="167" t="str">
        <f xml:space="preserve"> _xll.EPMOlapMemberO("[C_ACCOUNT].[PARENTH2].[A_4810052]","","A_4810052","","000")</f>
        <v>A_4810052</v>
      </c>
      <c r="L56" s="112" t="str">
        <f>_xll.EPMMemberDesc(K56)</f>
        <v>General Service Large Vol. 2</v>
      </c>
      <c r="M56" s="112">
        <v>4004460.3258902999</v>
      </c>
      <c r="N56" s="112">
        <v>4033858.5670254999</v>
      </c>
      <c r="O56" s="112">
        <v>414980.15689310001</v>
      </c>
      <c r="P56" s="112">
        <v>400396.2295513</v>
      </c>
      <c r="Q56" s="112">
        <v>362211.22110959998</v>
      </c>
      <c r="R56" s="112">
        <v>330594.17115950002</v>
      </c>
      <c r="S56" s="112">
        <v>302858.50476570003</v>
      </c>
      <c r="T56" s="112">
        <v>308466.29443970002</v>
      </c>
      <c r="U56" s="112">
        <v>300291.46938520001</v>
      </c>
      <c r="V56" s="112">
        <v>250384.8898151</v>
      </c>
      <c r="W56" s="112">
        <v>307905.31970769999</v>
      </c>
      <c r="X56" s="112">
        <v>276348.44481219997</v>
      </c>
      <c r="Y56" s="112">
        <v>347023.37898929999</v>
      </c>
      <c r="Z56" s="112">
        <v>432398.48639709997</v>
      </c>
      <c r="AA56" s="112">
        <v>4033858.5670254999</v>
      </c>
    </row>
    <row r="57" spans="4:27" ht="15" customHeight="1" x14ac:dyDescent="0.3">
      <c r="F57" s="5"/>
      <c r="G57" s="5"/>
      <c r="J57" s="100" t="str">
        <f xml:space="preserve"> _xll.EPMOlapMemberO("[COSTCENTER].[PARENTH1].[1001]","","1001","","000")</f>
        <v>1001</v>
      </c>
      <c r="K57" s="167" t="str">
        <f xml:space="preserve"> _xll.EPMOlapMemberO("[C_ACCOUNT].[PARENTH2].[A_4810054]","","A_4810054","","000")</f>
        <v>A_4810054</v>
      </c>
      <c r="L57" s="112" t="str">
        <f>_xll.EPMMemberDesc(K57)</f>
        <v>General Service Large Vol. 3</v>
      </c>
      <c r="M57" s="112">
        <v>988606.56298249995</v>
      </c>
      <c r="N57" s="112">
        <v>995148.63543080003</v>
      </c>
      <c r="O57" s="112">
        <v>110512.8647781</v>
      </c>
      <c r="P57" s="112">
        <v>101508.0891267</v>
      </c>
      <c r="Q57" s="112">
        <v>84162.406432799995</v>
      </c>
      <c r="R57" s="112">
        <v>81066.400454100003</v>
      </c>
      <c r="S57" s="112">
        <v>81976.373460200004</v>
      </c>
      <c r="T57" s="112">
        <v>77780.562225300004</v>
      </c>
      <c r="U57" s="112">
        <v>71500.577261300001</v>
      </c>
      <c r="V57" s="112">
        <v>66631.999527599997</v>
      </c>
      <c r="W57" s="112">
        <v>67377.518711199999</v>
      </c>
      <c r="X57" s="112">
        <v>78594.734258199998</v>
      </c>
      <c r="Y57" s="112">
        <v>95307.482426500006</v>
      </c>
      <c r="Z57" s="112">
        <v>78729.626768799993</v>
      </c>
      <c r="AA57" s="112">
        <v>995148.63543080003</v>
      </c>
    </row>
    <row r="58" spans="4:27" ht="15" customHeight="1" x14ac:dyDescent="0.3">
      <c r="F58" s="5"/>
      <c r="G58" s="5"/>
      <c r="J58" s="100" t="str">
        <f xml:space="preserve"> _xll.EPMOlapMemberO("[COSTCENTER].[PARENTH1].[1001]","","1001","","000")</f>
        <v>1001</v>
      </c>
      <c r="K58" s="167" t="str">
        <f xml:space="preserve"> _xll.EPMOlapMemberO("[C_ACCOUNT].[PARENTH2].[A_4810056]","","A_4810056","","000")</f>
        <v>A_4810056</v>
      </c>
      <c r="L58" s="112" t="str">
        <f>_xll.EPMMemberDesc(K58)</f>
        <v>General Service Large Vol. 4</v>
      </c>
      <c r="M58" s="112">
        <v>88256.338140000007</v>
      </c>
      <c r="N58" s="112">
        <v>88256.338140199994</v>
      </c>
      <c r="O58" s="112">
        <v>8760.3758811000007</v>
      </c>
      <c r="P58" s="112">
        <v>6897.4525813</v>
      </c>
      <c r="Q58" s="112">
        <v>7331.5289811000002</v>
      </c>
      <c r="R58" s="112">
        <v>7212.6250977999998</v>
      </c>
      <c r="S58" s="112">
        <v>7550.1066311000004</v>
      </c>
      <c r="T58" s="112">
        <v>7205.5110978000002</v>
      </c>
      <c r="U58" s="112">
        <v>8828.8481310999996</v>
      </c>
      <c r="V58" s="112">
        <v>6253.2244311000004</v>
      </c>
      <c r="W58" s="112">
        <v>7055.7613977999999</v>
      </c>
      <c r="X58" s="112">
        <v>6863.9613311000003</v>
      </c>
      <c r="Y58" s="112">
        <v>6126.4951478000003</v>
      </c>
      <c r="Z58" s="112">
        <v>8170.4474311000004</v>
      </c>
      <c r="AA58" s="112">
        <v>88256.338140199994</v>
      </c>
    </row>
    <row r="59" spans="4:27" ht="15" customHeight="1" x14ac:dyDescent="0.3">
      <c r="F59" s="5"/>
      <c r="J59" s="100" t="str">
        <f xml:space="preserve"> _xll.EPMOlapMemberO("[COSTCENTER].[PARENTH1].[1001]","","1001","","000")</f>
        <v>1001</v>
      </c>
      <c r="K59" s="167" t="str">
        <f xml:space="preserve"> _xll.EPMOlapMemberO("[C_ACCOUNT].[PARENTH2].[A_4810058]","","A_4810058","","000")</f>
        <v>A_4810058</v>
      </c>
      <c r="L59" s="112" t="str">
        <f>_xll.EPMMemberDesc(K59)</f>
        <v>General Service Large Vol. 5</v>
      </c>
      <c r="M59" s="112">
        <v>599117.91535699996</v>
      </c>
      <c r="N59" s="112">
        <v>599117.91534179996</v>
      </c>
      <c r="O59" s="112">
        <v>49402.859398000001</v>
      </c>
      <c r="P59" s="112">
        <v>45152.472311799997</v>
      </c>
      <c r="Q59" s="112">
        <v>54388.235998600001</v>
      </c>
      <c r="R59" s="112">
        <v>35821.910685100003</v>
      </c>
      <c r="S59" s="112">
        <v>52745.166658599999</v>
      </c>
      <c r="T59" s="112">
        <v>48428.717205100002</v>
      </c>
      <c r="U59" s="112">
        <v>53825.9437186</v>
      </c>
      <c r="V59" s="112">
        <v>48877.478218600001</v>
      </c>
      <c r="W59" s="112">
        <v>56098.664985099997</v>
      </c>
      <c r="X59" s="112">
        <v>50977.208818599996</v>
      </c>
      <c r="Y59" s="112">
        <v>46966.283265099999</v>
      </c>
      <c r="Z59" s="112">
        <v>56432.974078599997</v>
      </c>
      <c r="AA59" s="112">
        <v>599117.91534179996</v>
      </c>
    </row>
    <row r="60" spans="4:27" ht="15" customHeight="1" x14ac:dyDescent="0.2">
      <c r="J60" s="100" t="str">
        <f xml:space="preserve"> _xll.EPMOlapMemberO("[COSTCENTER].[PARENTH1].[1001]","","1001","","000")</f>
        <v>1001</v>
      </c>
      <c r="K60" s="167" t="str">
        <f xml:space="preserve"> _xll.EPMOlapMemberO("[C_ACCOUNT].[PARENTH2].[A_4893004]","","A_4893004","","000")</f>
        <v>A_4893004</v>
      </c>
      <c r="L60" s="112" t="str">
        <f>_xll.EPMMemberDesc(K60)</f>
        <v>Commercial Street Lighting Transportation</v>
      </c>
      <c r="M60" s="112">
        <v>131730.60501150001</v>
      </c>
      <c r="N60" s="112">
        <v>132448.45848550001</v>
      </c>
      <c r="O60" s="112">
        <v>10486.884558199999</v>
      </c>
      <c r="P60" s="112">
        <v>8986.5299204999992</v>
      </c>
      <c r="Q60" s="112">
        <v>10908.876987</v>
      </c>
      <c r="R60" s="112">
        <v>10922.289574500001</v>
      </c>
      <c r="S60" s="112">
        <v>9745.0220609999997</v>
      </c>
      <c r="T60" s="112">
        <v>9915.5574610999993</v>
      </c>
      <c r="U60" s="112">
        <v>10863.8126582</v>
      </c>
      <c r="V60" s="112">
        <v>11096.1461867</v>
      </c>
      <c r="W60" s="112">
        <v>10919.842882700001</v>
      </c>
      <c r="X60" s="112">
        <v>10919.842882700001</v>
      </c>
      <c r="Y60" s="112">
        <v>13134.0871575</v>
      </c>
      <c r="Z60" s="112">
        <v>14549.5661554</v>
      </c>
      <c r="AA60" s="112">
        <v>132448.45848550001</v>
      </c>
    </row>
    <row r="61" spans="4:27" ht="15" customHeight="1" x14ac:dyDescent="0.2">
      <c r="J61" s="100" t="str">
        <f xml:space="preserve"> _xll.EPMOlapMemberO("[COSTCENTER].[PARENTH1].[1001]","","1001","","000")</f>
        <v>1001</v>
      </c>
      <c r="K61" s="167" t="str">
        <f xml:space="preserve"> _xll.EPMOlapMemberO("[C_ACCOUNT].[PARENTH2].[A_4893035]","","A_4893035","","000")</f>
        <v>A_4893035</v>
      </c>
      <c r="L61" s="112" t="str">
        <f>_xll.EPMMemberDesc(K61)</f>
        <v>Commercial Transportation Standby Generator</v>
      </c>
      <c r="M61" s="112">
        <v>178411.29641400001</v>
      </c>
      <c r="N61" s="112">
        <v>178411.29641400001</v>
      </c>
      <c r="O61" s="112">
        <v>13849.6013695</v>
      </c>
      <c r="P61" s="112">
        <v>14084.893744000001</v>
      </c>
      <c r="Q61" s="112">
        <v>13195.1589186</v>
      </c>
      <c r="R61" s="112">
        <v>13629.0787495</v>
      </c>
      <c r="S61" s="112">
        <v>14578.163238499999</v>
      </c>
      <c r="T61" s="112">
        <v>13605.8246545</v>
      </c>
      <c r="U61" s="112">
        <v>13460.5808849</v>
      </c>
      <c r="V61" s="112">
        <v>12085.2827849</v>
      </c>
      <c r="W61" s="112">
        <v>12085.2827849</v>
      </c>
      <c r="X61" s="112">
        <v>12085.2827849</v>
      </c>
      <c r="Y61" s="112">
        <v>19266.0113399</v>
      </c>
      <c r="Z61" s="112">
        <v>26486.135159900001</v>
      </c>
      <c r="AA61" s="112">
        <v>178411.29641400001</v>
      </c>
    </row>
    <row r="62" spans="4:27" ht="15" customHeight="1" x14ac:dyDescent="0.2">
      <c r="J62" s="100" t="str">
        <f xml:space="preserve"> _xll.EPMOlapMemberO("[COSTCENTER].[PARENTH1].[1001]","","1001","","000")</f>
        <v>1001</v>
      </c>
      <c r="K62" s="167" t="str">
        <f xml:space="preserve"> _xll.EPMOlapMemberO("[C_ACCOUNT].[PARENTH2].[A_4893008]","","A_4893008","","000")</f>
        <v>A_4893008</v>
      </c>
      <c r="L62" s="112" t="str">
        <f>_xll.EPMMemberDesc(K62)</f>
        <v>General Service Small Transportation</v>
      </c>
      <c r="M62" s="112">
        <v>3821683.5239395001</v>
      </c>
      <c r="N62" s="112">
        <v>3841806.1211283002</v>
      </c>
      <c r="O62" s="112">
        <v>392905.4918588</v>
      </c>
      <c r="P62" s="112">
        <v>414791.22813040001</v>
      </c>
      <c r="Q62" s="112">
        <v>305398.942408</v>
      </c>
      <c r="R62" s="112">
        <v>332467.52485430002</v>
      </c>
      <c r="S62" s="112">
        <v>299539.57417849998</v>
      </c>
      <c r="T62" s="112">
        <v>296058.34747179999</v>
      </c>
      <c r="U62" s="112">
        <v>255883.34980960001</v>
      </c>
      <c r="V62" s="112">
        <v>279720.81930490001</v>
      </c>
      <c r="W62" s="112">
        <v>288911.25829680002</v>
      </c>
      <c r="X62" s="112">
        <v>283473.39980940003</v>
      </c>
      <c r="Y62" s="112">
        <v>322875.60623759998</v>
      </c>
      <c r="Z62" s="112">
        <v>369780.57876820001</v>
      </c>
      <c r="AA62" s="112">
        <v>3841806.1211283002</v>
      </c>
    </row>
    <row r="63" spans="4:27" ht="15" customHeight="1" x14ac:dyDescent="0.2">
      <c r="J63" s="100" t="str">
        <f xml:space="preserve"> _xll.EPMOlapMemberO("[COSTCENTER].[PARENTH1].[1001]","","1001","","000")</f>
        <v>1001</v>
      </c>
      <c r="K63" s="167" t="str">
        <f xml:space="preserve"> _xll.EPMOlapMemberO("[C_ACCOUNT].[PARENTH2].[A_4893050]","","A_4893050","","000")</f>
        <v>A_4893050</v>
      </c>
      <c r="L63" s="112" t="str">
        <f>_xll.EPMMemberDesc(K63)</f>
        <v>General Service Large Vol. 1 Transportation</v>
      </c>
      <c r="M63" s="112">
        <v>29906771.838385999</v>
      </c>
      <c r="N63" s="112">
        <v>30092381.991195399</v>
      </c>
      <c r="O63" s="112">
        <v>2917697.8328932999</v>
      </c>
      <c r="P63" s="112">
        <v>2747860.3170975</v>
      </c>
      <c r="Q63" s="112">
        <v>2656712.1371634998</v>
      </c>
      <c r="R63" s="112">
        <v>2488012.6678272001</v>
      </c>
      <c r="S63" s="112">
        <v>2332727.3850182998</v>
      </c>
      <c r="T63" s="112">
        <v>2386628.124119</v>
      </c>
      <c r="U63" s="112">
        <v>2243786.2790305</v>
      </c>
      <c r="V63" s="112">
        <v>2234174.8754993002</v>
      </c>
      <c r="W63" s="112">
        <v>2434143.680892</v>
      </c>
      <c r="X63" s="112">
        <v>2207719.7385165999</v>
      </c>
      <c r="Y63" s="112">
        <v>2532273.0780432001</v>
      </c>
      <c r="Z63" s="112">
        <v>2910645.875095</v>
      </c>
      <c r="AA63" s="112">
        <v>30092381.991195399</v>
      </c>
    </row>
    <row r="64" spans="4:27" ht="15" customHeight="1" x14ac:dyDescent="0.2">
      <c r="J64" s="100" t="str">
        <f xml:space="preserve"> _xll.EPMOlapMemberO("[COSTCENTER].[PARENTH1].[1001]","","1001","","000")</f>
        <v>1001</v>
      </c>
      <c r="K64" s="167" t="str">
        <f xml:space="preserve"> _xll.EPMOlapMemberO("[C_ACCOUNT].[PARENTH2].[A_4893052]","","A_4893052","","000")</f>
        <v>A_4893052</v>
      </c>
      <c r="L64" s="112" t="str">
        <f>_xll.EPMMemberDesc(K64)</f>
        <v>General Service Large Vol. 2 Transportation</v>
      </c>
      <c r="M64" s="112">
        <v>39651852.931084998</v>
      </c>
      <c r="N64" s="112">
        <v>39951479.023474701</v>
      </c>
      <c r="O64" s="112">
        <v>4039694.5943347998</v>
      </c>
      <c r="P64" s="112">
        <v>3736111.1885066</v>
      </c>
      <c r="Q64" s="112">
        <v>3595136.5538363</v>
      </c>
      <c r="R64" s="112">
        <v>3295443.9458706998</v>
      </c>
      <c r="S64" s="112">
        <v>3001931.4519296</v>
      </c>
      <c r="T64" s="112">
        <v>3031424.1125769001</v>
      </c>
      <c r="U64" s="112">
        <v>2918765.3030868</v>
      </c>
      <c r="V64" s="112">
        <v>2907894.0590932001</v>
      </c>
      <c r="W64" s="112">
        <v>3138030.4159037</v>
      </c>
      <c r="X64" s="112">
        <v>2874142.4019217999</v>
      </c>
      <c r="Y64" s="112">
        <v>3381098.9956971998</v>
      </c>
      <c r="Z64" s="112">
        <v>4031806.0007171002</v>
      </c>
      <c r="AA64" s="112">
        <v>39951479.023474701</v>
      </c>
    </row>
    <row r="65" spans="10:27" ht="15" customHeight="1" x14ac:dyDescent="0.2">
      <c r="J65" s="100" t="str">
        <f xml:space="preserve"> _xll.EPMOlapMemberO("[COSTCENTER].[PARENTH1].[1001]","","1001","","000")</f>
        <v>1001</v>
      </c>
      <c r="K65" s="167" t="str">
        <f xml:space="preserve"> _xll.EPMOlapMemberO("[C_ACCOUNT].[PARENTH2].[A_4893054]","","A_4893054","","000")</f>
        <v>A_4893054</v>
      </c>
      <c r="L65" s="112" t="str">
        <f>_xll.EPMMemberDesc(K65)</f>
        <v>General Service Large Vol. 3 Transportation</v>
      </c>
      <c r="M65" s="112">
        <v>19955592.336181998</v>
      </c>
      <c r="N65" s="112">
        <v>20112148.9312119</v>
      </c>
      <c r="O65" s="112">
        <v>2011477.2128585</v>
      </c>
      <c r="P65" s="112">
        <v>1882561.9249215999</v>
      </c>
      <c r="Q65" s="112">
        <v>1862967.5640572</v>
      </c>
      <c r="R65" s="112">
        <v>1589728.9699271</v>
      </c>
      <c r="S65" s="112">
        <v>1546248.5338355999</v>
      </c>
      <c r="T65" s="112">
        <v>1519356.3708577</v>
      </c>
      <c r="U65" s="112">
        <v>1498675.4381188001</v>
      </c>
      <c r="V65" s="112">
        <v>1432725.9330462001</v>
      </c>
      <c r="W65" s="112">
        <v>1510285.8829880001</v>
      </c>
      <c r="X65" s="112">
        <v>1517013.7064408001</v>
      </c>
      <c r="Y65" s="112">
        <v>1729210.3085332999</v>
      </c>
      <c r="Z65" s="112">
        <v>2011897.0856271</v>
      </c>
      <c r="AA65" s="112">
        <v>20112148.9312119</v>
      </c>
    </row>
    <row r="66" spans="10:27" ht="15" customHeight="1" x14ac:dyDescent="0.2">
      <c r="J66" s="100" t="str">
        <f xml:space="preserve"> _xll.EPMOlapMemberO("[COSTCENTER].[PARENTH1].[1001]","","1001","","000")</f>
        <v>1001</v>
      </c>
      <c r="K66" s="167" t="str">
        <f xml:space="preserve"> _xll.EPMOlapMemberO("[C_ACCOUNT].[PARENTH2].[A_4893056]","","A_4893056","","000")</f>
        <v>A_4893056</v>
      </c>
      <c r="L66" s="112" t="str">
        <f>_xll.EPMMemberDesc(K66)</f>
        <v>General Service Large Vol. 4 Transportation</v>
      </c>
      <c r="M66" s="112">
        <v>13054968.235649999</v>
      </c>
      <c r="N66" s="112">
        <v>10915884.2355936</v>
      </c>
      <c r="O66" s="112">
        <v>981689.36949129996</v>
      </c>
      <c r="P66" s="112">
        <v>904326.27299640002</v>
      </c>
      <c r="Q66" s="112">
        <v>932911.85958609998</v>
      </c>
      <c r="R66" s="112">
        <v>928976.12900790002</v>
      </c>
      <c r="S66" s="112">
        <v>914291.56927610002</v>
      </c>
      <c r="T66" s="112">
        <v>881861.62762539997</v>
      </c>
      <c r="U66" s="112">
        <v>922147.49478029995</v>
      </c>
      <c r="V66" s="112">
        <v>908197.61661030003</v>
      </c>
      <c r="W66" s="112">
        <v>894854.97269209998</v>
      </c>
      <c r="X66" s="112">
        <v>854115.37017530005</v>
      </c>
      <c r="Y66" s="112">
        <v>878688.54997209995</v>
      </c>
      <c r="Z66" s="112">
        <v>913823.40338030003</v>
      </c>
      <c r="AA66" s="112">
        <v>10915884.2355936</v>
      </c>
    </row>
    <row r="67" spans="10:27" ht="15" customHeight="1" x14ac:dyDescent="0.2">
      <c r="J67" s="100" t="str">
        <f xml:space="preserve"> _xll.EPMOlapMemberO("[COSTCENTER].[PARENTH1].[1001]","","1001","","000")</f>
        <v>1001</v>
      </c>
      <c r="K67" s="167" t="str">
        <f xml:space="preserve"> _xll.EPMOlapMemberO("[C_ACCOUNT].[PARENTH2].[A_4893058]","","A_4893058","","000")</f>
        <v>A_4893058</v>
      </c>
      <c r="L67" s="112" t="str">
        <f>_xll.EPMMemberDesc(K67)</f>
        <v>General Service Large Vol. 5 Transportation</v>
      </c>
      <c r="M67" s="112">
        <v>23680757.67286</v>
      </c>
      <c r="N67" s="112">
        <v>22307720.0270635</v>
      </c>
      <c r="O67" s="112">
        <v>1895753.0120310001</v>
      </c>
      <c r="P67" s="112">
        <v>1739590.3430202999</v>
      </c>
      <c r="Q67" s="112">
        <v>1918525.0400363</v>
      </c>
      <c r="R67" s="112">
        <v>1863868.2464286</v>
      </c>
      <c r="S67" s="112">
        <v>1851170.1532163001</v>
      </c>
      <c r="T67" s="112">
        <v>1842922.5558486001</v>
      </c>
      <c r="U67" s="112">
        <v>1814285.0533763</v>
      </c>
      <c r="V67" s="112">
        <v>1861278.7515563001</v>
      </c>
      <c r="W67" s="112">
        <v>1805262.9394086001</v>
      </c>
      <c r="X67" s="112">
        <v>1896027.9891563</v>
      </c>
      <c r="Y67" s="112">
        <v>1913094.6759486001</v>
      </c>
      <c r="Z67" s="112">
        <v>1905941.2670362999</v>
      </c>
      <c r="AA67" s="112">
        <v>22307720.0270635</v>
      </c>
    </row>
    <row r="68" spans="10:27" ht="15" customHeight="1" x14ac:dyDescent="0.2">
      <c r="J68" s="100" t="str">
        <f xml:space="preserve"> _xll.EPMOlapMemberO("[COSTCENTER].[PARENTH1].[1001]","","1001","","000")</f>
        <v>1001</v>
      </c>
      <c r="K68" s="167" t="str">
        <f xml:space="preserve"> _xll.EPMOlapMemberO("[C_ACCOUNT].[PARENTH2].[A_4830091]","","A_4830091","","000")</f>
        <v>A_4830091</v>
      </c>
      <c r="L68" s="112" t="str">
        <f>_xll.EPMMemberDesc(K68)</f>
        <v>Wholesale Sales for Resale</v>
      </c>
      <c r="M68" s="112">
        <v>569969.94974710001</v>
      </c>
      <c r="N68" s="112">
        <v>400031.40527039999</v>
      </c>
      <c r="O68" s="112">
        <v>55185.843771300002</v>
      </c>
      <c r="P68" s="112">
        <v>50244.029182099999</v>
      </c>
      <c r="Q68" s="112">
        <v>35121.297092399996</v>
      </c>
      <c r="R68" s="112">
        <v>39875.608218900001</v>
      </c>
      <c r="S68" s="112">
        <v>29757.856727400002</v>
      </c>
      <c r="T68" s="112">
        <v>26278.846260900002</v>
      </c>
      <c r="U68" s="112">
        <v>21114.991851399998</v>
      </c>
      <c r="V68" s="112">
        <v>24210.028514400001</v>
      </c>
      <c r="W68" s="112">
        <v>21828.9375139</v>
      </c>
      <c r="X68" s="112">
        <v>27445.573083399999</v>
      </c>
      <c r="Y68" s="112">
        <v>29062.067587900001</v>
      </c>
      <c r="Z68" s="112">
        <v>39906.325466399998</v>
      </c>
      <c r="AA68" s="112">
        <v>400031.40527039999</v>
      </c>
    </row>
    <row r="69" spans="10:27" ht="15" customHeight="1" x14ac:dyDescent="0.2">
      <c r="J69" s="100" t="str">
        <f xml:space="preserve"> _xll.EPMOlapMemberO("[COSTCENTER].[PARENTH1].[1001]","","1001","","000")</f>
        <v>1001</v>
      </c>
      <c r="K69" s="167" t="str">
        <f xml:space="preserve"> _xll.EPMOlapMemberO("[C_ACCOUNT].[PARENTH2].[A_4833091]","","A_4833091","","000")</f>
        <v>A_4833091</v>
      </c>
      <c r="L69" s="112" t="str">
        <f>_xll.EPMMemberDesc(K69)</f>
        <v>Wholesale Sales for Resale Transportation</v>
      </c>
      <c r="M69" s="112">
        <v>125200.58566700001</v>
      </c>
      <c r="N69" s="112">
        <v>125200.5856661</v>
      </c>
      <c r="O69" s="112">
        <v>11490.8676492</v>
      </c>
      <c r="P69" s="112">
        <v>10580.8292645</v>
      </c>
      <c r="Q69" s="112">
        <v>11216.619989999999</v>
      </c>
      <c r="R69" s="112">
        <v>10670.3323951</v>
      </c>
      <c r="S69" s="112">
        <v>10449.172936000001</v>
      </c>
      <c r="T69" s="112">
        <v>9853.6589700999994</v>
      </c>
      <c r="U69" s="112">
        <v>9873.353153</v>
      </c>
      <c r="V69" s="112">
        <v>10023.070218999999</v>
      </c>
      <c r="W69" s="112">
        <v>9684.0739940999993</v>
      </c>
      <c r="X69" s="112">
        <v>10095.208639</v>
      </c>
      <c r="Y69" s="112">
        <v>10286.864678100001</v>
      </c>
      <c r="Z69" s="112">
        <v>10976.533778000001</v>
      </c>
      <c r="AA69" s="112">
        <v>125200.5856661</v>
      </c>
    </row>
    <row r="70" spans="10:27" ht="15" customHeight="1" x14ac:dyDescent="0.2">
      <c r="J70" s="100" t="str">
        <f xml:space="preserve"> _xll.EPMOlapMemberO("[COSTCENTER].[PARENTH1].[1001]","","1001","","000")</f>
        <v>1001</v>
      </c>
      <c r="K70" s="167" t="str">
        <f xml:space="preserve"> _xll.EPMOlapMemberO("[C_ACCOUNT].[PARENTH2].[A_4810033]","","A_4810033","","000")</f>
        <v>A_4810033</v>
      </c>
      <c r="L70" s="112" t="str">
        <f>_xll.EPMMemberDesc(K70)</f>
        <v>Commercial Gas Heat Pump</v>
      </c>
      <c r="M70" s="112">
        <v>0</v>
      </c>
      <c r="N70" s="112">
        <v>1367.2937999999999</v>
      </c>
      <c r="O70" s="112">
        <v>113.94114999999999</v>
      </c>
      <c r="P70" s="112">
        <v>113.94114999999999</v>
      </c>
      <c r="Q70" s="112">
        <v>113.94114999999999</v>
      </c>
      <c r="R70" s="112">
        <v>113.94114999999999</v>
      </c>
      <c r="S70" s="112">
        <v>113.94114999999999</v>
      </c>
      <c r="T70" s="112">
        <v>113.94114999999999</v>
      </c>
      <c r="U70" s="112">
        <v>113.94114999999999</v>
      </c>
      <c r="V70" s="112">
        <v>113.94114999999999</v>
      </c>
      <c r="W70" s="112">
        <v>113.94114999999999</v>
      </c>
      <c r="X70" s="112">
        <v>113.94114999999999</v>
      </c>
      <c r="Y70" s="112">
        <v>113.94114999999999</v>
      </c>
      <c r="Z70" s="112">
        <v>113.94114999999999</v>
      </c>
      <c r="AA70" s="112">
        <v>1367.2937999999999</v>
      </c>
    </row>
    <row r="71" spans="10:27" ht="15" customHeight="1" x14ac:dyDescent="0.2">
      <c r="J71" s="115" t="str">
        <f xml:space="preserve"> _xll.EPMOlapMemberO("[COSTCENTER].[PARENTH1].[1001]","","1001","","000")</f>
        <v>1001</v>
      </c>
      <c r="K71" s="165" t="str">
        <f xml:space="preserve"> _xll.EPMOlapMemberO("[C_ACCOUNT].[PARENTH2].[IND_OH_RC]","","IND_OH_RC","","000")</f>
        <v>IND_OH_RC</v>
      </c>
      <c r="L71" s="115" t="str">
        <f>_xll.EPMMemberDesc(K71)</f>
        <v>INDUSTRIAL-OTHER</v>
      </c>
      <c r="M71" s="114">
        <v>35311374.215181999</v>
      </c>
      <c r="N71" s="114">
        <v>38792920.406376399</v>
      </c>
      <c r="O71" s="114">
        <v>3214223.6428112998</v>
      </c>
      <c r="P71" s="114">
        <v>3075474.362619</v>
      </c>
      <c r="Q71" s="114">
        <v>3400640.8490317999</v>
      </c>
      <c r="R71" s="114">
        <v>3421001.2987890001</v>
      </c>
      <c r="S71" s="114">
        <v>3420594.1677462999</v>
      </c>
      <c r="T71" s="114">
        <v>3309602.6413774998</v>
      </c>
      <c r="U71" s="114">
        <v>3216211.3999696001</v>
      </c>
      <c r="V71" s="114">
        <v>3127096.0856797998</v>
      </c>
      <c r="W71" s="114">
        <v>3090369.8769498998</v>
      </c>
      <c r="X71" s="114">
        <v>3216423.1129578999</v>
      </c>
      <c r="Y71" s="114">
        <v>3159570.6310492</v>
      </c>
      <c r="Z71" s="114">
        <v>3141712.3373950999</v>
      </c>
      <c r="AA71" s="114">
        <v>38792920.406376399</v>
      </c>
    </row>
    <row r="72" spans="10:27" ht="15" customHeight="1" x14ac:dyDescent="0.2">
      <c r="J72" s="100" t="str">
        <f xml:space="preserve"> _xll.EPMOlapMemberO("[COSTCENTER].[PARENTH1].[1001]","","1001","","000")</f>
        <v>1001</v>
      </c>
      <c r="K72" s="167" t="str">
        <f xml:space="preserve"> _xll.EPMOlapMemberO("[C_ACCOUNT].[PARENTH2].[A_4810070]","","A_4810070","","000")</f>
        <v>A_4810070</v>
      </c>
      <c r="L72" s="112" t="str">
        <f>_xll.EPMMemberDesc(K72)</f>
        <v>Interruptible Service Large Vol. 1</v>
      </c>
      <c r="M72" s="112">
        <v>1057663.24095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</row>
    <row r="73" spans="10:27" ht="15" customHeight="1" x14ac:dyDescent="0.2">
      <c r="J73" s="100" t="str">
        <f xml:space="preserve"> _xll.EPMOlapMemberO("[COSTCENTER].[PARENTH1].[1001]","","1001","","000")</f>
        <v>1001</v>
      </c>
      <c r="K73" s="167" t="str">
        <f xml:space="preserve"> _xll.EPMOlapMemberO("[C_ACCOUNT].[PARENTH2].[A_4893060]","","A_4893060","","000")</f>
        <v>A_4893060</v>
      </c>
      <c r="L73" s="112" t="str">
        <f>_xll.EPMMemberDesc(K73)</f>
        <v>Interruptible Service Small Transportation</v>
      </c>
      <c r="M73" s="112">
        <v>3904534.0081859999</v>
      </c>
      <c r="N73" s="112">
        <v>3904534.0082565001</v>
      </c>
      <c r="O73" s="112">
        <v>360364.62215900002</v>
      </c>
      <c r="P73" s="112">
        <v>329046.42549370002</v>
      </c>
      <c r="Q73" s="112">
        <v>354634.25562180002</v>
      </c>
      <c r="R73" s="112">
        <v>335208.58627949998</v>
      </c>
      <c r="S73" s="112">
        <v>324770.37252129999</v>
      </c>
      <c r="T73" s="112">
        <v>311856.55340799998</v>
      </c>
      <c r="U73" s="112">
        <v>313074.71782730002</v>
      </c>
      <c r="V73" s="112">
        <v>320214.69136579998</v>
      </c>
      <c r="W73" s="112">
        <v>305623.10563399998</v>
      </c>
      <c r="X73" s="112">
        <v>310128.79148180003</v>
      </c>
      <c r="Y73" s="112">
        <v>318828.95000900002</v>
      </c>
      <c r="Z73" s="112">
        <v>320782.93645530002</v>
      </c>
      <c r="AA73" s="112">
        <v>3904534.0082565001</v>
      </c>
    </row>
    <row r="74" spans="10:27" ht="15" customHeight="1" x14ac:dyDescent="0.2">
      <c r="J74" s="100" t="str">
        <f xml:space="preserve"> _xll.EPMOlapMemberO("[COSTCENTER].[PARENTH1].[1001]","","1001","","000")</f>
        <v>1001</v>
      </c>
      <c r="K74" s="167" t="str">
        <f xml:space="preserve"> _xll.EPMOlapMemberO("[C_ACCOUNT].[PARENTH2].[A_4893070]","","A_4893070","","000")</f>
        <v>A_4893070</v>
      </c>
      <c r="L74" s="112" t="str">
        <f>_xll.EPMMemberDesc(K74)</f>
        <v>Interruptible Service Large Vol. 1 Transportation</v>
      </c>
      <c r="M74" s="112">
        <v>5003027.6062359996</v>
      </c>
      <c r="N74" s="112">
        <v>6060690.8469081996</v>
      </c>
      <c r="O74" s="112">
        <v>505185.28003339999</v>
      </c>
      <c r="P74" s="112">
        <v>458362.25384979998</v>
      </c>
      <c r="Q74" s="112">
        <v>580927.40079999994</v>
      </c>
      <c r="R74" s="112">
        <v>537428.45882499998</v>
      </c>
      <c r="S74" s="112">
        <v>528752.44960000005</v>
      </c>
      <c r="T74" s="112">
        <v>504206.29869999998</v>
      </c>
      <c r="U74" s="112">
        <v>516229.14287500002</v>
      </c>
      <c r="V74" s="112">
        <v>465456.22269999998</v>
      </c>
      <c r="W74" s="112">
        <v>437492.30920000002</v>
      </c>
      <c r="X74" s="112">
        <v>496857.63445000001</v>
      </c>
      <c r="Y74" s="112">
        <v>485070.188425</v>
      </c>
      <c r="Z74" s="112">
        <v>544723.20744999999</v>
      </c>
      <c r="AA74" s="112">
        <v>6060690.8469081996</v>
      </c>
    </row>
    <row r="75" spans="10:27" ht="15" customHeight="1" x14ac:dyDescent="0.2">
      <c r="J75" s="100" t="str">
        <f xml:space="preserve"> _xll.EPMOlapMemberO("[COSTCENTER].[PARENTH1].[1001]","","1001","","000")</f>
        <v>1001</v>
      </c>
      <c r="K75" s="167" t="str">
        <f xml:space="preserve"> _xll.EPMOlapMemberO("[C_ACCOUNT].[PARENTH2].[A_4893090]","","A_4893090","","000")</f>
        <v>A_4893090</v>
      </c>
      <c r="L75" s="112" t="str">
        <f>_xll.EPMMemberDesc(K75)</f>
        <v>Intrpt Con Svc Tmsp</v>
      </c>
      <c r="M75" s="112">
        <v>25346149.359809998</v>
      </c>
      <c r="N75" s="112">
        <v>28827695.5512117</v>
      </c>
      <c r="O75" s="112">
        <v>2348673.7406188999</v>
      </c>
      <c r="P75" s="112">
        <v>2288065.6832754998</v>
      </c>
      <c r="Q75" s="112">
        <v>2465079.1926099998</v>
      </c>
      <c r="R75" s="112">
        <v>2548364.2536845002</v>
      </c>
      <c r="S75" s="112">
        <v>2567071.3456250001</v>
      </c>
      <c r="T75" s="112">
        <v>2493539.7892694999</v>
      </c>
      <c r="U75" s="112">
        <v>2386907.5392673002</v>
      </c>
      <c r="V75" s="112">
        <v>2341425.1716140001</v>
      </c>
      <c r="W75" s="112">
        <v>2347254.4621159001</v>
      </c>
      <c r="X75" s="112">
        <v>2409436.6870260998</v>
      </c>
      <c r="Y75" s="112">
        <v>2355671.4926152001</v>
      </c>
      <c r="Z75" s="112">
        <v>2276206.1934898002</v>
      </c>
      <c r="AA75" s="112">
        <v>28827695.5512117</v>
      </c>
    </row>
    <row r="76" spans="10:27" ht="15" customHeight="1" x14ac:dyDescent="0.2">
      <c r="J76" s="115" t="str">
        <f xml:space="preserve"> _xll.EPMOlapMemberO("[COSTCENTER].[PARENTH1].[1001]","","1001","","000")</f>
        <v>1001</v>
      </c>
      <c r="K76" s="161" t="str">
        <f xml:space="preserve"> _xll.EPMOlapMemberO("[C_ACCOUNT].[PARENTH2].[OFFSYS_SM_RC]","","OFFSYS_SM_RC","","000")</f>
        <v>OFFSYS_SM_RC</v>
      </c>
      <c r="L76" s="115" t="str">
        <f>_xll.EPMMemberDesc(K76)</f>
        <v>OFF-SYSTEM SALES MARGIN</v>
      </c>
      <c r="M76" s="114">
        <v>3904223</v>
      </c>
      <c r="N76" s="114">
        <v>3904223</v>
      </c>
      <c r="O76" s="114">
        <v>326704</v>
      </c>
      <c r="P76" s="114">
        <v>319751</v>
      </c>
      <c r="Q76" s="114">
        <v>326704</v>
      </c>
      <c r="R76" s="114">
        <v>324386</v>
      </c>
      <c r="S76" s="114">
        <v>326704</v>
      </c>
      <c r="T76" s="114">
        <v>324386</v>
      </c>
      <c r="U76" s="114">
        <v>326704</v>
      </c>
      <c r="V76" s="114">
        <v>326704</v>
      </c>
      <c r="W76" s="114">
        <v>324386</v>
      </c>
      <c r="X76" s="114">
        <v>326704</v>
      </c>
      <c r="Y76" s="114">
        <v>324386</v>
      </c>
      <c r="Z76" s="114">
        <v>326704</v>
      </c>
      <c r="AA76" s="114">
        <v>3904223</v>
      </c>
    </row>
    <row r="77" spans="10:27" ht="15" customHeight="1" x14ac:dyDescent="0.2">
      <c r="J77" s="115" t="str">
        <f xml:space="preserve"> _xll.EPMOlapMemberO("[COSTCENTER].[PARENTH1].[1001]","","1001","","000")</f>
        <v>1001</v>
      </c>
      <c r="K77" s="163" t="str">
        <f xml:space="preserve"> _xll.EPMOlapMemberO("[C_ACCOUNT].[PARENTH2].[GAS_OSS_RC]","","GAS_OSS_RC","","000")</f>
        <v>GAS_OSS_RC</v>
      </c>
      <c r="L77" s="115" t="str">
        <f>_xll.EPMMemberDesc(K77)</f>
        <v>GAS OFF-SYSTEM SALES</v>
      </c>
      <c r="M77" s="114">
        <v>3904223</v>
      </c>
      <c r="N77" s="114">
        <v>3904223</v>
      </c>
      <c r="O77" s="114">
        <v>326704</v>
      </c>
      <c r="P77" s="114">
        <v>319751</v>
      </c>
      <c r="Q77" s="114">
        <v>326704</v>
      </c>
      <c r="R77" s="114">
        <v>324386</v>
      </c>
      <c r="S77" s="114">
        <v>326704</v>
      </c>
      <c r="T77" s="114">
        <v>324386</v>
      </c>
      <c r="U77" s="114">
        <v>326704</v>
      </c>
      <c r="V77" s="114">
        <v>326704</v>
      </c>
      <c r="W77" s="114">
        <v>324386</v>
      </c>
      <c r="X77" s="114">
        <v>326704</v>
      </c>
      <c r="Y77" s="114">
        <v>324386</v>
      </c>
      <c r="Z77" s="114">
        <v>326704</v>
      </c>
      <c r="AA77" s="114">
        <v>3904223</v>
      </c>
    </row>
    <row r="78" spans="10:27" ht="15" customHeight="1" x14ac:dyDescent="0.2">
      <c r="J78" s="100" t="str">
        <f xml:space="preserve"> _xll.EPMOlapMemberO("[COSTCENTER].[PARENTH1].[1001]","","1001","","000")</f>
        <v>1001</v>
      </c>
      <c r="K78" s="166" t="str">
        <f xml:space="preserve"> _xll.EPMOlapMemberO("[C_ACCOUNT].[PARENTH2].[A_4810610]","","A_4810610","","000")</f>
        <v>A_4810610</v>
      </c>
      <c r="L78" s="112" t="str">
        <f>_xll.EPMMemberDesc(K78)</f>
        <v>Off System Sales (margin) - Non RP Reseller</v>
      </c>
      <c r="M78" s="112">
        <v>1804223</v>
      </c>
      <c r="N78" s="112">
        <v>1804223</v>
      </c>
      <c r="O78" s="112">
        <v>151704</v>
      </c>
      <c r="P78" s="112">
        <v>144751</v>
      </c>
      <c r="Q78" s="112">
        <v>151704</v>
      </c>
      <c r="R78" s="112">
        <v>149386</v>
      </c>
      <c r="S78" s="112">
        <v>151704</v>
      </c>
      <c r="T78" s="112">
        <v>149386</v>
      </c>
      <c r="U78" s="112">
        <v>151704</v>
      </c>
      <c r="V78" s="112">
        <v>151704</v>
      </c>
      <c r="W78" s="112">
        <v>149386</v>
      </c>
      <c r="X78" s="112">
        <v>151704</v>
      </c>
      <c r="Y78" s="112">
        <v>149386</v>
      </c>
      <c r="Z78" s="112">
        <v>151704</v>
      </c>
      <c r="AA78" s="112">
        <v>1804223</v>
      </c>
    </row>
    <row r="79" spans="10:27" ht="15" customHeight="1" x14ac:dyDescent="0.2">
      <c r="J79" s="100" t="str">
        <f xml:space="preserve"> _xll.EPMOlapMemberO("[COSTCENTER].[PARENTH1].[1001]","","1001","","000")</f>
        <v>1001</v>
      </c>
      <c r="K79" s="166" t="str">
        <f xml:space="preserve"> _xll.EPMOlapMemberO("[C_ACCOUNT].[PARENTH2].[A_4810612]","","A_4810612","","000")</f>
        <v>A_4810612</v>
      </c>
      <c r="L79" s="112" t="str">
        <f>_xll.EPMMemberDesc(K79)</f>
        <v>Off System Sales (margin) - Receipt Point</v>
      </c>
      <c r="M79" s="112">
        <v>2100000</v>
      </c>
      <c r="N79" s="112">
        <v>2100000</v>
      </c>
      <c r="O79" s="112">
        <v>175000</v>
      </c>
      <c r="P79" s="112">
        <v>175000</v>
      </c>
      <c r="Q79" s="112">
        <v>175000</v>
      </c>
      <c r="R79" s="112">
        <v>175000</v>
      </c>
      <c r="S79" s="112">
        <v>175000</v>
      </c>
      <c r="T79" s="112">
        <v>175000</v>
      </c>
      <c r="U79" s="112">
        <v>175000</v>
      </c>
      <c r="V79" s="112">
        <v>175000</v>
      </c>
      <c r="W79" s="112">
        <v>175000</v>
      </c>
      <c r="X79" s="112">
        <v>175000</v>
      </c>
      <c r="Y79" s="112">
        <v>175000</v>
      </c>
      <c r="Z79" s="112">
        <v>175000</v>
      </c>
      <c r="AA79" s="112">
        <v>2100000</v>
      </c>
    </row>
    <row r="80" spans="10:27" ht="15" customHeight="1" x14ac:dyDescent="0.2">
      <c r="J80" s="115" t="str">
        <f xml:space="preserve"> _xll.EPMOlapMemberO("[COSTCENTER].[PARENTH1].[1001]","","1001","","000")</f>
        <v>1001</v>
      </c>
      <c r="K80" s="161" t="str">
        <f xml:space="preserve"> _xll.EPMOlapMemberO("[C_ACCOUNT].[PARENTH2].[OTH_OP_REV_RC]","","OTH_OP_REV_RC","","000")</f>
        <v>OTH_OP_REV_RC</v>
      </c>
      <c r="L80" s="115" t="str">
        <f>_xll.EPMMemberDesc(K80)</f>
        <v>OTHER OPERATING REVENUES</v>
      </c>
      <c r="M80" s="114">
        <v>22575003.552577399</v>
      </c>
      <c r="N80" s="114">
        <v>15690466.553141</v>
      </c>
      <c r="O80" s="114">
        <v>667918.97809780005</v>
      </c>
      <c r="P80" s="114">
        <v>716792.10309780005</v>
      </c>
      <c r="Q80" s="114">
        <v>1107494.2330978001</v>
      </c>
      <c r="R80" s="114">
        <v>1074340.6430978</v>
      </c>
      <c r="S80" s="114">
        <v>1178240.1630978</v>
      </c>
      <c r="T80" s="114">
        <v>1116385.4030978</v>
      </c>
      <c r="U80" s="114">
        <v>1070388.4130978</v>
      </c>
      <c r="V80" s="114">
        <v>1081000.1730978</v>
      </c>
      <c r="W80" s="114">
        <v>1052279.4285815</v>
      </c>
      <c r="X80" s="114">
        <v>1072075.6730978</v>
      </c>
      <c r="Y80" s="114">
        <v>4101294.4285815</v>
      </c>
      <c r="Z80" s="114">
        <v>1452256.9130978</v>
      </c>
      <c r="AA80" s="114">
        <v>15690466.553141</v>
      </c>
    </row>
    <row r="81" spans="10:27" ht="15" customHeight="1" x14ac:dyDescent="0.2">
      <c r="J81" s="115" t="str">
        <f xml:space="preserve"> _xll.EPMOlapMemberO("[COSTCENTER].[PARENTH1].[1001]","","1001","","000")</f>
        <v>1001</v>
      </c>
      <c r="K81" s="163" t="str">
        <f xml:space="preserve"> _xll.EPMOlapMemberO("[C_ACCOUNT].[PARENTH2].[LT_FEES_RC]","","LT_FEES_RC","","000")</f>
        <v>LT_FEES_RC</v>
      </c>
      <c r="L81" s="115" t="str">
        <f>_xll.EPMMemberDesc(K81)</f>
        <v>LATE FEES</v>
      </c>
      <c r="M81" s="114">
        <v>1406319.1464156001</v>
      </c>
      <c r="N81" s="114">
        <v>1406319.1464376</v>
      </c>
      <c r="O81" s="114">
        <v>118963.95505259999</v>
      </c>
      <c r="P81" s="114">
        <v>118162.5650526</v>
      </c>
      <c r="Q81" s="114">
        <v>121531.1950526</v>
      </c>
      <c r="R81" s="114">
        <v>119668.01505260001</v>
      </c>
      <c r="S81" s="114">
        <v>118088.62505259999</v>
      </c>
      <c r="T81" s="114">
        <v>116288.1150526</v>
      </c>
      <c r="U81" s="114">
        <v>115835.6350526</v>
      </c>
      <c r="V81" s="114">
        <v>115835.6350526</v>
      </c>
      <c r="W81" s="114">
        <v>115137.0679558</v>
      </c>
      <c r="X81" s="114">
        <v>115835.6350526</v>
      </c>
      <c r="Y81" s="114">
        <v>115137.0679558</v>
      </c>
      <c r="Z81" s="114">
        <v>115835.6350526</v>
      </c>
      <c r="AA81" s="114">
        <v>1406319.1464376</v>
      </c>
    </row>
    <row r="82" spans="10:27" ht="15" customHeight="1" x14ac:dyDescent="0.2">
      <c r="J82" s="100" t="str">
        <f xml:space="preserve"> _xll.EPMOlapMemberO("[COSTCENTER].[PARENTH1].[1001]","","1001","","000")</f>
        <v>1001</v>
      </c>
      <c r="K82" s="166" t="str">
        <f xml:space="preserve"> _xll.EPMOlapMemberO("[C_ACCOUNT].[PARENTH2].[A_4870000]","","A_4870000","","000")</f>
        <v>A_4870000</v>
      </c>
      <c r="L82" s="112" t="str">
        <f>_xll.EPMMemberDesc(K82)</f>
        <v>Forfeited Discounts</v>
      </c>
      <c r="M82" s="112">
        <v>1406319.1464156001</v>
      </c>
      <c r="N82" s="112">
        <v>1406319.1464376</v>
      </c>
      <c r="O82" s="112">
        <v>118963.95505259999</v>
      </c>
      <c r="P82" s="112">
        <v>118162.5650526</v>
      </c>
      <c r="Q82" s="112">
        <v>121531.1950526</v>
      </c>
      <c r="R82" s="112">
        <v>119668.01505260001</v>
      </c>
      <c r="S82" s="112">
        <v>118088.62505259999</v>
      </c>
      <c r="T82" s="112">
        <v>116288.1150526</v>
      </c>
      <c r="U82" s="112">
        <v>115835.6350526</v>
      </c>
      <c r="V82" s="112">
        <v>115835.6350526</v>
      </c>
      <c r="W82" s="112">
        <v>115137.0679558</v>
      </c>
      <c r="X82" s="112">
        <v>115835.6350526</v>
      </c>
      <c r="Y82" s="112">
        <v>115137.0679558</v>
      </c>
      <c r="Z82" s="112">
        <v>115835.6350526</v>
      </c>
      <c r="AA82" s="112">
        <v>1406319.1464376</v>
      </c>
    </row>
    <row r="83" spans="10:27" ht="15" customHeight="1" x14ac:dyDescent="0.2">
      <c r="J83" s="115" t="str">
        <f xml:space="preserve"> _xll.EPMOlapMemberO("[COSTCENTER].[PARENTH1].[1001]","","1001","","000")</f>
        <v>1001</v>
      </c>
      <c r="K83" s="163" t="str">
        <f xml:space="preserve"> _xll.EPMOlapMemberO("[C_ACCOUNT].[PARENTH2].[MISC_GSSREV_RC]","","MISC_GSSREV_RC","","000")</f>
        <v>MISC_GSSREV_RC</v>
      </c>
      <c r="L83" s="115" t="str">
        <f>_xll.EPMMemberDesc(K83)</f>
        <v>MISCELLANEOUS SERVICE REVENUES</v>
      </c>
      <c r="M83" s="114">
        <v>15024402.157313799</v>
      </c>
      <c r="N83" s="114">
        <v>6672402.1574170003</v>
      </c>
      <c r="O83" s="114">
        <v>487980.03518800001</v>
      </c>
      <c r="P83" s="114">
        <v>538458.28518799995</v>
      </c>
      <c r="Q83" s="114">
        <v>592973.78518799995</v>
      </c>
      <c r="R83" s="114">
        <v>561683.37518800003</v>
      </c>
      <c r="S83" s="114">
        <v>549162.28518799995</v>
      </c>
      <c r="T83" s="114">
        <v>607108.03518799995</v>
      </c>
      <c r="U83" s="114">
        <v>558759.78518799995</v>
      </c>
      <c r="V83" s="114">
        <v>572175.28518799995</v>
      </c>
      <c r="W83" s="114">
        <v>544153.10776849999</v>
      </c>
      <c r="X83" s="114">
        <v>563250.78518799995</v>
      </c>
      <c r="Y83" s="114">
        <v>541898.10776849999</v>
      </c>
      <c r="Z83" s="114">
        <v>554799.28518799995</v>
      </c>
      <c r="AA83" s="114">
        <v>6672402.1574170003</v>
      </c>
    </row>
    <row r="84" spans="10:27" ht="15" customHeight="1" x14ac:dyDescent="0.2">
      <c r="J84" s="100" t="str">
        <f xml:space="preserve"> _xll.EPMOlapMemberO("[COSTCENTER].[PARENTH1].[1001]","","1001","","000")</f>
        <v>1001</v>
      </c>
      <c r="K84" s="166" t="str">
        <f xml:space="preserve"> _xll.EPMOlapMemberO("[C_ACCOUNT].[PARENTH2].[A_4880101]","","A_4880101","","000")</f>
        <v>A_4880101</v>
      </c>
      <c r="L84" s="112" t="str">
        <f>_xll.EPMMemberDesc(K84)</f>
        <v>Misc Svc Rev - Residential Connect/Reconnect</v>
      </c>
      <c r="M84" s="112">
        <v>3660411.3951538</v>
      </c>
      <c r="N84" s="112">
        <v>3660411.3951610001</v>
      </c>
      <c r="O84" s="112">
        <v>260623.75</v>
      </c>
      <c r="P84" s="112">
        <v>305713</v>
      </c>
      <c r="Q84" s="112">
        <v>332874</v>
      </c>
      <c r="R84" s="112">
        <v>302675.25</v>
      </c>
      <c r="S84" s="112">
        <v>288686</v>
      </c>
      <c r="T84" s="112">
        <v>334112.25</v>
      </c>
      <c r="U84" s="112">
        <v>306179</v>
      </c>
      <c r="V84" s="112">
        <v>311034</v>
      </c>
      <c r="W84" s="112">
        <v>299661.82258049998</v>
      </c>
      <c r="X84" s="112">
        <v>314474.5</v>
      </c>
      <c r="Y84" s="112">
        <v>302439.82258049998</v>
      </c>
      <c r="Z84" s="112">
        <v>301938</v>
      </c>
      <c r="AA84" s="112">
        <v>3660411.3951610001</v>
      </c>
    </row>
    <row r="85" spans="10:27" ht="15" customHeight="1" x14ac:dyDescent="0.2">
      <c r="J85" s="100" t="str">
        <f xml:space="preserve"> _xll.EPMOlapMemberO("[COSTCENTER].[PARENTH1].[1001]","","1001","","000")</f>
        <v>1001</v>
      </c>
      <c r="K85" s="166" t="str">
        <f xml:space="preserve"> _xll.EPMOlapMemberO("[C_ACCOUNT].[PARENTH2].[A_4880102]","","A_4880102","","000")</f>
        <v>A_4880102</v>
      </c>
      <c r="L85" s="112" t="str">
        <f>_xll.EPMMemberDesc(K85)</f>
        <v>Misc Svc Rev - Commercial Connect/Reconnect</v>
      </c>
      <c r="M85" s="112">
        <v>310195</v>
      </c>
      <c r="N85" s="112">
        <v>310195</v>
      </c>
      <c r="O85" s="112">
        <v>24147.5</v>
      </c>
      <c r="P85" s="112">
        <v>23737.5</v>
      </c>
      <c r="Q85" s="112">
        <v>29330</v>
      </c>
      <c r="R85" s="112">
        <v>24195</v>
      </c>
      <c r="S85" s="112">
        <v>25071.5</v>
      </c>
      <c r="T85" s="112">
        <v>27874</v>
      </c>
      <c r="U85" s="112">
        <v>22656.5</v>
      </c>
      <c r="V85" s="112">
        <v>28715</v>
      </c>
      <c r="W85" s="112">
        <v>28665</v>
      </c>
      <c r="X85" s="112">
        <v>28890</v>
      </c>
      <c r="Y85" s="112">
        <v>23448</v>
      </c>
      <c r="Z85" s="112">
        <v>23465</v>
      </c>
      <c r="AA85" s="112">
        <v>310195</v>
      </c>
    </row>
    <row r="86" spans="10:27" ht="15" customHeight="1" x14ac:dyDescent="0.2">
      <c r="J86" s="100" t="str">
        <f xml:space="preserve"> _xll.EPMOlapMemberO("[COSTCENTER].[PARENTH1].[1001]","","1001","","000")</f>
        <v>1001</v>
      </c>
      <c r="K86" s="166" t="str">
        <f xml:space="preserve"> _xll.EPMOlapMemberO("[C_ACCOUNT].[PARENTH2].[A_4880103]","","A_4880103","","000")</f>
        <v>A_4880103</v>
      </c>
      <c r="L86" s="112" t="str">
        <f>_xll.EPMMemberDesc(K86)</f>
        <v>Misc Svc Rev - Change Out</v>
      </c>
      <c r="M86" s="112">
        <v>1264195.3400000001</v>
      </c>
      <c r="N86" s="112">
        <v>1264195.3400000001</v>
      </c>
      <c r="O86" s="112">
        <v>85636</v>
      </c>
      <c r="P86" s="112">
        <v>90480</v>
      </c>
      <c r="Q86" s="112">
        <v>110802</v>
      </c>
      <c r="R86" s="112">
        <v>114935.34</v>
      </c>
      <c r="S86" s="112">
        <v>114910</v>
      </c>
      <c r="T86" s="112">
        <v>123474</v>
      </c>
      <c r="U86" s="112">
        <v>109474</v>
      </c>
      <c r="V86" s="112">
        <v>110816</v>
      </c>
      <c r="W86" s="112">
        <v>95776</v>
      </c>
      <c r="X86" s="112">
        <v>99836</v>
      </c>
      <c r="Y86" s="112">
        <v>97440</v>
      </c>
      <c r="Z86" s="112">
        <v>110616</v>
      </c>
      <c r="AA86" s="112">
        <v>1264195.3400000001</v>
      </c>
    </row>
    <row r="87" spans="10:27" ht="15" customHeight="1" x14ac:dyDescent="0.2">
      <c r="J87" s="100" t="str">
        <f xml:space="preserve"> _xll.EPMOlapMemberO("[COSTCENTER].[PARENTH1].[1001]","","1001","","000")</f>
        <v>1001</v>
      </c>
      <c r="K87" s="166" t="str">
        <f xml:space="preserve"> _xll.EPMOlapMemberO("[C_ACCOUNT].[PARENTH2].[A_4880104]","","A_4880104","","000")</f>
        <v>A_4880104</v>
      </c>
      <c r="L87" s="112" t="str">
        <f>_xll.EPMMemberDesc(K87)</f>
        <v>Misc Svc Rev - Trip Charge</v>
      </c>
      <c r="M87" s="112">
        <v>31237.5</v>
      </c>
      <c r="N87" s="112">
        <v>31237.5</v>
      </c>
      <c r="O87" s="112">
        <v>2487.5</v>
      </c>
      <c r="P87" s="112">
        <v>2837.5</v>
      </c>
      <c r="Q87" s="112">
        <v>3450</v>
      </c>
      <c r="R87" s="112">
        <v>2712.5</v>
      </c>
      <c r="S87" s="112">
        <v>2825</v>
      </c>
      <c r="T87" s="112">
        <v>2712.5</v>
      </c>
      <c r="U87" s="112">
        <v>2537.5</v>
      </c>
      <c r="V87" s="112">
        <v>2325</v>
      </c>
      <c r="W87" s="112">
        <v>2225</v>
      </c>
      <c r="X87" s="112">
        <v>2600</v>
      </c>
      <c r="Y87" s="112">
        <v>2350</v>
      </c>
      <c r="Z87" s="112">
        <v>2175</v>
      </c>
      <c r="AA87" s="112">
        <v>31237.5</v>
      </c>
    </row>
    <row r="88" spans="10:27" ht="15" customHeight="1" x14ac:dyDescent="0.2">
      <c r="J88" s="100" t="str">
        <f xml:space="preserve"> _xll.EPMOlapMemberO("[COSTCENTER].[PARENTH1].[1001]","","1001","","000")</f>
        <v>1001</v>
      </c>
      <c r="K88" s="166" t="str">
        <f xml:space="preserve"> _xll.EPMOlapMemberO("[C_ACCOUNT].[PARENTH2].[A_4880105]","","A_4880105","","000")</f>
        <v>A_4880105</v>
      </c>
      <c r="L88" s="112" t="str">
        <f>_xll.EPMMemberDesc(K88)</f>
        <v>Misc Svc Rev - NSF Fee</v>
      </c>
      <c r="M88" s="112">
        <v>273456.18852000003</v>
      </c>
      <c r="N88" s="112">
        <v>273456.18857160001</v>
      </c>
      <c r="O88" s="112">
        <v>22788.0157143</v>
      </c>
      <c r="P88" s="112">
        <v>22788.0157143</v>
      </c>
      <c r="Q88" s="112">
        <v>22788.0157143</v>
      </c>
      <c r="R88" s="112">
        <v>22788.0157143</v>
      </c>
      <c r="S88" s="112">
        <v>22788.0157143</v>
      </c>
      <c r="T88" s="112">
        <v>22788.0157143</v>
      </c>
      <c r="U88" s="112">
        <v>22788.0157143</v>
      </c>
      <c r="V88" s="112">
        <v>22788.0157143</v>
      </c>
      <c r="W88" s="112">
        <v>22788.0157143</v>
      </c>
      <c r="X88" s="112">
        <v>22788.0157143</v>
      </c>
      <c r="Y88" s="112">
        <v>22788.0157143</v>
      </c>
      <c r="Z88" s="112">
        <v>22788.0157143</v>
      </c>
      <c r="AA88" s="112">
        <v>273456.18857160001</v>
      </c>
    </row>
    <row r="89" spans="10:27" ht="15" customHeight="1" x14ac:dyDescent="0.2">
      <c r="J89" s="100" t="str">
        <f xml:space="preserve"> _xll.EPMOlapMemberO("[COSTCENTER].[PARENTH1].[1001]","","1001","","000")</f>
        <v>1001</v>
      </c>
      <c r="K89" s="166" t="str">
        <f xml:space="preserve"> _xll.EPMOlapMemberO("[C_ACCOUNT].[PARENTH2].[A_4880106]","","A_4880106","","000")</f>
        <v>A_4880106</v>
      </c>
      <c r="L89" s="112" t="str">
        <f>_xll.EPMMemberDesc(K89)</f>
        <v>Misc Svc Rev - Failed Trip Charge</v>
      </c>
      <c r="M89" s="112">
        <v>44762.5</v>
      </c>
      <c r="N89" s="112">
        <v>44762.5</v>
      </c>
      <c r="O89" s="112">
        <v>2400</v>
      </c>
      <c r="P89" s="112">
        <v>3287.5</v>
      </c>
      <c r="Q89" s="112">
        <v>3750</v>
      </c>
      <c r="R89" s="112">
        <v>3775</v>
      </c>
      <c r="S89" s="112">
        <v>3412.5</v>
      </c>
      <c r="T89" s="112">
        <v>4400</v>
      </c>
      <c r="U89" s="112">
        <v>4012.5</v>
      </c>
      <c r="V89" s="112">
        <v>4725</v>
      </c>
      <c r="W89" s="112">
        <v>3800</v>
      </c>
      <c r="X89" s="112">
        <v>4050</v>
      </c>
      <c r="Y89" s="112">
        <v>3675</v>
      </c>
      <c r="Z89" s="112">
        <v>3475</v>
      </c>
      <c r="AA89" s="112">
        <v>44762.5</v>
      </c>
    </row>
    <row r="90" spans="10:27" ht="15" customHeight="1" x14ac:dyDescent="0.2">
      <c r="J90" s="100" t="str">
        <f xml:space="preserve"> _xll.EPMOlapMemberO("[COSTCENTER].[PARENTH1].[1001]","","1001","","000")</f>
        <v>1001</v>
      </c>
      <c r="K90" s="166" t="str">
        <f xml:space="preserve"> _xll.EPMOlapMemberO("[C_ACCOUNT].[PARENTH2].[A_4880107]","","A_4880107","","000")</f>
        <v>A_4880107</v>
      </c>
      <c r="L90" s="112" t="str">
        <f>_xll.EPMMemberDesc(K90)</f>
        <v>Misc Svc Rev - Temporary Disconnect</v>
      </c>
      <c r="M90" s="112">
        <v>24917</v>
      </c>
      <c r="N90" s="112">
        <v>24917</v>
      </c>
      <c r="O90" s="112">
        <v>1295</v>
      </c>
      <c r="P90" s="112">
        <v>1012.5</v>
      </c>
      <c r="Q90" s="112">
        <v>1377.5</v>
      </c>
      <c r="R90" s="112">
        <v>2000</v>
      </c>
      <c r="S90" s="112">
        <v>2867</v>
      </c>
      <c r="T90" s="112">
        <v>3145</v>
      </c>
      <c r="U90" s="112">
        <v>2510</v>
      </c>
      <c r="V90" s="112">
        <v>3170</v>
      </c>
      <c r="W90" s="112">
        <v>2635</v>
      </c>
      <c r="X90" s="112">
        <v>2010</v>
      </c>
      <c r="Y90" s="112">
        <v>1155</v>
      </c>
      <c r="Z90" s="112">
        <v>1740</v>
      </c>
      <c r="AA90" s="112">
        <v>24917</v>
      </c>
    </row>
    <row r="91" spans="10:27" ht="15" customHeight="1" x14ac:dyDescent="0.2">
      <c r="J91" s="100" t="str">
        <f xml:space="preserve"> _xll.EPMOlapMemberO("[COSTCENTER].[PARENTH1].[1001]","","1001","","000")</f>
        <v>1001</v>
      </c>
      <c r="K91" s="166" t="str">
        <f xml:space="preserve"> _xll.EPMOlapMemberO("[C_ACCOUNT].[PARENTH2].[A_4880108]","","A_4880108","","000")</f>
        <v>A_4880108</v>
      </c>
      <c r="L91" s="112" t="str">
        <f>_xll.EPMMemberDesc(K91)</f>
        <v>Misc Svc Rev - Billing Adjustment (Gas)</v>
      </c>
      <c r="M91" s="112">
        <v>8352000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</row>
    <row r="92" spans="10:27" ht="15" customHeight="1" x14ac:dyDescent="0.2">
      <c r="J92" s="100" t="str">
        <f xml:space="preserve"> _xll.EPMOlapMemberO("[COSTCENTER].[PARENTH1].[1001]","","1001","","000")</f>
        <v>1001</v>
      </c>
      <c r="K92" s="166" t="str">
        <f xml:space="preserve"> _xll.EPMOlapMemberO("[C_ACCOUNT].[PARENTH2].[A_4880111]","","A_4880111","","000")</f>
        <v>A_4880111</v>
      </c>
      <c r="L92" s="112" t="str">
        <f>_xll.EPMMemberDesc(K92)</f>
        <v>Misc Svc Rev - ITS Fee</v>
      </c>
      <c r="M92" s="112">
        <v>881280</v>
      </c>
      <c r="N92" s="112">
        <v>881280</v>
      </c>
      <c r="O92" s="112">
        <v>73440</v>
      </c>
      <c r="P92" s="112">
        <v>73440</v>
      </c>
      <c r="Q92" s="112">
        <v>73440</v>
      </c>
      <c r="R92" s="112">
        <v>73440</v>
      </c>
      <c r="S92" s="112">
        <v>73440</v>
      </c>
      <c r="T92" s="112">
        <v>73440</v>
      </c>
      <c r="U92" s="112">
        <v>73440</v>
      </c>
      <c r="V92" s="112">
        <v>73440</v>
      </c>
      <c r="W92" s="112">
        <v>73440</v>
      </c>
      <c r="X92" s="112">
        <v>73440</v>
      </c>
      <c r="Y92" s="112">
        <v>73440</v>
      </c>
      <c r="Z92" s="112">
        <v>73440</v>
      </c>
      <c r="AA92" s="112">
        <v>881280</v>
      </c>
    </row>
    <row r="93" spans="10:27" ht="15" customHeight="1" x14ac:dyDescent="0.2">
      <c r="J93" s="100" t="str">
        <f xml:space="preserve"> _xll.EPMOlapMemberO("[COSTCENTER].[PARENTH1].[1001]","","1001","","000")</f>
        <v>1001</v>
      </c>
      <c r="K93" s="166" t="str">
        <f xml:space="preserve"> _xll.EPMOlapMemberO("[C_ACCOUNT].[PARENTH2].[A_4880800]","","A_4880800","","000")</f>
        <v>A_4880800</v>
      </c>
      <c r="L93" s="112" t="str">
        <f>_xll.EPMMemberDesc(K93)</f>
        <v>Miscellaneous Service Revenues - Other</v>
      </c>
      <c r="M93" s="112">
        <v>181947.23363999999</v>
      </c>
      <c r="N93" s="112">
        <v>181947.23368440001</v>
      </c>
      <c r="O93" s="112">
        <v>15162.2694737</v>
      </c>
      <c r="P93" s="112">
        <v>15162.2694737</v>
      </c>
      <c r="Q93" s="112">
        <v>15162.2694737</v>
      </c>
      <c r="R93" s="112">
        <v>15162.2694737</v>
      </c>
      <c r="S93" s="112">
        <v>15162.2694737</v>
      </c>
      <c r="T93" s="112">
        <v>15162.2694737</v>
      </c>
      <c r="U93" s="112">
        <v>15162.2694737</v>
      </c>
      <c r="V93" s="112">
        <v>15162.2694737</v>
      </c>
      <c r="W93" s="112">
        <v>15162.2694737</v>
      </c>
      <c r="X93" s="112">
        <v>15162.2694737</v>
      </c>
      <c r="Y93" s="112">
        <v>15162.2694737</v>
      </c>
      <c r="Z93" s="112">
        <v>15162.2694737</v>
      </c>
      <c r="AA93" s="112">
        <v>181947.23368440001</v>
      </c>
    </row>
    <row r="94" spans="10:27" ht="15" customHeight="1" x14ac:dyDescent="0.2">
      <c r="J94" s="115" t="str">
        <f xml:space="preserve"> _xll.EPMOlapMemberO("[COSTCENTER].[PARENTH1].[1001]","","1001","","000")</f>
        <v>1001</v>
      </c>
      <c r="K94" s="163" t="str">
        <f xml:space="preserve"> _xll.EPMOlapMemberO("[C_ACCOUNT].[PARENTH2].[RENT_GASP_RC]","","RENT_GASP_RC","","000")</f>
        <v>RENT_GASP_RC</v>
      </c>
      <c r="L94" s="115" t="str">
        <f>_xll.EPMMemberDesc(K94)</f>
        <v>RENT FROM GAS PROPERTY</v>
      </c>
      <c r="M94" s="114">
        <v>220619.215</v>
      </c>
      <c r="N94" s="114">
        <v>220619.215</v>
      </c>
      <c r="O94" s="114">
        <v>10487.735000000001</v>
      </c>
      <c r="P94" s="114">
        <v>9684</v>
      </c>
      <c r="Q94" s="114">
        <v>7684</v>
      </c>
      <c r="R94" s="114">
        <v>7684</v>
      </c>
      <c r="S94" s="114">
        <v>125684</v>
      </c>
      <c r="T94" s="114">
        <v>7684</v>
      </c>
      <c r="U94" s="114">
        <v>10487.74</v>
      </c>
      <c r="V94" s="114">
        <v>7684</v>
      </c>
      <c r="W94" s="114">
        <v>7684</v>
      </c>
      <c r="X94" s="114">
        <v>7684</v>
      </c>
      <c r="Y94" s="114">
        <v>7684</v>
      </c>
      <c r="Z94" s="114">
        <v>10487.74</v>
      </c>
      <c r="AA94" s="114">
        <v>220619.215</v>
      </c>
    </row>
    <row r="95" spans="10:27" ht="15" customHeight="1" x14ac:dyDescent="0.2">
      <c r="J95" s="100" t="str">
        <f xml:space="preserve"> _xll.EPMOlapMemberO("[COSTCENTER].[PARENTH1].[1001]","","1001","","000")</f>
        <v>1001</v>
      </c>
      <c r="K95" s="166" t="str">
        <f xml:space="preserve"> _xll.EPMOlapMemberO("[C_ACCOUNT].[PARENTH2].[A_4930000]","","A_4930000","","000")</f>
        <v>A_4930000</v>
      </c>
      <c r="L95" s="112" t="str">
        <f>_xll.EPMMemberDesc(K95)</f>
        <v>Rent Revenue</v>
      </c>
      <c r="M95" s="112">
        <v>128411.215</v>
      </c>
      <c r="N95" s="112">
        <v>128411.215</v>
      </c>
      <c r="O95" s="112">
        <v>2803.7350000000001</v>
      </c>
      <c r="P95" s="112">
        <v>2000</v>
      </c>
      <c r="Q95" s="112">
        <v>0</v>
      </c>
      <c r="R95" s="112">
        <v>0</v>
      </c>
      <c r="S95" s="112">
        <v>118000</v>
      </c>
      <c r="T95" s="112">
        <v>0</v>
      </c>
      <c r="U95" s="112">
        <v>2803.74</v>
      </c>
      <c r="V95" s="112">
        <v>0</v>
      </c>
      <c r="W95" s="112">
        <v>0</v>
      </c>
      <c r="X95" s="112">
        <v>0</v>
      </c>
      <c r="Y95" s="112">
        <v>0</v>
      </c>
      <c r="Z95" s="112">
        <v>2803.74</v>
      </c>
      <c r="AA95" s="112">
        <v>128411.215</v>
      </c>
    </row>
    <row r="96" spans="10:27" ht="15" customHeight="1" x14ac:dyDescent="0.2">
      <c r="J96" s="100" t="str">
        <f xml:space="preserve"> _xll.EPMOlapMemberO("[COSTCENTER].[PARENTH1].[1001]","","1001","","000")</f>
        <v>1001</v>
      </c>
      <c r="K96" s="166" t="str">
        <f xml:space="preserve"> _xll.EPMOlapMemberO("[C_ACCOUNT].[PARENTH2].[A_4930700]","","A_4930700","","000")</f>
        <v>A_4930700</v>
      </c>
      <c r="L96" s="112" t="str">
        <f>_xll.EPMMemberDesc(K96)</f>
        <v>Rent Revenue - Intercompany</v>
      </c>
      <c r="M96" s="112">
        <v>92208</v>
      </c>
      <c r="N96" s="112">
        <v>92208</v>
      </c>
      <c r="O96" s="112">
        <v>7684</v>
      </c>
      <c r="P96" s="112">
        <v>7684</v>
      </c>
      <c r="Q96" s="112">
        <v>7684</v>
      </c>
      <c r="R96" s="112">
        <v>7684</v>
      </c>
      <c r="S96" s="112">
        <v>7684</v>
      </c>
      <c r="T96" s="112">
        <v>7684</v>
      </c>
      <c r="U96" s="112">
        <v>7684</v>
      </c>
      <c r="V96" s="112">
        <v>7684</v>
      </c>
      <c r="W96" s="112">
        <v>7684</v>
      </c>
      <c r="X96" s="112">
        <v>7684</v>
      </c>
      <c r="Y96" s="112">
        <v>7684</v>
      </c>
      <c r="Z96" s="112">
        <v>7684</v>
      </c>
      <c r="AA96" s="112">
        <v>92208</v>
      </c>
    </row>
    <row r="97" spans="10:27" ht="15" customHeight="1" x14ac:dyDescent="0.2">
      <c r="J97" s="115" t="str">
        <f xml:space="preserve"> _xll.EPMOlapMemberO("[COSTCENTER].[PARENTH1].[1001]","","1001","","000")</f>
        <v>1001</v>
      </c>
      <c r="K97" s="163" t="str">
        <f xml:space="preserve"> _xll.EPMOlapMemberO("[C_ACCOUNT].[PARENTH2].[OTH_GAS_REV_RC]","","OTH_GAS_REV_RC","","000")</f>
        <v>OTH_GAS_REV_RC</v>
      </c>
      <c r="L97" s="115" t="str">
        <f>_xll.EPMMemberDesc(K97)</f>
        <v>OTHER GAS REVENUES</v>
      </c>
      <c r="M97" s="114">
        <v>5923663.0338479998</v>
      </c>
      <c r="N97" s="114">
        <v>7391126.0342864003</v>
      </c>
      <c r="O97" s="114">
        <v>50487.252857200001</v>
      </c>
      <c r="P97" s="114">
        <v>50487.252857200001</v>
      </c>
      <c r="Q97" s="114">
        <v>385305.25285719999</v>
      </c>
      <c r="R97" s="114">
        <v>385305.25285719999</v>
      </c>
      <c r="S97" s="114">
        <v>385305.25285719999</v>
      </c>
      <c r="T97" s="114">
        <v>385305.25285719999</v>
      </c>
      <c r="U97" s="114">
        <v>385305.25285719999</v>
      </c>
      <c r="V97" s="114">
        <v>385305.25285719999</v>
      </c>
      <c r="W97" s="114">
        <v>385305.25285719999</v>
      </c>
      <c r="X97" s="114">
        <v>385305.25285719999</v>
      </c>
      <c r="Y97" s="114">
        <v>3436575.2528571999</v>
      </c>
      <c r="Z97" s="114">
        <v>771134.25285719999</v>
      </c>
      <c r="AA97" s="114">
        <v>7391126.0342864003</v>
      </c>
    </row>
    <row r="98" spans="10:27" ht="15" customHeight="1" x14ac:dyDescent="0.2">
      <c r="J98" s="100" t="str">
        <f xml:space="preserve"> _xll.EPMOlapMemberO("[COSTCENTER].[PARENTH1].[1001]","","1001","","000")</f>
        <v>1001</v>
      </c>
      <c r="K98" s="166" t="str">
        <f xml:space="preserve"> _xll.EPMOlapMemberO("[C_ACCOUNT].[PARENTH2].[A_4120000]","","A_4120000","","000")</f>
        <v>A_4120000</v>
      </c>
      <c r="L98" s="112" t="str">
        <f>_xll.EPMMemberDesc(K98)</f>
        <v>Revenues from Gas Plant leased to Others</v>
      </c>
      <c r="M98" s="112">
        <v>5771405.7995999996</v>
      </c>
      <c r="N98" s="112">
        <v>3801769.8</v>
      </c>
      <c r="O98" s="112">
        <v>37799.15</v>
      </c>
      <c r="P98" s="112">
        <v>37799.15</v>
      </c>
      <c r="Q98" s="112">
        <v>372617.15</v>
      </c>
      <c r="R98" s="112">
        <v>372617.15</v>
      </c>
      <c r="S98" s="112">
        <v>372617.15</v>
      </c>
      <c r="T98" s="112">
        <v>372617.15</v>
      </c>
      <c r="U98" s="112">
        <v>372617.15</v>
      </c>
      <c r="V98" s="112">
        <v>372617.15</v>
      </c>
      <c r="W98" s="112">
        <v>372617.15</v>
      </c>
      <c r="X98" s="112">
        <v>372617.15</v>
      </c>
      <c r="Y98" s="112">
        <v>372617.15</v>
      </c>
      <c r="Z98" s="112">
        <v>372617.15</v>
      </c>
      <c r="AA98" s="112">
        <v>3801769.8</v>
      </c>
    </row>
    <row r="99" spans="10:27" ht="15" customHeight="1" x14ac:dyDescent="0.2">
      <c r="J99" s="100" t="str">
        <f xml:space="preserve"> _xll.EPMOlapMemberO("[COSTCENTER].[PARENTH1].[1001]","","1001","","000")</f>
        <v>1001</v>
      </c>
      <c r="K99" s="166" t="str">
        <f xml:space="preserve"> _xll.EPMOlapMemberO("[C_ACCOUNT].[PARENTH2].[A_4950207]","","A_4950207","","000")</f>
        <v>A_4950207</v>
      </c>
      <c r="L99" s="112" t="str">
        <f>_xll.EPMMemberDesc(K99)</f>
        <v>Other Revenues - Commission on Sales Tax</v>
      </c>
      <c r="M99" s="112">
        <v>14296.028568</v>
      </c>
      <c r="N99" s="112">
        <v>14296.0285716</v>
      </c>
      <c r="O99" s="112">
        <v>1191.3357143000001</v>
      </c>
      <c r="P99" s="112">
        <v>1191.3357143000001</v>
      </c>
      <c r="Q99" s="112">
        <v>1191.3357143000001</v>
      </c>
      <c r="R99" s="112">
        <v>1191.3357143000001</v>
      </c>
      <c r="S99" s="112">
        <v>1191.3357143000001</v>
      </c>
      <c r="T99" s="112">
        <v>1191.3357143000001</v>
      </c>
      <c r="U99" s="112">
        <v>1191.3357143000001</v>
      </c>
      <c r="V99" s="112">
        <v>1191.3357143000001</v>
      </c>
      <c r="W99" s="112">
        <v>1191.3357143000001</v>
      </c>
      <c r="X99" s="112">
        <v>1191.3357143000001</v>
      </c>
      <c r="Y99" s="112">
        <v>1191.3357143000001</v>
      </c>
      <c r="Z99" s="112">
        <v>1191.3357143000001</v>
      </c>
      <c r="AA99" s="112">
        <v>14296.0285716</v>
      </c>
    </row>
    <row r="100" spans="10:27" ht="15" customHeight="1" x14ac:dyDescent="0.2">
      <c r="J100" s="100" t="str">
        <f xml:space="preserve"> _xll.EPMOlapMemberO("[COSTCENTER].[PARENTH1].[1001]","","1001","","000")</f>
        <v>1001</v>
      </c>
      <c r="K100" s="166" t="str">
        <f xml:space="preserve"> _xll.EPMOlapMemberO("[C_ACCOUNT].[PARENTH2].[A_4950208]","","A_4950208","","000")</f>
        <v>A_4950208</v>
      </c>
      <c r="L100" s="112" t="str">
        <f>_xll.EPMMemberDesc(K100)</f>
        <v>Other Revenues - Pool Mgr History Fee</v>
      </c>
      <c r="M100" s="112">
        <v>1680</v>
      </c>
      <c r="N100" s="112">
        <v>1680</v>
      </c>
      <c r="O100" s="112">
        <v>140</v>
      </c>
      <c r="P100" s="112">
        <v>140</v>
      </c>
      <c r="Q100" s="112">
        <v>140</v>
      </c>
      <c r="R100" s="112">
        <v>140</v>
      </c>
      <c r="S100" s="112">
        <v>140</v>
      </c>
      <c r="T100" s="112">
        <v>140</v>
      </c>
      <c r="U100" s="112">
        <v>140</v>
      </c>
      <c r="V100" s="112">
        <v>140</v>
      </c>
      <c r="W100" s="112">
        <v>140</v>
      </c>
      <c r="X100" s="112">
        <v>140</v>
      </c>
      <c r="Y100" s="112">
        <v>140</v>
      </c>
      <c r="Z100" s="112">
        <v>140</v>
      </c>
      <c r="AA100" s="112">
        <v>1680</v>
      </c>
    </row>
    <row r="101" spans="10:27" ht="15" customHeight="1" x14ac:dyDescent="0.2">
      <c r="J101" s="100" t="str">
        <f xml:space="preserve"> _xll.EPMOlapMemberO("[COSTCENTER].[PARENTH1].[1001]","","1001","","000")</f>
        <v>1001</v>
      </c>
      <c r="K101" s="166" t="str">
        <f xml:space="preserve"> _xll.EPMOlapMemberO("[C_ACCOUNT].[PARENTH2].[A_4950209]","","A_4950209","","000")</f>
        <v>A_4950209</v>
      </c>
      <c r="L101" s="112" t="str">
        <f>_xll.EPMMemberDesc(K101)</f>
        <v>Other Revenues - Pool Mgr Administration Fee</v>
      </c>
      <c r="M101" s="112">
        <v>311554.04567999998</v>
      </c>
      <c r="N101" s="112">
        <v>311554.04571480001</v>
      </c>
      <c r="O101" s="112">
        <v>25962.8371429</v>
      </c>
      <c r="P101" s="112">
        <v>25962.8371429</v>
      </c>
      <c r="Q101" s="112">
        <v>25962.8371429</v>
      </c>
      <c r="R101" s="112">
        <v>25962.8371429</v>
      </c>
      <c r="S101" s="112">
        <v>25962.8371429</v>
      </c>
      <c r="T101" s="112">
        <v>25962.8371429</v>
      </c>
      <c r="U101" s="112">
        <v>25962.8371429</v>
      </c>
      <c r="V101" s="112">
        <v>25962.8371429</v>
      </c>
      <c r="W101" s="112">
        <v>25962.8371429</v>
      </c>
      <c r="X101" s="112">
        <v>25962.8371429</v>
      </c>
      <c r="Y101" s="112">
        <v>25962.8371429</v>
      </c>
      <c r="Z101" s="112">
        <v>25962.8371429</v>
      </c>
      <c r="AA101" s="112">
        <v>311554.04571480001</v>
      </c>
    </row>
    <row r="102" spans="10:27" ht="15" customHeight="1" x14ac:dyDescent="0.2">
      <c r="J102" s="100" t="str">
        <f xml:space="preserve"> _xll.EPMOlapMemberO("[COSTCENTER].[PARENTH1].[1001]","","1001","","000")</f>
        <v>1001</v>
      </c>
      <c r="K102" s="166" t="str">
        <f xml:space="preserve"> _xll.EPMOlapMemberO("[C_ACCOUNT].[PARENTH2].[A_4950210]","","A_4950210","","000")</f>
        <v>A_4950210</v>
      </c>
      <c r="L102" s="112" t="str">
        <f>_xll.EPMMemberDesc(K102)</f>
        <v>Other Revenues - Pool Manager Change Fee</v>
      </c>
      <c r="M102" s="112">
        <v>37800</v>
      </c>
      <c r="N102" s="112">
        <v>37800</v>
      </c>
      <c r="O102" s="112">
        <v>3150</v>
      </c>
      <c r="P102" s="112">
        <v>3150</v>
      </c>
      <c r="Q102" s="112">
        <v>3150</v>
      </c>
      <c r="R102" s="112">
        <v>3150</v>
      </c>
      <c r="S102" s="112">
        <v>3150</v>
      </c>
      <c r="T102" s="112">
        <v>3150</v>
      </c>
      <c r="U102" s="112">
        <v>3150</v>
      </c>
      <c r="V102" s="112">
        <v>3150</v>
      </c>
      <c r="W102" s="112">
        <v>3150</v>
      </c>
      <c r="X102" s="112">
        <v>3150</v>
      </c>
      <c r="Y102" s="112">
        <v>3150</v>
      </c>
      <c r="Z102" s="112">
        <v>3150</v>
      </c>
      <c r="AA102" s="112">
        <v>37800</v>
      </c>
    </row>
    <row r="103" spans="10:27" ht="15" customHeight="1" x14ac:dyDescent="0.2">
      <c r="J103" s="100" t="str">
        <f xml:space="preserve"> _xll.EPMOlapMemberO("[COSTCENTER].[PARENTH1].[1001]","","1001","","000")</f>
        <v>1001</v>
      </c>
      <c r="K103" s="166" t="str">
        <f xml:space="preserve"> _xll.EPMOlapMemberO("[C_ACCOUNT].[PARENTH2].[A_4950211]","","A_4950211","","000")</f>
        <v>A_4950211</v>
      </c>
      <c r="L103" s="112" t="str">
        <f>_xll.EPMMemberDesc(K103)</f>
        <v>Other Revenues - Termination Fee</v>
      </c>
      <c r="M103" s="112">
        <v>2496</v>
      </c>
      <c r="N103" s="112">
        <v>2496</v>
      </c>
      <c r="O103" s="112">
        <v>208</v>
      </c>
      <c r="P103" s="112">
        <v>208</v>
      </c>
      <c r="Q103" s="112">
        <v>208</v>
      </c>
      <c r="R103" s="112">
        <v>208</v>
      </c>
      <c r="S103" s="112">
        <v>208</v>
      </c>
      <c r="T103" s="112">
        <v>208</v>
      </c>
      <c r="U103" s="112">
        <v>208</v>
      </c>
      <c r="V103" s="112">
        <v>208</v>
      </c>
      <c r="W103" s="112">
        <v>208</v>
      </c>
      <c r="X103" s="112">
        <v>208</v>
      </c>
      <c r="Y103" s="112">
        <v>208</v>
      </c>
      <c r="Z103" s="112">
        <v>208</v>
      </c>
      <c r="AA103" s="112">
        <v>2496</v>
      </c>
    </row>
    <row r="104" spans="10:27" ht="15" customHeight="1" x14ac:dyDescent="0.2">
      <c r="J104" s="100" t="str">
        <f xml:space="preserve"> _xll.EPMOlapMemberO("[COSTCENTER].[PARENTH1].[1001]","","1001","","000")</f>
        <v>1001</v>
      </c>
      <c r="K104" s="166" t="str">
        <f xml:space="preserve"> _xll.EPMOlapMemberO("[C_ACCOUNT].[PARENTH2].[A_4950214]","","A_4950214","","000")</f>
        <v>A_4950214</v>
      </c>
      <c r="L104" s="112" t="str">
        <f>_xll.EPMMemberDesc(K104)</f>
        <v>Other Revenues - Hardee Maintenance</v>
      </c>
      <c r="M104" s="112">
        <v>-215568.84</v>
      </c>
      <c r="N104" s="112">
        <v>3221530.16</v>
      </c>
      <c r="O104" s="112">
        <v>-17964.07</v>
      </c>
      <c r="P104" s="112">
        <v>-17964.07</v>
      </c>
      <c r="Q104" s="112">
        <v>-17964.07</v>
      </c>
      <c r="R104" s="112">
        <v>-17964.07</v>
      </c>
      <c r="S104" s="112">
        <v>-17964.07</v>
      </c>
      <c r="T104" s="112">
        <v>-17964.07</v>
      </c>
      <c r="U104" s="112">
        <v>-17964.07</v>
      </c>
      <c r="V104" s="112">
        <v>-17964.07</v>
      </c>
      <c r="W104" s="112">
        <v>-17964.07</v>
      </c>
      <c r="X104" s="112">
        <v>-17964.07</v>
      </c>
      <c r="Y104" s="112">
        <v>3033305.93</v>
      </c>
      <c r="Z104" s="112">
        <v>367864.93</v>
      </c>
      <c r="AA104" s="112">
        <v>3221530.16</v>
      </c>
    </row>
    <row r="105" spans="10:27" ht="15" customHeight="1" x14ac:dyDescent="0.2">
      <c r="J105" s="115" t="str">
        <f xml:space="preserve"> _xll.EPMOlapMemberO("[COSTCENTER].[PARENTH1].[1001]","","1001","","000")</f>
        <v>1001</v>
      </c>
      <c r="K105" s="161" t="str">
        <f xml:space="preserve"> _xll.EPMOlapMemberO("[C_ACCOUNT].[PARENTH2].[OP_MAINT_RC]","","OP_MAINT_RC","","000")</f>
        <v>OP_MAINT_RC</v>
      </c>
      <c r="L105" s="115" t="str">
        <f>_xll.EPMMemberDesc(K105)</f>
        <v>Operations and Maintenance (Excluding Clauses )</v>
      </c>
      <c r="M105" s="114">
        <v>128376237.5201152</v>
      </c>
      <c r="N105" s="114">
        <v>131138940.2421103</v>
      </c>
      <c r="O105" s="114">
        <v>10036082.4846699</v>
      </c>
      <c r="P105" s="114">
        <v>9716994.9397615008</v>
      </c>
      <c r="Q105" s="114">
        <v>11702705.4023165</v>
      </c>
      <c r="R105" s="114">
        <v>9764386.4669324998</v>
      </c>
      <c r="S105" s="114">
        <v>10640035.710306</v>
      </c>
      <c r="T105" s="114">
        <v>11767421.9237714</v>
      </c>
      <c r="U105" s="114">
        <v>10478484.379410399</v>
      </c>
      <c r="V105" s="114">
        <v>10548242.858652599</v>
      </c>
      <c r="W105" s="114">
        <v>11160982.9869023</v>
      </c>
      <c r="X105" s="114">
        <v>10541160.6750414</v>
      </c>
      <c r="Y105" s="114">
        <v>12734737.8284647</v>
      </c>
      <c r="Z105" s="114">
        <v>12047704.585881099</v>
      </c>
      <c r="AA105" s="114">
        <v>131138940.2421103</v>
      </c>
    </row>
    <row r="106" spans="10:27" ht="15" customHeight="1" x14ac:dyDescent="0.2">
      <c r="J106" s="115" t="str">
        <f xml:space="preserve"> _xll.EPMOlapMemberO("[COSTCENTER].[PARENTH1].[1001]","","1001","","000")</f>
        <v>1001</v>
      </c>
      <c r="K106" s="163" t="str">
        <f xml:space="preserve"> _xll.EPMOlapMemberO("[C_ACCOUNT].[PARENTH2].[OM_OTH_RC]","","OM_OTH_RC","","000")</f>
        <v>OM_OTH_RC</v>
      </c>
      <c r="L106" s="115" t="str">
        <f>_xll.EPMMemberDesc(K106)</f>
        <v>O&amp;M Other</v>
      </c>
      <c r="M106" s="114">
        <v>157604587.38441521</v>
      </c>
      <c r="N106" s="114">
        <v>160367290.10161939</v>
      </c>
      <c r="O106" s="114">
        <v>12468643.540505599</v>
      </c>
      <c r="P106" s="114">
        <v>12131261.8006457</v>
      </c>
      <c r="Q106" s="114">
        <v>14137495.786025699</v>
      </c>
      <c r="R106" s="114">
        <v>12183857.6144077</v>
      </c>
      <c r="S106" s="114">
        <v>13076768.011249701</v>
      </c>
      <c r="T106" s="114">
        <v>14227202.152881101</v>
      </c>
      <c r="U106" s="114">
        <v>12904160.4482791</v>
      </c>
      <c r="V106" s="114">
        <v>12983948.204546699</v>
      </c>
      <c r="W106" s="114">
        <v>13586857.2749709</v>
      </c>
      <c r="X106" s="114">
        <v>12978722.591458</v>
      </c>
      <c r="Y106" s="114">
        <v>15213762.623275099</v>
      </c>
      <c r="Z106" s="114">
        <v>14474610.0533741</v>
      </c>
      <c r="AA106" s="114">
        <v>160367290.10161939</v>
      </c>
    </row>
    <row r="107" spans="10:27" ht="15" customHeight="1" x14ac:dyDescent="0.2">
      <c r="J107" s="115" t="str">
        <f xml:space="preserve"> _xll.EPMOlapMemberO("[COSTCENTER].[PARENTH1].[1001]","","1001","","000")</f>
        <v>1001</v>
      </c>
      <c r="K107" s="165" t="str">
        <f xml:space="preserve"> _xll.EPMOlapMemberO("[C_ACCOUNT].[PARENTH2].[LABOR_RC]","","LABOR_RC","","000")</f>
        <v>LABOR_RC</v>
      </c>
      <c r="L107" s="115" t="str">
        <f>_xll.EPMMemberDesc(K107)</f>
        <v>Labor</v>
      </c>
      <c r="M107" s="114">
        <v>50451264.897029199</v>
      </c>
      <c r="N107" s="114">
        <v>52188740.807598397</v>
      </c>
      <c r="O107" s="114">
        <v>4249745.1434163004</v>
      </c>
      <c r="P107" s="114">
        <v>3923451.3353557</v>
      </c>
      <c r="Q107" s="114">
        <v>4513792.9534368999</v>
      </c>
      <c r="R107" s="114">
        <v>3919054.0534593002</v>
      </c>
      <c r="S107" s="114">
        <v>4510310.4223720999</v>
      </c>
      <c r="T107" s="114">
        <v>4521611.7533315998</v>
      </c>
      <c r="U107" s="114">
        <v>4199159.1861188002</v>
      </c>
      <c r="V107" s="114">
        <v>4577201.6280838</v>
      </c>
      <c r="W107" s="114">
        <v>4169024.2026900002</v>
      </c>
      <c r="X107" s="114">
        <v>4369877.8452930003</v>
      </c>
      <c r="Y107" s="114">
        <v>4783668.6702151</v>
      </c>
      <c r="Z107" s="114">
        <v>4451843.6138257999</v>
      </c>
      <c r="AA107" s="114">
        <v>52188740.807598397</v>
      </c>
    </row>
    <row r="108" spans="10:27" ht="15" customHeight="1" x14ac:dyDescent="0.2">
      <c r="J108" s="100" t="str">
        <f xml:space="preserve"> _xll.EPMOlapMemberO("[COSTCENTER].[PARENTH1].[1001]","","1001","","000")</f>
        <v>1001</v>
      </c>
      <c r="K108" s="167" t="str">
        <f xml:space="preserve"> _xll.EPMOlapMemberO("[C_ACCOUNT].[PARENTH2].[A_6010900]","","A_6010900","","000")</f>
        <v>A_6010900</v>
      </c>
      <c r="L108" s="112" t="str">
        <f>_xll.EPMMemberDesc(K108)</f>
        <v>Labor Commissions</v>
      </c>
      <c r="M108" s="112">
        <v>846939.48</v>
      </c>
      <c r="N108" s="112">
        <v>846939.48</v>
      </c>
      <c r="O108" s="112">
        <v>76385.72</v>
      </c>
      <c r="P108" s="112">
        <v>65650.399999999994</v>
      </c>
      <c r="Q108" s="112">
        <v>67952</v>
      </c>
      <c r="R108" s="112">
        <v>65864.12</v>
      </c>
      <c r="S108" s="112">
        <v>72220.92</v>
      </c>
      <c r="T108" s="112">
        <v>65760</v>
      </c>
      <c r="U108" s="112">
        <v>72220.92</v>
      </c>
      <c r="V108" s="112">
        <v>67952</v>
      </c>
      <c r="W108" s="112">
        <v>70028.92</v>
      </c>
      <c r="X108" s="112">
        <v>72116.800000000003</v>
      </c>
      <c r="Y108" s="112">
        <v>74297.84</v>
      </c>
      <c r="Z108" s="112">
        <v>76489.84</v>
      </c>
      <c r="AA108" s="112">
        <v>846939.48</v>
      </c>
    </row>
    <row r="109" spans="10:27" ht="15" customHeight="1" x14ac:dyDescent="0.2">
      <c r="J109" s="100" t="str">
        <f xml:space="preserve"> _xll.EPMOlapMemberO("[COSTCENTER].[PARENTH1].[1001]","","1001","","000")</f>
        <v>1001</v>
      </c>
      <c r="K109" s="167" t="str">
        <f xml:space="preserve"> _xll.EPMOlapMemberO("[C_ACCOUNT].[PARENTH2].[A_6018999]","","A_6018999","","000")</f>
        <v>A_6018999</v>
      </c>
      <c r="L109" s="112" t="str">
        <f>_xll.EPMMemberDesc(K109)</f>
        <v>Labor Expense Reclass</v>
      </c>
      <c r="M109" s="112">
        <v>-1577813.4338499999</v>
      </c>
      <c r="N109" s="112">
        <v>-1061058.4468419999</v>
      </c>
      <c r="O109" s="112">
        <v>-86512.994518899999</v>
      </c>
      <c r="P109" s="112">
        <v>-77310.203387799993</v>
      </c>
      <c r="Q109" s="112">
        <v>-92484.839330000003</v>
      </c>
      <c r="R109" s="112">
        <v>-76041.955325300005</v>
      </c>
      <c r="S109" s="112">
        <v>-93441.558463299996</v>
      </c>
      <c r="T109" s="112">
        <v>-95951.4675307</v>
      </c>
      <c r="U109" s="112">
        <v>-82720.882590900001</v>
      </c>
      <c r="V109" s="112">
        <v>-93419.538133299997</v>
      </c>
      <c r="W109" s="112">
        <v>-82570.104537399995</v>
      </c>
      <c r="X109" s="112">
        <v>-88211.759323000006</v>
      </c>
      <c r="Y109" s="112">
        <v>-103014.543179</v>
      </c>
      <c r="Z109" s="112">
        <v>-89378.600522399996</v>
      </c>
      <c r="AA109" s="112">
        <v>-1061058.4468419999</v>
      </c>
    </row>
    <row r="110" spans="10:27" ht="15" customHeight="1" x14ac:dyDescent="0.2">
      <c r="J110" s="100" t="str">
        <f xml:space="preserve"> _xll.EPMOlapMemberO("[COSTCENTER].[PARENTH1].[1001]","","1001","","000")</f>
        <v>1001</v>
      </c>
      <c r="K110" s="167" t="str">
        <f xml:space="preserve"> _xll.EPMOlapMemberO("[C_ACCOUNT].[PARENTH2].[A_S6010000]","","A_S6010000","","000")</f>
        <v>A_S6010000</v>
      </c>
      <c r="L110" s="112" t="str">
        <f>_xll.EPMMemberDesc(K110)</f>
        <v>Settled Labor Expense</v>
      </c>
      <c r="M110" s="112">
        <v>82500</v>
      </c>
      <c r="N110" s="112">
        <v>82500</v>
      </c>
      <c r="O110" s="112">
        <v>6875</v>
      </c>
      <c r="P110" s="112">
        <v>6875</v>
      </c>
      <c r="Q110" s="112">
        <v>6875</v>
      </c>
      <c r="R110" s="112">
        <v>6875</v>
      </c>
      <c r="S110" s="112">
        <v>6875</v>
      </c>
      <c r="T110" s="112">
        <v>6875</v>
      </c>
      <c r="U110" s="112">
        <v>6875</v>
      </c>
      <c r="V110" s="112">
        <v>6875</v>
      </c>
      <c r="W110" s="112">
        <v>6875</v>
      </c>
      <c r="X110" s="112">
        <v>6875</v>
      </c>
      <c r="Y110" s="112">
        <v>6875</v>
      </c>
      <c r="Z110" s="112">
        <v>6875</v>
      </c>
      <c r="AA110" s="112">
        <v>82500</v>
      </c>
    </row>
    <row r="111" spans="10:27" ht="15" customHeight="1" x14ac:dyDescent="0.2">
      <c r="J111" s="100" t="str">
        <f xml:space="preserve"> _xll.EPMOlapMemberO("[COSTCENTER].[PARENTH1].[1001]","","1001","","000")</f>
        <v>1001</v>
      </c>
      <c r="K111" s="167" t="str">
        <f xml:space="preserve"> _xll.EPMOlapMemberO("[C_ACCOUNT].[PARENTH2].[A_S6019900]","","A_S6019900","","000")</f>
        <v>A_S6019900</v>
      </c>
      <c r="L111" s="112" t="str">
        <f>_xll.EPMMemberDesc(K111)</f>
        <v>Settled ST Labor &amp; Benefits Expense</v>
      </c>
      <c r="M111" s="112">
        <v>51189756.704455003</v>
      </c>
      <c r="N111" s="112">
        <v>48149984.245983802</v>
      </c>
      <c r="O111" s="112">
        <v>3937228.6676190002</v>
      </c>
      <c r="P111" s="112">
        <v>3614320.3602896002</v>
      </c>
      <c r="Q111" s="112">
        <v>4165940.4637202001</v>
      </c>
      <c r="R111" s="112">
        <v>3624323.6836585002</v>
      </c>
      <c r="S111" s="112">
        <v>4173655.3406427</v>
      </c>
      <c r="T111" s="112">
        <v>4080715.3776797</v>
      </c>
      <c r="U111" s="112">
        <v>3886883.047156</v>
      </c>
      <c r="V111" s="112">
        <v>4232043.9130448001</v>
      </c>
      <c r="W111" s="112">
        <v>3863787.4898533998</v>
      </c>
      <c r="X111" s="112">
        <v>4057001.6191567001</v>
      </c>
      <c r="Y111" s="112">
        <v>4355789.4170479001</v>
      </c>
      <c r="Z111" s="112">
        <v>4158294.8661153</v>
      </c>
      <c r="AA111" s="112">
        <v>48149984.245983802</v>
      </c>
    </row>
    <row r="112" spans="10:27" ht="15" customHeight="1" x14ac:dyDescent="0.2">
      <c r="J112" s="100" t="str">
        <f xml:space="preserve"> _xll.EPMOlapMemberO("[COSTCENTER].[PARENTH1].[1001]","","1001","","000")</f>
        <v>1001</v>
      </c>
      <c r="K112" s="167" t="str">
        <f xml:space="preserve"> _xll.EPMOlapMemberO("[C_ACCOUNT].[PARENTH2].[A_S6019910]","","A_S6019910","","000")</f>
        <v>A_S6019910</v>
      </c>
      <c r="L112" s="112" t="str">
        <f>_xll.EPMMemberDesc(K112)</f>
        <v>Settled OT Labor &amp; Benefits Expense</v>
      </c>
      <c r="M112" s="112">
        <v>3572999.7019811999</v>
      </c>
      <c r="N112" s="112">
        <v>3569493.0843981002</v>
      </c>
      <c r="O112" s="112">
        <v>262780.20175599999</v>
      </c>
      <c r="P112" s="112">
        <v>267541.20164500002</v>
      </c>
      <c r="Q112" s="112">
        <v>283378.29250570002</v>
      </c>
      <c r="R112" s="112">
        <v>246184.03424539999</v>
      </c>
      <c r="S112" s="112">
        <v>296045.00046770001</v>
      </c>
      <c r="T112" s="112">
        <v>413927.64114319999</v>
      </c>
      <c r="U112" s="112">
        <v>270288.41298720002</v>
      </c>
      <c r="V112" s="112">
        <v>295229.53344730003</v>
      </c>
      <c r="W112" s="112">
        <v>270744.20880750002</v>
      </c>
      <c r="X112" s="112">
        <v>282719.9834199</v>
      </c>
      <c r="Y112" s="112">
        <v>413071.75430680002</v>
      </c>
      <c r="Z112" s="112">
        <v>267582.81966640003</v>
      </c>
      <c r="AA112" s="112">
        <v>3569493.0843981002</v>
      </c>
    </row>
    <row r="113" spans="10:27" ht="15" customHeight="1" x14ac:dyDescent="0.2">
      <c r="J113" s="100" t="str">
        <f xml:space="preserve"> _xll.EPMOlapMemberO("[COSTCENTER].[PARENTH1].[1001]","","1001","","000")</f>
        <v>1001</v>
      </c>
      <c r="K113" s="167" t="str">
        <f xml:space="preserve"> _xll.EPMOlapMemberO("[C_ACCOUNT].[PARENTH2].[A_S6018999]","","A_S6018999","","000")</f>
        <v>A_S6018999</v>
      </c>
      <c r="L113" s="112" t="str">
        <f>_xll.EPMMemberDesc(K113)</f>
        <v>Settled Labor Expense Reclass</v>
      </c>
      <c r="M113" s="112">
        <v>-4276504.5555570005</v>
      </c>
      <c r="N113" s="112">
        <v>-12504.555941500001</v>
      </c>
      <c r="O113" s="112">
        <v>5497.5485601999999</v>
      </c>
      <c r="P113" s="112">
        <v>-1116.4231910999999</v>
      </c>
      <c r="Q113" s="112">
        <v>12895.036540999999</v>
      </c>
      <c r="R113" s="112">
        <v>4358.1708807000005</v>
      </c>
      <c r="S113" s="112">
        <v>7464.7197249999999</v>
      </c>
      <c r="T113" s="112">
        <v>2793.2020394000001</v>
      </c>
      <c r="U113" s="112">
        <v>-1878.3114335</v>
      </c>
      <c r="V113" s="112">
        <v>-716.28027499999996</v>
      </c>
      <c r="W113" s="112">
        <v>-7332.3114335</v>
      </c>
      <c r="X113" s="112">
        <v>-8114.7979605999999</v>
      </c>
      <c r="Y113" s="112">
        <v>-10841.797960600001</v>
      </c>
      <c r="Z113" s="112">
        <v>-15513.311433499999</v>
      </c>
      <c r="AA113" s="112">
        <v>-12504.555941500001</v>
      </c>
    </row>
    <row r="114" spans="10:27" ht="15" customHeight="1" x14ac:dyDescent="0.2">
      <c r="J114" s="100" t="str">
        <f xml:space="preserve"> _xll.EPMOlapMemberO("[COSTCENTER].[PARENTH1].[1001]","","1001","","000")</f>
        <v>1001</v>
      </c>
      <c r="K114" s="167" t="str">
        <f xml:space="preserve"> _xll.EPMOlapMemberO("[C_ACCOUNT].[PARENTH2].[A_S6019000]","","A_S6019000","","000")</f>
        <v>A_S6019000</v>
      </c>
      <c r="L114" s="112" t="str">
        <f>_xll.EPMMemberDesc(K114)</f>
        <v>Settled Labor Expense to Balance Sheet</v>
      </c>
      <c r="M114" s="112">
        <v>48000</v>
      </c>
      <c r="N114" s="112">
        <v>48000</v>
      </c>
      <c r="O114" s="112">
        <v>4000</v>
      </c>
      <c r="P114" s="112">
        <v>4000</v>
      </c>
      <c r="Q114" s="112">
        <v>4000</v>
      </c>
      <c r="R114" s="112">
        <v>4000</v>
      </c>
      <c r="S114" s="112">
        <v>4000</v>
      </c>
      <c r="T114" s="112">
        <v>4000</v>
      </c>
      <c r="U114" s="112">
        <v>4000</v>
      </c>
      <c r="V114" s="112">
        <v>4000</v>
      </c>
      <c r="W114" s="112">
        <v>4000</v>
      </c>
      <c r="X114" s="112">
        <v>4000</v>
      </c>
      <c r="Y114" s="112">
        <v>4000</v>
      </c>
      <c r="Z114" s="112">
        <v>4000</v>
      </c>
      <c r="AA114" s="112">
        <v>48000</v>
      </c>
    </row>
    <row r="115" spans="10:27" ht="15" customHeight="1" x14ac:dyDescent="0.2">
      <c r="J115" s="100" t="str">
        <f xml:space="preserve"> _xll.EPMOlapMemberO("[COSTCENTER].[PARENTH1].[1001]","","1001","","000")</f>
        <v>1001</v>
      </c>
      <c r="K115" s="167" t="str">
        <f xml:space="preserve"> _xll.EPMOlapMemberO("[C_ACCOUNT].[PARENTH2].[A_S6010990]","","A_S6010990","","000")</f>
        <v>A_S6010990</v>
      </c>
      <c r="L115" s="112" t="str">
        <f>_xll.EPMMemberDesc(K115)</f>
        <v>Settled Labor Seconded Employees</v>
      </c>
      <c r="M115" s="112">
        <v>565387</v>
      </c>
      <c r="N115" s="112">
        <v>565387</v>
      </c>
      <c r="O115" s="112">
        <v>43491</v>
      </c>
      <c r="P115" s="112">
        <v>43491</v>
      </c>
      <c r="Q115" s="112">
        <v>65237</v>
      </c>
      <c r="R115" s="112">
        <v>43491</v>
      </c>
      <c r="S115" s="112">
        <v>43491</v>
      </c>
      <c r="T115" s="112">
        <v>43492</v>
      </c>
      <c r="U115" s="112">
        <v>43491</v>
      </c>
      <c r="V115" s="112">
        <v>65237</v>
      </c>
      <c r="W115" s="112">
        <v>43491</v>
      </c>
      <c r="X115" s="112">
        <v>43491</v>
      </c>
      <c r="Y115" s="112">
        <v>43491</v>
      </c>
      <c r="Z115" s="112">
        <v>43493</v>
      </c>
      <c r="AA115" s="112">
        <v>565387</v>
      </c>
    </row>
    <row r="116" spans="10:27" ht="15" customHeight="1" x14ac:dyDescent="0.2">
      <c r="J116" s="115" t="str">
        <f xml:space="preserve"> _xll.EPMOlapMemberO("[COSTCENTER].[PARENTH1].[1001]","","1001","","000")</f>
        <v>1001</v>
      </c>
      <c r="K116" s="165" t="str">
        <f xml:space="preserve"> _xll.EPMOlapMemberO("[C_ACCOUNT].[PARENTH2].[BENEFITS_RC]","","BENEFITS_RC","","000")</f>
        <v>BENEFITS_RC</v>
      </c>
      <c r="L116" s="115" t="str">
        <f>_xll.EPMMemberDesc(K116)</f>
        <v>Benefits</v>
      </c>
      <c r="M116" s="114">
        <v>22444261.555459701</v>
      </c>
      <c r="N116" s="114">
        <v>21293973.9226759</v>
      </c>
      <c r="O116" s="114">
        <v>1583180.4780299</v>
      </c>
      <c r="P116" s="114">
        <v>1604194.6705531001</v>
      </c>
      <c r="Q116" s="114">
        <v>2138512.3122096001</v>
      </c>
      <c r="R116" s="114">
        <v>1602026.390964</v>
      </c>
      <c r="S116" s="114">
        <v>1557719.2367032</v>
      </c>
      <c r="T116" s="114">
        <v>2163775.1611020002</v>
      </c>
      <c r="U116" s="114">
        <v>1611571.7450683999</v>
      </c>
      <c r="V116" s="114">
        <v>1586140.6856871</v>
      </c>
      <c r="W116" s="114">
        <v>2192246.5119925998</v>
      </c>
      <c r="X116" s="114">
        <v>1599737.0979134</v>
      </c>
      <c r="Y116" s="114">
        <v>1522962.4813595</v>
      </c>
      <c r="Z116" s="114">
        <v>2131907.1510931002</v>
      </c>
      <c r="AA116" s="114">
        <v>21293973.9226759</v>
      </c>
    </row>
    <row r="117" spans="10:27" ht="15" customHeight="1" x14ac:dyDescent="0.2">
      <c r="J117" s="100" t="str">
        <f xml:space="preserve"> _xll.EPMOlapMemberO("[COSTCENTER].[PARENTH1].[1001]","","1001","","000")</f>
        <v>1001</v>
      </c>
      <c r="K117" s="167" t="str">
        <f xml:space="preserve"> _xll.EPMOlapMemberO("[C_ACCOUNT].[PARENTH2].[A_P6020000]","","A_P6020000","","000")</f>
        <v>A_P6020000</v>
      </c>
      <c r="L117" s="112" t="str">
        <f>_xll.EPMMemberDesc(K117)</f>
        <v>Planned Benefits Expense</v>
      </c>
      <c r="M117" s="112">
        <v>15881199.3581267</v>
      </c>
      <c r="N117" s="112">
        <v>14998648.425811499</v>
      </c>
      <c r="O117" s="112">
        <v>1218002.5721185999</v>
      </c>
      <c r="P117" s="112">
        <v>1125739.8529610001</v>
      </c>
      <c r="Q117" s="112">
        <v>1290302.4393058999</v>
      </c>
      <c r="R117" s="112">
        <v>1122447.238192</v>
      </c>
      <c r="S117" s="112">
        <v>1296213.0989226</v>
      </c>
      <c r="T117" s="112">
        <v>1303446.4754584001</v>
      </c>
      <c r="U117" s="112">
        <v>1205579.7234415</v>
      </c>
      <c r="V117" s="112">
        <v>1312909.2994832001</v>
      </c>
      <c r="W117" s="112">
        <v>1199014.1926116999</v>
      </c>
      <c r="X117" s="112">
        <v>1258519.2647468999</v>
      </c>
      <c r="Y117" s="112">
        <v>1382969.7396929001</v>
      </c>
      <c r="Z117" s="112">
        <v>1283504.5288768001</v>
      </c>
      <c r="AA117" s="112">
        <v>14998648.425811499</v>
      </c>
    </row>
    <row r="118" spans="10:27" ht="15" customHeight="1" x14ac:dyDescent="0.2">
      <c r="J118" s="100" t="str">
        <f xml:space="preserve"> _xll.EPMOlapMemberO("[COSTCENTER].[PARENTH1].[1001]","","1001","","000")</f>
        <v>1001</v>
      </c>
      <c r="K118" s="167" t="str">
        <f xml:space="preserve"> _xll.EPMOlapMemberO("[C_ACCOUNT].[PARENTH2].[A_S6020010]","","A_S6020010","","000")</f>
        <v>A_S6020010</v>
      </c>
      <c r="L118" s="112" t="str">
        <f>_xll.EPMMemberDesc(K118)</f>
        <v>Settled Benefit Plan Admin Fees</v>
      </c>
      <c r="M118" s="112">
        <v>72000</v>
      </c>
      <c r="N118" s="112">
        <v>72000</v>
      </c>
      <c r="O118" s="112">
        <v>6000</v>
      </c>
      <c r="P118" s="112">
        <v>6000</v>
      </c>
      <c r="Q118" s="112">
        <v>6000</v>
      </c>
      <c r="R118" s="112">
        <v>6000</v>
      </c>
      <c r="S118" s="112">
        <v>6000</v>
      </c>
      <c r="T118" s="112">
        <v>6000</v>
      </c>
      <c r="U118" s="112">
        <v>6000</v>
      </c>
      <c r="V118" s="112">
        <v>6000</v>
      </c>
      <c r="W118" s="112">
        <v>6000</v>
      </c>
      <c r="X118" s="112">
        <v>6000</v>
      </c>
      <c r="Y118" s="112">
        <v>6000</v>
      </c>
      <c r="Z118" s="112">
        <v>6000</v>
      </c>
      <c r="AA118" s="112">
        <v>72000</v>
      </c>
    </row>
    <row r="119" spans="10:27" ht="15" customHeight="1" x14ac:dyDescent="0.2">
      <c r="J119" s="100" t="str">
        <f xml:space="preserve"> _xll.EPMOlapMemberO("[COSTCENTER].[PARENTH1].[1001]","","1001","","000")</f>
        <v>1001</v>
      </c>
      <c r="K119" s="167" t="str">
        <f xml:space="preserve"> _xll.EPMOlapMemberO("[C_ACCOUNT].[PARENTH2].[A_S6020020]","","A_S6020020","","000")</f>
        <v>A_S6020020</v>
      </c>
      <c r="L119" s="112" t="str">
        <f>_xll.EPMMemberDesc(K119)</f>
        <v>Settled Tuition Reimbursement</v>
      </c>
      <c r="M119" s="112">
        <v>84000</v>
      </c>
      <c r="N119" s="112">
        <v>84000</v>
      </c>
      <c r="O119" s="112">
        <v>7000</v>
      </c>
      <c r="P119" s="112">
        <v>7000</v>
      </c>
      <c r="Q119" s="112">
        <v>7000</v>
      </c>
      <c r="R119" s="112">
        <v>7000</v>
      </c>
      <c r="S119" s="112">
        <v>7000</v>
      </c>
      <c r="T119" s="112">
        <v>7000</v>
      </c>
      <c r="U119" s="112">
        <v>7000</v>
      </c>
      <c r="V119" s="112">
        <v>7000</v>
      </c>
      <c r="W119" s="112">
        <v>7000</v>
      </c>
      <c r="X119" s="112">
        <v>7000</v>
      </c>
      <c r="Y119" s="112">
        <v>7000</v>
      </c>
      <c r="Z119" s="112">
        <v>7000</v>
      </c>
      <c r="AA119" s="112">
        <v>84000</v>
      </c>
    </row>
    <row r="120" spans="10:27" ht="15" customHeight="1" x14ac:dyDescent="0.2">
      <c r="J120" s="100" t="str">
        <f xml:space="preserve"> _xll.EPMOlapMemberO("[COSTCENTER].[PARENTH1].[1001]","","1001","","000")</f>
        <v>1001</v>
      </c>
      <c r="K120" s="167" t="str">
        <f xml:space="preserve"> _xll.EPMOlapMemberO("[C_ACCOUNT].[PARENTH2].[A_S6020030]","","A_S6020030","","000")</f>
        <v>A_S6020030</v>
      </c>
      <c r="L120" s="112" t="str">
        <f>_xll.EPMMemberDesc(K120)</f>
        <v>Settled Life Insurance</v>
      </c>
      <c r="M120" s="112">
        <v>132000</v>
      </c>
      <c r="N120" s="112">
        <v>132000</v>
      </c>
      <c r="O120" s="112">
        <v>11000</v>
      </c>
      <c r="P120" s="112">
        <v>11000</v>
      </c>
      <c r="Q120" s="112">
        <v>11000</v>
      </c>
      <c r="R120" s="112">
        <v>11000</v>
      </c>
      <c r="S120" s="112">
        <v>11000</v>
      </c>
      <c r="T120" s="112">
        <v>11000</v>
      </c>
      <c r="U120" s="112">
        <v>11000</v>
      </c>
      <c r="V120" s="112">
        <v>11000</v>
      </c>
      <c r="W120" s="112">
        <v>11000</v>
      </c>
      <c r="X120" s="112">
        <v>11000</v>
      </c>
      <c r="Y120" s="112">
        <v>11000</v>
      </c>
      <c r="Z120" s="112">
        <v>11000</v>
      </c>
      <c r="AA120" s="112">
        <v>132000</v>
      </c>
    </row>
    <row r="121" spans="10:27" ht="15" customHeight="1" x14ac:dyDescent="0.2">
      <c r="J121" s="100" t="str">
        <f xml:space="preserve"> _xll.EPMOlapMemberO("[COSTCENTER].[PARENTH1].[1001]","","1001","","000")</f>
        <v>1001</v>
      </c>
      <c r="K121" s="167" t="str">
        <f xml:space="preserve"> _xll.EPMOlapMemberO("[C_ACCOUNT].[PARENTH2].[A_S6020040]","","A_S6020040","","000")</f>
        <v>A_S6020040</v>
      </c>
      <c r="L121" s="112" t="str">
        <f>_xll.EPMMemberDesc(K121)</f>
        <v>Settled Long-term Care Insurance</v>
      </c>
      <c r="M121" s="112">
        <v>37080</v>
      </c>
      <c r="N121" s="112">
        <v>37080</v>
      </c>
      <c r="O121" s="112">
        <v>3090</v>
      </c>
      <c r="P121" s="112">
        <v>3090</v>
      </c>
      <c r="Q121" s="112">
        <v>3090</v>
      </c>
      <c r="R121" s="112">
        <v>3090</v>
      </c>
      <c r="S121" s="112">
        <v>3090</v>
      </c>
      <c r="T121" s="112">
        <v>3090</v>
      </c>
      <c r="U121" s="112">
        <v>3090</v>
      </c>
      <c r="V121" s="112">
        <v>3090</v>
      </c>
      <c r="W121" s="112">
        <v>3090</v>
      </c>
      <c r="X121" s="112">
        <v>3090</v>
      </c>
      <c r="Y121" s="112">
        <v>3090</v>
      </c>
      <c r="Z121" s="112">
        <v>3090</v>
      </c>
      <c r="AA121" s="112">
        <v>37080</v>
      </c>
    </row>
    <row r="122" spans="10:27" ht="15" customHeight="1" x14ac:dyDescent="0.2">
      <c r="J122" s="100" t="str">
        <f xml:space="preserve"> _xll.EPMOlapMemberO("[COSTCENTER].[PARENTH1].[1001]","","1001","","000")</f>
        <v>1001</v>
      </c>
      <c r="K122" s="167" t="str">
        <f xml:space="preserve"> _xll.EPMOlapMemberO("[C_ACCOUNT].[PARENTH2].[A_S6020050]","","A_S6020050","","000")</f>
        <v>A_S6020050</v>
      </c>
      <c r="L122" s="112" t="str">
        <f>_xll.EPMMemberDesc(K122)</f>
        <v>Settled Medical Insurance - Active</v>
      </c>
      <c r="M122" s="112">
        <v>10500000</v>
      </c>
      <c r="N122" s="112">
        <v>9750000</v>
      </c>
      <c r="O122" s="112">
        <v>812500</v>
      </c>
      <c r="P122" s="112">
        <v>812500</v>
      </c>
      <c r="Q122" s="112">
        <v>812500</v>
      </c>
      <c r="R122" s="112">
        <v>812500</v>
      </c>
      <c r="S122" s="112">
        <v>812500</v>
      </c>
      <c r="T122" s="112">
        <v>812500</v>
      </c>
      <c r="U122" s="112">
        <v>812500</v>
      </c>
      <c r="V122" s="112">
        <v>812500</v>
      </c>
      <c r="W122" s="112">
        <v>812500</v>
      </c>
      <c r="X122" s="112">
        <v>812500</v>
      </c>
      <c r="Y122" s="112">
        <v>812500</v>
      </c>
      <c r="Z122" s="112">
        <v>812500</v>
      </c>
      <c r="AA122" s="112">
        <v>9750000</v>
      </c>
    </row>
    <row r="123" spans="10:27" ht="15" customHeight="1" x14ac:dyDescent="0.2">
      <c r="J123" s="100" t="str">
        <f xml:space="preserve"> _xll.EPMOlapMemberO("[COSTCENTER].[PARENTH1].[1001]","","1001","","000")</f>
        <v>1001</v>
      </c>
      <c r="K123" s="167" t="str">
        <f xml:space="preserve"> _xll.EPMOlapMemberO("[C_ACCOUNT].[PARENTH2].[A_S6020060]","","A_S6020060","","000")</f>
        <v>A_S6020060</v>
      </c>
      <c r="L123" s="112" t="str">
        <f>_xll.EPMMemberDesc(K123)</f>
        <v>Settled Pensions</v>
      </c>
      <c r="M123" s="112">
        <v>808263.99996000004</v>
      </c>
      <c r="N123" s="112">
        <v>808263.9999996</v>
      </c>
      <c r="O123" s="112">
        <v>67355.333333300005</v>
      </c>
      <c r="P123" s="112">
        <v>67355.333333300005</v>
      </c>
      <c r="Q123" s="112">
        <v>67355.333333300005</v>
      </c>
      <c r="R123" s="112">
        <v>67355.333333300005</v>
      </c>
      <c r="S123" s="112">
        <v>67355.333333300005</v>
      </c>
      <c r="T123" s="112">
        <v>67355.333333300005</v>
      </c>
      <c r="U123" s="112">
        <v>67355.333333300005</v>
      </c>
      <c r="V123" s="112">
        <v>67355.333333300005</v>
      </c>
      <c r="W123" s="112">
        <v>67355.333333300005</v>
      </c>
      <c r="X123" s="112">
        <v>67355.333333300005</v>
      </c>
      <c r="Y123" s="112">
        <v>67355.333333300005</v>
      </c>
      <c r="Z123" s="112">
        <v>67355.333333300005</v>
      </c>
      <c r="AA123" s="112">
        <v>808263.9999996</v>
      </c>
    </row>
    <row r="124" spans="10:27" ht="15" customHeight="1" x14ac:dyDescent="0.2">
      <c r="J124" s="100" t="str">
        <f xml:space="preserve"> _xll.EPMOlapMemberO("[COSTCENTER].[PARENTH1].[1001]","","1001","","000")</f>
        <v>1001</v>
      </c>
      <c r="K124" s="167" t="str">
        <f xml:space="preserve"> _xll.EPMOlapMemberO("[C_ACCOUNT].[PARENTH2].[A_S6020070]","","A_S6020070","","000")</f>
        <v>A_S6020070</v>
      </c>
      <c r="L124" s="112" t="str">
        <f>_xll.EPMMemberDesc(K124)</f>
        <v>Settled Pension Credit for Capitalization</v>
      </c>
      <c r="M124" s="112">
        <v>-19549183.195999999</v>
      </c>
      <c r="N124" s="112">
        <v>-18575722.4117449</v>
      </c>
      <c r="O124" s="112">
        <v>-1518418.548433</v>
      </c>
      <c r="P124" s="112">
        <v>-1402779.1515722999</v>
      </c>
      <c r="Q124" s="112">
        <v>-1612729.1995969</v>
      </c>
      <c r="R124" s="112">
        <v>-1403672.2194113999</v>
      </c>
      <c r="S124" s="112">
        <v>-1619443.7206576001</v>
      </c>
      <c r="T124" s="112">
        <v>-1596039.8526734</v>
      </c>
      <c r="U124" s="112">
        <v>-1475357.3537783001</v>
      </c>
      <c r="V124" s="112">
        <v>-1604114.38133</v>
      </c>
      <c r="W124" s="112">
        <v>-1465318.402097</v>
      </c>
      <c r="X124" s="112">
        <v>-1536700.4120936999</v>
      </c>
      <c r="Y124" s="112">
        <v>-1733474.3678754</v>
      </c>
      <c r="Z124" s="112">
        <v>-1607674.8022259001</v>
      </c>
      <c r="AA124" s="112">
        <v>-18575722.4117449</v>
      </c>
    </row>
    <row r="125" spans="10:27" ht="15" customHeight="1" x14ac:dyDescent="0.2">
      <c r="J125" s="100" t="str">
        <f xml:space="preserve"> _xll.EPMOlapMemberO("[COSTCENTER].[PARENTH1].[1001]","","1001","","000")</f>
        <v>1001</v>
      </c>
      <c r="K125" s="167" t="str">
        <f xml:space="preserve"> _xll.EPMOlapMemberO("[C_ACCOUNT].[PARENTH2].[A_S6020080]","","A_S6020080","","000")</f>
        <v>A_S6020080</v>
      </c>
      <c r="L125" s="112" t="str">
        <f>_xll.EPMMemberDesc(K125)</f>
        <v>Settled Post Retirement Benefits FAS 106 - Activ</v>
      </c>
      <c r="M125" s="112">
        <v>946407</v>
      </c>
      <c r="N125" s="112">
        <v>946407</v>
      </c>
      <c r="O125" s="112">
        <v>78867.25</v>
      </c>
      <c r="P125" s="112">
        <v>78867.25</v>
      </c>
      <c r="Q125" s="112">
        <v>78867.25</v>
      </c>
      <c r="R125" s="112">
        <v>78867.25</v>
      </c>
      <c r="S125" s="112">
        <v>78867.25</v>
      </c>
      <c r="T125" s="112">
        <v>78867.25</v>
      </c>
      <c r="U125" s="112">
        <v>78867.25</v>
      </c>
      <c r="V125" s="112">
        <v>78867.25</v>
      </c>
      <c r="W125" s="112">
        <v>78867.25</v>
      </c>
      <c r="X125" s="112">
        <v>78867.25</v>
      </c>
      <c r="Y125" s="112">
        <v>78867.25</v>
      </c>
      <c r="Z125" s="112">
        <v>78867.25</v>
      </c>
      <c r="AA125" s="112">
        <v>946407</v>
      </c>
    </row>
    <row r="126" spans="10:27" ht="15" customHeight="1" x14ac:dyDescent="0.2">
      <c r="J126" s="100" t="str">
        <f xml:space="preserve"> _xll.EPMOlapMemberO("[COSTCENTER].[PARENTH1].[1001]","","1001","","000")</f>
        <v>1001</v>
      </c>
      <c r="K126" s="167" t="str">
        <f xml:space="preserve"> _xll.EPMOlapMemberO("[C_ACCOUNT].[PARENTH2].[A_S6020100]","","A_S6020100","","000")</f>
        <v>A_S6020100</v>
      </c>
      <c r="L126" s="112" t="str">
        <f>_xll.EPMMemberDesc(K126)</f>
        <v>Settled Long-term Incentive Expense</v>
      </c>
      <c r="M126" s="112">
        <v>2317499.8415999999</v>
      </c>
      <c r="N126" s="112">
        <v>2317499.8417484001</v>
      </c>
      <c r="O126" s="112">
        <v>0</v>
      </c>
      <c r="P126" s="112">
        <v>0</v>
      </c>
      <c r="Q126" s="112">
        <v>579374.96043710003</v>
      </c>
      <c r="R126" s="112">
        <v>0</v>
      </c>
      <c r="S126" s="112">
        <v>0</v>
      </c>
      <c r="T126" s="112">
        <v>579374.96043710003</v>
      </c>
      <c r="U126" s="112">
        <v>0</v>
      </c>
      <c r="V126" s="112">
        <v>0</v>
      </c>
      <c r="W126" s="112">
        <v>579374.96043710003</v>
      </c>
      <c r="X126" s="112">
        <v>0</v>
      </c>
      <c r="Y126" s="112">
        <v>0</v>
      </c>
      <c r="Z126" s="112">
        <v>579374.96043710003</v>
      </c>
      <c r="AA126" s="112">
        <v>2317499.8417484001</v>
      </c>
    </row>
    <row r="127" spans="10:27" ht="15" customHeight="1" x14ac:dyDescent="0.2">
      <c r="J127" s="100" t="str">
        <f xml:space="preserve"> _xll.EPMOlapMemberO("[COSTCENTER].[PARENTH1].[1001]","","1001","","000")</f>
        <v>1001</v>
      </c>
      <c r="K127" s="167" t="str">
        <f xml:space="preserve"> _xll.EPMOlapMemberO("[C_ACCOUNT].[PARENTH2].[A_S6020130]","","A_S6020130","","000")</f>
        <v>A_S6020130</v>
      </c>
      <c r="L127" s="112" t="str">
        <f>_xll.EPMMemberDesc(K127)</f>
        <v>Settled Employer 401K Fixed Match</v>
      </c>
      <c r="M127" s="112">
        <v>2920901.0003999998</v>
      </c>
      <c r="N127" s="112">
        <v>2701376.0000004</v>
      </c>
      <c r="O127" s="112">
        <v>225114.66666670001</v>
      </c>
      <c r="P127" s="112">
        <v>225114.66666670001</v>
      </c>
      <c r="Q127" s="112">
        <v>225114.66666670001</v>
      </c>
      <c r="R127" s="112">
        <v>225114.66666670001</v>
      </c>
      <c r="S127" s="112">
        <v>225114.66666670001</v>
      </c>
      <c r="T127" s="112">
        <v>225114.66666670001</v>
      </c>
      <c r="U127" s="112">
        <v>225114.66666670001</v>
      </c>
      <c r="V127" s="112">
        <v>225114.66666670001</v>
      </c>
      <c r="W127" s="112">
        <v>225114.66666670001</v>
      </c>
      <c r="X127" s="112">
        <v>225114.66666670001</v>
      </c>
      <c r="Y127" s="112">
        <v>225114.66666670001</v>
      </c>
      <c r="Z127" s="112">
        <v>225114.66666670001</v>
      </c>
      <c r="AA127" s="112">
        <v>2701376.0000004</v>
      </c>
    </row>
    <row r="128" spans="10:27" ht="15" customHeight="1" x14ac:dyDescent="0.2">
      <c r="J128" s="100" t="str">
        <f xml:space="preserve"> _xll.EPMOlapMemberO("[COSTCENTER].[PARENTH1].[1001]","","1001","","000")</f>
        <v>1001</v>
      </c>
      <c r="K128" s="167" t="str">
        <f xml:space="preserve"> _xll.EPMOlapMemberO("[C_ACCOUNT].[PARENTH2].[A_S6020150]","","A_S6020150","","000")</f>
        <v>A_S6020150</v>
      </c>
      <c r="L128" s="112" t="str">
        <f>_xll.EPMMemberDesc(K128)</f>
        <v>Settled Supplemental Executive Retirement</v>
      </c>
      <c r="M128" s="112">
        <v>106904.000004</v>
      </c>
      <c r="N128" s="112">
        <v>106904.0000004</v>
      </c>
      <c r="O128" s="112">
        <v>8908.6666667000009</v>
      </c>
      <c r="P128" s="112">
        <v>8908.6666667000009</v>
      </c>
      <c r="Q128" s="112">
        <v>8908.6666667000009</v>
      </c>
      <c r="R128" s="112">
        <v>8908.6666667000009</v>
      </c>
      <c r="S128" s="112">
        <v>8908.6666667000009</v>
      </c>
      <c r="T128" s="112">
        <v>8908.6666667000009</v>
      </c>
      <c r="U128" s="112">
        <v>8908.6666667000009</v>
      </c>
      <c r="V128" s="112">
        <v>8908.6666667000009</v>
      </c>
      <c r="W128" s="112">
        <v>8908.6666667000009</v>
      </c>
      <c r="X128" s="112">
        <v>8908.6666667000009</v>
      </c>
      <c r="Y128" s="112">
        <v>8908.6666667000009</v>
      </c>
      <c r="Z128" s="112">
        <v>8908.6666667000009</v>
      </c>
      <c r="AA128" s="112">
        <v>106904.0000004</v>
      </c>
    </row>
    <row r="129" spans="10:27" ht="15" customHeight="1" x14ac:dyDescent="0.2">
      <c r="J129" s="100" t="str">
        <f xml:space="preserve"> _xll.EPMOlapMemberO("[COSTCENTER].[PARENTH1].[1001]","","1001","","000")</f>
        <v>1001</v>
      </c>
      <c r="K129" s="167" t="str">
        <f xml:space="preserve"> _xll.EPMOlapMemberO("[C_ACCOUNT].[PARENTH2].[A_S6020170]","","A_S6020170","","000")</f>
        <v>A_S6020170</v>
      </c>
      <c r="L129" s="112" t="str">
        <f>_xll.EPMMemberDesc(K129)</f>
        <v>Settled Long-term Disability - FAS 112</v>
      </c>
      <c r="M129" s="112">
        <v>300000</v>
      </c>
      <c r="N129" s="112">
        <v>300000</v>
      </c>
      <c r="O129" s="112">
        <v>25000</v>
      </c>
      <c r="P129" s="112">
        <v>25000</v>
      </c>
      <c r="Q129" s="112">
        <v>25000</v>
      </c>
      <c r="R129" s="112">
        <v>25000</v>
      </c>
      <c r="S129" s="112">
        <v>25000</v>
      </c>
      <c r="T129" s="112">
        <v>25000</v>
      </c>
      <c r="U129" s="112">
        <v>25000</v>
      </c>
      <c r="V129" s="112">
        <v>25000</v>
      </c>
      <c r="W129" s="112">
        <v>25000</v>
      </c>
      <c r="X129" s="112">
        <v>25000</v>
      </c>
      <c r="Y129" s="112">
        <v>25000</v>
      </c>
      <c r="Z129" s="112">
        <v>25000</v>
      </c>
      <c r="AA129" s="112">
        <v>300000</v>
      </c>
    </row>
    <row r="130" spans="10:27" ht="15" customHeight="1" x14ac:dyDescent="0.2">
      <c r="J130" s="100" t="str">
        <f xml:space="preserve"> _xll.EPMOlapMemberO("[COSTCENTER].[PARENTH1].[1001]","","1001","","000")</f>
        <v>1001</v>
      </c>
      <c r="K130" s="167" t="str">
        <f xml:space="preserve"> _xll.EPMOlapMemberO("[C_ACCOUNT].[PARENTH2].[A_S6020180]","","A_S6020180","","000")</f>
        <v>A_S6020180</v>
      </c>
      <c r="L130" s="112" t="str">
        <f>_xll.EPMMemberDesc(K130)</f>
        <v>Settled Long-term Disability Premiums</v>
      </c>
      <c r="M130" s="112">
        <v>230000.00004000001</v>
      </c>
      <c r="N130" s="112">
        <v>230000.0000004</v>
      </c>
      <c r="O130" s="112">
        <v>19166.666666699999</v>
      </c>
      <c r="P130" s="112">
        <v>19166.666666699999</v>
      </c>
      <c r="Q130" s="112">
        <v>19166.666666699999</v>
      </c>
      <c r="R130" s="112">
        <v>19166.666666699999</v>
      </c>
      <c r="S130" s="112">
        <v>19166.666666699999</v>
      </c>
      <c r="T130" s="112">
        <v>19166.666666699999</v>
      </c>
      <c r="U130" s="112">
        <v>19166.666666699999</v>
      </c>
      <c r="V130" s="112">
        <v>19166.666666699999</v>
      </c>
      <c r="W130" s="112">
        <v>19166.666666699999</v>
      </c>
      <c r="X130" s="112">
        <v>19166.666666699999</v>
      </c>
      <c r="Y130" s="112">
        <v>19166.666666699999</v>
      </c>
      <c r="Z130" s="112">
        <v>19166.666666699999</v>
      </c>
      <c r="AA130" s="112">
        <v>230000.0000004</v>
      </c>
    </row>
    <row r="131" spans="10:27" ht="15" customHeight="1" x14ac:dyDescent="0.2">
      <c r="J131" s="100" t="str">
        <f xml:space="preserve"> _xll.EPMOlapMemberO("[COSTCENTER].[PARENTH1].[1001]","","1001","","000")</f>
        <v>1001</v>
      </c>
      <c r="K131" s="167" t="str">
        <f xml:space="preserve"> _xll.EPMOlapMemberO("[C_ACCOUNT].[PARENTH2].[A_S6020220]","","A_S6020220","","000")</f>
        <v>A_S6020220</v>
      </c>
      <c r="L131" s="112" t="str">
        <f>_xll.EPMMemberDesc(K131)</f>
        <v>Settled Vacations (accrual)</v>
      </c>
      <c r="M131" s="112">
        <v>215599.92</v>
      </c>
      <c r="N131" s="112">
        <v>215599.92</v>
      </c>
      <c r="O131" s="112">
        <v>17966.66</v>
      </c>
      <c r="P131" s="112">
        <v>17966.66</v>
      </c>
      <c r="Q131" s="112">
        <v>17966.66</v>
      </c>
      <c r="R131" s="112">
        <v>17966.66</v>
      </c>
      <c r="S131" s="112">
        <v>17966.66</v>
      </c>
      <c r="T131" s="112">
        <v>17966.66</v>
      </c>
      <c r="U131" s="112">
        <v>17966.66</v>
      </c>
      <c r="V131" s="112">
        <v>17966.66</v>
      </c>
      <c r="W131" s="112">
        <v>17966.66</v>
      </c>
      <c r="X131" s="112">
        <v>17966.66</v>
      </c>
      <c r="Y131" s="112">
        <v>17966.66</v>
      </c>
      <c r="Z131" s="112">
        <v>17966.66</v>
      </c>
      <c r="AA131" s="112">
        <v>215599.92</v>
      </c>
    </row>
    <row r="132" spans="10:27" ht="15" customHeight="1" x14ac:dyDescent="0.2">
      <c r="J132" s="100" t="str">
        <f xml:space="preserve"> _xll.EPMOlapMemberO("[COSTCENTER].[PARENTH1].[1001]","","1001","","000")</f>
        <v>1001</v>
      </c>
      <c r="K132" s="167" t="str">
        <f xml:space="preserve"> _xll.EPMOlapMemberO("[C_ACCOUNT].[PARENTH2].[A_S6020230]","","A_S6020230","","000")</f>
        <v>A_S6020230</v>
      </c>
      <c r="L132" s="112" t="str">
        <f>_xll.EPMMemberDesc(K132)</f>
        <v>Settled Restoration Benefit Plan Expense</v>
      </c>
      <c r="M132" s="112">
        <v>102674.000004</v>
      </c>
      <c r="N132" s="112">
        <v>102674.0000004</v>
      </c>
      <c r="O132" s="112">
        <v>8556.1666667000009</v>
      </c>
      <c r="P132" s="112">
        <v>8556.1666667000009</v>
      </c>
      <c r="Q132" s="112">
        <v>8556.1666667000009</v>
      </c>
      <c r="R132" s="112">
        <v>8556.1666667000009</v>
      </c>
      <c r="S132" s="112">
        <v>8556.1666667000009</v>
      </c>
      <c r="T132" s="112">
        <v>8556.1666667000009</v>
      </c>
      <c r="U132" s="112">
        <v>8556.1666667000009</v>
      </c>
      <c r="V132" s="112">
        <v>8556.1666667000009</v>
      </c>
      <c r="W132" s="112">
        <v>8556.1666667000009</v>
      </c>
      <c r="X132" s="112">
        <v>8556.1666667000009</v>
      </c>
      <c r="Y132" s="112">
        <v>8556.1666667000009</v>
      </c>
      <c r="Z132" s="112">
        <v>8556.1666667000009</v>
      </c>
      <c r="AA132" s="112">
        <v>102674.0000004</v>
      </c>
    </row>
    <row r="133" spans="10:27" ht="15" customHeight="1" x14ac:dyDescent="0.2">
      <c r="J133" s="100" t="str">
        <f xml:space="preserve"> _xll.EPMOlapMemberO("[COSTCENTER].[PARENTH1].[1001]","","1001","","000")</f>
        <v>1001</v>
      </c>
      <c r="K133" s="167" t="str">
        <f xml:space="preserve"> _xll.EPMOlapMemberO("[C_ACCOUNT].[PARENTH2].[A_S6020240]","","A_S6020240","","000")</f>
        <v>A_S6020240</v>
      </c>
      <c r="L133" s="112" t="str">
        <f>_xll.EPMMemberDesc(K133)</f>
        <v>Settled Employer Match on Common Stock Purch</v>
      </c>
      <c r="M133" s="112">
        <v>99999.999995999999</v>
      </c>
      <c r="N133" s="112">
        <v>99999.999999599997</v>
      </c>
      <c r="O133" s="112">
        <v>8333.3333332999991</v>
      </c>
      <c r="P133" s="112">
        <v>8333.3333332999991</v>
      </c>
      <c r="Q133" s="112">
        <v>8333.3333332999991</v>
      </c>
      <c r="R133" s="112">
        <v>8333.3333332999991</v>
      </c>
      <c r="S133" s="112">
        <v>8333.3333332999991</v>
      </c>
      <c r="T133" s="112">
        <v>8333.3333332999991</v>
      </c>
      <c r="U133" s="112">
        <v>8333.3333332999991</v>
      </c>
      <c r="V133" s="112">
        <v>8333.3333332999991</v>
      </c>
      <c r="W133" s="112">
        <v>8333.3333332999991</v>
      </c>
      <c r="X133" s="112">
        <v>8333.3333332999991</v>
      </c>
      <c r="Y133" s="112">
        <v>8333.3333332999991</v>
      </c>
      <c r="Z133" s="112">
        <v>8333.3333332999991</v>
      </c>
      <c r="AA133" s="112">
        <v>99999.999999599997</v>
      </c>
    </row>
    <row r="134" spans="10:27" ht="15" customHeight="1" x14ac:dyDescent="0.2">
      <c r="J134" s="100" t="str">
        <f xml:space="preserve"> _xll.EPMOlapMemberO("[COSTCENTER].[PARENTH1].[1001]","","1001","","000")</f>
        <v>1001</v>
      </c>
      <c r="K134" s="167" t="str">
        <f xml:space="preserve"> _xll.EPMOlapMemberO("[C_ACCOUNT].[PARENTH2].[A_S6020800]","","A_S6020800","","000")</f>
        <v>A_S6020800</v>
      </c>
      <c r="L134" s="112" t="str">
        <f>_xll.EPMMemberDesc(K134)</f>
        <v>Settled Benefits - Other</v>
      </c>
      <c r="M134" s="112">
        <v>352405.17995999998</v>
      </c>
      <c r="N134" s="112">
        <v>352405.17999959999</v>
      </c>
      <c r="O134" s="112">
        <v>29367.0983333</v>
      </c>
      <c r="P134" s="112">
        <v>29367.0983333</v>
      </c>
      <c r="Q134" s="112">
        <v>29367.0983333</v>
      </c>
      <c r="R134" s="112">
        <v>29367.0983333</v>
      </c>
      <c r="S134" s="112">
        <v>29367.0983333</v>
      </c>
      <c r="T134" s="112">
        <v>29367.0983333</v>
      </c>
      <c r="U134" s="112">
        <v>29367.0983333</v>
      </c>
      <c r="V134" s="112">
        <v>29367.0983333</v>
      </c>
      <c r="W134" s="112">
        <v>29367.0983333</v>
      </c>
      <c r="X134" s="112">
        <v>29367.0983333</v>
      </c>
      <c r="Y134" s="112">
        <v>29367.0983333</v>
      </c>
      <c r="Z134" s="112">
        <v>29367.0983333</v>
      </c>
      <c r="AA134" s="112">
        <v>352405.17999959999</v>
      </c>
    </row>
    <row r="135" spans="10:27" ht="15" customHeight="1" x14ac:dyDescent="0.2">
      <c r="J135" s="100" t="str">
        <f xml:space="preserve"> _xll.EPMOlapMemberO("[COSTCENTER].[PARENTH1].[1001]","","1001","","000")</f>
        <v>1001</v>
      </c>
      <c r="K135" s="167" t="str">
        <f xml:space="preserve"> _xll.EPMOlapMemberO("[C_ACCOUNT].[PARENTH2].[A_S6020900]","","A_S6020900","","000")</f>
        <v>A_S6020900</v>
      </c>
      <c r="L135" s="112" t="str">
        <f>_xll.EPMMemberDesc(K135)</f>
        <v>Settled Employee Incentive Expense</v>
      </c>
      <c r="M135" s="112">
        <v>7200000</v>
      </c>
      <c r="N135" s="112">
        <v>6665000.0000003995</v>
      </c>
      <c r="O135" s="112">
        <v>555416.66666670004</v>
      </c>
      <c r="P135" s="112">
        <v>555416.66666670004</v>
      </c>
      <c r="Q135" s="112">
        <v>555416.66666670004</v>
      </c>
      <c r="R135" s="112">
        <v>555416.66666670004</v>
      </c>
      <c r="S135" s="112">
        <v>555416.66666670004</v>
      </c>
      <c r="T135" s="112">
        <v>555416.66666670004</v>
      </c>
      <c r="U135" s="112">
        <v>555416.66666670004</v>
      </c>
      <c r="V135" s="112">
        <v>555416.66666670004</v>
      </c>
      <c r="W135" s="112">
        <v>555416.66666670004</v>
      </c>
      <c r="X135" s="112">
        <v>555416.66666670004</v>
      </c>
      <c r="Y135" s="112">
        <v>555416.66666670004</v>
      </c>
      <c r="Z135" s="112">
        <v>555416.66666670004</v>
      </c>
      <c r="AA135" s="112">
        <v>6665000.0000003995</v>
      </c>
    </row>
    <row r="136" spans="10:27" ht="15" customHeight="1" x14ac:dyDescent="0.2">
      <c r="J136" s="100" t="str">
        <f xml:space="preserve"> _xll.EPMOlapMemberO("[COSTCENTER].[PARENTH1].[1001]","","1001","","000")</f>
        <v>1001</v>
      </c>
      <c r="K136" s="167" t="str">
        <f xml:space="preserve"> _xll.EPMOlapMemberO("[C_ACCOUNT].[PARENTH2].[A_S6028999]","","A_S6028999","","000")</f>
        <v>A_S6028999</v>
      </c>
      <c r="L136" s="112" t="str">
        <f>_xll.EPMMemberDesc(K136)</f>
        <v>Settled Benefits Fringe Reclass</v>
      </c>
      <c r="M136" s="112">
        <v>-313489.54863099998</v>
      </c>
      <c r="N136" s="112">
        <v>-50162.033139899999</v>
      </c>
      <c r="O136" s="112">
        <v>-46.053989100000003</v>
      </c>
      <c r="P136" s="112">
        <v>-2408.5391690000001</v>
      </c>
      <c r="Q136" s="112">
        <v>-2078.3962698999999</v>
      </c>
      <c r="R136" s="112">
        <v>-391.13614999999999</v>
      </c>
      <c r="S136" s="112">
        <v>-2692.6498952000002</v>
      </c>
      <c r="T136" s="112">
        <v>-6648.9304535000001</v>
      </c>
      <c r="U136" s="112">
        <v>-2293.1329282000002</v>
      </c>
      <c r="V136" s="112">
        <v>-6296.7407995000003</v>
      </c>
      <c r="W136" s="112">
        <v>-4466.7472926</v>
      </c>
      <c r="X136" s="112">
        <v>-5724.2630731999998</v>
      </c>
      <c r="Y136" s="112">
        <v>-10175.398791400001</v>
      </c>
      <c r="Z136" s="112">
        <v>-6940.0443283000004</v>
      </c>
      <c r="AA136" s="112">
        <v>-50162.033139899999</v>
      </c>
    </row>
    <row r="137" spans="10:27" ht="15" customHeight="1" x14ac:dyDescent="0.2">
      <c r="J137" s="115" t="str">
        <f xml:space="preserve"> _xll.EPMOlapMemberO("[COSTCENTER].[PARENTH1].[1001]","","1001","","000")</f>
        <v>1001</v>
      </c>
      <c r="K137" s="165" t="str">
        <f xml:space="preserve"> _xll.EPMOlapMemberO("[C_ACCOUNT].[PARENTH2].[EMP_EXP_RC]","","EMP_EXP_RC","","000")</f>
        <v>EMP_EXP_RC</v>
      </c>
      <c r="L137" s="115" t="str">
        <f>_xll.EPMMemberDesc(K137)</f>
        <v>Employee Expenses</v>
      </c>
      <c r="M137" s="114">
        <v>2425396.5124979001</v>
      </c>
      <c r="N137" s="114">
        <v>1952256.7063245</v>
      </c>
      <c r="O137" s="114">
        <v>124939.99975430001</v>
      </c>
      <c r="P137" s="114">
        <v>145277.99975429999</v>
      </c>
      <c r="Q137" s="114">
        <v>170101.77975429999</v>
      </c>
      <c r="R137" s="114">
        <v>177679.4448495</v>
      </c>
      <c r="S137" s="114">
        <v>151108.28484949999</v>
      </c>
      <c r="T137" s="114">
        <v>171764.75431260001</v>
      </c>
      <c r="U137" s="114">
        <v>157574.099789</v>
      </c>
      <c r="V137" s="114">
        <v>172882.82246600001</v>
      </c>
      <c r="W137" s="114">
        <v>183516.7288214</v>
      </c>
      <c r="X137" s="114">
        <v>183264.44734899999</v>
      </c>
      <c r="Y137" s="114">
        <v>152465.640629</v>
      </c>
      <c r="Z137" s="114">
        <v>161680.70399559999</v>
      </c>
      <c r="AA137" s="114">
        <v>1952256.7063245</v>
      </c>
    </row>
    <row r="138" spans="10:27" ht="15" customHeight="1" x14ac:dyDescent="0.2">
      <c r="J138" s="100" t="str">
        <f xml:space="preserve"> _xll.EPMOlapMemberO("[COSTCENTER].[PARENTH1].[1001]","","1001","","000")</f>
        <v>1001</v>
      </c>
      <c r="K138" s="167" t="str">
        <f xml:space="preserve"> _xll.EPMOlapMemberO("[C_ACCOUNT].[PARENTH2].[A_6030010]","","A_6030010","","000")</f>
        <v>A_6030010</v>
      </c>
      <c r="L138" s="112" t="str">
        <f>_xll.EPMMemberDesc(K138)</f>
        <v>Empl Exp - Professional Dues. Subscriptions. Fees</v>
      </c>
      <c r="M138" s="112">
        <v>29117</v>
      </c>
      <c r="N138" s="112">
        <v>29117</v>
      </c>
      <c r="O138" s="112">
        <v>250</v>
      </c>
      <c r="P138" s="112">
        <v>250</v>
      </c>
      <c r="Q138" s="112">
        <v>6779.25</v>
      </c>
      <c r="R138" s="112">
        <v>250</v>
      </c>
      <c r="S138" s="112">
        <v>250</v>
      </c>
      <c r="T138" s="112">
        <v>6779.25</v>
      </c>
      <c r="U138" s="112">
        <v>250</v>
      </c>
      <c r="V138" s="112">
        <v>250</v>
      </c>
      <c r="W138" s="112">
        <v>6779.25</v>
      </c>
      <c r="X138" s="112">
        <v>250</v>
      </c>
      <c r="Y138" s="112">
        <v>250</v>
      </c>
      <c r="Z138" s="112">
        <v>6779.25</v>
      </c>
      <c r="AA138" s="112">
        <v>29117</v>
      </c>
    </row>
    <row r="139" spans="10:27" ht="15" customHeight="1" x14ac:dyDescent="0.2">
      <c r="J139" s="100" t="str">
        <f xml:space="preserve"> _xll.EPMOlapMemberO("[COSTCENTER].[PARENTH1].[1001]","","1001","","000")</f>
        <v>1001</v>
      </c>
      <c r="K139" s="167" t="str">
        <f xml:space="preserve"> _xll.EPMOlapMemberO("[C_ACCOUNT].[PARENTH2].[A_6030040]","","A_6030040","","000")</f>
        <v>A_6030040</v>
      </c>
      <c r="L139" s="112" t="str">
        <f>_xll.EPMMemberDesc(K139)</f>
        <v>Empl Exp - Meals &amp; Entertainment 50% Deductible</v>
      </c>
      <c r="M139" s="112">
        <v>49750</v>
      </c>
      <c r="N139" s="112">
        <v>49750</v>
      </c>
      <c r="O139" s="112">
        <v>4145.83</v>
      </c>
      <c r="P139" s="112">
        <v>4145.83</v>
      </c>
      <c r="Q139" s="112">
        <v>4145.83</v>
      </c>
      <c r="R139" s="112">
        <v>4145.83</v>
      </c>
      <c r="S139" s="112">
        <v>4145.83</v>
      </c>
      <c r="T139" s="112">
        <v>4145.83</v>
      </c>
      <c r="U139" s="112">
        <v>4145.83</v>
      </c>
      <c r="V139" s="112">
        <v>4145.83</v>
      </c>
      <c r="W139" s="112">
        <v>4145.84</v>
      </c>
      <c r="X139" s="112">
        <v>4145.84</v>
      </c>
      <c r="Y139" s="112">
        <v>4145.84</v>
      </c>
      <c r="Z139" s="112">
        <v>4145.84</v>
      </c>
      <c r="AA139" s="112">
        <v>49750</v>
      </c>
    </row>
    <row r="140" spans="10:27" ht="15" customHeight="1" x14ac:dyDescent="0.2">
      <c r="J140" s="100" t="str">
        <f xml:space="preserve"> _xll.EPMOlapMemberO("[COSTCENTER].[PARENTH1].[1001]","","1001","","000")</f>
        <v>1001</v>
      </c>
      <c r="K140" s="167" t="str">
        <f xml:space="preserve"> _xll.EPMOlapMemberO("[C_ACCOUNT].[PARENTH2].[A_6030050]","","A_6030050","","000")</f>
        <v>A_6030050</v>
      </c>
      <c r="L140" s="112" t="str">
        <f>_xll.EPMMemberDesc(K140)</f>
        <v>Empl Exp - Mileage</v>
      </c>
      <c r="M140" s="112">
        <v>27680</v>
      </c>
      <c r="N140" s="112">
        <v>27680</v>
      </c>
      <c r="O140" s="112">
        <v>2283.33</v>
      </c>
      <c r="P140" s="112">
        <v>2283.33</v>
      </c>
      <c r="Q140" s="112">
        <v>2353.33</v>
      </c>
      <c r="R140" s="112">
        <v>2283.33</v>
      </c>
      <c r="S140" s="112">
        <v>2283.33</v>
      </c>
      <c r="T140" s="112">
        <v>2353.33</v>
      </c>
      <c r="U140" s="112">
        <v>2283.33</v>
      </c>
      <c r="V140" s="112">
        <v>2283.33</v>
      </c>
      <c r="W140" s="112">
        <v>2353.34</v>
      </c>
      <c r="X140" s="112">
        <v>2283.34</v>
      </c>
      <c r="Y140" s="112">
        <v>2283.34</v>
      </c>
      <c r="Z140" s="112">
        <v>2353.34</v>
      </c>
      <c r="AA140" s="112">
        <v>27680</v>
      </c>
    </row>
    <row r="141" spans="10:27" ht="15" customHeight="1" x14ac:dyDescent="0.2">
      <c r="J141" s="100" t="str">
        <f xml:space="preserve"> _xll.EPMOlapMemberO("[COSTCENTER].[PARENTH1].[1001]","","1001","","000")</f>
        <v>1001</v>
      </c>
      <c r="K141" s="167" t="str">
        <f xml:space="preserve"> _xll.EPMOlapMemberO("[C_ACCOUNT].[PARENTH2].[A_6030070]","","A_6030070","","000")</f>
        <v>A_6030070</v>
      </c>
      <c r="L141" s="112" t="str">
        <f>_xll.EPMMemberDesc(K141)</f>
        <v>Empl Exp - Training</v>
      </c>
      <c r="M141" s="112">
        <v>11850</v>
      </c>
      <c r="N141" s="112">
        <v>11850</v>
      </c>
      <c r="O141" s="112">
        <v>900</v>
      </c>
      <c r="P141" s="112">
        <v>900</v>
      </c>
      <c r="Q141" s="112">
        <v>1162.5</v>
      </c>
      <c r="R141" s="112">
        <v>900</v>
      </c>
      <c r="S141" s="112">
        <v>900</v>
      </c>
      <c r="T141" s="112">
        <v>1162.5</v>
      </c>
      <c r="U141" s="112">
        <v>900</v>
      </c>
      <c r="V141" s="112">
        <v>900</v>
      </c>
      <c r="W141" s="112">
        <v>1162.5</v>
      </c>
      <c r="X141" s="112">
        <v>900</v>
      </c>
      <c r="Y141" s="112">
        <v>900</v>
      </c>
      <c r="Z141" s="112">
        <v>1162.5</v>
      </c>
      <c r="AA141" s="112">
        <v>11850</v>
      </c>
    </row>
    <row r="142" spans="10:27" ht="15" customHeight="1" x14ac:dyDescent="0.2">
      <c r="J142" s="100" t="str">
        <f xml:space="preserve"> _xll.EPMOlapMemberO("[COSTCENTER].[PARENTH1].[1001]","","1001","","000")</f>
        <v>1001</v>
      </c>
      <c r="K142" s="167" t="str">
        <f xml:space="preserve"> _xll.EPMOlapMemberO("[C_ACCOUNT].[PARENTH2].[A_6030080]","","A_6030080","","000")</f>
        <v>A_6030080</v>
      </c>
      <c r="L142" s="112" t="str">
        <f>_xll.EPMMemberDesc(K142)</f>
        <v>Empl Exp - Travel and Lodging</v>
      </c>
      <c r="M142" s="112">
        <v>228460</v>
      </c>
      <c r="N142" s="112">
        <v>228460</v>
      </c>
      <c r="O142" s="112">
        <v>17770.830000000002</v>
      </c>
      <c r="P142" s="112">
        <v>17770.830000000002</v>
      </c>
      <c r="Q142" s="112">
        <v>18173.330000000002</v>
      </c>
      <c r="R142" s="112">
        <v>18770.830000000002</v>
      </c>
      <c r="S142" s="112">
        <v>17770.830000000002</v>
      </c>
      <c r="T142" s="112">
        <v>18173.330000000002</v>
      </c>
      <c r="U142" s="112">
        <v>18770.830000000002</v>
      </c>
      <c r="V142" s="112">
        <v>17770.830000000002</v>
      </c>
      <c r="W142" s="112">
        <v>23173.34</v>
      </c>
      <c r="X142" s="112">
        <v>23970.84</v>
      </c>
      <c r="Y142" s="112">
        <v>17970.84</v>
      </c>
      <c r="Z142" s="112">
        <v>18373.34</v>
      </c>
      <c r="AA142" s="112">
        <v>228460</v>
      </c>
    </row>
    <row r="143" spans="10:27" ht="15" customHeight="1" x14ac:dyDescent="0.2">
      <c r="J143" s="100" t="str">
        <f xml:space="preserve"> _xll.EPMOlapMemberO("[COSTCENTER].[PARENTH1].[1001]","","1001","","000")</f>
        <v>1001</v>
      </c>
      <c r="K143" s="167" t="str">
        <f xml:space="preserve"> _xll.EPMOlapMemberO("[C_ACCOUNT].[PARENTH2].[A_6030800]","","A_6030800","","000")</f>
        <v>A_6030800</v>
      </c>
      <c r="L143" s="112" t="str">
        <f>_xll.EPMMemberDesc(K143)</f>
        <v>Empl Exp - Miscellaneous Expense</v>
      </c>
      <c r="M143" s="112">
        <v>186819.50952200001</v>
      </c>
      <c r="N143" s="112">
        <v>-746658.74412779999</v>
      </c>
      <c r="O143" s="112">
        <v>-59744.478677300001</v>
      </c>
      <c r="P143" s="112">
        <v>-59744.478677300001</v>
      </c>
      <c r="Q143" s="112">
        <v>-60369.478677300001</v>
      </c>
      <c r="R143" s="112">
        <v>-84244.478677299994</v>
      </c>
      <c r="S143" s="112">
        <v>-59744.478677300001</v>
      </c>
      <c r="T143" s="112">
        <v>-59973.050105900002</v>
      </c>
      <c r="U143" s="112">
        <v>-60473.050105900002</v>
      </c>
      <c r="V143" s="112">
        <v>-59973.050105900002</v>
      </c>
      <c r="W143" s="112">
        <v>-60473.050105900002</v>
      </c>
      <c r="X143" s="112">
        <v>-60473.050105900002</v>
      </c>
      <c r="Y143" s="112">
        <v>-60473.050105900002</v>
      </c>
      <c r="Z143" s="112">
        <v>-60973.050105900002</v>
      </c>
      <c r="AA143" s="112">
        <v>-746658.74412779999</v>
      </c>
    </row>
    <row r="144" spans="10:27" ht="15" customHeight="1" x14ac:dyDescent="0.2">
      <c r="J144" s="100" t="str">
        <f xml:space="preserve"> _xll.EPMOlapMemberO("[COSTCENTER].[PARENTH1].[1001]","","1001","","000")</f>
        <v>1001</v>
      </c>
      <c r="K144" s="167" t="str">
        <f xml:space="preserve"> _xll.EPMOlapMemberO("[C_ACCOUNT].[PARENTH2].[A_S6030010]","","A_S6030010","","000")</f>
        <v>A_S6030010</v>
      </c>
      <c r="L144" s="112" t="str">
        <f>_xll.EPMMemberDesc(K144)</f>
        <v>Settled Empl Exp - Professional Dues Subscription</v>
      </c>
      <c r="M144" s="112">
        <v>-11081.272000000001</v>
      </c>
      <c r="N144" s="112">
        <v>-11081.272000000001</v>
      </c>
      <c r="O144" s="112">
        <v>-1618.856</v>
      </c>
      <c r="P144" s="112">
        <v>-1388.856</v>
      </c>
      <c r="Q144" s="112">
        <v>-1068.856</v>
      </c>
      <c r="R144" s="112">
        <v>571.14400000000001</v>
      </c>
      <c r="S144" s="112">
        <v>-2118.8560000000002</v>
      </c>
      <c r="T144" s="112">
        <v>-1468.856</v>
      </c>
      <c r="U144" s="112">
        <v>3031.1439999999998</v>
      </c>
      <c r="V144" s="112">
        <v>736.14400000000001</v>
      </c>
      <c r="W144" s="112">
        <v>-1763.856</v>
      </c>
      <c r="X144" s="112">
        <v>-1903.856</v>
      </c>
      <c r="Y144" s="112">
        <v>-2018.856</v>
      </c>
      <c r="Z144" s="112">
        <v>-2068.8560000000002</v>
      </c>
      <c r="AA144" s="112">
        <v>-11081.272000000001</v>
      </c>
    </row>
    <row r="145" spans="10:27" ht="15" customHeight="1" x14ac:dyDescent="0.2">
      <c r="J145" s="100" t="str">
        <f xml:space="preserve"> _xll.EPMOlapMemberO("[COSTCENTER].[PARENTH1].[1001]","","1001","","000")</f>
        <v>1001</v>
      </c>
      <c r="K145" s="167" t="str">
        <f xml:space="preserve"> _xll.EPMOlapMemberO("[C_ACCOUNT].[PARENTH2].[A_S6030030]","","A_S6030030","","000")</f>
        <v>A_S6030030</v>
      </c>
      <c r="L145" s="112" t="str">
        <f>_xll.EPMMemberDesc(K145)</f>
        <v>Inactive Account - Do Not Use - Stld Empl Exp - Meals &amp; Ent</v>
      </c>
      <c r="M145" s="112">
        <v>1400</v>
      </c>
      <c r="N145" s="112">
        <v>1400</v>
      </c>
      <c r="O145" s="112">
        <v>0</v>
      </c>
      <c r="P145" s="112">
        <v>0</v>
      </c>
      <c r="Q145" s="112">
        <v>0</v>
      </c>
      <c r="R145" s="112">
        <v>0</v>
      </c>
      <c r="S145" s="112">
        <v>0</v>
      </c>
      <c r="T145" s="112">
        <v>0</v>
      </c>
      <c r="U145" s="112">
        <v>700</v>
      </c>
      <c r="V145" s="112">
        <v>0</v>
      </c>
      <c r="W145" s="112">
        <v>0</v>
      </c>
      <c r="X145" s="112">
        <v>700</v>
      </c>
      <c r="Y145" s="112">
        <v>0</v>
      </c>
      <c r="Z145" s="112">
        <v>0</v>
      </c>
      <c r="AA145" s="112">
        <v>1400</v>
      </c>
    </row>
    <row r="146" spans="10:27" ht="15" customHeight="1" x14ac:dyDescent="0.2">
      <c r="J146" s="100" t="str">
        <f xml:space="preserve"> _xll.EPMOlapMemberO("[COSTCENTER].[PARENTH1].[1001]","","1001","","000")</f>
        <v>1001</v>
      </c>
      <c r="K146" s="167" t="str">
        <f xml:space="preserve"> _xll.EPMOlapMemberO("[C_ACCOUNT].[PARENTH2].[A_S6030040]","","A_S6030040","","000")</f>
        <v>A_S6030040</v>
      </c>
      <c r="L146" s="112" t="str">
        <f>_xll.EPMMemberDesc(K146)</f>
        <v>Settled Empl Exp - Meals &amp; Entertainment 50% Ded</v>
      </c>
      <c r="M146" s="112">
        <v>205494.031197</v>
      </c>
      <c r="N146" s="112">
        <v>205494.0311967</v>
      </c>
      <c r="O146" s="112">
        <v>15328.48</v>
      </c>
      <c r="P146" s="112">
        <v>14648.6</v>
      </c>
      <c r="Q146" s="112">
        <v>16630.22</v>
      </c>
      <c r="R146" s="112">
        <v>17040.61</v>
      </c>
      <c r="S146" s="112">
        <v>16480.61</v>
      </c>
      <c r="T146" s="112">
        <v>17128.844166399998</v>
      </c>
      <c r="U146" s="112">
        <v>17115.2526392</v>
      </c>
      <c r="V146" s="112">
        <v>17488.933966600001</v>
      </c>
      <c r="W146" s="112">
        <v>18762.512359799999</v>
      </c>
      <c r="X146" s="112">
        <v>17456.9358727</v>
      </c>
      <c r="Y146" s="112">
        <v>17420.971549599999</v>
      </c>
      <c r="Z146" s="112">
        <v>19992.0606424</v>
      </c>
      <c r="AA146" s="112">
        <v>205494.0311967</v>
      </c>
    </row>
    <row r="147" spans="10:27" ht="15" customHeight="1" x14ac:dyDescent="0.2">
      <c r="J147" s="100" t="str">
        <f xml:space="preserve"> _xll.EPMOlapMemberO("[COSTCENTER].[PARENTH1].[1001]","","1001","","000")</f>
        <v>1001</v>
      </c>
      <c r="K147" s="167" t="str">
        <f xml:space="preserve"> _xll.EPMOlapMemberO("[C_ACCOUNT].[PARENTH2].[A_S6030050]","","A_S6030050","","000")</f>
        <v>A_S6030050</v>
      </c>
      <c r="L147" s="112" t="str">
        <f>_xll.EPMMemberDesc(K147)</f>
        <v>Settled Empl Exp - Mileage</v>
      </c>
      <c r="M147" s="112">
        <v>42094.913118800003</v>
      </c>
      <c r="N147" s="112">
        <v>42094.913117999997</v>
      </c>
      <c r="O147" s="112">
        <v>2119.8571999999999</v>
      </c>
      <c r="P147" s="112">
        <v>1909.8571999999999</v>
      </c>
      <c r="Q147" s="112">
        <v>2845.9072000000001</v>
      </c>
      <c r="R147" s="112">
        <v>2599.9371999999998</v>
      </c>
      <c r="S147" s="112">
        <v>3652.0772000000002</v>
      </c>
      <c r="T147" s="112">
        <v>3282.1736998000001</v>
      </c>
      <c r="U147" s="112">
        <v>4456.0387835000001</v>
      </c>
      <c r="V147" s="112">
        <v>4171.6475799999998</v>
      </c>
      <c r="W147" s="112">
        <v>4263.1946158999999</v>
      </c>
      <c r="X147" s="112">
        <v>3575.2487236000002</v>
      </c>
      <c r="Y147" s="112">
        <v>4231.2501297999997</v>
      </c>
      <c r="Z147" s="112">
        <v>4987.7235854</v>
      </c>
      <c r="AA147" s="112">
        <v>42094.913117999997</v>
      </c>
    </row>
    <row r="148" spans="10:27" ht="15" customHeight="1" x14ac:dyDescent="0.2">
      <c r="J148" s="100" t="str">
        <f xml:space="preserve"> _xll.EPMOlapMemberO("[COSTCENTER].[PARENTH1].[1001]","","1001","","000")</f>
        <v>1001</v>
      </c>
      <c r="K148" s="167" t="str">
        <f xml:space="preserve"> _xll.EPMOlapMemberO("[C_ACCOUNT].[PARENTH2].[A_S6030060]","","A_S6030060","","000")</f>
        <v>A_S6030060</v>
      </c>
      <c r="L148" s="112" t="str">
        <f>_xll.EPMMemberDesc(K148)</f>
        <v>Settled Empl Exp - Shoes and uniforms</v>
      </c>
      <c r="M148" s="112">
        <v>6067.7048261999998</v>
      </c>
      <c r="N148" s="112">
        <v>6067.7048261999998</v>
      </c>
      <c r="O148" s="112">
        <v>800.08</v>
      </c>
      <c r="P148" s="112">
        <v>725.39</v>
      </c>
      <c r="Q148" s="112">
        <v>400</v>
      </c>
      <c r="R148" s="112">
        <v>100</v>
      </c>
      <c r="S148" s="112">
        <v>510.08</v>
      </c>
      <c r="T148" s="112">
        <v>910.29255550000005</v>
      </c>
      <c r="U148" s="112">
        <v>495.64035189999998</v>
      </c>
      <c r="V148" s="112">
        <v>347.06452890000003</v>
      </c>
      <c r="W148" s="112">
        <v>367.40831459999998</v>
      </c>
      <c r="X148" s="112">
        <v>414.5314497</v>
      </c>
      <c r="Y148" s="112">
        <v>530.13620660000004</v>
      </c>
      <c r="Z148" s="112">
        <v>467.08141899999998</v>
      </c>
      <c r="AA148" s="112">
        <v>6067.7048261999998</v>
      </c>
    </row>
    <row r="149" spans="10:27" ht="15" customHeight="1" x14ac:dyDescent="0.2">
      <c r="J149" s="100" t="str">
        <f xml:space="preserve"> _xll.EPMOlapMemberO("[COSTCENTER].[PARENTH1].[1001]","","1001","","000")</f>
        <v>1001</v>
      </c>
      <c r="K149" s="167" t="str">
        <f xml:space="preserve"> _xll.EPMOlapMemberO("[C_ACCOUNT].[PARENTH2].[A_S6030070]","","A_S6030070","","000")</f>
        <v>A_S6030070</v>
      </c>
      <c r="L149" s="112" t="str">
        <f>_xll.EPMMemberDesc(K149)</f>
        <v>Settled Empl Exp - Training</v>
      </c>
      <c r="M149" s="112">
        <v>83168.936000000002</v>
      </c>
      <c r="N149" s="112">
        <v>83168.936000000002</v>
      </c>
      <c r="O149" s="112">
        <v>2838.3580000000002</v>
      </c>
      <c r="P149" s="112">
        <v>3757.3580000000002</v>
      </c>
      <c r="Q149" s="112">
        <v>10965.018</v>
      </c>
      <c r="R149" s="112">
        <v>8557.3580000000002</v>
      </c>
      <c r="S149" s="112">
        <v>8426.3580000000002</v>
      </c>
      <c r="T149" s="112">
        <v>10504.018</v>
      </c>
      <c r="U149" s="112">
        <v>4132.3580000000002</v>
      </c>
      <c r="V149" s="112">
        <v>6146.3580000000002</v>
      </c>
      <c r="W149" s="112">
        <v>7283.018</v>
      </c>
      <c r="X149" s="112">
        <v>7637.3580000000002</v>
      </c>
      <c r="Y149" s="112">
        <v>7946.3580000000002</v>
      </c>
      <c r="Z149" s="112">
        <v>4975.018</v>
      </c>
      <c r="AA149" s="112">
        <v>83168.936000000002</v>
      </c>
    </row>
    <row r="150" spans="10:27" ht="15" customHeight="1" x14ac:dyDescent="0.2">
      <c r="J150" s="100" t="str">
        <f xml:space="preserve"> _xll.EPMOlapMemberO("[COSTCENTER].[PARENTH1].[1001]","","1001","","000")</f>
        <v>1001</v>
      </c>
      <c r="K150" s="167" t="str">
        <f xml:space="preserve"> _xll.EPMOlapMemberO("[C_ACCOUNT].[PARENTH2].[A_S6030080]","","A_S6030080","","000")</f>
        <v>A_S6030080</v>
      </c>
      <c r="L150" s="112" t="str">
        <f>_xll.EPMMemberDesc(K150)</f>
        <v>Settled Empl Exp - Travel and Lodging</v>
      </c>
      <c r="M150" s="112">
        <v>84140.196047100006</v>
      </c>
      <c r="N150" s="112">
        <v>441059.13400610001</v>
      </c>
      <c r="O150" s="112">
        <v>30465.486400000002</v>
      </c>
      <c r="P150" s="112">
        <v>33294.056400000001</v>
      </c>
      <c r="Q150" s="112">
        <v>37198.646399999998</v>
      </c>
      <c r="R150" s="112">
        <v>39489.776400000002</v>
      </c>
      <c r="S150" s="112">
        <v>41390.9064</v>
      </c>
      <c r="T150" s="112">
        <v>39575.985919699997</v>
      </c>
      <c r="U150" s="112">
        <v>39502.3319883</v>
      </c>
      <c r="V150" s="112">
        <v>40473.788310700002</v>
      </c>
      <c r="W150" s="112">
        <v>37898.9632078</v>
      </c>
      <c r="X150" s="112">
        <v>38560.160796800003</v>
      </c>
      <c r="Y150" s="112">
        <v>31996.132145700001</v>
      </c>
      <c r="Z150" s="112">
        <v>31212.899637099999</v>
      </c>
      <c r="AA150" s="112">
        <v>441059.13400610001</v>
      </c>
    </row>
    <row r="151" spans="10:27" ht="15" customHeight="1" x14ac:dyDescent="0.2">
      <c r="J151" s="100" t="str">
        <f xml:space="preserve"> _xll.EPMOlapMemberO("[COSTCENTER].[PARENTH1].[1001]","","1001","","000")</f>
        <v>1001</v>
      </c>
      <c r="K151" s="167" t="str">
        <f xml:space="preserve"> _xll.EPMOlapMemberO("[C_ACCOUNT].[PARENTH2].[A_S6030800]","","A_S6030800","","000")</f>
        <v>A_S6030800</v>
      </c>
      <c r="L151" s="112" t="str">
        <f>_xll.EPMMemberDesc(K151)</f>
        <v>Settled Empl Exp - Miscellaneous Expense</v>
      </c>
      <c r="M151" s="112">
        <v>1478508.2137867999</v>
      </c>
      <c r="N151" s="112">
        <v>1581927.7233053001</v>
      </c>
      <c r="O151" s="112">
        <v>109376.0828316</v>
      </c>
      <c r="P151" s="112">
        <v>126726.0828316</v>
      </c>
      <c r="Q151" s="112">
        <v>130876.0828316</v>
      </c>
      <c r="R151" s="112">
        <v>165495.34792679999</v>
      </c>
      <c r="S151" s="112">
        <v>116989.0779268</v>
      </c>
      <c r="T151" s="112">
        <v>129191.1060771</v>
      </c>
      <c r="U151" s="112">
        <v>122264.394132</v>
      </c>
      <c r="V151" s="112">
        <v>138141.94618570001</v>
      </c>
      <c r="W151" s="112">
        <v>139564.26842919999</v>
      </c>
      <c r="X151" s="112">
        <v>145747.0986121</v>
      </c>
      <c r="Y151" s="112">
        <v>127282.6787032</v>
      </c>
      <c r="Z151" s="112">
        <v>130273.55681759999</v>
      </c>
      <c r="AA151" s="112">
        <v>1581927.7233053001</v>
      </c>
    </row>
    <row r="152" spans="10:27" ht="15" customHeight="1" x14ac:dyDescent="0.2">
      <c r="J152" s="100" t="str">
        <f xml:space="preserve"> _xll.EPMOlapMemberO("[COSTCENTER].[PARENTH1].[1001]","","1001","","000")</f>
        <v>1001</v>
      </c>
      <c r="K152" s="167" t="str">
        <f xml:space="preserve"> _xll.EPMOlapMemberO("[C_ACCOUNT].[PARENTH2].[A_S6030091]","","A_S6030091","","000")</f>
        <v>A_S6030091</v>
      </c>
      <c r="L152" s="112" t="str">
        <f>_xll.EPMMemberDesc(K152)</f>
        <v>Settled Empl Exp - Employee Appreciation and Gift Cards</v>
      </c>
      <c r="M152" s="112">
        <v>1927.28</v>
      </c>
      <c r="N152" s="112">
        <v>1927.28</v>
      </c>
      <c r="O152" s="112">
        <v>25</v>
      </c>
      <c r="P152" s="112">
        <v>0</v>
      </c>
      <c r="Q152" s="112">
        <v>10</v>
      </c>
      <c r="R152" s="112">
        <v>1719.76</v>
      </c>
      <c r="S152" s="112">
        <v>172.52</v>
      </c>
      <c r="T152" s="112">
        <v>0</v>
      </c>
      <c r="U152" s="112">
        <v>0</v>
      </c>
      <c r="V152" s="112">
        <v>0</v>
      </c>
      <c r="W152" s="112">
        <v>0</v>
      </c>
      <c r="X152" s="112">
        <v>0</v>
      </c>
      <c r="Y152" s="112">
        <v>0</v>
      </c>
      <c r="Z152" s="112">
        <v>0</v>
      </c>
      <c r="AA152" s="112">
        <v>1927.28</v>
      </c>
    </row>
    <row r="153" spans="10:27" ht="15" customHeight="1" x14ac:dyDescent="0.2">
      <c r="J153" s="115" t="str">
        <f xml:space="preserve"> _xll.EPMOlapMemberO("[COSTCENTER].[PARENTH1].[1001]","","1001","","000")</f>
        <v>1001</v>
      </c>
      <c r="K153" s="165" t="str">
        <f xml:space="preserve"> _xll.EPMOlapMemberO("[C_ACCOUNT].[PARENTH2].[MAT_SUP_RC]","","MAT_SUP_RC","","000")</f>
        <v>MAT_SUP_RC</v>
      </c>
      <c r="L153" s="115" t="str">
        <f>_xll.EPMMemberDesc(K153)</f>
        <v>Materials and Supplies</v>
      </c>
      <c r="M153" s="114">
        <v>3115776.7930709999</v>
      </c>
      <c r="N153" s="114">
        <v>3115901.2499119998</v>
      </c>
      <c r="O153" s="114">
        <v>255632.36257999999</v>
      </c>
      <c r="P153" s="114">
        <v>255891.42258000001</v>
      </c>
      <c r="Q153" s="114">
        <v>254938.75258</v>
      </c>
      <c r="R153" s="114">
        <v>266598.74767999997</v>
      </c>
      <c r="S153" s="114">
        <v>256883.97768000001</v>
      </c>
      <c r="T153" s="114">
        <v>266886.52375370002</v>
      </c>
      <c r="U153" s="114">
        <v>258864.93922229999</v>
      </c>
      <c r="V153" s="114">
        <v>256862.94278000001</v>
      </c>
      <c r="W153" s="114">
        <v>258224.94278000001</v>
      </c>
      <c r="X153" s="114">
        <v>267361.61278000002</v>
      </c>
      <c r="Y153" s="114">
        <v>258464.9387425</v>
      </c>
      <c r="Z153" s="114">
        <v>259290.08675350001</v>
      </c>
      <c r="AA153" s="114">
        <v>3115901.2499119998</v>
      </c>
    </row>
    <row r="154" spans="10:27" ht="15" customHeight="1" x14ac:dyDescent="0.2">
      <c r="J154" s="100" t="str">
        <f xml:space="preserve"> _xll.EPMOlapMemberO("[COSTCENTER].[PARENTH1].[1001]","","1001","","000")</f>
        <v>1001</v>
      </c>
      <c r="K154" s="167" t="str">
        <f xml:space="preserve"> _xll.EPMOlapMemberO("[C_ACCOUNT].[PARENTH2].[A_6400010]","","A_6400010","","000")</f>
        <v>A_6400010</v>
      </c>
      <c r="L154" s="112" t="str">
        <f>_xll.EPMMemberDesc(K154)</f>
        <v>Mat &amp; Supp - Furniture &amp; Computer/Office Equipment</v>
      </c>
      <c r="M154" s="112">
        <v>10000.01</v>
      </c>
      <c r="N154" s="112">
        <v>10000.01</v>
      </c>
      <c r="O154" s="112">
        <v>700.00070000000005</v>
      </c>
      <c r="P154" s="112">
        <v>700.00070000000005</v>
      </c>
      <c r="Q154" s="112">
        <v>700.00070000000005</v>
      </c>
      <c r="R154" s="112">
        <v>800.00080000000003</v>
      </c>
      <c r="S154" s="112">
        <v>800.00080000000003</v>
      </c>
      <c r="T154" s="112">
        <v>800.00080000000003</v>
      </c>
      <c r="U154" s="112">
        <v>900.0009</v>
      </c>
      <c r="V154" s="112">
        <v>900.0009</v>
      </c>
      <c r="W154" s="112">
        <v>900.0009</v>
      </c>
      <c r="X154" s="112">
        <v>900.0009</v>
      </c>
      <c r="Y154" s="112">
        <v>900.0009</v>
      </c>
      <c r="Z154" s="112">
        <v>1000.001</v>
      </c>
      <c r="AA154" s="112">
        <v>10000.01</v>
      </c>
    </row>
    <row r="155" spans="10:27" ht="15" customHeight="1" x14ac:dyDescent="0.2">
      <c r="J155" s="100" t="str">
        <f xml:space="preserve"> _xll.EPMOlapMemberO("[COSTCENTER].[PARENTH1].[1001]","","1001","","000")</f>
        <v>1001</v>
      </c>
      <c r="K155" s="167" t="str">
        <f xml:space="preserve"> _xll.EPMOlapMemberO("[C_ACCOUNT].[PARENTH2].[A_6400020]","","A_6400020","","000")</f>
        <v>A_6400020</v>
      </c>
      <c r="L155" s="112" t="str">
        <f>_xll.EPMMemberDesc(K155)</f>
        <v>Mat &amp; Supp - General and Office Supplies</v>
      </c>
      <c r="M155" s="112">
        <v>159908.5</v>
      </c>
      <c r="N155" s="112">
        <v>159908.5</v>
      </c>
      <c r="O155" s="112">
        <v>12695.594999999999</v>
      </c>
      <c r="P155" s="112">
        <v>12695.594999999999</v>
      </c>
      <c r="Q155" s="112">
        <v>12695.594999999999</v>
      </c>
      <c r="R155" s="112">
        <v>12980.68</v>
      </c>
      <c r="S155" s="112">
        <v>12980.68</v>
      </c>
      <c r="T155" s="112">
        <v>13080.68</v>
      </c>
      <c r="U155" s="112">
        <v>13265.764999999999</v>
      </c>
      <c r="V155" s="112">
        <v>13265.764999999999</v>
      </c>
      <c r="W155" s="112">
        <v>13265.764999999999</v>
      </c>
      <c r="X155" s="112">
        <v>14265.764999999999</v>
      </c>
      <c r="Y155" s="112">
        <v>14265.764999999999</v>
      </c>
      <c r="Z155" s="112">
        <v>14450.85</v>
      </c>
      <c r="AA155" s="112">
        <v>159908.5</v>
      </c>
    </row>
    <row r="156" spans="10:27" ht="15" customHeight="1" x14ac:dyDescent="0.2">
      <c r="J156" s="100" t="str">
        <f xml:space="preserve"> _xll.EPMOlapMemberO("[COSTCENTER].[PARENTH1].[1001]","","1001","","000")</f>
        <v>1001</v>
      </c>
      <c r="K156" s="167" t="str">
        <f xml:space="preserve"> _xll.EPMOlapMemberO("[C_ACCOUNT].[PARENTH2].[A_6400100]","","A_6400100","","000")</f>
        <v>A_6400100</v>
      </c>
      <c r="L156" s="112" t="str">
        <f>_xll.EPMMemberDesc(K156)</f>
        <v>Mat &amp; Supp - Outside Material Purchases</v>
      </c>
      <c r="M156" s="112">
        <v>91200</v>
      </c>
      <c r="N156" s="112">
        <v>-112800.00000119999</v>
      </c>
      <c r="O156" s="112">
        <v>-9400.0000001000008</v>
      </c>
      <c r="P156" s="112">
        <v>-9400.0000001000008</v>
      </c>
      <c r="Q156" s="112">
        <v>-9400.0000001000008</v>
      </c>
      <c r="R156" s="112">
        <v>-9400.0000001000008</v>
      </c>
      <c r="S156" s="112">
        <v>-9400.0000001000008</v>
      </c>
      <c r="T156" s="112">
        <v>-9400.0000001000008</v>
      </c>
      <c r="U156" s="112">
        <v>-9400.0000001000008</v>
      </c>
      <c r="V156" s="112">
        <v>-9400.0000001000008</v>
      </c>
      <c r="W156" s="112">
        <v>-9400.0000001000008</v>
      </c>
      <c r="X156" s="112">
        <v>-9400.0000001000008</v>
      </c>
      <c r="Y156" s="112">
        <v>-9400.0000001000008</v>
      </c>
      <c r="Z156" s="112">
        <v>-9400.0000001000008</v>
      </c>
      <c r="AA156" s="112">
        <v>-112800.00000119999</v>
      </c>
    </row>
    <row r="157" spans="10:27" ht="15" customHeight="1" x14ac:dyDescent="0.2">
      <c r="J157" s="100" t="str">
        <f xml:space="preserve"> _xll.EPMOlapMemberO("[COSTCENTER].[PARENTH1].[1001]","","1001","","000")</f>
        <v>1001</v>
      </c>
      <c r="K157" s="167" t="str">
        <f xml:space="preserve"> _xll.EPMOlapMemberO("[C_ACCOUNT].[PARENTH2].[A_S6400000]","","A_S6400000","","000")</f>
        <v>A_S6400000</v>
      </c>
      <c r="L157" s="112" t="str">
        <f>_xll.EPMMemberDesc(K157)</f>
        <v>Settled Materials &amp; Supplies Expense</v>
      </c>
      <c r="M157" s="112">
        <v>71150.317760399994</v>
      </c>
      <c r="N157" s="112">
        <v>71150.317760399994</v>
      </c>
      <c r="O157" s="112">
        <v>3607.5231466999999</v>
      </c>
      <c r="P157" s="112">
        <v>3607.5231466999999</v>
      </c>
      <c r="Q157" s="112">
        <v>3697.5231466999999</v>
      </c>
      <c r="R157" s="112">
        <v>12774.193146699999</v>
      </c>
      <c r="S157" s="112">
        <v>3607.5231466999999</v>
      </c>
      <c r="T157" s="112">
        <v>12864.193146699999</v>
      </c>
      <c r="U157" s="112">
        <v>3607.5231466999999</v>
      </c>
      <c r="V157" s="112">
        <v>3607.5231466999999</v>
      </c>
      <c r="W157" s="112">
        <v>3697.5231466999999</v>
      </c>
      <c r="X157" s="112">
        <v>12774.193146699999</v>
      </c>
      <c r="Y157" s="112">
        <v>3607.5231466999999</v>
      </c>
      <c r="Z157" s="112">
        <v>3697.5531467000001</v>
      </c>
      <c r="AA157" s="112">
        <v>71150.317760399994</v>
      </c>
    </row>
    <row r="158" spans="10:27" ht="15" customHeight="1" x14ac:dyDescent="0.2">
      <c r="J158" s="100" t="str">
        <f xml:space="preserve"> _xll.EPMOlapMemberO("[COSTCENTER].[PARENTH1].[1001]","","1001","","000")</f>
        <v>1001</v>
      </c>
      <c r="K158" s="167" t="str">
        <f xml:space="preserve"> _xll.EPMOlapMemberO("[C_ACCOUNT].[PARENTH2].[A_S6400010]","","A_S6400010","","000")</f>
        <v>A_S6400010</v>
      </c>
      <c r="L158" s="112" t="str">
        <f>_xll.EPMMemberDesc(K158)</f>
        <v>Settled Mat &amp; Supp - Furniture &amp; Computer</v>
      </c>
      <c r="M158" s="112">
        <v>47595.860000400004</v>
      </c>
      <c r="N158" s="112">
        <v>47595.860000400004</v>
      </c>
      <c r="O158" s="112">
        <v>5635.8716666999999</v>
      </c>
      <c r="P158" s="112">
        <v>5563.1416667000003</v>
      </c>
      <c r="Q158" s="112">
        <v>3246.2416667000002</v>
      </c>
      <c r="R158" s="112">
        <v>3737.9916667000002</v>
      </c>
      <c r="S158" s="112">
        <v>6233.0916667000001</v>
      </c>
      <c r="T158" s="112">
        <v>3288.1416666999999</v>
      </c>
      <c r="U158" s="112">
        <v>3425.6416666999999</v>
      </c>
      <c r="V158" s="112">
        <v>3263.1416666999999</v>
      </c>
      <c r="W158" s="112">
        <v>3263.1416666999999</v>
      </c>
      <c r="X158" s="112">
        <v>3413.1416666999999</v>
      </c>
      <c r="Y158" s="112">
        <v>3263.1416666999999</v>
      </c>
      <c r="Z158" s="112">
        <v>3263.1716667000001</v>
      </c>
      <c r="AA158" s="112">
        <v>47595.860000400004</v>
      </c>
    </row>
    <row r="159" spans="10:27" ht="15" customHeight="1" x14ac:dyDescent="0.2">
      <c r="J159" s="100" t="str">
        <f xml:space="preserve"> _xll.EPMOlapMemberO("[COSTCENTER].[PARENTH1].[1001]","","1001","","000")</f>
        <v>1001</v>
      </c>
      <c r="K159" s="167" t="str">
        <f xml:space="preserve"> _xll.EPMOlapMemberO("[C_ACCOUNT].[PARENTH2].[A_S6400020]","","A_S6400020","","000")</f>
        <v>A_S6400020</v>
      </c>
      <c r="L159" s="112" t="str">
        <f>_xll.EPMMemberDesc(K159)</f>
        <v>Settled Mat &amp; Supp - General and Office</v>
      </c>
      <c r="M159" s="112">
        <v>165276.6133534</v>
      </c>
      <c r="N159" s="112">
        <v>165276.61335239999</v>
      </c>
      <c r="O159" s="112">
        <v>11959.0171667</v>
      </c>
      <c r="P159" s="112">
        <v>11839.167166699999</v>
      </c>
      <c r="Q159" s="112">
        <v>13165.8871667</v>
      </c>
      <c r="R159" s="112">
        <v>12136.8671667</v>
      </c>
      <c r="S159" s="112">
        <v>11816.087166699999</v>
      </c>
      <c r="T159" s="112">
        <v>14939.153240400001</v>
      </c>
      <c r="U159" s="112">
        <v>15751.653609000001</v>
      </c>
      <c r="V159" s="112">
        <v>14412.157166700001</v>
      </c>
      <c r="W159" s="112">
        <v>15184.157166700001</v>
      </c>
      <c r="X159" s="112">
        <v>14094.157166700001</v>
      </c>
      <c r="Y159" s="112">
        <v>15014.1531292</v>
      </c>
      <c r="Z159" s="112">
        <v>14964.1560402</v>
      </c>
      <c r="AA159" s="112">
        <v>165276.61335239999</v>
      </c>
    </row>
    <row r="160" spans="10:27" ht="15" customHeight="1" x14ac:dyDescent="0.2">
      <c r="J160" s="100" t="str">
        <f xml:space="preserve"> _xll.EPMOlapMemberO("[COSTCENTER].[PARENTH1].[1001]","","1001","","000")</f>
        <v>1001</v>
      </c>
      <c r="K160" s="167" t="str">
        <f xml:space="preserve"> _xll.EPMOlapMemberO("[C_ACCOUNT].[PARENTH2].[A_S6400060]","","A_S6400060","","000")</f>
        <v>A_S6400060</v>
      </c>
      <c r="L160" s="112" t="str">
        <f>_xll.EPMMemberDesc(K160)</f>
        <v>Settled Mat &amp; Supp - Operations Consumables</v>
      </c>
      <c r="M160" s="112">
        <v>6000</v>
      </c>
      <c r="N160" s="112">
        <v>6000</v>
      </c>
      <c r="O160" s="112">
        <v>500</v>
      </c>
      <c r="P160" s="112">
        <v>500</v>
      </c>
      <c r="Q160" s="112">
        <v>500</v>
      </c>
      <c r="R160" s="112">
        <v>500</v>
      </c>
      <c r="S160" s="112">
        <v>500</v>
      </c>
      <c r="T160" s="112">
        <v>500</v>
      </c>
      <c r="U160" s="112">
        <v>500</v>
      </c>
      <c r="V160" s="112">
        <v>500</v>
      </c>
      <c r="W160" s="112">
        <v>500</v>
      </c>
      <c r="X160" s="112">
        <v>500</v>
      </c>
      <c r="Y160" s="112">
        <v>500</v>
      </c>
      <c r="Z160" s="112">
        <v>500</v>
      </c>
      <c r="AA160" s="112">
        <v>6000</v>
      </c>
    </row>
    <row r="161" spans="10:27" ht="15" customHeight="1" x14ac:dyDescent="0.2">
      <c r="J161" s="100" t="str">
        <f xml:space="preserve"> _xll.EPMOlapMemberO("[COSTCENTER].[PARENTH1].[1001]","","1001","","000")</f>
        <v>1001</v>
      </c>
      <c r="K161" s="167" t="str">
        <f xml:space="preserve"> _xll.EPMOlapMemberO("[C_ACCOUNT].[PARENTH2].[A_S6400070]","","A_S6400070","","000")</f>
        <v>A_S6400070</v>
      </c>
      <c r="L161" s="112" t="str">
        <f>_xll.EPMMemberDesc(K161)</f>
        <v>Settled Mat &amp; Supp - Safety/First Aid Supplies</v>
      </c>
      <c r="M161" s="112">
        <v>5194.93</v>
      </c>
      <c r="N161" s="112">
        <v>5194.93</v>
      </c>
      <c r="O161" s="112">
        <v>0</v>
      </c>
      <c r="P161" s="112">
        <v>0</v>
      </c>
      <c r="Q161" s="112">
        <v>0</v>
      </c>
      <c r="R161" s="112">
        <v>1694.93</v>
      </c>
      <c r="S161" s="112">
        <v>0</v>
      </c>
      <c r="T161" s="112">
        <v>500</v>
      </c>
      <c r="U161" s="112">
        <v>500</v>
      </c>
      <c r="V161" s="112">
        <v>500</v>
      </c>
      <c r="W161" s="112">
        <v>500</v>
      </c>
      <c r="X161" s="112">
        <v>500</v>
      </c>
      <c r="Y161" s="112">
        <v>500</v>
      </c>
      <c r="Z161" s="112">
        <v>500</v>
      </c>
      <c r="AA161" s="112">
        <v>5194.93</v>
      </c>
    </row>
    <row r="162" spans="10:27" ht="15" customHeight="1" x14ac:dyDescent="0.2">
      <c r="J162" s="100" t="str">
        <f xml:space="preserve"> _xll.EPMOlapMemberO("[COSTCENTER].[PARENTH1].[1001]","","1001","","000")</f>
        <v>1001</v>
      </c>
      <c r="K162" s="167" t="str">
        <f xml:space="preserve"> _xll.EPMOlapMemberO("[C_ACCOUNT].[PARENTH2].[A_S6400100]","","A_S6400100","","000")</f>
        <v>A_S6400100</v>
      </c>
      <c r="L162" s="112" t="str">
        <f>_xll.EPMMemberDesc(K162)</f>
        <v>Settled Mat &amp; Supp - Outside Material Purchases</v>
      </c>
      <c r="M162" s="112">
        <v>2571392.4619564</v>
      </c>
      <c r="N162" s="112">
        <v>2775516.9187996001</v>
      </c>
      <c r="O162" s="112">
        <v>230929.51323330001</v>
      </c>
      <c r="P162" s="112">
        <v>231381.15323329999</v>
      </c>
      <c r="Q162" s="112">
        <v>231328.6632333</v>
      </c>
      <c r="R162" s="112">
        <v>232369.24323329999</v>
      </c>
      <c r="S162" s="112">
        <v>231341.7532333</v>
      </c>
      <c r="T162" s="112">
        <v>231309.51323330001</v>
      </c>
      <c r="U162" s="112">
        <v>231309.51323330001</v>
      </c>
      <c r="V162" s="112">
        <v>230809.51323330001</v>
      </c>
      <c r="W162" s="112">
        <v>231309.51323330001</v>
      </c>
      <c r="X162" s="112">
        <v>231309.51323330001</v>
      </c>
      <c r="Y162" s="112">
        <v>230809.51323330001</v>
      </c>
      <c r="Z162" s="112">
        <v>231309.51323330001</v>
      </c>
      <c r="AA162" s="112">
        <v>2775516.9187996001</v>
      </c>
    </row>
    <row r="163" spans="10:27" ht="15" customHeight="1" x14ac:dyDescent="0.2">
      <c r="J163" s="100" t="str">
        <f xml:space="preserve"> _xll.EPMOlapMemberO("[COSTCENTER].[PARENTH1].[1001]","","1001","","000")</f>
        <v>1001</v>
      </c>
      <c r="K163" s="167" t="str">
        <f xml:space="preserve"> _xll.EPMOlapMemberO("[C_ACCOUNT].[PARENTH2].[A_S6400510]","","A_S6400510","","000")</f>
        <v>A_S6400510</v>
      </c>
      <c r="L163" s="112" t="str">
        <f>_xll.EPMMemberDesc(K163)</f>
        <v>Settled Mat &amp; Supp - Small Tools</v>
      </c>
      <c r="M163" s="112">
        <v>58.100000399999999</v>
      </c>
      <c r="N163" s="112">
        <v>58.100000399999999</v>
      </c>
      <c r="O163" s="112">
        <v>4.8416667000000002</v>
      </c>
      <c r="P163" s="112">
        <v>4.8416667000000002</v>
      </c>
      <c r="Q163" s="112">
        <v>4.8416667000000002</v>
      </c>
      <c r="R163" s="112">
        <v>4.8416667000000002</v>
      </c>
      <c r="S163" s="112">
        <v>4.8416667000000002</v>
      </c>
      <c r="T163" s="112">
        <v>4.8416667000000002</v>
      </c>
      <c r="U163" s="112">
        <v>4.8416667000000002</v>
      </c>
      <c r="V163" s="112">
        <v>4.8416667000000002</v>
      </c>
      <c r="W163" s="112">
        <v>4.8416667000000002</v>
      </c>
      <c r="X163" s="112">
        <v>4.8416667000000002</v>
      </c>
      <c r="Y163" s="112">
        <v>4.8416667000000002</v>
      </c>
      <c r="Z163" s="112">
        <v>4.8416667000000002</v>
      </c>
      <c r="AA163" s="112">
        <v>58.100000399999999</v>
      </c>
    </row>
    <row r="164" spans="10:27" ht="15" customHeight="1" x14ac:dyDescent="0.2">
      <c r="J164" s="100" t="str">
        <f xml:space="preserve"> _xll.EPMOlapMemberO("[COSTCENTER].[PARENTH1].[1001]","","1001","","000")</f>
        <v>1001</v>
      </c>
      <c r="K164" s="167" t="str">
        <f xml:space="preserve"> _xll.EPMOlapMemberO("[C_ACCOUNT].[PARENTH2].[A_S6408999]","","A_S6408999","","000")</f>
        <v>A_S6408999</v>
      </c>
      <c r="L164" s="112" t="str">
        <f>_xll.EPMMemberDesc(K164)</f>
        <v>Settled Materials &amp; Supplies Expense Reclass</v>
      </c>
      <c r="M164" s="112">
        <v>-12000</v>
      </c>
      <c r="N164" s="112">
        <v>-12000</v>
      </c>
      <c r="O164" s="112">
        <v>-1000</v>
      </c>
      <c r="P164" s="112">
        <v>-1000</v>
      </c>
      <c r="Q164" s="112">
        <v>-1000</v>
      </c>
      <c r="R164" s="112">
        <v>-1000</v>
      </c>
      <c r="S164" s="112">
        <v>-1000</v>
      </c>
      <c r="T164" s="112">
        <v>-1000</v>
      </c>
      <c r="U164" s="112">
        <v>-1000</v>
      </c>
      <c r="V164" s="112">
        <v>-1000</v>
      </c>
      <c r="W164" s="112">
        <v>-1000</v>
      </c>
      <c r="X164" s="112">
        <v>-1000</v>
      </c>
      <c r="Y164" s="112">
        <v>-1000</v>
      </c>
      <c r="Z164" s="112">
        <v>-1000</v>
      </c>
      <c r="AA164" s="112">
        <v>-12000</v>
      </c>
    </row>
    <row r="165" spans="10:27" ht="15" customHeight="1" x14ac:dyDescent="0.2">
      <c r="J165" s="115" t="str">
        <f xml:space="preserve"> _xll.EPMOlapMemberO("[COSTCENTER].[PARENTH1].[1001]","","1001","","000")</f>
        <v>1001</v>
      </c>
      <c r="K165" s="165" t="str">
        <f xml:space="preserve"> _xll.EPMOlapMemberO("[C_ACCOUNT].[PARENTH2].[INSURANCE_RC]","","INSURANCE_RC","","000")</f>
        <v>INSURANCE_RC</v>
      </c>
      <c r="L165" s="115" t="str">
        <f>_xll.EPMMemberDesc(K165)</f>
        <v>Insurance</v>
      </c>
      <c r="M165" s="114">
        <v>7375808.4100000001</v>
      </c>
      <c r="N165" s="114">
        <v>7375808.4100000001</v>
      </c>
      <c r="O165" s="114">
        <v>566166.89</v>
      </c>
      <c r="P165" s="114">
        <v>566166.9</v>
      </c>
      <c r="Q165" s="114">
        <v>570000.93999999994</v>
      </c>
      <c r="R165" s="114">
        <v>567424.99</v>
      </c>
      <c r="S165" s="114">
        <v>567508.15</v>
      </c>
      <c r="T165" s="114">
        <v>634246.89</v>
      </c>
      <c r="U165" s="114">
        <v>633046.18999999994</v>
      </c>
      <c r="V165" s="114">
        <v>637347.09</v>
      </c>
      <c r="W165" s="114">
        <v>638548.04</v>
      </c>
      <c r="X165" s="114">
        <v>637402.30000000005</v>
      </c>
      <c r="Y165" s="114">
        <v>637402.26</v>
      </c>
      <c r="Z165" s="114">
        <v>720547.77</v>
      </c>
      <c r="AA165" s="114">
        <v>7375808.4100000001</v>
      </c>
    </row>
    <row r="166" spans="10:27" ht="15" customHeight="1" x14ac:dyDescent="0.2">
      <c r="J166" s="100" t="str">
        <f xml:space="preserve"> _xll.EPMOlapMemberO("[COSTCENTER].[PARENTH1].[1001]","","1001","","000")</f>
        <v>1001</v>
      </c>
      <c r="K166" s="167" t="str">
        <f xml:space="preserve"> _xll.EPMOlapMemberO("[C_ACCOUNT].[PARENTH2].[A_S6700400]","","A_S6700400","","000")</f>
        <v>A_S6700400</v>
      </c>
      <c r="L166" s="112" t="str">
        <f>_xll.EPMMemberDesc(K166)</f>
        <v>Settled Insurance - FPSC Storm Reserve Expense</v>
      </c>
      <c r="M166" s="112">
        <v>380000.04</v>
      </c>
      <c r="N166" s="112">
        <v>380000.04</v>
      </c>
      <c r="O166" s="112">
        <v>31666.67</v>
      </c>
      <c r="P166" s="112">
        <v>31666.67</v>
      </c>
      <c r="Q166" s="112">
        <v>31666.67</v>
      </c>
      <c r="R166" s="112">
        <v>31666.67</v>
      </c>
      <c r="S166" s="112">
        <v>31666.67</v>
      </c>
      <c r="T166" s="112">
        <v>31666.67</v>
      </c>
      <c r="U166" s="112">
        <v>31666.67</v>
      </c>
      <c r="V166" s="112">
        <v>31666.67</v>
      </c>
      <c r="W166" s="112">
        <v>31666.67</v>
      </c>
      <c r="X166" s="112">
        <v>31666.67</v>
      </c>
      <c r="Y166" s="112">
        <v>31666.67</v>
      </c>
      <c r="Z166" s="112">
        <v>31666.67</v>
      </c>
      <c r="AA166" s="112">
        <v>380000.04</v>
      </c>
    </row>
    <row r="167" spans="10:27" ht="15" customHeight="1" x14ac:dyDescent="0.2">
      <c r="J167" s="100" t="str">
        <f xml:space="preserve"> _xll.EPMOlapMemberO("[COSTCENTER].[PARENTH1].[1001]","","1001","","000")</f>
        <v>1001</v>
      </c>
      <c r="K167" s="167" t="str">
        <f xml:space="preserve"> _xll.EPMOlapMemberO("[C_ACCOUNT].[PARENTH2].[A_S6700502]","","A_S6700502","","000")</f>
        <v>A_S6700502</v>
      </c>
      <c r="L167" s="112" t="str">
        <f>_xll.EPMMemberDesc(K167)</f>
        <v>Settled Insurance - Brokerage Fees</v>
      </c>
      <c r="M167" s="112">
        <v>65444.58</v>
      </c>
      <c r="N167" s="112">
        <v>65444.58</v>
      </c>
      <c r="O167" s="112">
        <v>0</v>
      </c>
      <c r="P167" s="112">
        <v>0</v>
      </c>
      <c r="Q167" s="112">
        <v>0</v>
      </c>
      <c r="R167" s="112">
        <v>0</v>
      </c>
      <c r="S167" s="112">
        <v>0</v>
      </c>
      <c r="T167" s="112">
        <v>0</v>
      </c>
      <c r="U167" s="112">
        <v>0</v>
      </c>
      <c r="V167" s="112">
        <v>0</v>
      </c>
      <c r="W167" s="112">
        <v>0</v>
      </c>
      <c r="X167" s="112">
        <v>0</v>
      </c>
      <c r="Y167" s="112">
        <v>0</v>
      </c>
      <c r="Z167" s="112">
        <v>65444.58</v>
      </c>
      <c r="AA167" s="112">
        <v>65444.58</v>
      </c>
    </row>
    <row r="168" spans="10:27" ht="15" customHeight="1" x14ac:dyDescent="0.2">
      <c r="J168" s="100" t="str">
        <f xml:space="preserve"> _xll.EPMOlapMemberO("[COSTCENTER].[PARENTH1].[1001]","","1001","","000")</f>
        <v>1001</v>
      </c>
      <c r="K168" s="167" t="str">
        <f xml:space="preserve"> _xll.EPMOlapMemberO("[C_ACCOUNT].[PARENTH2].[A_S6700503]","","A_S6700503","","000")</f>
        <v>A_S6700503</v>
      </c>
      <c r="L168" s="112" t="str">
        <f>_xll.EPMMemberDesc(K168)</f>
        <v>Settled Insurance - Crime &amp; Fidelity</v>
      </c>
      <c r="M168" s="112">
        <v>10856.82</v>
      </c>
      <c r="N168" s="112">
        <v>10856.82</v>
      </c>
      <c r="O168" s="112">
        <v>904.68</v>
      </c>
      <c r="P168" s="112">
        <v>904.74</v>
      </c>
      <c r="Q168" s="112">
        <v>904.74</v>
      </c>
      <c r="R168" s="112">
        <v>904.74</v>
      </c>
      <c r="S168" s="112">
        <v>904.74</v>
      </c>
      <c r="T168" s="112">
        <v>904.74</v>
      </c>
      <c r="U168" s="112">
        <v>904.74</v>
      </c>
      <c r="V168" s="112">
        <v>904.74</v>
      </c>
      <c r="W168" s="112">
        <v>904.74</v>
      </c>
      <c r="X168" s="112">
        <v>904.74</v>
      </c>
      <c r="Y168" s="112">
        <v>904.74</v>
      </c>
      <c r="Z168" s="112">
        <v>904.74</v>
      </c>
      <c r="AA168" s="112">
        <v>10856.82</v>
      </c>
    </row>
    <row r="169" spans="10:27" ht="15" customHeight="1" x14ac:dyDescent="0.2">
      <c r="J169" s="100" t="str">
        <f xml:space="preserve"> _xll.EPMOlapMemberO("[COSTCENTER].[PARENTH1].[1001]","","1001","","000")</f>
        <v>1001</v>
      </c>
      <c r="K169" s="167" t="str">
        <f xml:space="preserve"> _xll.EPMOlapMemberO("[C_ACCOUNT].[PARENTH2].[A_S6700504]","","A_S6700504","","000")</f>
        <v>A_S6700504</v>
      </c>
      <c r="L169" s="112" t="str">
        <f>_xll.EPMMemberDesc(K169)</f>
        <v>Settled Insurance - Directors &amp; Officers</v>
      </c>
      <c r="M169" s="112">
        <v>113126.78</v>
      </c>
      <c r="N169" s="112">
        <v>113126.78</v>
      </c>
      <c r="O169" s="112">
        <v>9427.25</v>
      </c>
      <c r="P169" s="112">
        <v>9427.23</v>
      </c>
      <c r="Q169" s="112">
        <v>9427.23</v>
      </c>
      <c r="R169" s="112">
        <v>9427.23</v>
      </c>
      <c r="S169" s="112">
        <v>9427.23</v>
      </c>
      <c r="T169" s="112">
        <v>9427.23</v>
      </c>
      <c r="U169" s="112">
        <v>9427.23</v>
      </c>
      <c r="V169" s="112">
        <v>9427.23</v>
      </c>
      <c r="W169" s="112">
        <v>9427.23</v>
      </c>
      <c r="X169" s="112">
        <v>9427.23</v>
      </c>
      <c r="Y169" s="112">
        <v>9427.23</v>
      </c>
      <c r="Z169" s="112">
        <v>9427.23</v>
      </c>
      <c r="AA169" s="112">
        <v>113126.78</v>
      </c>
    </row>
    <row r="170" spans="10:27" ht="15" customHeight="1" x14ac:dyDescent="0.2">
      <c r="J170" s="100" t="str">
        <f xml:space="preserve"> _xll.EPMOlapMemberO("[COSTCENTER].[PARENTH1].[1001]","","1001","","000")</f>
        <v>1001</v>
      </c>
      <c r="K170" s="167" t="str">
        <f xml:space="preserve"> _xll.EPMOlapMemberO("[C_ACCOUNT].[PARENTH2].[A_S6700505]","","A_S6700505","","000")</f>
        <v>A_S6700505</v>
      </c>
      <c r="L170" s="112" t="str">
        <f>_xll.EPMMemberDesc(K170)</f>
        <v>Settled Insurance - Errors and Omissions</v>
      </c>
      <c r="M170" s="112">
        <v>4254.67</v>
      </c>
      <c r="N170" s="112">
        <v>4254.67</v>
      </c>
      <c r="O170" s="112">
        <v>257.08</v>
      </c>
      <c r="P170" s="112">
        <v>257.08</v>
      </c>
      <c r="Q170" s="112">
        <v>257.08</v>
      </c>
      <c r="R170" s="112">
        <v>257.08</v>
      </c>
      <c r="S170" s="112">
        <v>257.08</v>
      </c>
      <c r="T170" s="112">
        <v>424.19</v>
      </c>
      <c r="U170" s="112">
        <v>424.18</v>
      </c>
      <c r="V170" s="112">
        <v>424.18</v>
      </c>
      <c r="W170" s="112">
        <v>424.18</v>
      </c>
      <c r="X170" s="112">
        <v>424.18</v>
      </c>
      <c r="Y170" s="112">
        <v>424.18</v>
      </c>
      <c r="Z170" s="112">
        <v>424.18</v>
      </c>
      <c r="AA170" s="112">
        <v>4254.67</v>
      </c>
    </row>
    <row r="171" spans="10:27" ht="15" customHeight="1" x14ac:dyDescent="0.2">
      <c r="J171" s="100" t="str">
        <f xml:space="preserve"> _xll.EPMOlapMemberO("[COSTCENTER].[PARENTH1].[1001]","","1001","","000")</f>
        <v>1001</v>
      </c>
      <c r="K171" s="167" t="str">
        <f xml:space="preserve"> _xll.EPMOlapMemberO("[C_ACCOUNT].[PARENTH2].[A_S6700506]","","A_S6700506","","000")</f>
        <v>A_S6700506</v>
      </c>
      <c r="L171" s="112" t="str">
        <f>_xll.EPMMemberDesc(K171)</f>
        <v>Settled Insurance - Excess Automobile</v>
      </c>
      <c r="M171" s="112">
        <v>144292.44</v>
      </c>
      <c r="N171" s="112">
        <v>144292.44</v>
      </c>
      <c r="O171" s="112">
        <v>11056.89</v>
      </c>
      <c r="P171" s="112">
        <v>11056.89</v>
      </c>
      <c r="Q171" s="112">
        <v>11056.89</v>
      </c>
      <c r="R171" s="112">
        <v>11056.89</v>
      </c>
      <c r="S171" s="112">
        <v>11056.89</v>
      </c>
      <c r="T171" s="112">
        <v>12715.41</v>
      </c>
      <c r="U171" s="112">
        <v>12715.43</v>
      </c>
      <c r="V171" s="112">
        <v>12715.43</v>
      </c>
      <c r="W171" s="112">
        <v>12715.43</v>
      </c>
      <c r="X171" s="112">
        <v>12715.43</v>
      </c>
      <c r="Y171" s="112">
        <v>12715.43</v>
      </c>
      <c r="Z171" s="112">
        <v>12715.43</v>
      </c>
      <c r="AA171" s="112">
        <v>144292.44</v>
      </c>
    </row>
    <row r="172" spans="10:27" ht="15" customHeight="1" x14ac:dyDescent="0.2">
      <c r="J172" s="100" t="str">
        <f xml:space="preserve"> _xll.EPMOlapMemberO("[COSTCENTER].[PARENTH1].[1001]","","1001","","000")</f>
        <v>1001</v>
      </c>
      <c r="K172" s="167" t="str">
        <f xml:space="preserve"> _xll.EPMOlapMemberO("[C_ACCOUNT].[PARENTH2].[A_S6700507]","","A_S6700507","","000")</f>
        <v>A_S6700507</v>
      </c>
      <c r="L172" s="112" t="str">
        <f>_xll.EPMMemberDesc(K172)</f>
        <v>Settled Insurance - Excess General Liability</v>
      </c>
      <c r="M172" s="112">
        <v>6236698.8600000003</v>
      </c>
      <c r="N172" s="112">
        <v>6236698.8600000003</v>
      </c>
      <c r="O172" s="112">
        <v>483271.93</v>
      </c>
      <c r="P172" s="112">
        <v>483271.93</v>
      </c>
      <c r="Q172" s="112">
        <v>483271.93</v>
      </c>
      <c r="R172" s="112">
        <v>483271.93</v>
      </c>
      <c r="S172" s="112">
        <v>483271.93</v>
      </c>
      <c r="T172" s="112">
        <v>545762.65</v>
      </c>
      <c r="U172" s="112">
        <v>545762.76</v>
      </c>
      <c r="V172" s="112">
        <v>545762.76</v>
      </c>
      <c r="W172" s="112">
        <v>545762.76</v>
      </c>
      <c r="X172" s="112">
        <v>545762.76</v>
      </c>
      <c r="Y172" s="112">
        <v>545762.76</v>
      </c>
      <c r="Z172" s="112">
        <v>545762.76</v>
      </c>
      <c r="AA172" s="112">
        <v>6236698.8600000003</v>
      </c>
    </row>
    <row r="173" spans="10:27" ht="15" customHeight="1" x14ac:dyDescent="0.2">
      <c r="J173" s="100" t="str">
        <f xml:space="preserve"> _xll.EPMOlapMemberO("[COSTCENTER].[PARENTH1].[1001]","","1001","","000")</f>
        <v>1001</v>
      </c>
      <c r="K173" s="167" t="str">
        <f xml:space="preserve"> _xll.EPMOlapMemberO("[C_ACCOUNT].[PARENTH2].[A_S6700508]","","A_S6700508","","000")</f>
        <v>A_S6700508</v>
      </c>
      <c r="L173" s="112" t="str">
        <f>_xll.EPMMemberDesc(K173)</f>
        <v>Settled Insurance - Fiduciary</v>
      </c>
      <c r="M173" s="112">
        <v>9757.7900000000009</v>
      </c>
      <c r="N173" s="112">
        <v>9757.7900000000009</v>
      </c>
      <c r="O173" s="112">
        <v>813.14</v>
      </c>
      <c r="P173" s="112">
        <v>813.15</v>
      </c>
      <c r="Q173" s="112">
        <v>813.15</v>
      </c>
      <c r="R173" s="112">
        <v>813.15</v>
      </c>
      <c r="S173" s="112">
        <v>813.15</v>
      </c>
      <c r="T173" s="112">
        <v>813.15</v>
      </c>
      <c r="U173" s="112">
        <v>813.15</v>
      </c>
      <c r="V173" s="112">
        <v>813.15</v>
      </c>
      <c r="W173" s="112">
        <v>813.15</v>
      </c>
      <c r="X173" s="112">
        <v>813.15</v>
      </c>
      <c r="Y173" s="112">
        <v>813.15</v>
      </c>
      <c r="Z173" s="112">
        <v>813.15</v>
      </c>
      <c r="AA173" s="112">
        <v>9757.7900000000009</v>
      </c>
    </row>
    <row r="174" spans="10:27" ht="15" customHeight="1" x14ac:dyDescent="0.2">
      <c r="J174" s="100" t="str">
        <f xml:space="preserve"> _xll.EPMOlapMemberO("[COSTCENTER].[PARENTH1].[1001]","","1001","","000")</f>
        <v>1001</v>
      </c>
      <c r="K174" s="167" t="str">
        <f xml:space="preserve"> _xll.EPMOlapMemberO("[C_ACCOUNT].[PARENTH2].[A_S6700514]","","A_S6700514","","000")</f>
        <v>A_S6700514</v>
      </c>
      <c r="L174" s="112" t="str">
        <f>_xll.EPMMemberDesc(K174)</f>
        <v>Settled Insurance - Property</v>
      </c>
      <c r="M174" s="112">
        <v>105213.2</v>
      </c>
      <c r="N174" s="112">
        <v>105213.2</v>
      </c>
      <c r="O174" s="112">
        <v>6573.56</v>
      </c>
      <c r="P174" s="112">
        <v>6573.52</v>
      </c>
      <c r="Q174" s="112">
        <v>9206.6299999999992</v>
      </c>
      <c r="R174" s="112">
        <v>9206.61</v>
      </c>
      <c r="S174" s="112">
        <v>9206.61</v>
      </c>
      <c r="T174" s="112">
        <v>9206.61</v>
      </c>
      <c r="U174" s="112">
        <v>9206.61</v>
      </c>
      <c r="V174" s="112">
        <v>9206.61</v>
      </c>
      <c r="W174" s="112">
        <v>9206.61</v>
      </c>
      <c r="X174" s="112">
        <v>9206.61</v>
      </c>
      <c r="Y174" s="112">
        <v>9206.61</v>
      </c>
      <c r="Z174" s="112">
        <v>9206.61</v>
      </c>
      <c r="AA174" s="112">
        <v>105213.2</v>
      </c>
    </row>
    <row r="175" spans="10:27" ht="15" customHeight="1" x14ac:dyDescent="0.2">
      <c r="J175" s="100" t="str">
        <f xml:space="preserve"> _xll.EPMOlapMemberO("[COSTCENTER].[PARENTH1].[1001]","","1001","","000")</f>
        <v>1001</v>
      </c>
      <c r="K175" s="167" t="str">
        <f xml:space="preserve"> _xll.EPMOlapMemberO("[C_ACCOUNT].[PARENTH2].[A_S6700515]","","A_S6700515","","000")</f>
        <v>A_S6700515</v>
      </c>
      <c r="L175" s="112" t="str">
        <f>_xll.EPMMemberDesc(K175)</f>
        <v>Settled Insurance - Punitive Damages</v>
      </c>
      <c r="M175" s="112">
        <v>35999.25</v>
      </c>
      <c r="N175" s="112">
        <v>35999.25</v>
      </c>
      <c r="O175" s="112">
        <v>2834.59</v>
      </c>
      <c r="P175" s="112">
        <v>2834.59</v>
      </c>
      <c r="Q175" s="112">
        <v>2834.59</v>
      </c>
      <c r="R175" s="112">
        <v>2834.59</v>
      </c>
      <c r="S175" s="112">
        <v>2834.59</v>
      </c>
      <c r="T175" s="112">
        <v>3118</v>
      </c>
      <c r="U175" s="112">
        <v>3118.05</v>
      </c>
      <c r="V175" s="112">
        <v>3118.05</v>
      </c>
      <c r="W175" s="112">
        <v>3118.05</v>
      </c>
      <c r="X175" s="112">
        <v>3118.05</v>
      </c>
      <c r="Y175" s="112">
        <v>3118.05</v>
      </c>
      <c r="Z175" s="112">
        <v>3118.05</v>
      </c>
      <c r="AA175" s="112">
        <v>35999.25</v>
      </c>
    </row>
    <row r="176" spans="10:27" ht="15" customHeight="1" x14ac:dyDescent="0.2">
      <c r="J176" s="100" t="str">
        <f xml:space="preserve"> _xll.EPMOlapMemberO("[COSTCENTER].[PARENTH1].[1001]","","1001","","000")</f>
        <v>1001</v>
      </c>
      <c r="K176" s="167" t="str">
        <f xml:space="preserve"> _xll.EPMOlapMemberO("[C_ACCOUNT].[PARENTH2].[A_S6700516]","","A_S6700516","","000")</f>
        <v>A_S6700516</v>
      </c>
      <c r="L176" s="112" t="str">
        <f>_xll.EPMMemberDesc(K176)</f>
        <v>Settled Insurance - Special Risk</v>
      </c>
      <c r="M176" s="112">
        <v>1165.26</v>
      </c>
      <c r="N176" s="112">
        <v>1165.26</v>
      </c>
      <c r="O176" s="112">
        <v>97.05</v>
      </c>
      <c r="P176" s="112">
        <v>97.11</v>
      </c>
      <c r="Q176" s="112">
        <v>97.11</v>
      </c>
      <c r="R176" s="112">
        <v>97.11</v>
      </c>
      <c r="S176" s="112">
        <v>97.11</v>
      </c>
      <c r="T176" s="112">
        <v>97.11</v>
      </c>
      <c r="U176" s="112">
        <v>97.11</v>
      </c>
      <c r="V176" s="112">
        <v>97.11</v>
      </c>
      <c r="W176" s="112">
        <v>97.11</v>
      </c>
      <c r="X176" s="112">
        <v>97.11</v>
      </c>
      <c r="Y176" s="112">
        <v>97.11</v>
      </c>
      <c r="Z176" s="112">
        <v>97.11</v>
      </c>
      <c r="AA176" s="112">
        <v>1165.26</v>
      </c>
    </row>
    <row r="177" spans="10:27" ht="15" customHeight="1" x14ac:dyDescent="0.2">
      <c r="J177" s="100" t="str">
        <f xml:space="preserve"> _xll.EPMOlapMemberO("[COSTCENTER].[PARENTH1].[1001]","","1001","","000")</f>
        <v>1001</v>
      </c>
      <c r="K177" s="167" t="str">
        <f xml:space="preserve"> _xll.EPMOlapMemberO("[C_ACCOUNT].[PARENTH2].[A_S6700517]","","A_S6700517","","000")</f>
        <v>A_S6700517</v>
      </c>
      <c r="L177" s="112" t="str">
        <f>_xll.EPMMemberDesc(K177)</f>
        <v>Settled Insurance - Surety Bonds</v>
      </c>
      <c r="M177" s="112">
        <v>20625</v>
      </c>
      <c r="N177" s="112">
        <v>20625</v>
      </c>
      <c r="O177" s="112">
        <v>1375</v>
      </c>
      <c r="P177" s="112">
        <v>1375</v>
      </c>
      <c r="Q177" s="112">
        <v>1375</v>
      </c>
      <c r="R177" s="112">
        <v>0</v>
      </c>
      <c r="S177" s="112">
        <v>0</v>
      </c>
      <c r="T177" s="112">
        <v>0</v>
      </c>
      <c r="U177" s="112">
        <v>0</v>
      </c>
      <c r="V177" s="112">
        <v>0</v>
      </c>
      <c r="W177" s="112">
        <v>0</v>
      </c>
      <c r="X177" s="112">
        <v>0</v>
      </c>
      <c r="Y177" s="112">
        <v>0</v>
      </c>
      <c r="Z177" s="112">
        <v>16500</v>
      </c>
      <c r="AA177" s="112">
        <v>20625</v>
      </c>
    </row>
    <row r="178" spans="10:27" ht="15" customHeight="1" x14ac:dyDescent="0.2">
      <c r="J178" s="100" t="str">
        <f xml:space="preserve"> _xll.EPMOlapMemberO("[COSTCENTER].[PARENTH1].[1001]","","1001","","000")</f>
        <v>1001</v>
      </c>
      <c r="K178" s="167" t="str">
        <f xml:space="preserve"> _xll.EPMOlapMemberO("[C_ACCOUNT].[PARENTH2].[A_S6700518]","","A_S6700518","","000")</f>
        <v>A_S6700518</v>
      </c>
      <c r="L178" s="112" t="str">
        <f>_xll.EPMMemberDesc(K178)</f>
        <v>Settled Insurance - Travel Accident</v>
      </c>
      <c r="M178" s="112">
        <v>912.42</v>
      </c>
      <c r="N178" s="112">
        <v>912.42</v>
      </c>
      <c r="O178" s="112">
        <v>76.09</v>
      </c>
      <c r="P178" s="112">
        <v>76.03</v>
      </c>
      <c r="Q178" s="112">
        <v>76.03</v>
      </c>
      <c r="R178" s="112">
        <v>76.03</v>
      </c>
      <c r="S178" s="112">
        <v>76.03</v>
      </c>
      <c r="T178" s="112">
        <v>76.03</v>
      </c>
      <c r="U178" s="112">
        <v>76.03</v>
      </c>
      <c r="V178" s="112">
        <v>76.03</v>
      </c>
      <c r="W178" s="112">
        <v>76.03</v>
      </c>
      <c r="X178" s="112">
        <v>76.03</v>
      </c>
      <c r="Y178" s="112">
        <v>76.03</v>
      </c>
      <c r="Z178" s="112">
        <v>76.03</v>
      </c>
      <c r="AA178" s="112">
        <v>912.42</v>
      </c>
    </row>
    <row r="179" spans="10:27" ht="15" customHeight="1" x14ac:dyDescent="0.2">
      <c r="J179" s="100" t="str">
        <f xml:space="preserve"> _xll.EPMOlapMemberO("[COSTCENTER].[PARENTH1].[1001]","","1001","","000")</f>
        <v>1001</v>
      </c>
      <c r="K179" s="167" t="str">
        <f xml:space="preserve"> _xll.EPMOlapMemberO("[C_ACCOUNT].[PARENTH2].[A_S6700519]","","A_S6700519","","000")</f>
        <v>A_S6700519</v>
      </c>
      <c r="L179" s="112" t="str">
        <f>_xll.EPMMemberDesc(K179)</f>
        <v>Settled Insurance - Workers Compensation - Exces</v>
      </c>
      <c r="M179" s="112">
        <v>117681.41</v>
      </c>
      <c r="N179" s="112">
        <v>117681.41</v>
      </c>
      <c r="O179" s="112">
        <v>8859.26</v>
      </c>
      <c r="P179" s="112">
        <v>8859.26</v>
      </c>
      <c r="Q179" s="112">
        <v>10060.19</v>
      </c>
      <c r="R179" s="112">
        <v>8859.26</v>
      </c>
      <c r="S179" s="112">
        <v>8859.26</v>
      </c>
      <c r="T179" s="112">
        <v>10998.22</v>
      </c>
      <c r="U179" s="112">
        <v>9797.35</v>
      </c>
      <c r="V179" s="112">
        <v>9797.35</v>
      </c>
      <c r="W179" s="112">
        <v>10998.28</v>
      </c>
      <c r="X179" s="112">
        <v>9797.35</v>
      </c>
      <c r="Y179" s="112">
        <v>9797.35</v>
      </c>
      <c r="Z179" s="112">
        <v>10998.28</v>
      </c>
      <c r="AA179" s="112">
        <v>117681.41</v>
      </c>
    </row>
    <row r="180" spans="10:27" ht="15" customHeight="1" x14ac:dyDescent="0.2">
      <c r="J180" s="100" t="str">
        <f xml:space="preserve"> _xll.EPMOlapMemberO("[COSTCENTER].[PARENTH1].[1001]","","1001","","000")</f>
        <v>1001</v>
      </c>
      <c r="K180" s="167" t="str">
        <f xml:space="preserve"> _xll.EPMOlapMemberO("[C_ACCOUNT].[PARENTH2].[A_S6700599]","","A_S6700599","","000")</f>
        <v>A_S6700599</v>
      </c>
      <c r="L180" s="112" t="str">
        <f>_xll.EPMMemberDesc(K180)</f>
        <v>Settled Insurance - Other</v>
      </c>
      <c r="M180" s="112">
        <v>129779.89</v>
      </c>
      <c r="N180" s="112">
        <v>129779.89</v>
      </c>
      <c r="O180" s="112">
        <v>8953.7000000000007</v>
      </c>
      <c r="P180" s="112">
        <v>8953.7000000000007</v>
      </c>
      <c r="Q180" s="112">
        <v>8953.7000000000007</v>
      </c>
      <c r="R180" s="112">
        <v>8953.7000000000007</v>
      </c>
      <c r="S180" s="112">
        <v>9036.86</v>
      </c>
      <c r="T180" s="112">
        <v>9036.8799999999992</v>
      </c>
      <c r="U180" s="112">
        <v>9036.8799999999992</v>
      </c>
      <c r="V180" s="112">
        <v>13337.78</v>
      </c>
      <c r="W180" s="112">
        <v>13337.8</v>
      </c>
      <c r="X180" s="112">
        <v>13392.99</v>
      </c>
      <c r="Y180" s="112">
        <v>13392.95</v>
      </c>
      <c r="Z180" s="112">
        <v>13392.95</v>
      </c>
      <c r="AA180" s="112">
        <v>129779.89</v>
      </c>
    </row>
    <row r="181" spans="10:27" ht="15" customHeight="1" x14ac:dyDescent="0.2">
      <c r="J181" s="115" t="str">
        <f xml:space="preserve"> _xll.EPMOlapMemberO("[COSTCENTER].[PARENTH1].[1001]","","1001","","000")</f>
        <v>1001</v>
      </c>
      <c r="K181" s="165" t="str">
        <f xml:space="preserve"> _xll.EPMOlapMemberO("[C_ACCOUNT].[PARENTH2].[RENT_RC]","","RENT_RC","","000")</f>
        <v>RENT_RC</v>
      </c>
      <c r="L181" s="115" t="str">
        <f>_xll.EPMMemberDesc(K181)</f>
        <v>Rent</v>
      </c>
      <c r="M181" s="114">
        <v>935787.59949960001</v>
      </c>
      <c r="N181" s="114">
        <v>935787.59949960001</v>
      </c>
      <c r="O181" s="114">
        <v>56128.370833300003</v>
      </c>
      <c r="P181" s="114">
        <v>67598.900833299995</v>
      </c>
      <c r="Q181" s="114">
        <v>58453.770833299997</v>
      </c>
      <c r="R181" s="114">
        <v>57343.680833300001</v>
      </c>
      <c r="S181" s="114">
        <v>76009.280833299999</v>
      </c>
      <c r="T181" s="114">
        <v>66128.970833300002</v>
      </c>
      <c r="U181" s="114">
        <v>59275.5708333</v>
      </c>
      <c r="V181" s="114">
        <v>65924.570833299993</v>
      </c>
      <c r="W181" s="114">
        <v>58545.970833300002</v>
      </c>
      <c r="X181" s="114">
        <v>57045.970833300002</v>
      </c>
      <c r="Y181" s="114">
        <v>218264.57033330001</v>
      </c>
      <c r="Z181" s="114">
        <v>95067.970833300002</v>
      </c>
      <c r="AA181" s="114">
        <v>935787.59949960001</v>
      </c>
    </row>
    <row r="182" spans="10:27" ht="15" customHeight="1" x14ac:dyDescent="0.2">
      <c r="J182" s="100" t="str">
        <f xml:space="preserve"> _xll.EPMOlapMemberO("[COSTCENTER].[PARENTH1].[1001]","","1001","","000")</f>
        <v>1001</v>
      </c>
      <c r="K182" s="167" t="str">
        <f xml:space="preserve"> _xll.EPMOlapMemberO("[C_ACCOUNT].[PARENTH2].[A_6710700]","","A_6710700","","000")</f>
        <v>A_6710700</v>
      </c>
      <c r="L182" s="112" t="str">
        <f>_xll.EPMMemberDesc(K182)</f>
        <v>Short-term Rent - Intercompany</v>
      </c>
      <c r="M182" s="112">
        <v>612468</v>
      </c>
      <c r="N182" s="112">
        <v>612468</v>
      </c>
      <c r="O182" s="112">
        <v>51039</v>
      </c>
      <c r="P182" s="112">
        <v>51039</v>
      </c>
      <c r="Q182" s="112">
        <v>51039</v>
      </c>
      <c r="R182" s="112">
        <v>51039</v>
      </c>
      <c r="S182" s="112">
        <v>51039</v>
      </c>
      <c r="T182" s="112">
        <v>51039</v>
      </c>
      <c r="U182" s="112">
        <v>51039</v>
      </c>
      <c r="V182" s="112">
        <v>51039</v>
      </c>
      <c r="W182" s="112">
        <v>51039</v>
      </c>
      <c r="X182" s="112">
        <v>51039</v>
      </c>
      <c r="Y182" s="112">
        <v>51039</v>
      </c>
      <c r="Z182" s="112">
        <v>51039</v>
      </c>
      <c r="AA182" s="112">
        <v>612468</v>
      </c>
    </row>
    <row r="183" spans="10:27" ht="15" customHeight="1" x14ac:dyDescent="0.2">
      <c r="J183" s="100" t="str">
        <f xml:space="preserve"> _xll.EPMOlapMemberO("[COSTCENTER].[PARENTH1].[1001]","","1001","","000")</f>
        <v>1001</v>
      </c>
      <c r="K183" s="167" t="str">
        <f xml:space="preserve"> _xll.EPMOlapMemberO("[C_ACCOUNT].[PARENTH2].[A_S6710040]","","A_S6710040","","000")</f>
        <v>A_S6710040</v>
      </c>
      <c r="L183" s="112" t="str">
        <f>_xll.EPMMemberDesc(K183)</f>
        <v>Settled Short-term Rent - Office Space</v>
      </c>
      <c r="M183" s="112">
        <v>23443.200000000001</v>
      </c>
      <c r="N183" s="112">
        <v>23443.200000000001</v>
      </c>
      <c r="O183" s="112">
        <v>0</v>
      </c>
      <c r="P183" s="112">
        <v>3044.57</v>
      </c>
      <c r="Q183" s="112">
        <v>1217.83</v>
      </c>
      <c r="R183" s="112">
        <v>2131.1999999999998</v>
      </c>
      <c r="S183" s="112">
        <v>2131.1999999999998</v>
      </c>
      <c r="T183" s="112">
        <v>2131.1999999999998</v>
      </c>
      <c r="U183" s="112">
        <v>2131.1999999999998</v>
      </c>
      <c r="V183" s="112">
        <v>2131.1999999999998</v>
      </c>
      <c r="W183" s="112">
        <v>2131.1999999999998</v>
      </c>
      <c r="X183" s="112">
        <v>2131.1999999999998</v>
      </c>
      <c r="Y183" s="112">
        <v>2131.1999999999998</v>
      </c>
      <c r="Z183" s="112">
        <v>2131.1999999999998</v>
      </c>
      <c r="AA183" s="112">
        <v>23443.200000000001</v>
      </c>
    </row>
    <row r="184" spans="10:27" ht="15" customHeight="1" x14ac:dyDescent="0.2">
      <c r="J184" s="100" t="str">
        <f xml:space="preserve"> _xll.EPMOlapMemberO("[COSTCENTER].[PARENTH1].[1001]","","1001","","000")</f>
        <v>1001</v>
      </c>
      <c r="K184" s="167" t="str">
        <f xml:space="preserve"> _xll.EPMOlapMemberO("[C_ACCOUNT].[PARENTH2].[A_S6710050]","","A_S6710050","","000")</f>
        <v>A_S6710050</v>
      </c>
      <c r="L184" s="112" t="str">
        <f>_xll.EPMMemberDesc(K184)</f>
        <v>Settled Short-term Rent - Right of way</v>
      </c>
      <c r="M184" s="112">
        <v>194675.1795</v>
      </c>
      <c r="N184" s="112">
        <v>194675.1795</v>
      </c>
      <c r="O184" s="112">
        <v>3283.5</v>
      </c>
      <c r="P184" s="112">
        <v>11069.9</v>
      </c>
      <c r="Q184" s="112">
        <v>4391.07</v>
      </c>
      <c r="R184" s="112">
        <v>2069.9</v>
      </c>
      <c r="S184" s="112">
        <v>12405.71</v>
      </c>
      <c r="T184" s="112">
        <v>11152.9</v>
      </c>
      <c r="U184" s="112">
        <v>3909.5</v>
      </c>
      <c r="V184" s="112">
        <v>10948.5</v>
      </c>
      <c r="W184" s="112">
        <v>3569.9</v>
      </c>
      <c r="X184" s="112">
        <v>2069.9</v>
      </c>
      <c r="Y184" s="112">
        <v>89712.499500000005</v>
      </c>
      <c r="Z184" s="112">
        <v>40091.9</v>
      </c>
      <c r="AA184" s="112">
        <v>194675.1795</v>
      </c>
    </row>
    <row r="185" spans="10:27" ht="15" customHeight="1" x14ac:dyDescent="0.2">
      <c r="J185" s="100" t="str">
        <f xml:space="preserve"> _xll.EPMOlapMemberO("[COSTCENTER].[PARENTH1].[1001]","","1001","","000")</f>
        <v>1001</v>
      </c>
      <c r="K185" s="167" t="str">
        <f xml:space="preserve"> _xll.EPMOlapMemberO("[C_ACCOUNT].[PARENTH2].[A_S6710800]","","A_S6710800","","000")</f>
        <v>A_S6710800</v>
      </c>
      <c r="L185" s="112" t="str">
        <f>_xll.EPMMemberDesc(K185)</f>
        <v>Settled Short-term Rent - Other</v>
      </c>
      <c r="M185" s="112">
        <v>105201.2199996</v>
      </c>
      <c r="N185" s="112">
        <v>105201.2199996</v>
      </c>
      <c r="O185" s="112">
        <v>1805.8708333</v>
      </c>
      <c r="P185" s="112">
        <v>2445.4308332999999</v>
      </c>
      <c r="Q185" s="112">
        <v>1805.8708333</v>
      </c>
      <c r="R185" s="112">
        <v>2103.5808333</v>
      </c>
      <c r="S185" s="112">
        <v>10433.3708333</v>
      </c>
      <c r="T185" s="112">
        <v>1805.8708333</v>
      </c>
      <c r="U185" s="112">
        <v>2195.8708333</v>
      </c>
      <c r="V185" s="112">
        <v>1805.8708333</v>
      </c>
      <c r="W185" s="112">
        <v>1805.8708333</v>
      </c>
      <c r="X185" s="112">
        <v>1805.8708333</v>
      </c>
      <c r="Y185" s="112">
        <v>75381.870833299996</v>
      </c>
      <c r="Z185" s="112">
        <v>1805.8708333</v>
      </c>
      <c r="AA185" s="112">
        <v>105201.2199996</v>
      </c>
    </row>
    <row r="186" spans="10:27" ht="15" customHeight="1" x14ac:dyDescent="0.2">
      <c r="J186" s="115" t="str">
        <f xml:space="preserve"> _xll.EPMOlapMemberO("[COSTCENTER].[PARENTH1].[1001]","","1001","","000")</f>
        <v>1001</v>
      </c>
      <c r="K186" s="165" t="str">
        <f xml:space="preserve"> _xll.EPMOlapMemberO("[C_ACCOUNT].[PARENTH2].[LEASE_RC]","","LEASE_RC","","000")</f>
        <v>LEASE_RC</v>
      </c>
      <c r="L186" s="115" t="str">
        <f>_xll.EPMMemberDesc(K186)</f>
        <v>Lease</v>
      </c>
      <c r="M186" s="114">
        <v>430477.1599956</v>
      </c>
      <c r="N186" s="114">
        <v>430477.15999920003</v>
      </c>
      <c r="O186" s="114">
        <v>35873.096666600002</v>
      </c>
      <c r="P186" s="114">
        <v>35873.096666600002</v>
      </c>
      <c r="Q186" s="114">
        <v>35873.096666600002</v>
      </c>
      <c r="R186" s="114">
        <v>35873.096666600002</v>
      </c>
      <c r="S186" s="114">
        <v>35873.096666600002</v>
      </c>
      <c r="T186" s="114">
        <v>35873.096666600002</v>
      </c>
      <c r="U186" s="114">
        <v>35873.096666600002</v>
      </c>
      <c r="V186" s="114">
        <v>35873.096666600002</v>
      </c>
      <c r="W186" s="114">
        <v>35873.096666600002</v>
      </c>
      <c r="X186" s="114">
        <v>35873.096666600002</v>
      </c>
      <c r="Y186" s="114">
        <v>35873.096666600002</v>
      </c>
      <c r="Z186" s="114">
        <v>35873.096666600002</v>
      </c>
      <c r="AA186" s="114">
        <v>430477.15999920003</v>
      </c>
    </row>
    <row r="187" spans="10:27" ht="15" customHeight="1" x14ac:dyDescent="0.2">
      <c r="J187" s="100" t="str">
        <f xml:space="preserve"> _xll.EPMOlapMemberO("[COSTCENTER].[PARENTH1].[1001]","","1001","","000")</f>
        <v>1001</v>
      </c>
      <c r="K187" s="167" t="str">
        <f xml:space="preserve"> _xll.EPMOlapMemberO("[C_ACCOUNT].[PARENTH2].[A_6720010]","","A_6720010","","000")</f>
        <v>A_6720010</v>
      </c>
      <c r="L187" s="112" t="str">
        <f>_xll.EPMMemberDesc(K187)</f>
        <v>Long-term Lease - Building</v>
      </c>
      <c r="M187" s="112">
        <v>108000</v>
      </c>
      <c r="N187" s="112">
        <v>108000</v>
      </c>
      <c r="O187" s="112">
        <v>9000</v>
      </c>
      <c r="P187" s="112">
        <v>9000</v>
      </c>
      <c r="Q187" s="112">
        <v>9000</v>
      </c>
      <c r="R187" s="112">
        <v>9000</v>
      </c>
      <c r="S187" s="112">
        <v>9000</v>
      </c>
      <c r="T187" s="112">
        <v>9000</v>
      </c>
      <c r="U187" s="112">
        <v>9000</v>
      </c>
      <c r="V187" s="112">
        <v>9000</v>
      </c>
      <c r="W187" s="112">
        <v>9000</v>
      </c>
      <c r="X187" s="112">
        <v>9000</v>
      </c>
      <c r="Y187" s="112">
        <v>9000</v>
      </c>
      <c r="Z187" s="112">
        <v>9000</v>
      </c>
      <c r="AA187" s="112">
        <v>108000</v>
      </c>
    </row>
    <row r="188" spans="10:27" ht="15" customHeight="1" x14ac:dyDescent="0.2">
      <c r="J188" s="100" t="str">
        <f xml:space="preserve"> _xll.EPMOlapMemberO("[COSTCENTER].[PARENTH1].[1001]","","1001","","000")</f>
        <v>1001</v>
      </c>
      <c r="K188" s="167" t="str">
        <f xml:space="preserve"> _xll.EPMOlapMemberO("[C_ACCOUNT].[PARENTH2].[A_S6720010]","","A_S6720010","","000")</f>
        <v>A_S6720010</v>
      </c>
      <c r="L188" s="112" t="str">
        <f>_xll.EPMMemberDesc(K188)</f>
        <v>Settled Long-term Lease - Building</v>
      </c>
      <c r="M188" s="112">
        <v>304539.99999600003</v>
      </c>
      <c r="N188" s="112">
        <v>304539.9999996</v>
      </c>
      <c r="O188" s="112">
        <v>25378.333333300001</v>
      </c>
      <c r="P188" s="112">
        <v>25378.333333300001</v>
      </c>
      <c r="Q188" s="112">
        <v>25378.333333300001</v>
      </c>
      <c r="R188" s="112">
        <v>25378.333333300001</v>
      </c>
      <c r="S188" s="112">
        <v>25378.333333300001</v>
      </c>
      <c r="T188" s="112">
        <v>25378.333333300001</v>
      </c>
      <c r="U188" s="112">
        <v>25378.333333300001</v>
      </c>
      <c r="V188" s="112">
        <v>25378.333333300001</v>
      </c>
      <c r="W188" s="112">
        <v>25378.333333300001</v>
      </c>
      <c r="X188" s="112">
        <v>25378.333333300001</v>
      </c>
      <c r="Y188" s="112">
        <v>25378.333333300001</v>
      </c>
      <c r="Z188" s="112">
        <v>25378.333333300001</v>
      </c>
      <c r="AA188" s="112">
        <v>304539.9999996</v>
      </c>
    </row>
    <row r="189" spans="10:27" ht="15" customHeight="1" x14ac:dyDescent="0.2">
      <c r="J189" s="100" t="str">
        <f xml:space="preserve"> _xll.EPMOlapMemberO("[COSTCENTER].[PARENTH1].[1001]","","1001","","000")</f>
        <v>1001</v>
      </c>
      <c r="K189" s="167" t="str">
        <f xml:space="preserve"> _xll.EPMOlapMemberO("[C_ACCOUNT].[PARENTH2].[A_S6720800]","","A_S6720800","","000")</f>
        <v>A_S6720800</v>
      </c>
      <c r="L189" s="112" t="str">
        <f>_xll.EPMMemberDesc(K189)</f>
        <v>Settled Long-term Lease - Other</v>
      </c>
      <c r="M189" s="112">
        <v>17937.1599996</v>
      </c>
      <c r="N189" s="112">
        <v>17937.1599996</v>
      </c>
      <c r="O189" s="112">
        <v>1494.7633333000001</v>
      </c>
      <c r="P189" s="112">
        <v>1494.7633333000001</v>
      </c>
      <c r="Q189" s="112">
        <v>1494.7633333000001</v>
      </c>
      <c r="R189" s="112">
        <v>1494.7633333000001</v>
      </c>
      <c r="S189" s="112">
        <v>1494.7633333000001</v>
      </c>
      <c r="T189" s="112">
        <v>1494.7633333000001</v>
      </c>
      <c r="U189" s="112">
        <v>1494.7633333000001</v>
      </c>
      <c r="V189" s="112">
        <v>1494.7633333000001</v>
      </c>
      <c r="W189" s="112">
        <v>1494.7633333000001</v>
      </c>
      <c r="X189" s="112">
        <v>1494.7633333000001</v>
      </c>
      <c r="Y189" s="112">
        <v>1494.7633333000001</v>
      </c>
      <c r="Z189" s="112">
        <v>1494.7633333000001</v>
      </c>
      <c r="AA189" s="112">
        <v>17937.1599996</v>
      </c>
    </row>
    <row r="190" spans="10:27" ht="15" customHeight="1" x14ac:dyDescent="0.2">
      <c r="J190" s="115" t="str">
        <f xml:space="preserve"> _xll.EPMOlapMemberO("[COSTCENTER].[PARENTH1].[1001]","","1001","","000")</f>
        <v>1001</v>
      </c>
      <c r="K190" s="165" t="str">
        <f xml:space="preserve"> _xll.EPMOlapMemberO("[C_ACCOUNT].[PARENTH2].[OTSDSERV_RC]","","OTSDSERV_RC","","000")</f>
        <v>OTSDSERV_RC</v>
      </c>
      <c r="L190" s="115" t="str">
        <f>_xll.EPMMemberDesc(K190)</f>
        <v>Outside Services</v>
      </c>
      <c r="M190" s="114">
        <v>24903702.6354554</v>
      </c>
      <c r="N190" s="114">
        <v>28587336.421161499</v>
      </c>
      <c r="O190" s="114">
        <v>1763996.1083327001</v>
      </c>
      <c r="P190" s="114">
        <v>1963516.2750609999</v>
      </c>
      <c r="Q190" s="114">
        <v>2407784.8145480002</v>
      </c>
      <c r="R190" s="114">
        <v>1938946.9521395999</v>
      </c>
      <c r="S190" s="114">
        <v>2336258.9597846</v>
      </c>
      <c r="T190" s="114">
        <v>2546234.1817982998</v>
      </c>
      <c r="U190" s="114">
        <v>2219244.0923814001</v>
      </c>
      <c r="V190" s="114">
        <v>2043192.8293492</v>
      </c>
      <c r="W190" s="114">
        <v>2349449.5922379</v>
      </c>
      <c r="X190" s="114">
        <v>2158884.2762039001</v>
      </c>
      <c r="Y190" s="114">
        <v>4023898.3227868001</v>
      </c>
      <c r="Z190" s="114">
        <v>2835930.0165380999</v>
      </c>
      <c r="AA190" s="114">
        <v>28587336.421161499</v>
      </c>
    </row>
    <row r="191" spans="10:27" ht="15" customHeight="1" x14ac:dyDescent="0.2">
      <c r="J191" s="100" t="str">
        <f xml:space="preserve"> _xll.EPMOlapMemberO("[COSTCENTER].[PARENTH1].[1001]","","1001","","000")</f>
        <v>1001</v>
      </c>
      <c r="K191" s="167" t="str">
        <f xml:space="preserve"> _xll.EPMOlapMemberO("[C_ACCOUNT].[PARENTH2].[A_6100010]","","A_6100010","","000")</f>
        <v>A_6100010</v>
      </c>
      <c r="L191" s="112" t="str">
        <f>_xll.EPMMemberDesc(K191)</f>
        <v>Advertising</v>
      </c>
      <c r="M191" s="112">
        <v>1830680.88</v>
      </c>
      <c r="N191" s="112">
        <v>1830680.88</v>
      </c>
      <c r="O191" s="112">
        <v>85242.661600000007</v>
      </c>
      <c r="P191" s="112">
        <v>87242.661600000007</v>
      </c>
      <c r="Q191" s="112">
        <v>122242.66160000001</v>
      </c>
      <c r="R191" s="112">
        <v>105134.47040000001</v>
      </c>
      <c r="S191" s="112">
        <v>154134.47039999999</v>
      </c>
      <c r="T191" s="112">
        <v>127634.47040000001</v>
      </c>
      <c r="U191" s="112">
        <v>197026.27919999999</v>
      </c>
      <c r="V191" s="112">
        <v>143026.27919999999</v>
      </c>
      <c r="W191" s="112">
        <v>139526.27919999999</v>
      </c>
      <c r="X191" s="112">
        <v>317026.27919999999</v>
      </c>
      <c r="Y191" s="112">
        <v>233526.27919999999</v>
      </c>
      <c r="Z191" s="112">
        <v>118918.088</v>
      </c>
      <c r="AA191" s="112">
        <v>1830680.88</v>
      </c>
    </row>
    <row r="192" spans="10:27" ht="15" customHeight="1" x14ac:dyDescent="0.2">
      <c r="J192" s="100" t="str">
        <f xml:space="preserve"> _xll.EPMOlapMemberO("[COSTCENTER].[PARENTH1].[1001]","","1001","","000")</f>
        <v>1001</v>
      </c>
      <c r="K192" s="167" t="str">
        <f xml:space="preserve"> _xll.EPMOlapMemberO("[C_ACCOUNT].[PARENTH2].[A_6100030]","","A_6100030","","000")</f>
        <v>A_6100030</v>
      </c>
      <c r="L192" s="112" t="str">
        <f>_xll.EPMMemberDesc(K192)</f>
        <v>Consultants - Audit</v>
      </c>
      <c r="M192" s="112">
        <v>250000</v>
      </c>
      <c r="N192" s="112">
        <v>250000</v>
      </c>
      <c r="O192" s="112">
        <v>0</v>
      </c>
      <c r="P192" s="112">
        <v>0</v>
      </c>
      <c r="Q192" s="112">
        <v>80000</v>
      </c>
      <c r="R192" s="112">
        <v>0</v>
      </c>
      <c r="S192" s="112">
        <v>0</v>
      </c>
      <c r="T192" s="112">
        <v>55000</v>
      </c>
      <c r="U192" s="112">
        <v>0</v>
      </c>
      <c r="V192" s="112">
        <v>0</v>
      </c>
      <c r="W192" s="112">
        <v>80000</v>
      </c>
      <c r="X192" s="112">
        <v>0</v>
      </c>
      <c r="Y192" s="112">
        <v>0</v>
      </c>
      <c r="Z192" s="112">
        <v>35000</v>
      </c>
      <c r="AA192" s="112">
        <v>250000</v>
      </c>
    </row>
    <row r="193" spans="10:27" ht="15" customHeight="1" x14ac:dyDescent="0.2">
      <c r="J193" s="100" t="str">
        <f xml:space="preserve"> _xll.EPMOlapMemberO("[COSTCENTER].[PARENTH1].[1001]","","1001","","000")</f>
        <v>1001</v>
      </c>
      <c r="K193" s="167" t="str">
        <f xml:space="preserve"> _xll.EPMOlapMemberO("[C_ACCOUNT].[PARENTH2].[A_6100040]","","A_6100040","","000")</f>
        <v>A_6100040</v>
      </c>
      <c r="L193" s="112" t="str">
        <f>_xll.EPMMemberDesc(K193)</f>
        <v>Consultants - Engineering</v>
      </c>
      <c r="M193" s="112">
        <v>202400</v>
      </c>
      <c r="N193" s="112">
        <v>202400</v>
      </c>
      <c r="O193" s="112">
        <v>16866</v>
      </c>
      <c r="P193" s="112">
        <v>16866</v>
      </c>
      <c r="Q193" s="112">
        <v>16866</v>
      </c>
      <c r="R193" s="112">
        <v>16866</v>
      </c>
      <c r="S193" s="112">
        <v>16866</v>
      </c>
      <c r="T193" s="112">
        <v>16866</v>
      </c>
      <c r="U193" s="112">
        <v>16866</v>
      </c>
      <c r="V193" s="112">
        <v>16866</v>
      </c>
      <c r="W193" s="112">
        <v>16866</v>
      </c>
      <c r="X193" s="112">
        <v>16866</v>
      </c>
      <c r="Y193" s="112">
        <v>16866</v>
      </c>
      <c r="Z193" s="112">
        <v>16874</v>
      </c>
      <c r="AA193" s="112">
        <v>202400</v>
      </c>
    </row>
    <row r="194" spans="10:27" ht="15" customHeight="1" x14ac:dyDescent="0.2">
      <c r="J194" s="100" t="str">
        <f xml:space="preserve"> _xll.EPMOlapMemberO("[COSTCENTER].[PARENTH1].[1001]","","1001","","000")</f>
        <v>1001</v>
      </c>
      <c r="K194" s="167" t="str">
        <f xml:space="preserve"> _xll.EPMOlapMemberO("[C_ACCOUNT].[PARENTH2].[A_6100070]","","A_6100070","","000")</f>
        <v>A_6100070</v>
      </c>
      <c r="L194" s="112" t="str">
        <f>_xll.EPMMemberDesc(K194)</f>
        <v>Consultants - Management</v>
      </c>
      <c r="M194" s="112">
        <v>200000</v>
      </c>
      <c r="N194" s="112">
        <v>200000</v>
      </c>
      <c r="O194" s="112">
        <v>0</v>
      </c>
      <c r="P194" s="112">
        <v>0</v>
      </c>
      <c r="Q194" s="112">
        <v>0</v>
      </c>
      <c r="R194" s="112">
        <v>0</v>
      </c>
      <c r="S194" s="112">
        <v>0</v>
      </c>
      <c r="T194" s="112">
        <v>0</v>
      </c>
      <c r="U194" s="112">
        <v>0</v>
      </c>
      <c r="V194" s="112">
        <v>0</v>
      </c>
      <c r="W194" s="112">
        <v>0</v>
      </c>
      <c r="X194" s="112">
        <v>0</v>
      </c>
      <c r="Y194" s="112">
        <v>100000</v>
      </c>
      <c r="Z194" s="112">
        <v>100000</v>
      </c>
      <c r="AA194" s="112">
        <v>200000</v>
      </c>
    </row>
    <row r="195" spans="10:27" ht="15" customHeight="1" x14ac:dyDescent="0.2">
      <c r="J195" s="100" t="str">
        <f xml:space="preserve"> _xll.EPMOlapMemberO("[COSTCENTER].[PARENTH1].[1001]","","1001","","000")</f>
        <v>1001</v>
      </c>
      <c r="K195" s="167" t="str">
        <f xml:space="preserve"> _xll.EPMOlapMemberO("[C_ACCOUNT].[PARENTH2].[A_6100080]","","A_6100080","","000")</f>
        <v>A_6100080</v>
      </c>
      <c r="L195" s="112" t="str">
        <f>_xll.EPMMemberDesc(K195)</f>
        <v>Consultants - Other</v>
      </c>
      <c r="M195" s="112">
        <v>121552.17</v>
      </c>
      <c r="N195" s="112">
        <v>-3292352.4090812001</v>
      </c>
      <c r="O195" s="112">
        <v>-273686.63159010001</v>
      </c>
      <c r="P195" s="112">
        <v>-273686.63159010001</v>
      </c>
      <c r="Q195" s="112">
        <v>-278686.63159010001</v>
      </c>
      <c r="R195" s="112">
        <v>-273686.63159010001</v>
      </c>
      <c r="S195" s="112">
        <v>-273686.63159010001</v>
      </c>
      <c r="T195" s="112">
        <v>-278686.63159010001</v>
      </c>
      <c r="U195" s="112">
        <v>-273686.63159010001</v>
      </c>
      <c r="V195" s="112">
        <v>-273686.63159010001</v>
      </c>
      <c r="W195" s="112">
        <v>-278686.63159010001</v>
      </c>
      <c r="X195" s="112">
        <v>-273686.63159010001</v>
      </c>
      <c r="Y195" s="112">
        <v>-273686.63159010001</v>
      </c>
      <c r="Z195" s="112">
        <v>-266799.46159010002</v>
      </c>
      <c r="AA195" s="112">
        <v>-3292352.4090812001</v>
      </c>
    </row>
    <row r="196" spans="10:27" ht="15" customHeight="1" x14ac:dyDescent="0.2">
      <c r="J196" s="100" t="str">
        <f xml:space="preserve"> _xll.EPMOlapMemberO("[COSTCENTER].[PARENTH1].[1001]","","1001","","000")</f>
        <v>1001</v>
      </c>
      <c r="K196" s="167" t="str">
        <f xml:space="preserve"> _xll.EPMOlapMemberO("[C_ACCOUNT].[PARENTH2].[A_6100100]","","A_6100100","","000")</f>
        <v>A_6100100</v>
      </c>
      <c r="L196" s="112" t="str">
        <f>_xll.EPMMemberDesc(K196)</f>
        <v>Subcontracted Services</v>
      </c>
      <c r="M196" s="112">
        <v>112400</v>
      </c>
      <c r="N196" s="112">
        <v>112400</v>
      </c>
      <c r="O196" s="112">
        <v>5200</v>
      </c>
      <c r="P196" s="112">
        <v>5200</v>
      </c>
      <c r="Q196" s="112">
        <v>5200</v>
      </c>
      <c r="R196" s="112">
        <v>5200</v>
      </c>
      <c r="S196" s="112">
        <v>5200</v>
      </c>
      <c r="T196" s="112">
        <v>5200</v>
      </c>
      <c r="U196" s="112">
        <v>5200</v>
      </c>
      <c r="V196" s="112">
        <v>5200</v>
      </c>
      <c r="W196" s="112">
        <v>55200</v>
      </c>
      <c r="X196" s="112">
        <v>5200</v>
      </c>
      <c r="Y196" s="112">
        <v>5200</v>
      </c>
      <c r="Z196" s="112">
        <v>5200</v>
      </c>
      <c r="AA196" s="112">
        <v>112400</v>
      </c>
    </row>
    <row r="197" spans="10:27" ht="15" customHeight="1" x14ac:dyDescent="0.2">
      <c r="J197" s="100" t="str">
        <f xml:space="preserve"> _xll.EPMOlapMemberO("[COSTCENTER].[PARENTH1].[1001]","","1001","","000")</f>
        <v>1001</v>
      </c>
      <c r="K197" s="167" t="str">
        <f xml:space="preserve"> _xll.EPMOlapMemberO("[C_ACCOUNT].[PARENTH2].[A_6100150]","","A_6100150","","000")</f>
        <v>A_6100150</v>
      </c>
      <c r="L197" s="112" t="str">
        <f>_xll.EPMMemberDesc(K197)</f>
        <v>Printing</v>
      </c>
      <c r="M197" s="112">
        <v>12000</v>
      </c>
      <c r="N197" s="112">
        <v>12000</v>
      </c>
      <c r="O197" s="112">
        <v>0</v>
      </c>
      <c r="P197" s="112">
        <v>0</v>
      </c>
      <c r="Q197" s="112">
        <v>3000</v>
      </c>
      <c r="R197" s="112">
        <v>0</v>
      </c>
      <c r="S197" s="112">
        <v>0</v>
      </c>
      <c r="T197" s="112">
        <v>3000</v>
      </c>
      <c r="U197" s="112">
        <v>0</v>
      </c>
      <c r="V197" s="112">
        <v>0</v>
      </c>
      <c r="W197" s="112">
        <v>3000</v>
      </c>
      <c r="X197" s="112">
        <v>0</v>
      </c>
      <c r="Y197" s="112">
        <v>0</v>
      </c>
      <c r="Z197" s="112">
        <v>3000</v>
      </c>
      <c r="AA197" s="112">
        <v>12000</v>
      </c>
    </row>
    <row r="198" spans="10:27" ht="15" customHeight="1" x14ac:dyDescent="0.2">
      <c r="J198" s="100" t="str">
        <f xml:space="preserve"> _xll.EPMOlapMemberO("[COSTCENTER].[PARENTH1].[1001]","","1001","","000")</f>
        <v>1001</v>
      </c>
      <c r="K198" s="167" t="str">
        <f xml:space="preserve"> _xll.EPMOlapMemberO("[C_ACCOUNT].[PARENTH2].[A_6100190]","","A_6100190","","000")</f>
        <v>A_6100190</v>
      </c>
      <c r="L198" s="112" t="str">
        <f>_xll.EPMMemberDesc(K198)</f>
        <v>Software Maintenance</v>
      </c>
      <c r="M198" s="112">
        <v>550461.99996000004</v>
      </c>
      <c r="N198" s="112">
        <v>550461.9999996</v>
      </c>
      <c r="O198" s="112">
        <v>45833.333333299997</v>
      </c>
      <c r="P198" s="112">
        <v>45833.333333299997</v>
      </c>
      <c r="Q198" s="112">
        <v>45833.333333299997</v>
      </c>
      <c r="R198" s="112">
        <v>45833.333333299997</v>
      </c>
      <c r="S198" s="112">
        <v>45833.333333299997</v>
      </c>
      <c r="T198" s="112">
        <v>46295.333333299997</v>
      </c>
      <c r="U198" s="112">
        <v>45833.333333299997</v>
      </c>
      <c r="V198" s="112">
        <v>45833.333333299997</v>
      </c>
      <c r="W198" s="112">
        <v>45833.333333299997</v>
      </c>
      <c r="X198" s="112">
        <v>45833.333333299997</v>
      </c>
      <c r="Y198" s="112">
        <v>45833.333333299997</v>
      </c>
      <c r="Z198" s="112">
        <v>45833.333333299997</v>
      </c>
      <c r="AA198" s="112">
        <v>550461.9999996</v>
      </c>
    </row>
    <row r="199" spans="10:27" ht="15" customHeight="1" x14ac:dyDescent="0.2">
      <c r="J199" s="100" t="str">
        <f xml:space="preserve"> _xll.EPMOlapMemberO("[COSTCENTER].[PARENTH1].[1001]","","1001","","000")</f>
        <v>1001</v>
      </c>
      <c r="K199" s="167" t="str">
        <f xml:space="preserve"> _xll.EPMOlapMemberO("[C_ACCOUNT].[PARENTH2].[A_P6100000]","","A_P6100000","","000")</f>
        <v>A_P6100000</v>
      </c>
      <c r="L199" s="112" t="str">
        <f>_xll.EPMMemberDesc(K199)</f>
        <v>Planned Outside Services Expense</v>
      </c>
      <c r="M199" s="112">
        <v>62400</v>
      </c>
      <c r="N199" s="112">
        <v>62400</v>
      </c>
      <c r="O199" s="112">
        <v>5200</v>
      </c>
      <c r="P199" s="112">
        <v>5200</v>
      </c>
      <c r="Q199" s="112">
        <v>5200</v>
      </c>
      <c r="R199" s="112">
        <v>5200</v>
      </c>
      <c r="S199" s="112">
        <v>5200</v>
      </c>
      <c r="T199" s="112">
        <v>5200</v>
      </c>
      <c r="U199" s="112">
        <v>5200</v>
      </c>
      <c r="V199" s="112">
        <v>5200</v>
      </c>
      <c r="W199" s="112">
        <v>5200</v>
      </c>
      <c r="X199" s="112">
        <v>5200</v>
      </c>
      <c r="Y199" s="112">
        <v>5200</v>
      </c>
      <c r="Z199" s="112">
        <v>5200</v>
      </c>
      <c r="AA199" s="112">
        <v>62400</v>
      </c>
    </row>
    <row r="200" spans="10:27" ht="15" customHeight="1" x14ac:dyDescent="0.2">
      <c r="J200" s="100" t="str">
        <f xml:space="preserve"> _xll.EPMOlapMemberO("[COSTCENTER].[PARENTH1].[1001]","","1001","","000")</f>
        <v>1001</v>
      </c>
      <c r="K200" s="167" t="str">
        <f xml:space="preserve"> _xll.EPMOlapMemberO("[C_ACCOUNT].[PARENTH2].[A_S6100000]","","A_S6100000","","000")</f>
        <v>A_S6100000</v>
      </c>
      <c r="L200" s="112" t="str">
        <f>_xll.EPMMemberDesc(K200)</f>
        <v>Settled Outside Services Expense</v>
      </c>
      <c r="M200" s="112">
        <v>1324872.0356600001</v>
      </c>
      <c r="N200" s="112">
        <v>1324872.0357139001</v>
      </c>
      <c r="O200" s="112">
        <v>69449.295833299999</v>
      </c>
      <c r="P200" s="112">
        <v>69689.295833299999</v>
      </c>
      <c r="Q200" s="112">
        <v>110414.2958333</v>
      </c>
      <c r="R200" s="112">
        <v>70185.495833299996</v>
      </c>
      <c r="S200" s="112">
        <v>71684.295833299999</v>
      </c>
      <c r="T200" s="112">
        <v>151109.29583330001</v>
      </c>
      <c r="U200" s="112">
        <v>69449.295833299999</v>
      </c>
      <c r="V200" s="112">
        <v>69449.295833299999</v>
      </c>
      <c r="W200" s="112">
        <v>110414.2958333</v>
      </c>
      <c r="X200" s="112">
        <v>69449.295833299999</v>
      </c>
      <c r="Y200" s="112">
        <v>353163.58154759998</v>
      </c>
      <c r="Z200" s="112">
        <v>110414.2958333</v>
      </c>
      <c r="AA200" s="112">
        <v>1324872.0357139001</v>
      </c>
    </row>
    <row r="201" spans="10:27" ht="15" customHeight="1" x14ac:dyDescent="0.2">
      <c r="J201" s="100" t="str">
        <f xml:space="preserve"> _xll.EPMOlapMemberO("[COSTCENTER].[PARENTH1].[1001]","","1001","","000")</f>
        <v>1001</v>
      </c>
      <c r="K201" s="167" t="str">
        <f xml:space="preserve"> _xll.EPMOlapMemberO("[C_ACCOUNT].[PARENTH2].[A_S6100060]","","A_S6100060","","000")</f>
        <v>A_S6100060</v>
      </c>
      <c r="L201" s="112" t="str">
        <f>_xll.EPMMemberDesc(K201)</f>
        <v>Settled Consultants - Legal</v>
      </c>
      <c r="M201" s="112">
        <v>1456091</v>
      </c>
      <c r="N201" s="112">
        <v>1456091</v>
      </c>
      <c r="O201" s="112">
        <v>55000</v>
      </c>
      <c r="P201" s="112">
        <v>99609.1</v>
      </c>
      <c r="Q201" s="112">
        <v>99609.1</v>
      </c>
      <c r="R201" s="112">
        <v>99609.1</v>
      </c>
      <c r="S201" s="112">
        <v>99609.1</v>
      </c>
      <c r="T201" s="112">
        <v>99609.1</v>
      </c>
      <c r="U201" s="112">
        <v>99609.1</v>
      </c>
      <c r="V201" s="112">
        <v>99609.1</v>
      </c>
      <c r="W201" s="112">
        <v>99609.1</v>
      </c>
      <c r="X201" s="112">
        <v>99609.1</v>
      </c>
      <c r="Y201" s="112">
        <v>99609.1</v>
      </c>
      <c r="Z201" s="112">
        <v>405000</v>
      </c>
      <c r="AA201" s="112">
        <v>1456091</v>
      </c>
    </row>
    <row r="202" spans="10:27" ht="15" customHeight="1" x14ac:dyDescent="0.2">
      <c r="J202" s="100" t="str">
        <f xml:space="preserve"> _xll.EPMOlapMemberO("[COSTCENTER].[PARENTH1].[1001]","","1001","","000")</f>
        <v>1001</v>
      </c>
      <c r="K202" s="167" t="str">
        <f xml:space="preserve"> _xll.EPMOlapMemberO("[C_ACCOUNT].[PARENTH2].[A_S6100190]","","A_S6100190","","000")</f>
        <v>A_S6100190</v>
      </c>
      <c r="L202" s="112" t="str">
        <f>_xll.EPMMemberDesc(K202)</f>
        <v>Settled Software Maintenance</v>
      </c>
      <c r="M202" s="112">
        <v>1803746.2136903999</v>
      </c>
      <c r="N202" s="112">
        <v>1803746.2135604999</v>
      </c>
      <c r="O202" s="112">
        <v>125778.0494334</v>
      </c>
      <c r="P202" s="112">
        <v>126778.0494334</v>
      </c>
      <c r="Q202" s="112">
        <v>211417.04943340001</v>
      </c>
      <c r="R202" s="112">
        <v>132278.04943340001</v>
      </c>
      <c r="S202" s="112">
        <v>132340.43913340001</v>
      </c>
      <c r="T202" s="112">
        <v>148350.85943340001</v>
      </c>
      <c r="U202" s="112">
        <v>197788.53309310001</v>
      </c>
      <c r="V202" s="112">
        <v>126778.0494334</v>
      </c>
      <c r="W202" s="112">
        <v>141112.04943340001</v>
      </c>
      <c r="X202" s="112">
        <v>149257.04943340001</v>
      </c>
      <c r="Y202" s="112">
        <v>131959.04943340001</v>
      </c>
      <c r="Z202" s="112">
        <v>179908.98643339999</v>
      </c>
      <c r="AA202" s="112">
        <v>1803746.2135604999</v>
      </c>
    </row>
    <row r="203" spans="10:27" ht="15" customHeight="1" x14ac:dyDescent="0.2">
      <c r="J203" s="100" t="str">
        <f xml:space="preserve"> _xll.EPMOlapMemberO("[COSTCENTER].[PARENTH1].[1001]","","1001","","000")</f>
        <v>1001</v>
      </c>
      <c r="K203" s="167" t="str">
        <f xml:space="preserve"> _xll.EPMOlapMemberO("[C_ACCOUNT].[PARENTH2].[A_S6100010]","","A_S6100010","","000")</f>
        <v>A_S6100010</v>
      </c>
      <c r="L203" s="112" t="str">
        <f>_xll.EPMMemberDesc(K203)</f>
        <v>Settled Advertising</v>
      </c>
      <c r="M203" s="112">
        <v>119368.58</v>
      </c>
      <c r="N203" s="112">
        <v>119368.58</v>
      </c>
      <c r="O203" s="112">
        <v>5720</v>
      </c>
      <c r="P203" s="112">
        <v>5720</v>
      </c>
      <c r="Q203" s="112">
        <v>9652.1450000000004</v>
      </c>
      <c r="R203" s="112">
        <v>5720</v>
      </c>
      <c r="S203" s="112">
        <v>5720</v>
      </c>
      <c r="T203" s="112">
        <v>19652.145</v>
      </c>
      <c r="U203" s="112">
        <v>5720</v>
      </c>
      <c r="V203" s="112">
        <v>30720</v>
      </c>
      <c r="W203" s="112">
        <v>9652.1450000000004</v>
      </c>
      <c r="X203" s="112">
        <v>5720</v>
      </c>
      <c r="Y203" s="112">
        <v>5720</v>
      </c>
      <c r="Z203" s="112">
        <v>9652.1450000000004</v>
      </c>
      <c r="AA203" s="112">
        <v>119368.58</v>
      </c>
    </row>
    <row r="204" spans="10:27" ht="15" customHeight="1" x14ac:dyDescent="0.2">
      <c r="J204" s="100" t="str">
        <f xml:space="preserve"> _xll.EPMOlapMemberO("[COSTCENTER].[PARENTH1].[1001]","","1001","","000")</f>
        <v>1001</v>
      </c>
      <c r="K204" s="167" t="str">
        <f xml:space="preserve"> _xll.EPMOlapMemberO("[C_ACCOUNT].[PARENTH2].[A_S6100030]","","A_S6100030","","000")</f>
        <v>A_S6100030</v>
      </c>
      <c r="L204" s="112" t="str">
        <f>_xll.EPMMemberDesc(K204)</f>
        <v>Settled Consultants - Audit</v>
      </c>
      <c r="M204" s="112">
        <v>0</v>
      </c>
      <c r="N204" s="112">
        <v>312450</v>
      </c>
      <c r="O204" s="112">
        <v>0</v>
      </c>
      <c r="P204" s="112">
        <v>0</v>
      </c>
      <c r="Q204" s="112">
        <v>78112.5</v>
      </c>
      <c r="R204" s="112">
        <v>0</v>
      </c>
      <c r="S204" s="112">
        <v>0</v>
      </c>
      <c r="T204" s="112">
        <v>78112.5</v>
      </c>
      <c r="U204" s="112">
        <v>0</v>
      </c>
      <c r="V204" s="112">
        <v>0</v>
      </c>
      <c r="W204" s="112">
        <v>78112.5</v>
      </c>
      <c r="X204" s="112">
        <v>0</v>
      </c>
      <c r="Y204" s="112">
        <v>0</v>
      </c>
      <c r="Z204" s="112">
        <v>78112.5</v>
      </c>
      <c r="AA204" s="112">
        <v>312450</v>
      </c>
    </row>
    <row r="205" spans="10:27" ht="15" customHeight="1" x14ac:dyDescent="0.2">
      <c r="J205" s="100" t="str">
        <f xml:space="preserve"> _xll.EPMOlapMemberO("[COSTCENTER].[PARENTH1].[1001]","","1001","","000")</f>
        <v>1001</v>
      </c>
      <c r="K205" s="167" t="str">
        <f xml:space="preserve"> _xll.EPMOlapMemberO("[C_ACCOUNT].[PARENTH2].[A_S6100070]","","A_S6100070","","000")</f>
        <v>A_S6100070</v>
      </c>
      <c r="L205" s="112" t="str">
        <f>_xll.EPMMemberDesc(K205)</f>
        <v>Settled Consultants - Management</v>
      </c>
      <c r="M205" s="112">
        <v>99999.999995999999</v>
      </c>
      <c r="N205" s="112">
        <v>99999.999999599997</v>
      </c>
      <c r="O205" s="112">
        <v>8333.3333332999991</v>
      </c>
      <c r="P205" s="112">
        <v>8333.3333332999991</v>
      </c>
      <c r="Q205" s="112">
        <v>8333.3333332999991</v>
      </c>
      <c r="R205" s="112">
        <v>8333.3333332999991</v>
      </c>
      <c r="S205" s="112">
        <v>8333.3333332999991</v>
      </c>
      <c r="T205" s="112">
        <v>8333.3333332999991</v>
      </c>
      <c r="U205" s="112">
        <v>8333.3333332999991</v>
      </c>
      <c r="V205" s="112">
        <v>8333.3333332999991</v>
      </c>
      <c r="W205" s="112">
        <v>8333.3333332999991</v>
      </c>
      <c r="X205" s="112">
        <v>8333.3333332999991</v>
      </c>
      <c r="Y205" s="112">
        <v>8333.3333332999991</v>
      </c>
      <c r="Z205" s="112">
        <v>8333.3333332999991</v>
      </c>
      <c r="AA205" s="112">
        <v>99999.999999599997</v>
      </c>
    </row>
    <row r="206" spans="10:27" ht="15" customHeight="1" x14ac:dyDescent="0.2">
      <c r="J206" s="100" t="str">
        <f xml:space="preserve"> _xll.EPMOlapMemberO("[COSTCENTER].[PARENTH1].[1001]","","1001","","000")</f>
        <v>1001</v>
      </c>
      <c r="K206" s="167" t="str">
        <f xml:space="preserve"> _xll.EPMOlapMemberO("[C_ACCOUNT].[PARENTH2].[A_S6100080]","","A_S6100080","","000")</f>
        <v>A_S6100080</v>
      </c>
      <c r="L206" s="112" t="str">
        <f>_xll.EPMMemberDesc(K206)</f>
        <v>Settled Consultants - Other</v>
      </c>
      <c r="M206" s="112">
        <v>1161446.958565</v>
      </c>
      <c r="N206" s="112">
        <v>7946535.3231066</v>
      </c>
      <c r="O206" s="112">
        <v>306266.36355020001</v>
      </c>
      <c r="P206" s="112">
        <v>448528.49595930002</v>
      </c>
      <c r="Q206" s="112">
        <v>554887.86582569999</v>
      </c>
      <c r="R206" s="112">
        <v>456283.04128419998</v>
      </c>
      <c r="S206" s="112">
        <v>710044.98242779996</v>
      </c>
      <c r="T206" s="112">
        <v>760244.17852239998</v>
      </c>
      <c r="U206" s="112">
        <v>615188.40914470004</v>
      </c>
      <c r="V206" s="112">
        <v>509414.87761069997</v>
      </c>
      <c r="W206" s="112">
        <v>534103.79302770004</v>
      </c>
      <c r="X206" s="112">
        <v>460867.28058780002</v>
      </c>
      <c r="Y206" s="112">
        <v>1910449.7530626</v>
      </c>
      <c r="Z206" s="112">
        <v>680256.28210349998</v>
      </c>
      <c r="AA206" s="112">
        <v>7946535.3231066</v>
      </c>
    </row>
    <row r="207" spans="10:27" ht="15" customHeight="1" x14ac:dyDescent="0.2">
      <c r="J207" s="100" t="str">
        <f xml:space="preserve"> _xll.EPMOlapMemberO("[COSTCENTER].[PARENTH1].[1001]","","1001","","000")</f>
        <v>1001</v>
      </c>
      <c r="K207" s="167" t="str">
        <f xml:space="preserve"> _xll.EPMOlapMemberO("[C_ACCOUNT].[PARENTH2].[A_S6100100]","","A_S6100100","","000")</f>
        <v>A_S6100100</v>
      </c>
      <c r="L207" s="112" t="str">
        <f>_xll.EPMMemberDesc(K207)</f>
        <v>Settled Contractor Services</v>
      </c>
      <c r="M207" s="112">
        <v>15542383.654424001</v>
      </c>
      <c r="N207" s="112">
        <v>15542383.6546629</v>
      </c>
      <c r="O207" s="112">
        <v>1304323.9409060001</v>
      </c>
      <c r="P207" s="112">
        <v>1313720.8752252001</v>
      </c>
      <c r="Q207" s="112">
        <v>1331233.3998457999</v>
      </c>
      <c r="R207" s="112">
        <v>1257520.9981789</v>
      </c>
      <c r="S207" s="112">
        <v>1350259.8749803</v>
      </c>
      <c r="T207" s="112">
        <v>1295843.8355994001</v>
      </c>
      <c r="U207" s="112">
        <v>1222246.6781005</v>
      </c>
      <c r="V207" s="112">
        <v>1251979.4302620001</v>
      </c>
      <c r="W207" s="112">
        <v>1296703.6327337001</v>
      </c>
      <c r="X207" s="112">
        <v>1244739.4741396001</v>
      </c>
      <c r="Y207" s="112">
        <v>1377254.7625334</v>
      </c>
      <c r="Z207" s="112">
        <v>1296556.7521581</v>
      </c>
      <c r="AA207" s="112">
        <v>15542383.6546629</v>
      </c>
    </row>
    <row r="208" spans="10:27" ht="15" customHeight="1" x14ac:dyDescent="0.2">
      <c r="J208" s="100" t="str">
        <f xml:space="preserve"> _xll.EPMOlapMemberO("[COSTCENTER].[PARENTH1].[1001]","","1001","","000")</f>
        <v>1001</v>
      </c>
      <c r="K208" s="167" t="str">
        <f xml:space="preserve"> _xll.EPMOlapMemberO("[C_ACCOUNT].[PARENTH2].[A_S6100150]","","A_S6100150","","000")</f>
        <v>A_S6100150</v>
      </c>
      <c r="L208" s="112" t="str">
        <f>_xll.EPMMemberDesc(K208)</f>
        <v>Settled Printing</v>
      </c>
      <c r="M208" s="112">
        <v>891.14319999999998</v>
      </c>
      <c r="N208" s="112">
        <v>891.14319999999998</v>
      </c>
      <c r="O208" s="112">
        <v>52.428600000000003</v>
      </c>
      <c r="P208" s="112">
        <v>64.428600000000003</v>
      </c>
      <c r="Q208" s="112">
        <v>52.428600000000003</v>
      </c>
      <c r="R208" s="112">
        <v>52.428600000000003</v>
      </c>
      <c r="S208" s="112">
        <v>302.42860000000002</v>
      </c>
      <c r="T208" s="112">
        <v>52.428600000000003</v>
      </c>
      <c r="U208" s="112">
        <v>52.428600000000003</v>
      </c>
      <c r="V208" s="112">
        <v>52.428600000000003</v>
      </c>
      <c r="W208" s="112">
        <v>52.428600000000003</v>
      </c>
      <c r="X208" s="112">
        <v>52.428600000000003</v>
      </c>
      <c r="Y208" s="112">
        <v>52.428600000000003</v>
      </c>
      <c r="Z208" s="112">
        <v>52.428600000000003</v>
      </c>
      <c r="AA208" s="112">
        <v>891.14319999999998</v>
      </c>
    </row>
    <row r="209" spans="10:27" ht="15" customHeight="1" x14ac:dyDescent="0.2">
      <c r="J209" s="100" t="str">
        <f xml:space="preserve"> _xll.EPMOlapMemberO("[COSTCENTER].[PARENTH1].[1001]","","1001","","000")</f>
        <v>1001</v>
      </c>
      <c r="K209" s="167" t="str">
        <f xml:space="preserve"> _xll.EPMOlapMemberO("[C_ACCOUNT].[PARENTH2].[A_S6108999]","","A_S6108999","","000")</f>
        <v>A_S6108999</v>
      </c>
      <c r="L209" s="112" t="str">
        <f>_xll.EPMMemberDesc(K209)</f>
        <v>Settled Outside Services Expense Reclass</v>
      </c>
      <c r="M209" s="112">
        <v>183003.99995999999</v>
      </c>
      <c r="N209" s="112">
        <v>183003.9999996</v>
      </c>
      <c r="O209" s="112">
        <v>15250.333333299999</v>
      </c>
      <c r="P209" s="112">
        <v>15250.333333299999</v>
      </c>
      <c r="Q209" s="112">
        <v>15250.333333299999</v>
      </c>
      <c r="R209" s="112">
        <v>15250.333333299999</v>
      </c>
      <c r="S209" s="112">
        <v>15250.333333299999</v>
      </c>
      <c r="T209" s="112">
        <v>15250.333333299999</v>
      </c>
      <c r="U209" s="112">
        <v>15250.333333299999</v>
      </c>
      <c r="V209" s="112">
        <v>15250.333333299999</v>
      </c>
      <c r="W209" s="112">
        <v>15250.333333299999</v>
      </c>
      <c r="X209" s="112">
        <v>15250.333333299999</v>
      </c>
      <c r="Y209" s="112">
        <v>15250.333333299999</v>
      </c>
      <c r="Z209" s="112">
        <v>15250.333333299999</v>
      </c>
      <c r="AA209" s="112">
        <v>183003.9999996</v>
      </c>
    </row>
    <row r="210" spans="10:27" ht="15" customHeight="1" x14ac:dyDescent="0.2">
      <c r="J210" s="100" t="str">
        <f xml:space="preserve"> _xll.EPMOlapMemberO("[COSTCENTER].[PARENTH1].[1001]","","1001","","000")</f>
        <v>1001</v>
      </c>
      <c r="K210" s="167" t="str">
        <f xml:space="preserve"> _xll.EPMOlapMemberO("[C_ACCOUNT].[PARENTH2].[A_S6109000]","","A_S6109000","","000")</f>
        <v>A_S6109000</v>
      </c>
      <c r="L210" s="112" t="str">
        <f>_xll.EPMMemberDesc(K210)</f>
        <v>Settled Outside Services Expense to Balance Sheet</v>
      </c>
      <c r="M210" s="112">
        <v>-129996</v>
      </c>
      <c r="N210" s="112">
        <v>-129996</v>
      </c>
      <c r="O210" s="112">
        <v>-10833</v>
      </c>
      <c r="P210" s="112">
        <v>-10833</v>
      </c>
      <c r="Q210" s="112">
        <v>-10833</v>
      </c>
      <c r="R210" s="112">
        <v>-10833</v>
      </c>
      <c r="S210" s="112">
        <v>-10833</v>
      </c>
      <c r="T210" s="112">
        <v>-10833</v>
      </c>
      <c r="U210" s="112">
        <v>-10833</v>
      </c>
      <c r="V210" s="112">
        <v>-10833</v>
      </c>
      <c r="W210" s="112">
        <v>-10833</v>
      </c>
      <c r="X210" s="112">
        <v>-10833</v>
      </c>
      <c r="Y210" s="112">
        <v>-10833</v>
      </c>
      <c r="Z210" s="112">
        <v>-10833</v>
      </c>
      <c r="AA210" s="112">
        <v>-129996</v>
      </c>
    </row>
    <row r="211" spans="10:27" ht="15" customHeight="1" x14ac:dyDescent="0.2">
      <c r="J211" s="115" t="str">
        <f xml:space="preserve"> _xll.EPMOlapMemberO("[COSTCENTER].[PARENTH1].[1001]","","1001","","000")</f>
        <v>1001</v>
      </c>
      <c r="K211" s="165" t="str">
        <f xml:space="preserve"> _xll.EPMOlapMemberO("[C_ACCOUNT].[PARENTH2].[TRANSPORTATION_RC]","","TRANSPORTATION_RC","","000")</f>
        <v>TRANSPORTATION_RC</v>
      </c>
      <c r="L211" s="115" t="str">
        <f>_xll.EPMMemberDesc(K211)</f>
        <v>Transportation</v>
      </c>
      <c r="M211" s="114">
        <v>353300.28011280001</v>
      </c>
      <c r="N211" s="114">
        <v>353300.2801572</v>
      </c>
      <c r="O211" s="114">
        <v>29441.6900131</v>
      </c>
      <c r="P211" s="114">
        <v>29441.6900131</v>
      </c>
      <c r="Q211" s="114">
        <v>29441.6900131</v>
      </c>
      <c r="R211" s="114">
        <v>29441.6900131</v>
      </c>
      <c r="S211" s="114">
        <v>29441.6900131</v>
      </c>
      <c r="T211" s="114">
        <v>29441.6900131</v>
      </c>
      <c r="U211" s="114">
        <v>29441.6900131</v>
      </c>
      <c r="V211" s="114">
        <v>29441.6900131</v>
      </c>
      <c r="W211" s="114">
        <v>29441.6900131</v>
      </c>
      <c r="X211" s="114">
        <v>29441.6900131</v>
      </c>
      <c r="Y211" s="114">
        <v>29441.6900131</v>
      </c>
      <c r="Z211" s="114">
        <v>29441.6900131</v>
      </c>
      <c r="AA211" s="114">
        <v>353300.2801572</v>
      </c>
    </row>
    <row r="212" spans="10:27" ht="15" customHeight="1" x14ac:dyDescent="0.2">
      <c r="J212" s="100" t="str">
        <f xml:space="preserve"> _xll.EPMOlapMemberO("[COSTCENTER].[PARENTH1].[1001]","","1001","","000")</f>
        <v>1001</v>
      </c>
      <c r="K212" s="167" t="str">
        <f xml:space="preserve"> _xll.EPMOlapMemberO("[C_ACCOUNT].[PARENTH2].[A_6500810]","","A_6500810","","000")</f>
        <v>A_6500810</v>
      </c>
      <c r="L212" s="112" t="str">
        <f>_xll.EPMMemberDesc(K212)</f>
        <v>Transportation - Vehicle Depreciation Other</v>
      </c>
      <c r="M212" s="112">
        <v>2327144.2263000002</v>
      </c>
      <c r="N212" s="112">
        <v>2169010.4820225998</v>
      </c>
      <c r="O212" s="112">
        <v>158888.12885080001</v>
      </c>
      <c r="P212" s="112">
        <v>168132.01642560001</v>
      </c>
      <c r="Q212" s="112">
        <v>171916.98926520001</v>
      </c>
      <c r="R212" s="112">
        <v>174711.69440569999</v>
      </c>
      <c r="S212" s="112">
        <v>177507.79458779999</v>
      </c>
      <c r="T212" s="112">
        <v>179286.16710419999</v>
      </c>
      <c r="U212" s="112">
        <v>183839.3895542</v>
      </c>
      <c r="V212" s="112">
        <v>185994.30999079999</v>
      </c>
      <c r="W212" s="112">
        <v>188851.48241150001</v>
      </c>
      <c r="X212" s="112">
        <v>191018.0059356</v>
      </c>
      <c r="Y212" s="112">
        <v>193535.12978710001</v>
      </c>
      <c r="Z212" s="112">
        <v>195329.3737041</v>
      </c>
      <c r="AA212" s="112">
        <v>2169010.4820225998</v>
      </c>
    </row>
    <row r="213" spans="10:27" ht="15" customHeight="1" x14ac:dyDescent="0.2">
      <c r="J213" s="100" t="str">
        <f xml:space="preserve"> _xll.EPMOlapMemberO("[COSTCENTER].[PARENTH1].[1001]","","1001","","000")</f>
        <v>1001</v>
      </c>
      <c r="K213" s="167" t="str">
        <f xml:space="preserve"> _xll.EPMOlapMemberO("[C_ACCOUNT].[PARENTH2].[A_6508999]","","A_6508999","","000")</f>
        <v>A_6508999</v>
      </c>
      <c r="L213" s="112" t="str">
        <f>_xll.EPMMemberDesc(K213)</f>
        <v>Transportation Expense Reclass</v>
      </c>
      <c r="M213" s="112">
        <v>-2327144.2263000002</v>
      </c>
      <c r="N213" s="112">
        <v>-2169010.4820225998</v>
      </c>
      <c r="O213" s="112">
        <v>-158888.12885080001</v>
      </c>
      <c r="P213" s="112">
        <v>-168132.01642560001</v>
      </c>
      <c r="Q213" s="112">
        <v>-171916.98926520001</v>
      </c>
      <c r="R213" s="112">
        <v>-174711.69440569999</v>
      </c>
      <c r="S213" s="112">
        <v>-177507.79458779999</v>
      </c>
      <c r="T213" s="112">
        <v>-179286.16710419999</v>
      </c>
      <c r="U213" s="112">
        <v>-183839.3895542</v>
      </c>
      <c r="V213" s="112">
        <v>-185994.30999079999</v>
      </c>
      <c r="W213" s="112">
        <v>-188851.48241150001</v>
      </c>
      <c r="X213" s="112">
        <v>-191018.0059356</v>
      </c>
      <c r="Y213" s="112">
        <v>-193535.12978710001</v>
      </c>
      <c r="Z213" s="112">
        <v>-195329.3737041</v>
      </c>
      <c r="AA213" s="112">
        <v>-2169010.4820225998</v>
      </c>
    </row>
    <row r="214" spans="10:27" ht="15" customHeight="1" x14ac:dyDescent="0.2">
      <c r="J214" s="100" t="str">
        <f xml:space="preserve"> _xll.EPMOlapMemberO("[COSTCENTER].[PARENTH1].[1001]","","1001","","000")</f>
        <v>1001</v>
      </c>
      <c r="K214" s="167" t="str">
        <f xml:space="preserve"> _xll.EPMOlapMemberO("[C_ACCOUNT].[PARENTH2].[A_S6500000]","","A_S6500000","","000")</f>
        <v>A_S6500000</v>
      </c>
      <c r="L214" s="112" t="str">
        <f>_xll.EPMMemberDesc(K214)</f>
        <v>Settled Transportation Expense</v>
      </c>
      <c r="M214" s="112">
        <v>127740.4282728</v>
      </c>
      <c r="N214" s="112">
        <v>127740.4282728</v>
      </c>
      <c r="O214" s="112">
        <v>10645.0356894</v>
      </c>
      <c r="P214" s="112">
        <v>10645.0356894</v>
      </c>
      <c r="Q214" s="112">
        <v>10645.0356894</v>
      </c>
      <c r="R214" s="112">
        <v>10645.0356894</v>
      </c>
      <c r="S214" s="112">
        <v>10645.0356894</v>
      </c>
      <c r="T214" s="112">
        <v>10645.0356894</v>
      </c>
      <c r="U214" s="112">
        <v>10645.0356894</v>
      </c>
      <c r="V214" s="112">
        <v>10645.0356894</v>
      </c>
      <c r="W214" s="112">
        <v>10645.0356894</v>
      </c>
      <c r="X214" s="112">
        <v>10645.0356894</v>
      </c>
      <c r="Y214" s="112">
        <v>10645.0356894</v>
      </c>
      <c r="Z214" s="112">
        <v>10645.0356894</v>
      </c>
      <c r="AA214" s="112">
        <v>127740.4282728</v>
      </c>
    </row>
    <row r="215" spans="10:27" ht="15" customHeight="1" x14ac:dyDescent="0.2">
      <c r="J215" s="100" t="str">
        <f xml:space="preserve"> _xll.EPMOlapMemberO("[COSTCENTER].[PARENTH1].[1001]","","1001","","000")</f>
        <v>1001</v>
      </c>
      <c r="K215" s="167" t="str">
        <f xml:space="preserve"> _xll.EPMOlapMemberO("[C_ACCOUNT].[PARENTH2].[A_S6500010]","","A_S6500010","","000")</f>
        <v>A_S6500010</v>
      </c>
      <c r="L215" s="112" t="str">
        <f>_xll.EPMMemberDesc(K215)</f>
        <v>Settled Transportation - Vehicle expense</v>
      </c>
      <c r="M215" s="112">
        <v>220759.85183999999</v>
      </c>
      <c r="N215" s="112">
        <v>220759.85188440001</v>
      </c>
      <c r="O215" s="112">
        <v>18396.654323700001</v>
      </c>
      <c r="P215" s="112">
        <v>18396.654323700001</v>
      </c>
      <c r="Q215" s="112">
        <v>18396.654323700001</v>
      </c>
      <c r="R215" s="112">
        <v>18396.654323700001</v>
      </c>
      <c r="S215" s="112">
        <v>18396.654323700001</v>
      </c>
      <c r="T215" s="112">
        <v>18396.654323700001</v>
      </c>
      <c r="U215" s="112">
        <v>18396.654323700001</v>
      </c>
      <c r="V215" s="112">
        <v>18396.654323700001</v>
      </c>
      <c r="W215" s="112">
        <v>18396.654323700001</v>
      </c>
      <c r="X215" s="112">
        <v>18396.654323700001</v>
      </c>
      <c r="Y215" s="112">
        <v>18396.654323700001</v>
      </c>
      <c r="Z215" s="112">
        <v>18396.654323700001</v>
      </c>
      <c r="AA215" s="112">
        <v>220759.85188440001</v>
      </c>
    </row>
    <row r="216" spans="10:27" ht="15" customHeight="1" x14ac:dyDescent="0.2">
      <c r="J216" s="100" t="str">
        <f xml:space="preserve"> _xll.EPMOlapMemberO("[COSTCENTER].[PARENTH1].[1001]","","1001","","000")</f>
        <v>1001</v>
      </c>
      <c r="K216" s="167" t="str">
        <f xml:space="preserve"> _xll.EPMOlapMemberO("[C_ACCOUNT].[PARENTH2].[A_S6500015]","","A_S6500015","","000")</f>
        <v>A_S6500015</v>
      </c>
      <c r="L216" s="112" t="str">
        <f>_xll.EPMMemberDesc(K216)</f>
        <v>Settled Transportation - Vehicle Gas</v>
      </c>
      <c r="M216" s="112">
        <v>4800</v>
      </c>
      <c r="N216" s="112">
        <v>4800</v>
      </c>
      <c r="O216" s="112">
        <v>400</v>
      </c>
      <c r="P216" s="112">
        <v>400</v>
      </c>
      <c r="Q216" s="112">
        <v>400</v>
      </c>
      <c r="R216" s="112">
        <v>400</v>
      </c>
      <c r="S216" s="112">
        <v>400</v>
      </c>
      <c r="T216" s="112">
        <v>400</v>
      </c>
      <c r="U216" s="112">
        <v>400</v>
      </c>
      <c r="V216" s="112">
        <v>400</v>
      </c>
      <c r="W216" s="112">
        <v>400</v>
      </c>
      <c r="X216" s="112">
        <v>400</v>
      </c>
      <c r="Y216" s="112">
        <v>400</v>
      </c>
      <c r="Z216" s="112">
        <v>400</v>
      </c>
      <c r="AA216" s="112">
        <v>4800</v>
      </c>
    </row>
    <row r="217" spans="10:27" ht="15" customHeight="1" x14ac:dyDescent="0.2">
      <c r="J217" s="115" t="str">
        <f xml:space="preserve"> _xll.EPMOlapMemberO("[COSTCENTER].[PARENTH1].[1001]","","1001","","000")</f>
        <v>1001</v>
      </c>
      <c r="K217" s="165" t="str">
        <f xml:space="preserve"> _xll.EPMOlapMemberO("[C_ACCOUNT].[PARENTH2].[UTILITIES_RC]","","UTILITIES_RC","","000")</f>
        <v>UTILITIES_RC</v>
      </c>
      <c r="L217" s="115" t="str">
        <f>_xll.EPMMemberDesc(K217)</f>
        <v>Utilities</v>
      </c>
      <c r="M217" s="114">
        <v>2714312.5910097999</v>
      </c>
      <c r="N217" s="114">
        <v>2714312.590911</v>
      </c>
      <c r="O217" s="114">
        <v>226133.7566157</v>
      </c>
      <c r="P217" s="114">
        <v>225533.7566157</v>
      </c>
      <c r="Q217" s="114">
        <v>225285.4166157</v>
      </c>
      <c r="R217" s="114">
        <v>225589.42733589999</v>
      </c>
      <c r="S217" s="114">
        <v>225689.42733589999</v>
      </c>
      <c r="T217" s="114">
        <v>226596.10733589999</v>
      </c>
      <c r="U217" s="114">
        <v>226771.53805599999</v>
      </c>
      <c r="V217" s="114">
        <v>226841.53805599999</v>
      </c>
      <c r="W217" s="114">
        <v>226541.53805599999</v>
      </c>
      <c r="X217" s="114">
        <v>226141.53805599999</v>
      </c>
      <c r="Y217" s="114">
        <v>226341.55805600001</v>
      </c>
      <c r="Z217" s="114">
        <v>226846.98877620001</v>
      </c>
      <c r="AA217" s="114">
        <v>2714312.590911</v>
      </c>
    </row>
    <row r="218" spans="10:27" ht="15" customHeight="1" x14ac:dyDescent="0.2">
      <c r="J218" s="100" t="str">
        <f xml:space="preserve"> _xll.EPMOlapMemberO("[COSTCENTER].[PARENTH1].[1001]","","1001","","000")</f>
        <v>1001</v>
      </c>
      <c r="K218" s="167" t="str">
        <f xml:space="preserve"> _xll.EPMOlapMemberO("[C_ACCOUNT].[PARENTH2].[A_6730030]","","A_6730030","","000")</f>
        <v>A_6730030</v>
      </c>
      <c r="L218" s="112" t="str">
        <f>_xll.EPMMemberDesc(K218)</f>
        <v>Utilities - Telecom</v>
      </c>
      <c r="M218" s="112">
        <v>131543.072021</v>
      </c>
      <c r="N218" s="112">
        <v>131543.07201820001</v>
      </c>
      <c r="O218" s="112">
        <v>10598.015041299999</v>
      </c>
      <c r="P218" s="112">
        <v>10598.015041299999</v>
      </c>
      <c r="Q218" s="112">
        <v>10598.015041299999</v>
      </c>
      <c r="R218" s="112">
        <v>10923.445761499999</v>
      </c>
      <c r="S218" s="112">
        <v>10923.445761499999</v>
      </c>
      <c r="T218" s="112">
        <v>10923.445761499999</v>
      </c>
      <c r="U218" s="112">
        <v>11128.8764816</v>
      </c>
      <c r="V218" s="112">
        <v>11128.8764816</v>
      </c>
      <c r="W218" s="112">
        <v>11128.8764816</v>
      </c>
      <c r="X218" s="112">
        <v>11128.8764816</v>
      </c>
      <c r="Y218" s="112">
        <v>11128.8764816</v>
      </c>
      <c r="Z218" s="112">
        <v>11334.3072018</v>
      </c>
      <c r="AA218" s="112">
        <v>131543.07201820001</v>
      </c>
    </row>
    <row r="219" spans="10:27" ht="15" customHeight="1" x14ac:dyDescent="0.2">
      <c r="J219" s="100" t="str">
        <f xml:space="preserve"> _xll.EPMOlapMemberO("[COSTCENTER].[PARENTH1].[1001]","","1001","","000")</f>
        <v>1001</v>
      </c>
      <c r="K219" s="167" t="str">
        <f xml:space="preserve"> _xll.EPMOlapMemberO("[C_ACCOUNT].[PARENTH2].[A_6730800]","","A_6730800","","000")</f>
        <v>A_6730800</v>
      </c>
      <c r="L219" s="112" t="str">
        <f>_xll.EPMMemberDesc(K219)</f>
        <v>Utilities - Other</v>
      </c>
      <c r="M219" s="112">
        <v>7900</v>
      </c>
      <c r="N219" s="112">
        <v>7900</v>
      </c>
      <c r="O219" s="112">
        <v>1200</v>
      </c>
      <c r="P219" s="112">
        <v>600</v>
      </c>
      <c r="Q219" s="112">
        <v>300</v>
      </c>
      <c r="R219" s="112">
        <v>300</v>
      </c>
      <c r="S219" s="112">
        <v>400</v>
      </c>
      <c r="T219" s="112">
        <v>900</v>
      </c>
      <c r="U219" s="112">
        <v>900</v>
      </c>
      <c r="V219" s="112">
        <v>1000</v>
      </c>
      <c r="W219" s="112">
        <v>700</v>
      </c>
      <c r="X219" s="112">
        <v>300</v>
      </c>
      <c r="Y219" s="112">
        <v>500</v>
      </c>
      <c r="Z219" s="112">
        <v>800</v>
      </c>
      <c r="AA219" s="112">
        <v>7900</v>
      </c>
    </row>
    <row r="220" spans="10:27" ht="15" customHeight="1" x14ac:dyDescent="0.2">
      <c r="J220" s="100" t="str">
        <f xml:space="preserve"> _xll.EPMOlapMemberO("[COSTCENTER].[PARENTH1].[1001]","","1001","","000")</f>
        <v>1001</v>
      </c>
      <c r="K220" s="167" t="str">
        <f xml:space="preserve"> _xll.EPMOlapMemberO("[C_ACCOUNT].[PARENTH2].[A_S6730000]","","A_S6730000","","000")</f>
        <v>A_S6730000</v>
      </c>
      <c r="L220" s="112" t="str">
        <f>_xll.EPMMemberDesc(K220)</f>
        <v>Settled Utilities Expense</v>
      </c>
      <c r="M220" s="112">
        <v>16887.949236</v>
      </c>
      <c r="N220" s="112">
        <v>16887.949234799999</v>
      </c>
      <c r="O220" s="112">
        <v>1407.3291029</v>
      </c>
      <c r="P220" s="112">
        <v>1407.3291029</v>
      </c>
      <c r="Q220" s="112">
        <v>1407.3291029</v>
      </c>
      <c r="R220" s="112">
        <v>1407.3291029</v>
      </c>
      <c r="S220" s="112">
        <v>1407.3291029</v>
      </c>
      <c r="T220" s="112">
        <v>1407.3291029</v>
      </c>
      <c r="U220" s="112">
        <v>1407.3291029</v>
      </c>
      <c r="V220" s="112">
        <v>1407.3291029</v>
      </c>
      <c r="W220" s="112">
        <v>1407.3291029</v>
      </c>
      <c r="X220" s="112">
        <v>1407.3291029</v>
      </c>
      <c r="Y220" s="112">
        <v>1407.3291029</v>
      </c>
      <c r="Z220" s="112">
        <v>1407.3291029</v>
      </c>
      <c r="AA220" s="112">
        <v>16887.949234799999</v>
      </c>
    </row>
    <row r="221" spans="10:27" ht="15" customHeight="1" x14ac:dyDescent="0.2">
      <c r="J221" s="100" t="str">
        <f xml:space="preserve"> _xll.EPMOlapMemberO("[COSTCENTER].[PARENTH1].[1001]","","1001","","000")</f>
        <v>1001</v>
      </c>
      <c r="K221" s="167" t="str">
        <f xml:space="preserve"> _xll.EPMOlapMemberO("[C_ACCOUNT].[PARENTH2].[A_S6730010]","","A_S6730010","","000")</f>
        <v>A_S6730010</v>
      </c>
      <c r="L221" s="112" t="str">
        <f>_xll.EPMMemberDesc(K221)</f>
        <v>Settled Utilities - Electricity</v>
      </c>
      <c r="M221" s="112">
        <v>600</v>
      </c>
      <c r="N221" s="112">
        <v>600</v>
      </c>
      <c r="O221" s="112">
        <v>50</v>
      </c>
      <c r="P221" s="112">
        <v>50</v>
      </c>
      <c r="Q221" s="112">
        <v>50</v>
      </c>
      <c r="R221" s="112">
        <v>50</v>
      </c>
      <c r="S221" s="112">
        <v>50</v>
      </c>
      <c r="T221" s="112">
        <v>50</v>
      </c>
      <c r="U221" s="112">
        <v>50</v>
      </c>
      <c r="V221" s="112">
        <v>50</v>
      </c>
      <c r="W221" s="112">
        <v>50</v>
      </c>
      <c r="X221" s="112">
        <v>50</v>
      </c>
      <c r="Y221" s="112">
        <v>50</v>
      </c>
      <c r="Z221" s="112">
        <v>50</v>
      </c>
      <c r="AA221" s="112">
        <v>600</v>
      </c>
    </row>
    <row r="222" spans="10:27" ht="15" customHeight="1" x14ac:dyDescent="0.2">
      <c r="J222" s="100" t="str">
        <f xml:space="preserve"> _xll.EPMOlapMemberO("[COSTCENTER].[PARENTH1].[1001]","","1001","","000")</f>
        <v>1001</v>
      </c>
      <c r="K222" s="167" t="str">
        <f xml:space="preserve"> _xll.EPMOlapMemberO("[C_ACCOUNT].[PARENTH2].[A_S6730030]","","A_S6730030","","000")</f>
        <v>A_S6730030</v>
      </c>
      <c r="L222" s="112" t="str">
        <f>_xll.EPMMemberDesc(K222)</f>
        <v>Settled Utilities - Telecom</v>
      </c>
      <c r="M222" s="112">
        <v>2606687.6225728001</v>
      </c>
      <c r="N222" s="112">
        <v>2606687.6225176002</v>
      </c>
      <c r="O222" s="112">
        <v>216987.2502098</v>
      </c>
      <c r="P222" s="112">
        <v>216987.2502098</v>
      </c>
      <c r="Q222" s="112">
        <v>217038.9102098</v>
      </c>
      <c r="R222" s="112">
        <v>217017.49020979999</v>
      </c>
      <c r="S222" s="112">
        <v>217017.49020979999</v>
      </c>
      <c r="T222" s="112">
        <v>217424.17020980001</v>
      </c>
      <c r="U222" s="112">
        <v>217394.17020980001</v>
      </c>
      <c r="V222" s="112">
        <v>217364.17020980001</v>
      </c>
      <c r="W222" s="112">
        <v>217364.17020980001</v>
      </c>
      <c r="X222" s="112">
        <v>217364.17020980001</v>
      </c>
      <c r="Y222" s="112">
        <v>217364.1902098</v>
      </c>
      <c r="Z222" s="112">
        <v>217364.1902098</v>
      </c>
      <c r="AA222" s="112">
        <v>2606687.6225176002</v>
      </c>
    </row>
    <row r="223" spans="10:27" ht="15" customHeight="1" x14ac:dyDescent="0.2">
      <c r="J223" s="100" t="str">
        <f xml:space="preserve"> _xll.EPMOlapMemberO("[COSTCENTER].[PARENTH1].[1001]","","1001","","000")</f>
        <v>1001</v>
      </c>
      <c r="K223" s="167" t="str">
        <f xml:space="preserve"> _xll.EPMOlapMemberO("[C_ACCOUNT].[PARENTH2].[A_S6730800]","","A_S6730800","","000")</f>
        <v>A_S6730800</v>
      </c>
      <c r="L223" s="112" t="str">
        <f>_xll.EPMMemberDesc(K223)</f>
        <v>Settled Utilities - Other</v>
      </c>
      <c r="M223" s="112">
        <v>-49306.052819999997</v>
      </c>
      <c r="N223" s="112">
        <v>-49306.0528596</v>
      </c>
      <c r="O223" s="112">
        <v>-4108.8377382999997</v>
      </c>
      <c r="P223" s="112">
        <v>-4108.8377382999997</v>
      </c>
      <c r="Q223" s="112">
        <v>-4108.8377382999997</v>
      </c>
      <c r="R223" s="112">
        <v>-4108.8377382999997</v>
      </c>
      <c r="S223" s="112">
        <v>-4108.8377382999997</v>
      </c>
      <c r="T223" s="112">
        <v>-4108.8377382999997</v>
      </c>
      <c r="U223" s="112">
        <v>-4108.8377382999997</v>
      </c>
      <c r="V223" s="112">
        <v>-4108.8377382999997</v>
      </c>
      <c r="W223" s="112">
        <v>-4108.8377382999997</v>
      </c>
      <c r="X223" s="112">
        <v>-4108.8377382999997</v>
      </c>
      <c r="Y223" s="112">
        <v>-4108.8377382999997</v>
      </c>
      <c r="Z223" s="112">
        <v>-4108.8377382999997</v>
      </c>
      <c r="AA223" s="112">
        <v>-49306.0528596</v>
      </c>
    </row>
    <row r="224" spans="10:27" ht="15" customHeight="1" x14ac:dyDescent="0.2">
      <c r="J224" s="115" t="str">
        <f xml:space="preserve"> _xll.EPMOlapMemberO("[COSTCENTER].[PARENTH1].[1001]","","1001","","000")</f>
        <v>1001</v>
      </c>
      <c r="K224" s="165" t="str">
        <f xml:space="preserve"> _xll.EPMOlapMemberO("[C_ACCOUNT].[PARENTH2].[MISC_BILEXP_RC]","","MISC_BILEXP_RC","","000")</f>
        <v>MISC_BILEXP_RC</v>
      </c>
      <c r="L224" s="115" t="str">
        <f>_xll.EPMMemberDesc(K224)</f>
        <v>Miscellaneous Billing Expense</v>
      </c>
      <c r="M224" s="114">
        <v>-1128494.6040204</v>
      </c>
      <c r="N224" s="114">
        <v>-1128873.1839984001</v>
      </c>
      <c r="O224" s="114">
        <v>-94072.765333200005</v>
      </c>
      <c r="P224" s="114">
        <v>-94072.765333200005</v>
      </c>
      <c r="Q224" s="114">
        <v>-94072.765333200005</v>
      </c>
      <c r="R224" s="114">
        <v>-94072.765333200005</v>
      </c>
      <c r="S224" s="114">
        <v>-94072.765333200005</v>
      </c>
      <c r="T224" s="114">
        <v>-94072.765333200005</v>
      </c>
      <c r="U224" s="114">
        <v>-94072.765333200005</v>
      </c>
      <c r="V224" s="114">
        <v>-94072.765333200005</v>
      </c>
      <c r="W224" s="114">
        <v>-94072.765333200005</v>
      </c>
      <c r="X224" s="114">
        <v>-94072.765333200005</v>
      </c>
      <c r="Y224" s="114">
        <v>-94072.765333200005</v>
      </c>
      <c r="Z224" s="114">
        <v>-94072.765333200005</v>
      </c>
      <c r="AA224" s="114">
        <v>-1128873.1839984001</v>
      </c>
    </row>
    <row r="225" spans="10:27" ht="15" customHeight="1" x14ac:dyDescent="0.2">
      <c r="J225" s="100" t="str">
        <f xml:space="preserve"> _xll.EPMOlapMemberO("[COSTCENTER].[PARENTH1].[1001]","","1001","","000")</f>
        <v>1001</v>
      </c>
      <c r="K225" s="167" t="str">
        <f xml:space="preserve"> _xll.EPMOlapMemberO("[C_ACCOUNT].[PARENTH2].[A_6780800]","","A_6780800","","000")</f>
        <v>A_6780800</v>
      </c>
      <c r="L225" s="112" t="str">
        <f>_xll.EPMMemberDesc(K225)</f>
        <v>Miscellaneous Billing Exp General</v>
      </c>
      <c r="M225" s="112">
        <v>0</v>
      </c>
      <c r="N225" s="112">
        <v>-305000.0000004</v>
      </c>
      <c r="O225" s="112">
        <v>-25416.666666699999</v>
      </c>
      <c r="P225" s="112">
        <v>-25416.666666699999</v>
      </c>
      <c r="Q225" s="112">
        <v>-25416.666666699999</v>
      </c>
      <c r="R225" s="112">
        <v>-25416.666666699999</v>
      </c>
      <c r="S225" s="112">
        <v>-25416.666666699999</v>
      </c>
      <c r="T225" s="112">
        <v>-25416.666666699999</v>
      </c>
      <c r="U225" s="112">
        <v>-25416.666666699999</v>
      </c>
      <c r="V225" s="112">
        <v>-25416.666666699999</v>
      </c>
      <c r="W225" s="112">
        <v>-25416.666666699999</v>
      </c>
      <c r="X225" s="112">
        <v>-25416.666666699999</v>
      </c>
      <c r="Y225" s="112">
        <v>-25416.666666699999</v>
      </c>
      <c r="Z225" s="112">
        <v>-25416.666666699999</v>
      </c>
      <c r="AA225" s="112">
        <v>-305000.0000004</v>
      </c>
    </row>
    <row r="226" spans="10:27" ht="15" customHeight="1" x14ac:dyDescent="0.2">
      <c r="J226" s="100" t="str">
        <f xml:space="preserve"> _xll.EPMOlapMemberO("[COSTCENTER].[PARENTH1].[1001]","","1001","","000")</f>
        <v>1001</v>
      </c>
      <c r="K226" s="167" t="str">
        <f xml:space="preserve"> _xll.EPMOlapMemberO("[C_ACCOUNT].[PARENTH2].[A_S6780000]","","A_S6780000","","000")</f>
        <v>A_S6780000</v>
      </c>
      <c r="L226" s="112" t="str">
        <f>_xll.EPMMemberDesc(K226)</f>
        <v>Settled Miscellaneous Billing Expense</v>
      </c>
      <c r="M226" s="112">
        <v>-21600</v>
      </c>
      <c r="N226" s="112">
        <v>-21600</v>
      </c>
      <c r="O226" s="112">
        <v>-1800</v>
      </c>
      <c r="P226" s="112">
        <v>-1800</v>
      </c>
      <c r="Q226" s="112">
        <v>-1800</v>
      </c>
      <c r="R226" s="112">
        <v>-1800</v>
      </c>
      <c r="S226" s="112">
        <v>-1800</v>
      </c>
      <c r="T226" s="112">
        <v>-1800</v>
      </c>
      <c r="U226" s="112">
        <v>-1800</v>
      </c>
      <c r="V226" s="112">
        <v>-1800</v>
      </c>
      <c r="W226" s="112">
        <v>-1800</v>
      </c>
      <c r="X226" s="112">
        <v>-1800</v>
      </c>
      <c r="Y226" s="112">
        <v>-1800</v>
      </c>
      <c r="Z226" s="112">
        <v>-1800</v>
      </c>
      <c r="AA226" s="112">
        <v>-21600</v>
      </c>
    </row>
    <row r="227" spans="10:27" ht="15" customHeight="1" x14ac:dyDescent="0.2">
      <c r="J227" s="100" t="str">
        <f xml:space="preserve"> _xll.EPMOlapMemberO("[COSTCENTER].[PARENTH1].[1001]","","1001","","000")</f>
        <v>1001</v>
      </c>
      <c r="K227" s="167" t="str">
        <f xml:space="preserve"> _xll.EPMOlapMemberO("[C_ACCOUNT].[PARENTH2].[A_S6780040]","","A_S6780040","","000")</f>
        <v>A_S6780040</v>
      </c>
      <c r="L227" s="112" t="str">
        <f>_xll.EPMMemberDesc(K227)</f>
        <v>Settled Miscellaneous Billing Exp Damaged Facili</v>
      </c>
      <c r="M227" s="112">
        <v>-699515.12594039994</v>
      </c>
      <c r="N227" s="112">
        <v>-699515.12599800003</v>
      </c>
      <c r="O227" s="112">
        <v>-58292.927166499998</v>
      </c>
      <c r="P227" s="112">
        <v>-58292.927166499998</v>
      </c>
      <c r="Q227" s="112">
        <v>-58292.927166499998</v>
      </c>
      <c r="R227" s="112">
        <v>-58292.927166499998</v>
      </c>
      <c r="S227" s="112">
        <v>-58292.927166499998</v>
      </c>
      <c r="T227" s="112">
        <v>-58292.927166499998</v>
      </c>
      <c r="U227" s="112">
        <v>-58292.927166499998</v>
      </c>
      <c r="V227" s="112">
        <v>-58292.927166499998</v>
      </c>
      <c r="W227" s="112">
        <v>-58292.927166499998</v>
      </c>
      <c r="X227" s="112">
        <v>-58292.927166499998</v>
      </c>
      <c r="Y227" s="112">
        <v>-58292.927166499998</v>
      </c>
      <c r="Z227" s="112">
        <v>-58292.927166499998</v>
      </c>
      <c r="AA227" s="112">
        <v>-699515.12599800003</v>
      </c>
    </row>
    <row r="228" spans="10:27" ht="15" customHeight="1" x14ac:dyDescent="0.2">
      <c r="J228" s="100" t="str">
        <f xml:space="preserve"> _xll.EPMOlapMemberO("[COSTCENTER].[PARENTH1].[1001]","","1001","","000")</f>
        <v>1001</v>
      </c>
      <c r="K228" s="167" t="str">
        <f xml:space="preserve"> _xll.EPMOlapMemberO("[C_ACCOUNT].[PARENTH2].[A_S6780800]","","A_S6780800","","000")</f>
        <v>A_S6780800</v>
      </c>
      <c r="L228" s="112" t="str">
        <f>_xll.EPMMemberDesc(K228)</f>
        <v>Settled Miscellaneous Billing Exp General</v>
      </c>
      <c r="M228" s="112">
        <v>-407379.47807999997</v>
      </c>
      <c r="N228" s="112">
        <v>-102758.058</v>
      </c>
      <c r="O228" s="112">
        <v>-8563.1715000000004</v>
      </c>
      <c r="P228" s="112">
        <v>-8563.1715000000004</v>
      </c>
      <c r="Q228" s="112">
        <v>-8563.1715000000004</v>
      </c>
      <c r="R228" s="112">
        <v>-8563.1715000000004</v>
      </c>
      <c r="S228" s="112">
        <v>-8563.1715000000004</v>
      </c>
      <c r="T228" s="112">
        <v>-8563.1715000000004</v>
      </c>
      <c r="U228" s="112">
        <v>-8563.1715000000004</v>
      </c>
      <c r="V228" s="112">
        <v>-8563.1715000000004</v>
      </c>
      <c r="W228" s="112">
        <v>-8563.1715000000004</v>
      </c>
      <c r="X228" s="112">
        <v>-8563.1715000000004</v>
      </c>
      <c r="Y228" s="112">
        <v>-8563.1715000000004</v>
      </c>
      <c r="Z228" s="112">
        <v>-8563.1715000000004</v>
      </c>
      <c r="AA228" s="112">
        <v>-102758.058</v>
      </c>
    </row>
    <row r="229" spans="10:27" ht="15" customHeight="1" x14ac:dyDescent="0.2">
      <c r="J229" s="115" t="str">
        <f xml:space="preserve"> _xll.EPMOlapMemberO("[COSTCENTER].[PARENTH1].[1001]","","1001","","000")</f>
        <v>1001</v>
      </c>
      <c r="K229" s="165" t="str">
        <f xml:space="preserve"> _xll.EPMOlapMemberO("[C_ACCOUNT].[PARENTH2].[OTH_OP_RC]","","OTH_OP_RC","","000")</f>
        <v>OTH_OP_RC</v>
      </c>
      <c r="L229" s="115" t="str">
        <f>_xll.EPMMemberDesc(K229)</f>
        <v>Other Operational</v>
      </c>
      <c r="M229" s="114">
        <v>43582993.5543046</v>
      </c>
      <c r="N229" s="114">
        <v>42548268.137378499</v>
      </c>
      <c r="O229" s="114">
        <v>3671478.4095969</v>
      </c>
      <c r="P229" s="114">
        <v>3408388.5185460998</v>
      </c>
      <c r="Q229" s="114">
        <v>3827383.0247014002</v>
      </c>
      <c r="R229" s="114">
        <v>3457951.9057995998</v>
      </c>
      <c r="S229" s="114">
        <v>3424038.2503446001</v>
      </c>
      <c r="T229" s="114">
        <v>3658715.7890671999</v>
      </c>
      <c r="U229" s="114">
        <v>3567411.0654634</v>
      </c>
      <c r="V229" s="114">
        <v>3446312.0759447999</v>
      </c>
      <c r="W229" s="114">
        <v>3539517.7262132</v>
      </c>
      <c r="X229" s="114">
        <v>3507765.4816828999</v>
      </c>
      <c r="Y229" s="114">
        <v>3419052.1598064001</v>
      </c>
      <c r="Z229" s="114">
        <v>3620253.7302120002</v>
      </c>
      <c r="AA229" s="114">
        <v>42548268.137378499</v>
      </c>
    </row>
    <row r="230" spans="10:27" ht="15" customHeight="1" x14ac:dyDescent="0.2">
      <c r="J230" s="100" t="str">
        <f xml:space="preserve"> _xll.EPMOlapMemberO("[COSTCENTER].[PARENTH1].[1001]","","1001","","000")</f>
        <v>1001</v>
      </c>
      <c r="K230" s="167" t="str">
        <f xml:space="preserve"> _xll.EPMOlapMemberO("[C_ACCOUNT].[PARENTH2].[A_6790709]","","A_6790709","","000")</f>
        <v>A_6790709</v>
      </c>
      <c r="L230" s="112" t="str">
        <f>_xll.EPMMemberDesc(K230)</f>
        <v>Intercompany - Asset Usage Fee</v>
      </c>
      <c r="M230" s="112">
        <v>3602079.778715</v>
      </c>
      <c r="N230" s="112">
        <v>3602079.7785298</v>
      </c>
      <c r="O230" s="112">
        <v>278307.96429969999</v>
      </c>
      <c r="P230" s="112">
        <v>302876.71120740002</v>
      </c>
      <c r="Q230" s="112">
        <v>302879.26256880001</v>
      </c>
      <c r="R230" s="112">
        <v>302746.72605890001</v>
      </c>
      <c r="S230" s="112">
        <v>302746.72605890001</v>
      </c>
      <c r="T230" s="112">
        <v>302746.72605890001</v>
      </c>
      <c r="U230" s="112">
        <v>302746.72605890001</v>
      </c>
      <c r="V230" s="112">
        <v>302746.72605890001</v>
      </c>
      <c r="W230" s="112">
        <v>302189.52040709998</v>
      </c>
      <c r="X230" s="112">
        <v>300199.23035000003</v>
      </c>
      <c r="Y230" s="112">
        <v>300199.23035000003</v>
      </c>
      <c r="Z230" s="112">
        <v>301694.22905229998</v>
      </c>
      <c r="AA230" s="112">
        <v>3602079.7785298</v>
      </c>
    </row>
    <row r="231" spans="10:27" ht="15" customHeight="1" x14ac:dyDescent="0.2">
      <c r="J231" s="100" t="str">
        <f xml:space="preserve"> _xll.EPMOlapMemberO("[COSTCENTER].[PARENTH1].[1001]","","1001","","000")</f>
        <v>1001</v>
      </c>
      <c r="K231" s="167" t="str">
        <f xml:space="preserve"> _xll.EPMOlapMemberO("[C_ACCOUNT].[PARENTH2].[A_6790010]","","A_6790010","","000")</f>
        <v>A_6790010</v>
      </c>
      <c r="L231" s="112" t="str">
        <f>_xll.EPMMemberDesc(K231)</f>
        <v>Bad Debt Expense</v>
      </c>
      <c r="M231" s="112">
        <v>-594939.17819999997</v>
      </c>
      <c r="N231" s="112">
        <v>-594939.17825640005</v>
      </c>
      <c r="O231" s="112">
        <v>-49578.264854699999</v>
      </c>
      <c r="P231" s="112">
        <v>-49578.264854699999</v>
      </c>
      <c r="Q231" s="112">
        <v>-49578.264854699999</v>
      </c>
      <c r="R231" s="112">
        <v>-49578.264854699999</v>
      </c>
      <c r="S231" s="112">
        <v>-49578.264854699999</v>
      </c>
      <c r="T231" s="112">
        <v>-49578.264854699999</v>
      </c>
      <c r="U231" s="112">
        <v>-49578.264854699999</v>
      </c>
      <c r="V231" s="112">
        <v>-49578.264854699999</v>
      </c>
      <c r="W231" s="112">
        <v>-49578.264854699999</v>
      </c>
      <c r="X231" s="112">
        <v>-49578.264854699999</v>
      </c>
      <c r="Y231" s="112">
        <v>-49578.264854699999</v>
      </c>
      <c r="Z231" s="112">
        <v>-49578.264854699999</v>
      </c>
      <c r="AA231" s="112">
        <v>-594939.17825640005</v>
      </c>
    </row>
    <row r="232" spans="10:27" ht="15" customHeight="1" x14ac:dyDescent="0.2">
      <c r="J232" s="100" t="str">
        <f xml:space="preserve"> _xll.EPMOlapMemberO("[COSTCENTER].[PARENTH1].[1001]","","1001","","000")</f>
        <v>1001</v>
      </c>
      <c r="K232" s="167" t="str">
        <f xml:space="preserve"> _xll.EPMOlapMemberO("[C_ACCOUNT].[PARENTH2].[A_6790103]","","A_6790103","","000")</f>
        <v>A_6790103</v>
      </c>
      <c r="L232" s="112" t="str">
        <f>_xll.EPMMemberDesc(K232)</f>
        <v>Fees - Registration</v>
      </c>
      <c r="M232" s="112">
        <v>1200</v>
      </c>
      <c r="N232" s="112">
        <v>1200</v>
      </c>
      <c r="O232" s="112">
        <v>100</v>
      </c>
      <c r="P232" s="112">
        <v>100</v>
      </c>
      <c r="Q232" s="112">
        <v>100</v>
      </c>
      <c r="R232" s="112">
        <v>100</v>
      </c>
      <c r="S232" s="112">
        <v>100</v>
      </c>
      <c r="T232" s="112">
        <v>100</v>
      </c>
      <c r="U232" s="112">
        <v>100</v>
      </c>
      <c r="V232" s="112">
        <v>100</v>
      </c>
      <c r="W232" s="112">
        <v>100</v>
      </c>
      <c r="X232" s="112">
        <v>100</v>
      </c>
      <c r="Y232" s="112">
        <v>100</v>
      </c>
      <c r="Z232" s="112">
        <v>100</v>
      </c>
      <c r="AA232" s="112">
        <v>1200</v>
      </c>
    </row>
    <row r="233" spans="10:27" ht="15" customHeight="1" x14ac:dyDescent="0.2">
      <c r="J233" s="100" t="str">
        <f xml:space="preserve"> _xll.EPMOlapMemberO("[COSTCENTER].[PARENTH1].[1001]","","1001","","000")</f>
        <v>1001</v>
      </c>
      <c r="K233" s="167" t="str">
        <f xml:space="preserve"> _xll.EPMOlapMemberO("[C_ACCOUNT].[PARENTH2].[A_6790230]","","A_6790230","","000")</f>
        <v>A_6790230</v>
      </c>
      <c r="L233" s="112" t="str">
        <f>_xll.EPMMemberDesc(K233)</f>
        <v>Postage. Shipping and Courier</v>
      </c>
      <c r="M233" s="112">
        <v>900</v>
      </c>
      <c r="N233" s="112">
        <v>900</v>
      </c>
      <c r="O233" s="112">
        <v>75</v>
      </c>
      <c r="P233" s="112">
        <v>75</v>
      </c>
      <c r="Q233" s="112">
        <v>75</v>
      </c>
      <c r="R233" s="112">
        <v>75</v>
      </c>
      <c r="S233" s="112">
        <v>75</v>
      </c>
      <c r="T233" s="112">
        <v>75</v>
      </c>
      <c r="U233" s="112">
        <v>75</v>
      </c>
      <c r="V233" s="112">
        <v>75</v>
      </c>
      <c r="W233" s="112">
        <v>75</v>
      </c>
      <c r="X233" s="112">
        <v>75</v>
      </c>
      <c r="Y233" s="112">
        <v>75</v>
      </c>
      <c r="Z233" s="112">
        <v>75</v>
      </c>
      <c r="AA233" s="112">
        <v>900</v>
      </c>
    </row>
    <row r="234" spans="10:27" ht="15" customHeight="1" x14ac:dyDescent="0.2">
      <c r="J234" s="100" t="str">
        <f xml:space="preserve"> _xll.EPMOlapMemberO("[COSTCENTER].[PARENTH1].[1001]","","1001","","000")</f>
        <v>1001</v>
      </c>
      <c r="K234" s="167" t="str">
        <f xml:space="preserve"> _xll.EPMOlapMemberO("[C_ACCOUNT].[PARENTH2].[A_6790250]","","A_6790250","","000")</f>
        <v>A_6790250</v>
      </c>
      <c r="L234" s="112" t="str">
        <f>_xll.EPMMemberDesc(K234)</f>
        <v>Energy Conservation Allowances</v>
      </c>
      <c r="M234" s="112">
        <v>19384728.960000001</v>
      </c>
      <c r="N234" s="112">
        <v>19384728.960000001</v>
      </c>
      <c r="O234" s="112">
        <v>1615394.08</v>
      </c>
      <c r="P234" s="112">
        <v>1615394.08</v>
      </c>
      <c r="Q234" s="112">
        <v>1615394.08</v>
      </c>
      <c r="R234" s="112">
        <v>1615394.08</v>
      </c>
      <c r="S234" s="112">
        <v>1615394.08</v>
      </c>
      <c r="T234" s="112">
        <v>1615394.08</v>
      </c>
      <c r="U234" s="112">
        <v>1615394.08</v>
      </c>
      <c r="V234" s="112">
        <v>1615394.08</v>
      </c>
      <c r="W234" s="112">
        <v>1615394.08</v>
      </c>
      <c r="X234" s="112">
        <v>1615394.08</v>
      </c>
      <c r="Y234" s="112">
        <v>1615394.08</v>
      </c>
      <c r="Z234" s="112">
        <v>1615394.08</v>
      </c>
      <c r="AA234" s="112">
        <v>19384728.960000001</v>
      </c>
    </row>
    <row r="235" spans="10:27" ht="15" customHeight="1" x14ac:dyDescent="0.2">
      <c r="J235" s="100" t="str">
        <f xml:space="preserve"> _xll.EPMOlapMemberO("[COSTCENTER].[PARENTH1].[1001]","","1001","","000")</f>
        <v>1001</v>
      </c>
      <c r="K235" s="167" t="str">
        <f xml:space="preserve"> _xll.EPMOlapMemberO("[C_ACCOUNT].[PARENTH2].[A_6790255]","","A_6790255","","000")</f>
        <v>A_6790255</v>
      </c>
      <c r="L235" s="112" t="str">
        <f>_xll.EPMMemberDesc(K235)</f>
        <v>Selling and Marketing Expense</v>
      </c>
      <c r="M235" s="112">
        <v>181213.72341999999</v>
      </c>
      <c r="N235" s="112">
        <v>181213.7234012</v>
      </c>
      <c r="O235" s="112">
        <v>12684.960638099999</v>
      </c>
      <c r="P235" s="112">
        <v>12684.960638099999</v>
      </c>
      <c r="Q235" s="112">
        <v>12684.960638099999</v>
      </c>
      <c r="R235" s="112">
        <v>14497.097872099999</v>
      </c>
      <c r="S235" s="112">
        <v>14497.097872099999</v>
      </c>
      <c r="T235" s="112">
        <v>14497.097872099999</v>
      </c>
      <c r="U235" s="112">
        <v>16309.235106100001</v>
      </c>
      <c r="V235" s="112">
        <v>16309.235106100001</v>
      </c>
      <c r="W235" s="112">
        <v>16309.235106100001</v>
      </c>
      <c r="X235" s="112">
        <v>16309.235106100001</v>
      </c>
      <c r="Y235" s="112">
        <v>16309.235106100001</v>
      </c>
      <c r="Z235" s="112">
        <v>18121.372340099999</v>
      </c>
      <c r="AA235" s="112">
        <v>181213.7234012</v>
      </c>
    </row>
    <row r="236" spans="10:27" ht="15" customHeight="1" x14ac:dyDescent="0.2">
      <c r="J236" s="100" t="str">
        <f xml:space="preserve"> _xll.EPMOlapMemberO("[COSTCENTER].[PARENTH1].[1001]","","1001","","000")</f>
        <v>1001</v>
      </c>
      <c r="K236" s="167" t="str">
        <f xml:space="preserve"> _xll.EPMOlapMemberO("[C_ACCOUNT].[PARENTH2].[A_6790310]","","A_6790310","","000")</f>
        <v>A_6790310</v>
      </c>
      <c r="L236" s="112" t="str">
        <f>_xll.EPMMemberDesc(K236)</f>
        <v>A&amp;G Allocated to Capital</v>
      </c>
      <c r="M236" s="112">
        <v>-527328</v>
      </c>
      <c r="N236" s="112">
        <v>0</v>
      </c>
      <c r="O236" s="112">
        <v>0</v>
      </c>
      <c r="P236" s="112">
        <v>0</v>
      </c>
      <c r="Q236" s="112">
        <v>0</v>
      </c>
      <c r="R236" s="112">
        <v>0</v>
      </c>
      <c r="S236" s="112">
        <v>0</v>
      </c>
      <c r="T236" s="112">
        <v>0</v>
      </c>
      <c r="U236" s="112">
        <v>0</v>
      </c>
      <c r="V236" s="112">
        <v>0</v>
      </c>
      <c r="W236" s="112">
        <v>0</v>
      </c>
      <c r="X236" s="112">
        <v>0</v>
      </c>
      <c r="Y236" s="112">
        <v>0</v>
      </c>
      <c r="Z236" s="112">
        <v>0</v>
      </c>
      <c r="AA236" s="112">
        <v>0</v>
      </c>
    </row>
    <row r="237" spans="10:27" ht="15" customHeight="1" x14ac:dyDescent="0.2">
      <c r="J237" s="100" t="str">
        <f xml:space="preserve"> _xll.EPMOlapMemberO("[COSTCENTER].[PARENTH1].[1001]","","1001","","000")</f>
        <v>1001</v>
      </c>
      <c r="K237" s="167" t="str">
        <f xml:space="preserve"> _xll.EPMOlapMemberO("[C_ACCOUNT].[PARENTH2].[A_6790320]","","A_6790320","","000")</f>
        <v>A_6790320</v>
      </c>
      <c r="L237" s="112" t="str">
        <f>_xll.EPMMemberDesc(K237)</f>
        <v>Fleet Allocation</v>
      </c>
      <c r="M237" s="112">
        <v>0</v>
      </c>
      <c r="N237" s="112">
        <v>-583000.43146800005</v>
      </c>
      <c r="O237" s="112">
        <v>-48583.369289000002</v>
      </c>
      <c r="P237" s="112">
        <v>-48583.369289000002</v>
      </c>
      <c r="Q237" s="112">
        <v>-48583.369289000002</v>
      </c>
      <c r="R237" s="112">
        <v>-48583.369289000002</v>
      </c>
      <c r="S237" s="112">
        <v>-48583.369289000002</v>
      </c>
      <c r="T237" s="112">
        <v>-48583.369289000002</v>
      </c>
      <c r="U237" s="112">
        <v>-48583.369289000002</v>
      </c>
      <c r="V237" s="112">
        <v>-48583.369289000002</v>
      </c>
      <c r="W237" s="112">
        <v>-48583.369289000002</v>
      </c>
      <c r="X237" s="112">
        <v>-48583.369289000002</v>
      </c>
      <c r="Y237" s="112">
        <v>-48583.369289000002</v>
      </c>
      <c r="Z237" s="112">
        <v>-48583.369289000002</v>
      </c>
      <c r="AA237" s="112">
        <v>-583000.43146800005</v>
      </c>
    </row>
    <row r="238" spans="10:27" ht="15" customHeight="1" x14ac:dyDescent="0.2">
      <c r="J238" s="100" t="str">
        <f xml:space="preserve"> _xll.EPMOlapMemberO("[COSTCENTER].[PARENTH1].[1001]","","1001","","000")</f>
        <v>1001</v>
      </c>
      <c r="K238" s="167" t="str">
        <f xml:space="preserve"> _xll.EPMOlapMemberO("[C_ACCOUNT].[PARENTH2].[A_6790700]","","A_6790700","","000")</f>
        <v>A_6790700</v>
      </c>
      <c r="L238" s="112" t="str">
        <f>_xll.EPMMemberDesc(K238)</f>
        <v>Intercompany Overhead Allocations</v>
      </c>
      <c r="M238" s="112">
        <v>0</v>
      </c>
      <c r="N238" s="112">
        <v>-482784</v>
      </c>
      <c r="O238" s="112">
        <v>-40232</v>
      </c>
      <c r="P238" s="112">
        <v>-40232</v>
      </c>
      <c r="Q238" s="112">
        <v>-40232</v>
      </c>
      <c r="R238" s="112">
        <v>-40232</v>
      </c>
      <c r="S238" s="112">
        <v>-40232</v>
      </c>
      <c r="T238" s="112">
        <v>-40232</v>
      </c>
      <c r="U238" s="112">
        <v>-40232</v>
      </c>
      <c r="V238" s="112">
        <v>-40232</v>
      </c>
      <c r="W238" s="112">
        <v>-40232</v>
      </c>
      <c r="X238" s="112">
        <v>-40232</v>
      </c>
      <c r="Y238" s="112">
        <v>-40232</v>
      </c>
      <c r="Z238" s="112">
        <v>-40232</v>
      </c>
      <c r="AA238" s="112">
        <v>-482784</v>
      </c>
    </row>
    <row r="239" spans="10:27" ht="15" customHeight="1" x14ac:dyDescent="0.2">
      <c r="J239" s="100" t="str">
        <f xml:space="preserve"> _xll.EPMOlapMemberO("[COSTCENTER].[PARENTH1].[1001]","","1001","","000")</f>
        <v>1001</v>
      </c>
      <c r="K239" s="167" t="str">
        <f xml:space="preserve"> _xll.EPMOlapMemberO("[C_ACCOUNT].[PARENTH2].[A_6790800]","","A_6790800","","000")</f>
        <v>A_6790800</v>
      </c>
      <c r="L239" s="112" t="str">
        <f>_xll.EPMMemberDesc(K239)</f>
        <v>Other Operational Expense - Miscellaneous</v>
      </c>
      <c r="M239" s="112">
        <v>228440</v>
      </c>
      <c r="N239" s="112">
        <v>148943.02166699999</v>
      </c>
      <c r="O239" s="112">
        <v>2370</v>
      </c>
      <c r="P239" s="112">
        <v>2370</v>
      </c>
      <c r="Q239" s="112">
        <v>14420.302166699999</v>
      </c>
      <c r="R239" s="112">
        <v>14420.302166699999</v>
      </c>
      <c r="S239" s="112">
        <v>14420.302166699999</v>
      </c>
      <c r="T239" s="112">
        <v>14420.302166699999</v>
      </c>
      <c r="U239" s="112">
        <v>14420.302166699999</v>
      </c>
      <c r="V239" s="112">
        <v>14420.302166699999</v>
      </c>
      <c r="W239" s="112">
        <v>14420.302166699999</v>
      </c>
      <c r="X239" s="112">
        <v>14420.302166699999</v>
      </c>
      <c r="Y239" s="112">
        <v>14420.302166699999</v>
      </c>
      <c r="Z239" s="112">
        <v>14420.302166699999</v>
      </c>
      <c r="AA239" s="112">
        <v>148943.02166699999</v>
      </c>
    </row>
    <row r="240" spans="10:27" ht="15" customHeight="1" x14ac:dyDescent="0.2">
      <c r="J240" s="100" t="str">
        <f xml:space="preserve"> _xll.EPMOlapMemberO("[COSTCENTER].[PARENTH1].[1001]","","1001","","000")</f>
        <v>1001</v>
      </c>
      <c r="K240" s="167" t="str">
        <f xml:space="preserve"> _xll.EPMOlapMemberO("[C_ACCOUNT].[PARENTH2].[A_P1000000]","","A_P1000000","","000")</f>
        <v>A_P1000000</v>
      </c>
      <c r="L240" s="112" t="str">
        <f>_xll.EPMMemberDesc(K240)</f>
        <v>Planned Corporate Overhead Allocation</v>
      </c>
      <c r="M240" s="112">
        <v>4088559.3341000001</v>
      </c>
      <c r="N240" s="112">
        <v>4088559.3340572999</v>
      </c>
      <c r="O240" s="112">
        <v>305862.86988750001</v>
      </c>
      <c r="P240" s="112">
        <v>308322.41516829998</v>
      </c>
      <c r="Q240" s="112">
        <v>412986.80122209998</v>
      </c>
      <c r="R240" s="112">
        <v>294448.36317889998</v>
      </c>
      <c r="S240" s="112">
        <v>303054.48797199997</v>
      </c>
      <c r="T240" s="112">
        <v>420676.34143109998</v>
      </c>
      <c r="U240" s="112">
        <v>311984.78849900002</v>
      </c>
      <c r="V240" s="112">
        <v>302480.51572369999</v>
      </c>
      <c r="W240" s="112">
        <v>414786.9949246</v>
      </c>
      <c r="X240" s="112">
        <v>296563.54571620002</v>
      </c>
      <c r="Y240" s="112">
        <v>305277.1704532</v>
      </c>
      <c r="Z240" s="112">
        <v>412115.0398807</v>
      </c>
      <c r="AA240" s="112">
        <v>4088559.3340572999</v>
      </c>
    </row>
    <row r="241" spans="10:27" ht="15" customHeight="1" x14ac:dyDescent="0.2">
      <c r="J241" s="100" t="str">
        <f xml:space="preserve"> _xll.EPMOlapMemberO("[COSTCENTER].[PARENTH1].[1001]","","1001","","000")</f>
        <v>1001</v>
      </c>
      <c r="K241" s="167" t="str">
        <f xml:space="preserve"> _xll.EPMOlapMemberO("[C_ACCOUNT].[PARENTH2].[A_P1000100]","","A_P1000100","","000")</f>
        <v>A_P1000100</v>
      </c>
      <c r="L241" s="112" t="str">
        <f>_xll.EPMMemberDesc(K241)</f>
        <v>Planned IT Charges</v>
      </c>
      <c r="M241" s="112">
        <v>6915237.7122999998</v>
      </c>
      <c r="N241" s="112">
        <v>6915237.7123435</v>
      </c>
      <c r="O241" s="112">
        <v>565446.59490080003</v>
      </c>
      <c r="P241" s="112">
        <v>514036.88310789998</v>
      </c>
      <c r="Q241" s="112">
        <v>612718.23383789998</v>
      </c>
      <c r="R241" s="112">
        <v>551390.5084698</v>
      </c>
      <c r="S241" s="112">
        <v>568485.02765329997</v>
      </c>
      <c r="T241" s="112">
        <v>607458.48558350001</v>
      </c>
      <c r="U241" s="112">
        <v>556528.40154889994</v>
      </c>
      <c r="V241" s="112">
        <v>599654.17085430003</v>
      </c>
      <c r="W241" s="112">
        <v>585159.03984580003</v>
      </c>
      <c r="X241" s="112">
        <v>563854.04620800004</v>
      </c>
      <c r="Y241" s="112">
        <v>576332.44168509997</v>
      </c>
      <c r="Z241" s="112">
        <v>614173.87864819996</v>
      </c>
      <c r="AA241" s="112">
        <v>6915237.7123435</v>
      </c>
    </row>
    <row r="242" spans="10:27" ht="15" customHeight="1" x14ac:dyDescent="0.2">
      <c r="J242" s="100" t="str">
        <f xml:space="preserve"> _xll.EPMOlapMemberO("[COSTCENTER].[PARENTH1].[1001]","","1001","","000")</f>
        <v>1001</v>
      </c>
      <c r="K242" s="167" t="str">
        <f xml:space="preserve"> _xll.EPMOlapMemberO("[C_ACCOUNT].[PARENTH2].[A_P1000101]","","A_P1000101","","000")</f>
        <v>A_P1000101</v>
      </c>
      <c r="L242" s="112" t="str">
        <f>_xll.EPMMemberDesc(K242)</f>
        <v>Planned Facility Charges</v>
      </c>
      <c r="M242" s="112">
        <v>320173.70600399998</v>
      </c>
      <c r="N242" s="112">
        <v>320173.7060532</v>
      </c>
      <c r="O242" s="112">
        <v>26681.1421711</v>
      </c>
      <c r="P242" s="112">
        <v>26681.1421711</v>
      </c>
      <c r="Q242" s="112">
        <v>26681.1421711</v>
      </c>
      <c r="R242" s="112">
        <v>26681.1421711</v>
      </c>
      <c r="S242" s="112">
        <v>26681.1421711</v>
      </c>
      <c r="T242" s="112">
        <v>26681.1421711</v>
      </c>
      <c r="U242" s="112">
        <v>26681.1421711</v>
      </c>
      <c r="V242" s="112">
        <v>26681.1421711</v>
      </c>
      <c r="W242" s="112">
        <v>26681.1421711</v>
      </c>
      <c r="X242" s="112">
        <v>26681.1421711</v>
      </c>
      <c r="Y242" s="112">
        <v>26681.1421711</v>
      </c>
      <c r="Z242" s="112">
        <v>26681.1421711</v>
      </c>
      <c r="AA242" s="112">
        <v>320173.7060532</v>
      </c>
    </row>
    <row r="243" spans="10:27" ht="15" customHeight="1" x14ac:dyDescent="0.2">
      <c r="J243" s="100" t="str">
        <f xml:space="preserve"> _xll.EPMOlapMemberO("[COSTCENTER].[PARENTH1].[1001]","","1001","","000")</f>
        <v>1001</v>
      </c>
      <c r="K243" s="167" t="str">
        <f xml:space="preserve"> _xll.EPMOlapMemberO("[C_ACCOUNT].[PARENTH2].[A_P1000102]","","A_P1000102","","000")</f>
        <v>A_P1000102</v>
      </c>
      <c r="L243" s="112" t="str">
        <f>_xll.EPMMemberDesc(K243)</f>
        <v>Planned Telecom Charges</v>
      </c>
      <c r="M243" s="112">
        <v>304812.00003599998</v>
      </c>
      <c r="N243" s="112">
        <v>304812</v>
      </c>
      <c r="O243" s="112">
        <v>25401</v>
      </c>
      <c r="P243" s="112">
        <v>25401</v>
      </c>
      <c r="Q243" s="112">
        <v>25401</v>
      </c>
      <c r="R243" s="112">
        <v>25401</v>
      </c>
      <c r="S243" s="112">
        <v>25401</v>
      </c>
      <c r="T243" s="112">
        <v>25401</v>
      </c>
      <c r="U243" s="112">
        <v>25401</v>
      </c>
      <c r="V243" s="112">
        <v>25401</v>
      </c>
      <c r="W243" s="112">
        <v>25401</v>
      </c>
      <c r="X243" s="112">
        <v>25401</v>
      </c>
      <c r="Y243" s="112">
        <v>25401</v>
      </c>
      <c r="Z243" s="112">
        <v>25401</v>
      </c>
      <c r="AA243" s="112">
        <v>304812</v>
      </c>
    </row>
    <row r="244" spans="10:27" ht="15" customHeight="1" x14ac:dyDescent="0.2">
      <c r="J244" s="100" t="str">
        <f xml:space="preserve"> _xll.EPMOlapMemberO("[COSTCENTER].[PARENTH1].[1001]","","1001","","000")</f>
        <v>1001</v>
      </c>
      <c r="K244" s="167" t="str">
        <f xml:space="preserve"> _xll.EPMOlapMemberO("[C_ACCOUNT].[PARENTH2].[A_P1000103]","","A_P1000103","","000")</f>
        <v>A_P1000103</v>
      </c>
      <c r="L244" s="112" t="str">
        <f>_xll.EPMMemberDesc(K244)</f>
        <v>Planned HR Benefits Admin</v>
      </c>
      <c r="M244" s="112">
        <v>458395.91608</v>
      </c>
      <c r="N244" s="112">
        <v>458395.91605449998</v>
      </c>
      <c r="O244" s="112">
        <v>39490.387348199998</v>
      </c>
      <c r="P244" s="112">
        <v>37098.837915800003</v>
      </c>
      <c r="Q244" s="112">
        <v>41072.8736795</v>
      </c>
      <c r="R244" s="112">
        <v>54779.044065800001</v>
      </c>
      <c r="S244" s="112">
        <v>40829.884479499997</v>
      </c>
      <c r="T244" s="112">
        <v>41502.030448199999</v>
      </c>
      <c r="U244" s="112">
        <v>33095.031897200002</v>
      </c>
      <c r="V244" s="112">
        <v>35588.101329500001</v>
      </c>
      <c r="W244" s="112">
        <v>33330.6203972</v>
      </c>
      <c r="X244" s="112">
        <v>34253.273848199999</v>
      </c>
      <c r="Y244" s="112">
        <v>34279.828348199997</v>
      </c>
      <c r="Z244" s="112">
        <v>33076.002297200001</v>
      </c>
      <c r="AA244" s="112">
        <v>458395.91605449998</v>
      </c>
    </row>
    <row r="245" spans="10:27" ht="15" customHeight="1" x14ac:dyDescent="0.2">
      <c r="J245" s="100" t="str">
        <f xml:space="preserve"> _xll.EPMOlapMemberO("[COSTCENTER].[PARENTH1].[1001]","","1001","","000")</f>
        <v>1001</v>
      </c>
      <c r="K245" s="167" t="str">
        <f xml:space="preserve"> _xll.EPMOlapMemberO("[C_ACCOUNT].[PARENTH2].[A_P1000104]","","A_P1000104","","000")</f>
        <v>A_P1000104</v>
      </c>
      <c r="L245" s="112" t="str">
        <f>_xll.EPMMemberDesc(K245)</f>
        <v>Planned TSI Services</v>
      </c>
      <c r="M245" s="112">
        <v>403555.87952999998</v>
      </c>
      <c r="N245" s="112">
        <v>403555.87949740002</v>
      </c>
      <c r="O245" s="112">
        <v>33959.309065599999</v>
      </c>
      <c r="P245" s="112">
        <v>31913.728698399998</v>
      </c>
      <c r="Q245" s="112">
        <v>34982.100357199997</v>
      </c>
      <c r="R245" s="112">
        <v>31913.728698399998</v>
      </c>
      <c r="S245" s="112">
        <v>34982.100357199997</v>
      </c>
      <c r="T245" s="112">
        <v>33959.309065599999</v>
      </c>
      <c r="U245" s="112">
        <v>32936.519990100001</v>
      </c>
      <c r="V245" s="112">
        <v>34982.100357199997</v>
      </c>
      <c r="W245" s="112">
        <v>32936.519990100001</v>
      </c>
      <c r="X245" s="112">
        <v>33959.309065599999</v>
      </c>
      <c r="Y245" s="112">
        <v>34028.545006300003</v>
      </c>
      <c r="Z245" s="112">
        <v>33002.608845700001</v>
      </c>
      <c r="AA245" s="112">
        <v>403555.87949740002</v>
      </c>
    </row>
    <row r="246" spans="10:27" ht="15" customHeight="1" x14ac:dyDescent="0.2">
      <c r="J246" s="100" t="str">
        <f xml:space="preserve"> _xll.EPMOlapMemberO("[COSTCENTER].[PARENTH1].[1001]","","1001","","000")</f>
        <v>1001</v>
      </c>
      <c r="K246" s="167" t="str">
        <f xml:space="preserve"> _xll.EPMOlapMemberO("[C_ACCOUNT].[PARENTH2].[A_P1000105]","","A_P1000105","","000")</f>
        <v>A_P1000105</v>
      </c>
      <c r="L246" s="112" t="str">
        <f>_xll.EPMMemberDesc(K246)</f>
        <v>Planned Procurement Charges</v>
      </c>
      <c r="M246" s="112">
        <v>374403.81793999998</v>
      </c>
      <c r="N246" s="112">
        <v>374403.81795330002</v>
      </c>
      <c r="O246" s="112">
        <v>31761.886927899999</v>
      </c>
      <c r="P246" s="112">
        <v>28501.7513096</v>
      </c>
      <c r="Q246" s="112">
        <v>34277.556123299997</v>
      </c>
      <c r="R246" s="112">
        <v>28095.851309599999</v>
      </c>
      <c r="S246" s="112">
        <v>32726.9038612</v>
      </c>
      <c r="T246" s="112">
        <v>33182.536927900001</v>
      </c>
      <c r="U246" s="112">
        <v>29379.060504900001</v>
      </c>
      <c r="V246" s="112">
        <v>31912.2661233</v>
      </c>
      <c r="W246" s="112">
        <v>31131.810504900001</v>
      </c>
      <c r="X246" s="112">
        <v>31171.486927900001</v>
      </c>
      <c r="Y246" s="112">
        <v>30891.046927899999</v>
      </c>
      <c r="Z246" s="112">
        <v>31371.660504899999</v>
      </c>
      <c r="AA246" s="112">
        <v>374403.81795330002</v>
      </c>
    </row>
    <row r="247" spans="10:27" ht="15" customHeight="1" x14ac:dyDescent="0.2">
      <c r="J247" s="100" t="str">
        <f xml:space="preserve"> _xll.EPMOlapMemberO("[COSTCENTER].[PARENTH1].[1001]","","1001","","000")</f>
        <v>1001</v>
      </c>
      <c r="K247" s="167" t="str">
        <f xml:space="preserve"> _xll.EPMOlapMemberO("[C_ACCOUNT].[PARENTH2].[A_P1000200]","","A_P1000200","","000")</f>
        <v>A_P1000200</v>
      </c>
      <c r="L247" s="112" t="str">
        <f>_xll.EPMMemberDesc(K247)</f>
        <v>Planned Fleet Charges</v>
      </c>
      <c r="M247" s="112">
        <v>36000</v>
      </c>
      <c r="N247" s="112">
        <v>36000</v>
      </c>
      <c r="O247" s="112">
        <v>3000</v>
      </c>
      <c r="P247" s="112">
        <v>3000</v>
      </c>
      <c r="Q247" s="112">
        <v>3000</v>
      </c>
      <c r="R247" s="112">
        <v>3000</v>
      </c>
      <c r="S247" s="112">
        <v>3000</v>
      </c>
      <c r="T247" s="112">
        <v>3000</v>
      </c>
      <c r="U247" s="112">
        <v>3000</v>
      </c>
      <c r="V247" s="112">
        <v>3000</v>
      </c>
      <c r="W247" s="112">
        <v>3000</v>
      </c>
      <c r="X247" s="112">
        <v>3000</v>
      </c>
      <c r="Y247" s="112">
        <v>3000</v>
      </c>
      <c r="Z247" s="112">
        <v>3000</v>
      </c>
      <c r="AA247" s="112">
        <v>36000</v>
      </c>
    </row>
    <row r="248" spans="10:27" ht="15" customHeight="1" x14ac:dyDescent="0.2">
      <c r="J248" s="100" t="str">
        <f xml:space="preserve"> _xll.EPMOlapMemberO("[COSTCENTER].[PARENTH1].[1001]","","1001","","000")</f>
        <v>1001</v>
      </c>
      <c r="K248" s="167" t="str">
        <f xml:space="preserve"> _xll.EPMOlapMemberO("[C_ACCOUNT].[PARENTH2].[A_S1000200]","","A_S1000200","","000")</f>
        <v>A_S1000200</v>
      </c>
      <c r="L248" s="112" t="str">
        <f>_xll.EPMMemberDesc(K248)</f>
        <v>Settled Fleet Charges</v>
      </c>
      <c r="M248" s="112">
        <v>133895</v>
      </c>
      <c r="N248" s="112">
        <v>133895</v>
      </c>
      <c r="O248" s="112">
        <v>11041</v>
      </c>
      <c r="P248" s="112">
        <v>11041</v>
      </c>
      <c r="Q248" s="112">
        <v>11041</v>
      </c>
      <c r="R248" s="112">
        <v>11041</v>
      </c>
      <c r="S248" s="112">
        <v>11041</v>
      </c>
      <c r="T248" s="112">
        <v>11041</v>
      </c>
      <c r="U248" s="112">
        <v>11041</v>
      </c>
      <c r="V248" s="112">
        <v>11041</v>
      </c>
      <c r="W248" s="112">
        <v>11041</v>
      </c>
      <c r="X248" s="112">
        <v>11626</v>
      </c>
      <c r="Y248" s="112">
        <v>11266</v>
      </c>
      <c r="Z248" s="112">
        <v>11634</v>
      </c>
      <c r="AA248" s="112">
        <v>133895</v>
      </c>
    </row>
    <row r="249" spans="10:27" ht="15" customHeight="1" x14ac:dyDescent="0.2">
      <c r="J249" s="100" t="str">
        <f xml:space="preserve"> _xll.EPMOlapMemberO("[COSTCENTER].[PARENTH1].[1001]","","1001","","000")</f>
        <v>1001</v>
      </c>
      <c r="K249" s="167" t="str">
        <f xml:space="preserve"> _xll.EPMOlapMemberO("[C_ACCOUNT].[PARENTH2].[A_S6790000]","","A_S6790000","","000")</f>
        <v>A_S6790000</v>
      </c>
      <c r="L249" s="112" t="str">
        <f>_xll.EPMMemberDesc(K249)</f>
        <v>Settled Other Operational Expense</v>
      </c>
      <c r="M249" s="112">
        <v>82000</v>
      </c>
      <c r="N249" s="112">
        <v>82000</v>
      </c>
      <c r="O249" s="112">
        <v>10000</v>
      </c>
      <c r="P249" s="112">
        <v>0</v>
      </c>
      <c r="Q249" s="112">
        <v>0</v>
      </c>
      <c r="R249" s="112">
        <v>10000</v>
      </c>
      <c r="S249" s="112">
        <v>0</v>
      </c>
      <c r="T249" s="112">
        <v>42000</v>
      </c>
      <c r="U249" s="112">
        <v>10000</v>
      </c>
      <c r="V249" s="112">
        <v>0</v>
      </c>
      <c r="W249" s="112">
        <v>0</v>
      </c>
      <c r="X249" s="112">
        <v>10000</v>
      </c>
      <c r="Y249" s="112">
        <v>0</v>
      </c>
      <c r="Z249" s="112">
        <v>0</v>
      </c>
      <c r="AA249" s="112">
        <v>82000</v>
      </c>
    </row>
    <row r="250" spans="10:27" ht="15" customHeight="1" x14ac:dyDescent="0.2">
      <c r="J250" s="100" t="str">
        <f xml:space="preserve"> _xll.EPMOlapMemberO("[COSTCENTER].[PARENTH1].[1001]","","1001","","000")</f>
        <v>1001</v>
      </c>
      <c r="K250" s="167" t="str">
        <f xml:space="preserve"> _xll.EPMOlapMemberO("[C_ACCOUNT].[PARENTH2].[A_S6790700]","","A_S6790700","","000")</f>
        <v>A_S6790700</v>
      </c>
      <c r="L250" s="112" t="str">
        <f>_xll.EPMMemberDesc(K250)</f>
        <v>Settled Intercompany Overhead Allocations</v>
      </c>
      <c r="M250" s="112">
        <v>-1262610.8095996</v>
      </c>
      <c r="N250" s="112">
        <v>-1262610.8099992</v>
      </c>
      <c r="O250" s="112">
        <v>-99247.3916666</v>
      </c>
      <c r="P250" s="112">
        <v>-104823.9716666</v>
      </c>
      <c r="Q250" s="112">
        <v>-104110.8616666</v>
      </c>
      <c r="R250" s="112">
        <v>-106407.0916666</v>
      </c>
      <c r="S250" s="112">
        <v>-106407.0916666</v>
      </c>
      <c r="T250" s="112">
        <v>-103771.85166660001</v>
      </c>
      <c r="U250" s="112">
        <v>-106307.0916666</v>
      </c>
      <c r="V250" s="112">
        <v>-106307.0916666</v>
      </c>
      <c r="W250" s="112">
        <v>-106307.0916666</v>
      </c>
      <c r="X250" s="112">
        <v>-106307.0916666</v>
      </c>
      <c r="Y250" s="112">
        <v>-106307.0916666</v>
      </c>
      <c r="Z250" s="112">
        <v>-106307.0916666</v>
      </c>
      <c r="AA250" s="112">
        <v>-1262610.8099992</v>
      </c>
    </row>
    <row r="251" spans="10:27" ht="15" customHeight="1" x14ac:dyDescent="0.2">
      <c r="J251" s="100" t="str">
        <f xml:space="preserve"> _xll.EPMOlapMemberO("[COSTCENTER].[PARENTH1].[1001]","","1001","","000")</f>
        <v>1001</v>
      </c>
      <c r="K251" s="167" t="str">
        <f xml:space="preserve"> _xll.EPMOlapMemberO("[C_ACCOUNT].[PARENTH2].[ER_IND_DUE_BTL_2]","","ER_IND_DUE_BTL_2","","000")</f>
        <v>ER_IND_DUE_BTL_2</v>
      </c>
      <c r="L251" s="112" t="str">
        <f>_xll.EPMMemberDesc(K251)</f>
        <v>Industry Due and Others BTL</v>
      </c>
      <c r="M251" s="112">
        <v>-84094.866399999999</v>
      </c>
      <c r="N251" s="112">
        <v>-84094.866399999999</v>
      </c>
      <c r="O251" s="112">
        <v>-35071.800000000003</v>
      </c>
      <c r="P251" s="112">
        <v>-3005.7665999999999</v>
      </c>
      <c r="Q251" s="112">
        <v>0</v>
      </c>
      <c r="R251" s="112">
        <v>-28005.766599999999</v>
      </c>
      <c r="S251" s="112">
        <v>-12000</v>
      </c>
      <c r="T251" s="112">
        <v>0</v>
      </c>
      <c r="U251" s="112">
        <v>-3005.7665999999999</v>
      </c>
      <c r="V251" s="112">
        <v>0</v>
      </c>
      <c r="W251" s="112">
        <v>0</v>
      </c>
      <c r="X251" s="112">
        <v>-3005.7665999999999</v>
      </c>
      <c r="Y251" s="112">
        <v>0</v>
      </c>
      <c r="Z251" s="112">
        <v>0</v>
      </c>
      <c r="AA251" s="112">
        <v>-84094.866399999999</v>
      </c>
    </row>
    <row r="252" spans="10:27" ht="15" customHeight="1" x14ac:dyDescent="0.2">
      <c r="J252" s="100" t="str">
        <f xml:space="preserve"> _xll.EPMOlapMemberO("[COSTCENTER].[PARENTH1].[1001]","","1001","","000")</f>
        <v>1001</v>
      </c>
      <c r="K252" s="167" t="str">
        <f xml:space="preserve"> _xll.EPMOlapMemberO("[C_ACCOUNT].[PARENTH2].[A_P1000108]","","A_P1000108","","000")</f>
        <v>A_P1000108</v>
      </c>
      <c r="L252" s="112" t="str">
        <f>_xll.EPMMemberDesc(K252)</f>
        <v>Planned SS HREmpRel Chgs</v>
      </c>
      <c r="M252" s="112">
        <v>29839.850383000001</v>
      </c>
      <c r="N252" s="112">
        <v>29839.850382199998</v>
      </c>
      <c r="O252" s="112">
        <v>2307.7713288999998</v>
      </c>
      <c r="P252" s="112">
        <v>2150.9971123999999</v>
      </c>
      <c r="Q252" s="112">
        <v>2803.2452484999999</v>
      </c>
      <c r="R252" s="112">
        <v>2512.6159573999998</v>
      </c>
      <c r="S252" s="112">
        <v>2428.2375385</v>
      </c>
      <c r="T252" s="112">
        <v>2601.5993389</v>
      </c>
      <c r="U252" s="112">
        <v>2314.4896620999998</v>
      </c>
      <c r="V252" s="112">
        <v>2595.3143435000002</v>
      </c>
      <c r="W252" s="112">
        <v>2496.3370620999999</v>
      </c>
      <c r="X252" s="112">
        <v>2431.5026638999998</v>
      </c>
      <c r="Y252" s="112">
        <v>2372.3351639000002</v>
      </c>
      <c r="Z252" s="112">
        <v>2825.4049620999999</v>
      </c>
      <c r="AA252" s="112">
        <v>29839.850382199998</v>
      </c>
    </row>
    <row r="253" spans="10:27" ht="15" customHeight="1" x14ac:dyDescent="0.2">
      <c r="J253" s="100" t="str">
        <f xml:space="preserve"> _xll.EPMOlapMemberO("[COSTCENTER].[PARENTH1].[1001]","","1001","","000")</f>
        <v>1001</v>
      </c>
      <c r="K253" s="167" t="str">
        <f xml:space="preserve"> _xll.EPMOlapMemberO("[C_ACCOUNT].[PARENTH2].[A_P1000109]","","A_P1000109","","000")</f>
        <v>A_P1000109</v>
      </c>
      <c r="L253" s="112" t="str">
        <f>_xll.EPMMemberDesc(K253)</f>
        <v>Planned SS EmerMgmt Chgs</v>
      </c>
      <c r="M253" s="112">
        <v>97226.333593000003</v>
      </c>
      <c r="N253" s="112">
        <v>97226.333592499999</v>
      </c>
      <c r="O253" s="112">
        <v>11420.647591700001</v>
      </c>
      <c r="P253" s="112">
        <v>15558.729188200001</v>
      </c>
      <c r="Q253" s="112">
        <v>7261.1763432999996</v>
      </c>
      <c r="R253" s="112">
        <v>6383.0246882000001</v>
      </c>
      <c r="S253" s="112">
        <v>7567.2563432999996</v>
      </c>
      <c r="T253" s="112">
        <v>7510.4755917000002</v>
      </c>
      <c r="U253" s="112">
        <v>6678.9304398000004</v>
      </c>
      <c r="V253" s="112">
        <v>7184.6563433000001</v>
      </c>
      <c r="W253" s="112">
        <v>6755.4504397999999</v>
      </c>
      <c r="X253" s="112">
        <v>7367.0005916999999</v>
      </c>
      <c r="Y253" s="112">
        <v>6907.8805917</v>
      </c>
      <c r="Z253" s="112">
        <v>6631.1054397999997</v>
      </c>
      <c r="AA253" s="112">
        <v>97226.333592499999</v>
      </c>
    </row>
    <row r="254" spans="10:27" ht="15" customHeight="1" x14ac:dyDescent="0.2">
      <c r="J254" s="100" t="str">
        <f xml:space="preserve"> _xll.EPMOlapMemberO("[COSTCENTER].[PARENTH1].[1001]","","1001","","000")</f>
        <v>1001</v>
      </c>
      <c r="K254" s="167" t="str">
        <f xml:space="preserve"> _xll.EPMOlapMemberO("[C_ACCOUNT].[PARENTH2].[A_P1000111]","","A_P1000111","","000")</f>
        <v>A_P1000111</v>
      </c>
      <c r="L254" s="112" t="str">
        <f>_xll.EPMMemberDesc(K254)</f>
        <v>Planned SS AcctsPay Chgs</v>
      </c>
      <c r="M254" s="112">
        <v>521433.32422000001</v>
      </c>
      <c r="N254" s="112">
        <v>521433.3242032</v>
      </c>
      <c r="O254" s="112">
        <v>45530.981115499999</v>
      </c>
      <c r="P254" s="112">
        <v>41525.064242</v>
      </c>
      <c r="Q254" s="112">
        <v>47570.921581000002</v>
      </c>
      <c r="R254" s="112">
        <v>41839.394242000002</v>
      </c>
      <c r="S254" s="112">
        <v>44877.251537900003</v>
      </c>
      <c r="T254" s="112">
        <v>43810.594649400002</v>
      </c>
      <c r="U254" s="112">
        <v>41597.809286099997</v>
      </c>
      <c r="V254" s="112">
        <v>45155.753252199996</v>
      </c>
      <c r="W254" s="112">
        <v>41819.689286100001</v>
      </c>
      <c r="X254" s="112">
        <v>43349.744035800002</v>
      </c>
      <c r="Y254" s="112">
        <v>42702.594035800001</v>
      </c>
      <c r="Z254" s="112">
        <v>41653.526939399999</v>
      </c>
      <c r="AA254" s="112">
        <v>521433.3242032</v>
      </c>
    </row>
    <row r="255" spans="10:27" ht="15" customHeight="1" x14ac:dyDescent="0.2">
      <c r="J255" s="100" t="str">
        <f xml:space="preserve"> _xll.EPMOlapMemberO("[COSTCENTER].[PARENTH1].[1001]","","1001","","000")</f>
        <v>1001</v>
      </c>
      <c r="K255" s="167" t="str">
        <f xml:space="preserve"> _xll.EPMOlapMemberO("[C_ACCOUNT].[PARENTH2].[A_P1000112]","","A_P1000112","","000")</f>
        <v>A_P1000112</v>
      </c>
      <c r="L255" s="112" t="str">
        <f>_xll.EPMMemberDesc(K255)</f>
        <v>Planned SS Claims Chgs</v>
      </c>
      <c r="M255" s="112">
        <v>663737.52549000003</v>
      </c>
      <c r="N255" s="112">
        <v>663737.52547989995</v>
      </c>
      <c r="O255" s="112">
        <v>46640.858982899997</v>
      </c>
      <c r="P255" s="112">
        <v>96854.168342799996</v>
      </c>
      <c r="Q255" s="112">
        <v>49046.324305599999</v>
      </c>
      <c r="R255" s="112">
        <v>42713.595592799997</v>
      </c>
      <c r="S255" s="112">
        <v>48604.492805599999</v>
      </c>
      <c r="T255" s="112">
        <v>47856.9089829</v>
      </c>
      <c r="U255" s="112">
        <v>98817.802165300003</v>
      </c>
      <c r="V255" s="112">
        <v>49415.192805600003</v>
      </c>
      <c r="W255" s="112">
        <v>44677.229415299997</v>
      </c>
      <c r="X255" s="112">
        <v>46640.858982899997</v>
      </c>
      <c r="Y255" s="112">
        <v>46640.858982899997</v>
      </c>
      <c r="Z255" s="112">
        <v>45829.234115300002</v>
      </c>
      <c r="AA255" s="112">
        <v>663737.52547989995</v>
      </c>
    </row>
    <row r="256" spans="10:27" ht="15" customHeight="1" x14ac:dyDescent="0.2">
      <c r="J256" s="100" t="str">
        <f xml:space="preserve"> _xll.EPMOlapMemberO("[COSTCENTER].[PARENTH1].[1001]","","1001","","000")</f>
        <v>1001</v>
      </c>
      <c r="K256" s="167" t="str">
        <f xml:space="preserve"> _xll.EPMOlapMemberO("[C_ACCOUNT].[PARENTH2].[A_S6790010]","","A_S6790010","","000")</f>
        <v>A_S6790010</v>
      </c>
      <c r="L256" s="112" t="str">
        <f>_xll.EPMMemberDesc(K256)</f>
        <v>Settled Bad Debt Expense AR CIS</v>
      </c>
      <c r="M256" s="112">
        <v>1777843.3513656</v>
      </c>
      <c r="N256" s="112">
        <v>1777843.3512972</v>
      </c>
      <c r="O256" s="112">
        <v>148153.6126081</v>
      </c>
      <c r="P256" s="112">
        <v>148153.6126081</v>
      </c>
      <c r="Q256" s="112">
        <v>148153.6126081</v>
      </c>
      <c r="R256" s="112">
        <v>148153.6126081</v>
      </c>
      <c r="S256" s="112">
        <v>148153.6126081</v>
      </c>
      <c r="T256" s="112">
        <v>148153.6126081</v>
      </c>
      <c r="U256" s="112">
        <v>148153.6126081</v>
      </c>
      <c r="V256" s="112">
        <v>148153.6126081</v>
      </c>
      <c r="W256" s="112">
        <v>148153.6126081</v>
      </c>
      <c r="X256" s="112">
        <v>148153.6126081</v>
      </c>
      <c r="Y256" s="112">
        <v>148153.6126081</v>
      </c>
      <c r="Z256" s="112">
        <v>148153.6126081</v>
      </c>
      <c r="AA256" s="112">
        <v>1777843.3512972</v>
      </c>
    </row>
    <row r="257" spans="10:27" ht="15" customHeight="1" x14ac:dyDescent="0.2">
      <c r="J257" s="100" t="str">
        <f xml:space="preserve"> _xll.EPMOlapMemberO("[COSTCENTER].[PARENTH1].[1001]","","1001","","000")</f>
        <v>1001</v>
      </c>
      <c r="K257" s="167" t="str">
        <f xml:space="preserve"> _xll.EPMOlapMemberO("[C_ACCOUNT].[PARENTH2].[A_S6790030]","","A_S6790030","","000")</f>
        <v>A_S6790030</v>
      </c>
      <c r="L257" s="112" t="str">
        <f>_xll.EPMMemberDesc(K257)</f>
        <v>Settled Director's Expenses</v>
      </c>
      <c r="M257" s="112">
        <v>140000</v>
      </c>
      <c r="N257" s="112">
        <v>140000</v>
      </c>
      <c r="O257" s="112">
        <v>0</v>
      </c>
      <c r="P257" s="112">
        <v>0</v>
      </c>
      <c r="Q257" s="112">
        <v>35000</v>
      </c>
      <c r="R257" s="112">
        <v>0</v>
      </c>
      <c r="S257" s="112">
        <v>0</v>
      </c>
      <c r="T257" s="112">
        <v>35000</v>
      </c>
      <c r="U257" s="112">
        <v>0</v>
      </c>
      <c r="V257" s="112">
        <v>0</v>
      </c>
      <c r="W257" s="112">
        <v>35000</v>
      </c>
      <c r="X257" s="112">
        <v>0</v>
      </c>
      <c r="Y257" s="112">
        <v>0</v>
      </c>
      <c r="Z257" s="112">
        <v>35000</v>
      </c>
      <c r="AA257" s="112">
        <v>140000</v>
      </c>
    </row>
    <row r="258" spans="10:27" ht="15" customHeight="1" x14ac:dyDescent="0.2">
      <c r="J258" s="100" t="str">
        <f xml:space="preserve"> _xll.EPMOlapMemberO("[COSTCENTER].[PARENTH1].[1001]","","1001","","000")</f>
        <v>1001</v>
      </c>
      <c r="K258" s="167" t="str">
        <f xml:space="preserve"> _xll.EPMOlapMemberO("[C_ACCOUNT].[PARENTH2].[A_S6790055]","","A_S6790055","","000")</f>
        <v>A_S6790055</v>
      </c>
      <c r="L258" s="112" t="str">
        <f>_xll.EPMMemberDesc(K258)</f>
        <v>Settled Economic Development</v>
      </c>
      <c r="M258" s="112">
        <v>360000</v>
      </c>
      <c r="N258" s="112">
        <v>360000</v>
      </c>
      <c r="O258" s="112">
        <v>30000</v>
      </c>
      <c r="P258" s="112">
        <v>30000</v>
      </c>
      <c r="Q258" s="112">
        <v>30000</v>
      </c>
      <c r="R258" s="112">
        <v>30000</v>
      </c>
      <c r="S258" s="112">
        <v>30000</v>
      </c>
      <c r="T258" s="112">
        <v>30000</v>
      </c>
      <c r="U258" s="112">
        <v>30000</v>
      </c>
      <c r="V258" s="112">
        <v>30000</v>
      </c>
      <c r="W258" s="112">
        <v>30000</v>
      </c>
      <c r="X258" s="112">
        <v>30000</v>
      </c>
      <c r="Y258" s="112">
        <v>30000</v>
      </c>
      <c r="Z258" s="112">
        <v>30000</v>
      </c>
      <c r="AA258" s="112">
        <v>360000</v>
      </c>
    </row>
    <row r="259" spans="10:27" ht="15" customHeight="1" x14ac:dyDescent="0.2">
      <c r="J259" s="100" t="str">
        <f xml:space="preserve"> _xll.EPMOlapMemberO("[COSTCENTER].[PARENTH1].[1001]","","1001","","000")</f>
        <v>1001</v>
      </c>
      <c r="K259" s="167" t="str">
        <f xml:space="preserve"> _xll.EPMOlapMemberO("[C_ACCOUNT].[PARENTH2].[A_S6790060]","","A_S6790060","","000")</f>
        <v>A_S6790060</v>
      </c>
      <c r="L259" s="112" t="str">
        <f>_xll.EPMMemberDesc(K259)</f>
        <v>Settled Industry Dues</v>
      </c>
      <c r="M259" s="112">
        <v>843714.06359999999</v>
      </c>
      <c r="N259" s="112">
        <v>843714.06359999999</v>
      </c>
      <c r="O259" s="112">
        <v>341235.73</v>
      </c>
      <c r="P259" s="112">
        <v>57930.833400000003</v>
      </c>
      <c r="Q259" s="112">
        <v>222255</v>
      </c>
      <c r="R259" s="112">
        <v>70430.833400000003</v>
      </c>
      <c r="S259" s="112">
        <v>20000</v>
      </c>
      <c r="T259" s="112">
        <v>2000</v>
      </c>
      <c r="U259" s="112">
        <v>63930.833400000003</v>
      </c>
      <c r="V259" s="112">
        <v>2000</v>
      </c>
      <c r="W259" s="112">
        <v>2000</v>
      </c>
      <c r="X259" s="112">
        <v>57930.833400000003</v>
      </c>
      <c r="Y259" s="112">
        <v>2000</v>
      </c>
      <c r="Z259" s="112">
        <v>2000</v>
      </c>
      <c r="AA259" s="112">
        <v>843714.06359999999</v>
      </c>
    </row>
    <row r="260" spans="10:27" ht="15" customHeight="1" x14ac:dyDescent="0.2">
      <c r="J260" s="100" t="str">
        <f xml:space="preserve"> _xll.EPMOlapMemberO("[COSTCENTER].[PARENTH1].[1001]","","1001","","000")</f>
        <v>1001</v>
      </c>
      <c r="K260" s="167" t="str">
        <f xml:space="preserve"> _xll.EPMOlapMemberO("[C_ACCOUNT].[PARENTH2].[A_S6790101]","","A_S6790101","","000")</f>
        <v>A_S6790101</v>
      </c>
      <c r="L260" s="112" t="str">
        <f>_xll.EPMMemberDesc(K260)</f>
        <v>Settled Fees - Bank</v>
      </c>
      <c r="M260" s="112">
        <v>480450</v>
      </c>
      <c r="N260" s="112">
        <v>480450</v>
      </c>
      <c r="O260" s="112">
        <v>19204</v>
      </c>
      <c r="P260" s="112">
        <v>19204</v>
      </c>
      <c r="Q260" s="112">
        <v>19204</v>
      </c>
      <c r="R260" s="112">
        <v>81704</v>
      </c>
      <c r="S260" s="112">
        <v>19204</v>
      </c>
      <c r="T260" s="112">
        <v>19204</v>
      </c>
      <c r="U260" s="112">
        <v>81704</v>
      </c>
      <c r="V260" s="112">
        <v>19204</v>
      </c>
      <c r="W260" s="112">
        <v>19204</v>
      </c>
      <c r="X260" s="112">
        <v>81704</v>
      </c>
      <c r="Y260" s="112">
        <v>19204</v>
      </c>
      <c r="Z260" s="112">
        <v>81706</v>
      </c>
      <c r="AA260" s="112">
        <v>480450</v>
      </c>
    </row>
    <row r="261" spans="10:27" ht="15" customHeight="1" x14ac:dyDescent="0.2">
      <c r="J261" s="100" t="str">
        <f xml:space="preserve"> _xll.EPMOlapMemberO("[COSTCENTER].[PARENTH1].[1001]","","1001","","000")</f>
        <v>1001</v>
      </c>
      <c r="K261" s="167" t="str">
        <f xml:space="preserve"> _xll.EPMOlapMemberO("[C_ACCOUNT].[PARENTH2].[A_S6790199]","","A_S6790199","","000")</f>
        <v>A_S6790199</v>
      </c>
      <c r="L261" s="112" t="str">
        <f>_xll.EPMMemberDesc(K261)</f>
        <v>Settled Fees - Miscellaneous</v>
      </c>
      <c r="M261" s="112">
        <v>25515.599999599999</v>
      </c>
      <c r="N261" s="112">
        <v>25515.599999599999</v>
      </c>
      <c r="O261" s="112">
        <v>1110.0508333</v>
      </c>
      <c r="P261" s="112">
        <v>1098.0508333</v>
      </c>
      <c r="Q261" s="112">
        <v>1098.0508333</v>
      </c>
      <c r="R261" s="112">
        <v>1098.0508333</v>
      </c>
      <c r="S261" s="112">
        <v>3425.0408333</v>
      </c>
      <c r="T261" s="112">
        <v>1098.0508333</v>
      </c>
      <c r="U261" s="112">
        <v>11098.0508333</v>
      </c>
      <c r="V261" s="112">
        <v>1098.0508333</v>
      </c>
      <c r="W261" s="112">
        <v>1098.0508333</v>
      </c>
      <c r="X261" s="112">
        <v>1098.0508333</v>
      </c>
      <c r="Y261" s="112">
        <v>1098.0508333</v>
      </c>
      <c r="Z261" s="112">
        <v>1098.0508333</v>
      </c>
      <c r="AA261" s="112">
        <v>25515.599999599999</v>
      </c>
    </row>
    <row r="262" spans="10:27" ht="15" customHeight="1" x14ac:dyDescent="0.2">
      <c r="J262" s="100" t="str">
        <f xml:space="preserve"> _xll.EPMOlapMemberO("[COSTCENTER].[PARENTH1].[1001]","","1001","","000")</f>
        <v>1001</v>
      </c>
      <c r="K262" s="167" t="str">
        <f xml:space="preserve"> _xll.EPMOlapMemberO("[C_ACCOUNT].[PARENTH2].[A_S6790230]","","A_S6790230","","000")</f>
        <v>A_S6790230</v>
      </c>
      <c r="L262" s="112" t="str">
        <f>_xll.EPMMemberDesc(K262)</f>
        <v>Settled Postage Shipping and Courier</v>
      </c>
      <c r="M262" s="112">
        <v>967760.91004039999</v>
      </c>
      <c r="N262" s="112">
        <v>967760.91000080004</v>
      </c>
      <c r="O262" s="112">
        <v>80574.768333400003</v>
      </c>
      <c r="P262" s="112">
        <v>80616.9683334</v>
      </c>
      <c r="Q262" s="112">
        <v>80574.768333400003</v>
      </c>
      <c r="R262" s="112">
        <v>80574.768333400003</v>
      </c>
      <c r="S262" s="112">
        <v>80996.258333399994</v>
      </c>
      <c r="T262" s="112">
        <v>80574.768333400003</v>
      </c>
      <c r="U262" s="112">
        <v>80574.768333400003</v>
      </c>
      <c r="V262" s="112">
        <v>80574.768333400003</v>
      </c>
      <c r="W262" s="112">
        <v>80974.768333400003</v>
      </c>
      <c r="X262" s="112">
        <v>80574.768333400003</v>
      </c>
      <c r="Y262" s="112">
        <v>80574.768333400003</v>
      </c>
      <c r="Z262" s="112">
        <v>80574.768333400003</v>
      </c>
      <c r="AA262" s="112">
        <v>967760.91000080004</v>
      </c>
    </row>
    <row r="263" spans="10:27" ht="15" customHeight="1" x14ac:dyDescent="0.2">
      <c r="J263" s="100" t="str">
        <f xml:space="preserve"> _xll.EPMOlapMemberO("[COSTCENTER].[PARENTH1].[1001]","","1001","","000")</f>
        <v>1001</v>
      </c>
      <c r="K263" s="167" t="str">
        <f xml:space="preserve"> _xll.EPMOlapMemberO("[C_ACCOUNT].[PARENTH2].[A_S6790310]","","A_S6790310","","000")</f>
        <v>A_S6790310</v>
      </c>
      <c r="L263" s="112" t="str">
        <f>_xll.EPMMemberDesc(K263)</f>
        <v>Settled A&amp;G Allocated to Capital</v>
      </c>
      <c r="M263" s="112">
        <v>-10000000.220000001</v>
      </c>
      <c r="N263" s="112">
        <v>-11000000.0000004</v>
      </c>
      <c r="O263" s="112">
        <v>-916666.66666670004</v>
      </c>
      <c r="P263" s="112">
        <v>-916666.66666670004</v>
      </c>
      <c r="Q263" s="112">
        <v>-916666.66666670004</v>
      </c>
      <c r="R263" s="112">
        <v>-916666.66666670004</v>
      </c>
      <c r="S263" s="112">
        <v>-916666.66666670004</v>
      </c>
      <c r="T263" s="112">
        <v>-916666.66666670004</v>
      </c>
      <c r="U263" s="112">
        <v>-916666.66666670004</v>
      </c>
      <c r="V263" s="112">
        <v>-916666.66666670004</v>
      </c>
      <c r="W263" s="112">
        <v>-916666.66666670004</v>
      </c>
      <c r="X263" s="112">
        <v>-916666.66666670004</v>
      </c>
      <c r="Y263" s="112">
        <v>-916666.66666670004</v>
      </c>
      <c r="Z263" s="112">
        <v>-916666.66666670004</v>
      </c>
      <c r="AA263" s="112">
        <v>-11000000.0000004</v>
      </c>
    </row>
    <row r="264" spans="10:27" ht="15" customHeight="1" x14ac:dyDescent="0.2">
      <c r="J264" s="100" t="str">
        <f xml:space="preserve"> _xll.EPMOlapMemberO("[COSTCENTER].[PARENTH1].[1001]","","1001","","000")</f>
        <v>1001</v>
      </c>
      <c r="K264" s="167" t="str">
        <f xml:space="preserve"> _xll.EPMOlapMemberO("[C_ACCOUNT].[PARENTH2].[A_S6790320]","","A_S6790320","","000")</f>
        <v>A_S6790320</v>
      </c>
      <c r="L264" s="112" t="str">
        <f>_xll.EPMMemberDesc(K264)</f>
        <v>Settled Fleet Allocation</v>
      </c>
      <c r="M264" s="112">
        <v>3267662.9230128</v>
      </c>
      <c r="N264" s="112">
        <v>3850890.696575</v>
      </c>
      <c r="O264" s="112">
        <v>315326.06586219999</v>
      </c>
      <c r="P264" s="112">
        <v>293911.40316729998</v>
      </c>
      <c r="Q264" s="112">
        <v>331095.55498150003</v>
      </c>
      <c r="R264" s="112">
        <v>293254.10505110002</v>
      </c>
      <c r="S264" s="112">
        <v>334037.5200505</v>
      </c>
      <c r="T264" s="112">
        <v>342375.66263570002</v>
      </c>
      <c r="U264" s="112">
        <v>312594.42302370002</v>
      </c>
      <c r="V264" s="112">
        <v>337285.26316590002</v>
      </c>
      <c r="W264" s="112">
        <v>311522.49835279997</v>
      </c>
      <c r="X264" s="112">
        <v>324653.40090529999</v>
      </c>
      <c r="Y264" s="112">
        <v>341883.21267400001</v>
      </c>
      <c r="Z264" s="112">
        <v>312951.58670500002</v>
      </c>
      <c r="AA264" s="112">
        <v>3850890.696575</v>
      </c>
    </row>
    <row r="265" spans="10:27" ht="15" customHeight="1" x14ac:dyDescent="0.2">
      <c r="J265" s="100" t="str">
        <f xml:space="preserve"> _xll.EPMOlapMemberO("[COSTCENTER].[PARENTH1].[1001]","","1001","","000")</f>
        <v>1001</v>
      </c>
      <c r="K265" s="167" t="str">
        <f xml:space="preserve"> _xll.EPMOlapMemberO("[C_ACCOUNT].[PARENTH2].[A_S6790702]","","A_S6790702","","000")</f>
        <v>A_S6790702</v>
      </c>
      <c r="L265" s="112" t="str">
        <f>_xll.EPMMemberDesc(K265)</f>
        <v>Settled Intercompany Fee</v>
      </c>
      <c r="M265" s="112">
        <v>7816542.2400000002</v>
      </c>
      <c r="N265" s="112">
        <v>7816542.2400000002</v>
      </c>
      <c r="O265" s="112">
        <v>651378.52</v>
      </c>
      <c r="P265" s="112">
        <v>651378.52</v>
      </c>
      <c r="Q265" s="112">
        <v>651378.52</v>
      </c>
      <c r="R265" s="112">
        <v>651378.52</v>
      </c>
      <c r="S265" s="112">
        <v>651378.52</v>
      </c>
      <c r="T265" s="112">
        <v>651378.52</v>
      </c>
      <c r="U265" s="112">
        <v>651378.52</v>
      </c>
      <c r="V265" s="112">
        <v>651378.52</v>
      </c>
      <c r="W265" s="112">
        <v>651378.52</v>
      </c>
      <c r="X265" s="112">
        <v>651378.52</v>
      </c>
      <c r="Y265" s="112">
        <v>651378.52</v>
      </c>
      <c r="Z265" s="112">
        <v>651378.52</v>
      </c>
      <c r="AA265" s="112">
        <v>7816542.2400000002</v>
      </c>
    </row>
    <row r="266" spans="10:27" ht="15" customHeight="1" x14ac:dyDescent="0.2">
      <c r="J266" s="100" t="str">
        <f xml:space="preserve"> _xll.EPMOlapMemberO("[COSTCENTER].[PARENTH1].[1001]","","1001","","000")</f>
        <v>1001</v>
      </c>
      <c r="K266" s="167" t="str">
        <f xml:space="preserve"> _xll.EPMOlapMemberO("[C_ACCOUNT].[PARENTH2].[A_S6790704]","","A_S6790704","","000")</f>
        <v>A_S6790704</v>
      </c>
      <c r="L266" s="112" t="str">
        <f>_xll.EPMMemberDesc(K266)</f>
        <v>Settled Intercompany Support Services</v>
      </c>
      <c r="M266" s="112">
        <v>656535.86532600003</v>
      </c>
      <c r="N266" s="112">
        <v>656535.86534609995</v>
      </c>
      <c r="O266" s="112">
        <v>54448.824056600002</v>
      </c>
      <c r="P266" s="112">
        <v>54448.824056600002</v>
      </c>
      <c r="Q266" s="112">
        <v>54448.824056600002</v>
      </c>
      <c r="R266" s="112">
        <v>54448.824056600002</v>
      </c>
      <c r="S266" s="112">
        <v>54448.824056600002</v>
      </c>
      <c r="T266" s="112">
        <v>54898.820723299999</v>
      </c>
      <c r="U266" s="112">
        <v>54898.820723299999</v>
      </c>
      <c r="V266" s="112">
        <v>54898.820723299999</v>
      </c>
      <c r="W266" s="112">
        <v>54898.820723299999</v>
      </c>
      <c r="X266" s="112">
        <v>54898.820723299999</v>
      </c>
      <c r="Y266" s="112">
        <v>54898.820723299999</v>
      </c>
      <c r="Z266" s="112">
        <v>54898.820723299999</v>
      </c>
      <c r="AA266" s="112">
        <v>656535.86534609995</v>
      </c>
    </row>
    <row r="267" spans="10:27" ht="15" customHeight="1" x14ac:dyDescent="0.2">
      <c r="J267" s="100" t="str">
        <f xml:space="preserve"> _xll.EPMOlapMemberO("[COSTCENTER].[PARENTH1].[1001]","","1001","","000")</f>
        <v>1001</v>
      </c>
      <c r="K267" s="167" t="str">
        <f xml:space="preserve"> _xll.EPMOlapMemberO("[C_ACCOUNT].[PARENTH2].[A_S6790800]","","A_S6790800","","000")</f>
        <v>A_S6790800</v>
      </c>
      <c r="L267" s="112" t="str">
        <f>_xll.EPMMemberDesc(K267)</f>
        <v>Settled Other Operational Expense - Misc</v>
      </c>
      <c r="M267" s="112">
        <v>1499922.1133488</v>
      </c>
      <c r="N267" s="112">
        <v>1499922.1134688</v>
      </c>
      <c r="O267" s="112">
        <v>116660.17612239999</v>
      </c>
      <c r="P267" s="112">
        <v>123660.17612239999</v>
      </c>
      <c r="Q267" s="112">
        <v>123660.17612239999</v>
      </c>
      <c r="R267" s="112">
        <v>123660.17612239999</v>
      </c>
      <c r="S267" s="112">
        <v>123660.17612239999</v>
      </c>
      <c r="T267" s="112">
        <v>123660.17612239999</v>
      </c>
      <c r="U267" s="112">
        <v>123660.17612239999</v>
      </c>
      <c r="V267" s="112">
        <v>123660.17612239999</v>
      </c>
      <c r="W267" s="112">
        <v>123660.17612239999</v>
      </c>
      <c r="X267" s="112">
        <v>123660.17612239999</v>
      </c>
      <c r="Y267" s="112">
        <v>123660.17612239999</v>
      </c>
      <c r="Z267" s="112">
        <v>146660.17612240001</v>
      </c>
      <c r="AA267" s="112">
        <v>1499922.1134688</v>
      </c>
    </row>
    <row r="268" spans="10:27" ht="15" customHeight="1" x14ac:dyDescent="0.2">
      <c r="J268" s="100" t="str">
        <f xml:space="preserve"> _xll.EPMOlapMemberO("[COSTCENTER].[PARENTH1].[1001]","","1001","","000")</f>
        <v>1001</v>
      </c>
      <c r="K268" s="167" t="str">
        <f xml:space="preserve"> _xll.EPMOlapMemberO("[C_ACCOUNT].[PARENTH2].[A_S6791000]","","A_S6791000","","000")</f>
        <v>A_S6791000</v>
      </c>
      <c r="L268" s="112" t="str">
        <f>_xll.EPMMemberDesc(K268)</f>
        <v>Settled Rate Case Expense</v>
      </c>
      <c r="M268" s="112">
        <v>388186.7</v>
      </c>
      <c r="N268" s="112">
        <v>388186.7</v>
      </c>
      <c r="O268" s="112">
        <v>35289.699999999997</v>
      </c>
      <c r="P268" s="112">
        <v>35289.699999999997</v>
      </c>
      <c r="Q268" s="112">
        <v>35289.699999999997</v>
      </c>
      <c r="R268" s="112">
        <v>35289.699999999997</v>
      </c>
      <c r="S268" s="112">
        <v>35289.699999999997</v>
      </c>
      <c r="T268" s="112">
        <v>35289.699999999997</v>
      </c>
      <c r="U268" s="112">
        <v>35289.699999999997</v>
      </c>
      <c r="V268" s="112">
        <v>35289.699999999997</v>
      </c>
      <c r="W268" s="112">
        <v>35289.699999999997</v>
      </c>
      <c r="X268" s="112">
        <v>35289.699999999997</v>
      </c>
      <c r="Y268" s="112">
        <v>35289.699999999997</v>
      </c>
      <c r="Z268" s="112">
        <v>0</v>
      </c>
      <c r="AA268" s="112">
        <v>388186.7</v>
      </c>
    </row>
    <row r="269" spans="10:27" ht="15" customHeight="1" x14ac:dyDescent="0.2">
      <c r="J269" s="115" t="str">
        <f xml:space="preserve"> _xll.EPMOlapMemberO("[COSTCENTER].[PARENTH1].[1001]","","1001","","000")</f>
        <v>1001</v>
      </c>
      <c r="K269" s="163" t="str">
        <f xml:space="preserve"> _xll.EPMOlapMemberO("[C_ACCOUNT].[PARENTH2].[RECV_CONBEN_RC]","","RECV_CONBEN_RC","","000")</f>
        <v>RECV_CONBEN_RC</v>
      </c>
      <c r="L269" s="115" t="str">
        <f>_xll.EPMMemberDesc(K269)</f>
        <v>Recoverable Conservation Benefit</v>
      </c>
      <c r="M269" s="114">
        <v>-21880913.280000001</v>
      </c>
      <c r="N269" s="114">
        <v>-21880913.2754004</v>
      </c>
      <c r="O269" s="114">
        <v>-1823409.4396166999</v>
      </c>
      <c r="P269" s="114">
        <v>-1823409.4396166999</v>
      </c>
      <c r="Q269" s="114">
        <v>-1823409.4396166999</v>
      </c>
      <c r="R269" s="114">
        <v>-1823409.4396166999</v>
      </c>
      <c r="S269" s="114">
        <v>-1823409.4396166999</v>
      </c>
      <c r="T269" s="114">
        <v>-1823409.4396166999</v>
      </c>
      <c r="U269" s="114">
        <v>-1823409.4396166999</v>
      </c>
      <c r="V269" s="114">
        <v>-1823409.4396166999</v>
      </c>
      <c r="W269" s="114">
        <v>-1823409.4396166999</v>
      </c>
      <c r="X269" s="114">
        <v>-1823409.4396166999</v>
      </c>
      <c r="Y269" s="114">
        <v>-1823409.4396166999</v>
      </c>
      <c r="Z269" s="114">
        <v>-1823409.4396166999</v>
      </c>
      <c r="AA269" s="114">
        <v>-21880913.2754004</v>
      </c>
    </row>
    <row r="270" spans="10:27" ht="15" customHeight="1" x14ac:dyDescent="0.2">
      <c r="J270" s="100" t="str">
        <f xml:space="preserve"> _xll.EPMOlapMemberO("[COSTCENTER].[PARENTH1].[1001]","","1001","","000")</f>
        <v>1001</v>
      </c>
      <c r="K270" s="166" t="str">
        <f xml:space="preserve"> _xll.EPMOlapMemberO("[C_ACCOUNT].[PARENTH2].[ER_RECV_CON_BEN_2]","","ER_RECV_CON_BEN_2","","000")</f>
        <v>ER_RECV_CON_BEN_2</v>
      </c>
      <c r="L270" s="112" t="str">
        <f>_xll.EPMMemberDesc(K270)</f>
        <v>Recoverable Conservation Benefit</v>
      </c>
      <c r="M270" s="112">
        <v>-21880913.280000001</v>
      </c>
      <c r="N270" s="112">
        <v>-21880913.2754004</v>
      </c>
      <c r="O270" s="112">
        <v>-1823409.4396166999</v>
      </c>
      <c r="P270" s="112">
        <v>-1823409.4396166999</v>
      </c>
      <c r="Q270" s="112">
        <v>-1823409.4396166999</v>
      </c>
      <c r="R270" s="112">
        <v>-1823409.4396166999</v>
      </c>
      <c r="S270" s="112">
        <v>-1823409.4396166999</v>
      </c>
      <c r="T270" s="112">
        <v>-1823409.4396166999</v>
      </c>
      <c r="U270" s="112">
        <v>-1823409.4396166999</v>
      </c>
      <c r="V270" s="112">
        <v>-1823409.4396166999</v>
      </c>
      <c r="W270" s="112">
        <v>-1823409.4396166999</v>
      </c>
      <c r="X270" s="112">
        <v>-1823409.4396166999</v>
      </c>
      <c r="Y270" s="112">
        <v>-1823409.4396166999</v>
      </c>
      <c r="Z270" s="112">
        <v>-1823409.4396166999</v>
      </c>
      <c r="AA270" s="112">
        <v>-21880913.2754004</v>
      </c>
    </row>
    <row r="271" spans="10:27" ht="15" customHeight="1" x14ac:dyDescent="0.2">
      <c r="J271" s="115" t="str">
        <f xml:space="preserve"> _xll.EPMOlapMemberO("[COSTCENTER].[PARENTH1].[1001]","","1001","","000")</f>
        <v>1001</v>
      </c>
      <c r="K271" s="163" t="str">
        <f xml:space="preserve"> _xll.EPMOlapMemberO("[C_ACCOUNT].[PARENTH2].[FUEL_ADD_RC]","","FUEL_ADD_RC","","000")</f>
        <v>FUEL_ADD_RC</v>
      </c>
      <c r="L271" s="115" t="str">
        <f>_xll.EPMMemberDesc(K271)</f>
        <v>Fuel Additive</v>
      </c>
      <c r="M271" s="114">
        <v>-7347436.5843000002</v>
      </c>
      <c r="N271" s="114">
        <v>-7347436.5841087</v>
      </c>
      <c r="O271" s="114">
        <v>-609151.61621899996</v>
      </c>
      <c r="P271" s="114">
        <v>-590857.42126750003</v>
      </c>
      <c r="Q271" s="114">
        <v>-611380.94409250002</v>
      </c>
      <c r="R271" s="114">
        <v>-596061.70785849995</v>
      </c>
      <c r="S271" s="114">
        <v>-613322.86132699996</v>
      </c>
      <c r="T271" s="114">
        <v>-636370.78949300002</v>
      </c>
      <c r="U271" s="114">
        <v>-602266.62925200001</v>
      </c>
      <c r="V271" s="114">
        <v>-612295.90627739998</v>
      </c>
      <c r="W271" s="114">
        <v>-602464.84845189995</v>
      </c>
      <c r="X271" s="114">
        <v>-614152.47679989995</v>
      </c>
      <c r="Y271" s="114">
        <v>-655615.35519369994</v>
      </c>
      <c r="Z271" s="114">
        <v>-603496.02787630004</v>
      </c>
      <c r="AA271" s="114">
        <v>-7347436.5841087</v>
      </c>
    </row>
    <row r="272" spans="10:27" ht="15" customHeight="1" x14ac:dyDescent="0.2">
      <c r="J272" s="100" t="str">
        <f xml:space="preserve"> _xll.EPMOlapMemberO("[COSTCENTER].[PARENTH1].[1001]","","1001","","000")</f>
        <v>1001</v>
      </c>
      <c r="K272" s="166" t="str">
        <f xml:space="preserve"> _xll.EPMOlapMemberO("[C_ACCOUNT].[PARENTH2].[ER_PGA_OM_2]","","ER_PGA_OM_2","","000")</f>
        <v>ER_PGA_OM_2</v>
      </c>
      <c r="L272" s="112" t="str">
        <f>_xll.EPMMemberDesc(K272)</f>
        <v>PGA O&amp;M Expense</v>
      </c>
      <c r="M272" s="112">
        <v>-7347436.5843000002</v>
      </c>
      <c r="N272" s="112">
        <v>-7347436.5841087</v>
      </c>
      <c r="O272" s="112">
        <v>-609151.61621899996</v>
      </c>
      <c r="P272" s="112">
        <v>-590857.42126750003</v>
      </c>
      <c r="Q272" s="112">
        <v>-611380.94409250002</v>
      </c>
      <c r="R272" s="112">
        <v>-596061.70785849995</v>
      </c>
      <c r="S272" s="112">
        <v>-613322.86132699996</v>
      </c>
      <c r="T272" s="112">
        <v>-636370.78949300002</v>
      </c>
      <c r="U272" s="112">
        <v>-602266.62925200001</v>
      </c>
      <c r="V272" s="112">
        <v>-612295.90627739998</v>
      </c>
      <c r="W272" s="112">
        <v>-602464.84845189995</v>
      </c>
      <c r="X272" s="112">
        <v>-614152.47679989995</v>
      </c>
      <c r="Y272" s="112">
        <v>-655615.35519369994</v>
      </c>
      <c r="Z272" s="112">
        <v>-603496.02787630004</v>
      </c>
      <c r="AA272" s="112">
        <v>-7347436.5841087</v>
      </c>
    </row>
    <row r="273" spans="10:27" ht="15" customHeight="1" x14ac:dyDescent="0.2">
      <c r="J273" s="115" t="str">
        <f xml:space="preserve"> _xll.EPMOlapMemberO("[COSTCENTER].[PARENTH1].[1001]","","1001","","000")</f>
        <v>1001</v>
      </c>
      <c r="K273" s="161" t="str">
        <f xml:space="preserve"> _xll.EPMOlapMemberO("[C_ACCOUNT].[PARENTH2].[DEP_AMOR_RC]","","DEP_AMOR_RC","","000")</f>
        <v>DEP_AMOR_RC</v>
      </c>
      <c r="L273" s="115" t="str">
        <f>_xll.EPMMemberDesc(K273)</f>
        <v>Depreciation and Amortization (Excluding Clauses)</v>
      </c>
      <c r="M273" s="114">
        <v>55917923.568860002</v>
      </c>
      <c r="N273" s="114">
        <v>52331224.983957097</v>
      </c>
      <c r="O273" s="114">
        <v>5301614.0339599</v>
      </c>
      <c r="P273" s="114">
        <v>5541110.9474261999</v>
      </c>
      <c r="Q273" s="114">
        <v>560602.53641830001</v>
      </c>
      <c r="R273" s="114">
        <v>5851985.3473031996</v>
      </c>
      <c r="S273" s="114">
        <v>5886963.5258349003</v>
      </c>
      <c r="T273" s="114">
        <v>2106907.6615646002</v>
      </c>
      <c r="U273" s="114">
        <v>6154224.8338070996</v>
      </c>
      <c r="V273" s="114">
        <v>6188540.3388184002</v>
      </c>
      <c r="W273" s="114">
        <v>3824139.4635831001</v>
      </c>
      <c r="X273" s="114">
        <v>6243972.3567479998</v>
      </c>
      <c r="Y273" s="114">
        <v>6268921.0810823003</v>
      </c>
      <c r="Z273" s="114">
        <v>-1597757.1425888999</v>
      </c>
      <c r="AA273" s="114">
        <v>52331224.983957097</v>
      </c>
    </row>
    <row r="274" spans="10:27" ht="15" customHeight="1" x14ac:dyDescent="0.2">
      <c r="J274" s="115" t="str">
        <f xml:space="preserve"> _xll.EPMOlapMemberO("[COSTCENTER].[PARENTH1].[1001]","","1001","","000")</f>
        <v>1001</v>
      </c>
      <c r="K274" s="163" t="str">
        <f xml:space="preserve"> _xll.EPMOlapMemberO("[C_ACCOUNT].[PARENTH2].[DEP_EXP_RC]","","DEP_EXP_RC","","000")</f>
        <v>DEP_EXP_RC</v>
      </c>
      <c r="L274" s="115" t="str">
        <f>_xll.EPMMemberDesc(K274)</f>
        <v>Depreciation Expense</v>
      </c>
      <c r="M274" s="114">
        <v>48523519.429799996</v>
      </c>
      <c r="N274" s="114">
        <v>45308710.668274298</v>
      </c>
      <c r="O274" s="114">
        <v>4874032.1161233</v>
      </c>
      <c r="P274" s="114">
        <v>5087563.8069078</v>
      </c>
      <c r="Q274" s="114">
        <v>106095.8438422</v>
      </c>
      <c r="R274" s="114">
        <v>5389390.5036642998</v>
      </c>
      <c r="S274" s="114">
        <v>5422884.7271383004</v>
      </c>
      <c r="T274" s="114">
        <v>1450697.8202480001</v>
      </c>
      <c r="U274" s="114">
        <v>5481349.0800404996</v>
      </c>
      <c r="V274" s="114">
        <v>5504603.0565518001</v>
      </c>
      <c r="W274" s="114">
        <v>3139435.4868164998</v>
      </c>
      <c r="X274" s="114">
        <v>5558343.7474814001</v>
      </c>
      <c r="Y274" s="114">
        <v>5582638.4283157</v>
      </c>
      <c r="Z274" s="114">
        <v>-2288323.9488555002</v>
      </c>
      <c r="AA274" s="114">
        <v>45308710.668274298</v>
      </c>
    </row>
    <row r="275" spans="10:27" ht="15" customHeight="1" x14ac:dyDescent="0.2">
      <c r="J275" s="100" t="str">
        <f xml:space="preserve"> _xll.EPMOlapMemberO("[COSTCENTER].[PARENTH1].[1001]","","1001","","000")</f>
        <v>1001</v>
      </c>
      <c r="K275" s="166" t="str">
        <f xml:space="preserve"> _xll.EPMOlapMemberO("[C_ACCOUNT].[PARENTH2].[A_6810010]","","A_6810010","","000")</f>
        <v>A_6810010</v>
      </c>
      <c r="L275" s="112" t="str">
        <f>_xll.EPMMemberDesc(K275)</f>
        <v>Depreciation - Utility Plant</v>
      </c>
      <c r="M275" s="112">
        <v>47163443.163000003</v>
      </c>
      <c r="N275" s="112">
        <v>44141530.597274698</v>
      </c>
      <c r="O275" s="112">
        <v>4863502.9435400004</v>
      </c>
      <c r="P275" s="112">
        <v>5077034.6343245003</v>
      </c>
      <c r="Q275" s="112">
        <v>-8516.3287411000001</v>
      </c>
      <c r="R275" s="112">
        <v>5274778.3310810002</v>
      </c>
      <c r="S275" s="112">
        <v>5308272.5545549998</v>
      </c>
      <c r="T275" s="112">
        <v>1336085.6476646999</v>
      </c>
      <c r="U275" s="112">
        <v>5366736.9074571999</v>
      </c>
      <c r="V275" s="112">
        <v>5389990.8839685004</v>
      </c>
      <c r="W275" s="112">
        <v>3024823.3142332002</v>
      </c>
      <c r="X275" s="112">
        <v>5443731.5748981005</v>
      </c>
      <c r="Y275" s="112">
        <v>5468026.2557324003</v>
      </c>
      <c r="Z275" s="112">
        <v>-2402936.1214387999</v>
      </c>
      <c r="AA275" s="112">
        <v>44141530.597274698</v>
      </c>
    </row>
    <row r="276" spans="10:27" ht="15" customHeight="1" x14ac:dyDescent="0.2">
      <c r="J276" s="100" t="str">
        <f xml:space="preserve"> _xll.EPMOlapMemberO("[COSTCENTER].[PARENTH1].[1001]","","1001","","000")</f>
        <v>1001</v>
      </c>
      <c r="K276" s="166" t="str">
        <f xml:space="preserve"> _xll.EPMOlapMemberO("[C_ACCOUNT].[PARENTH2].[A_6810802]","","A_6810802","","000")</f>
        <v>A_6810802</v>
      </c>
      <c r="L276" s="112" t="str">
        <f>_xll.EPMMemberDesc(K276)</f>
        <v>Depreciation - Other - Leased Assets</v>
      </c>
      <c r="M276" s="112">
        <v>1360076.2668000001</v>
      </c>
      <c r="N276" s="112">
        <v>1167180.0709996</v>
      </c>
      <c r="O276" s="112">
        <v>10529.1725833</v>
      </c>
      <c r="P276" s="112">
        <v>10529.1725833</v>
      </c>
      <c r="Q276" s="112">
        <v>114612.17258329999</v>
      </c>
      <c r="R276" s="112">
        <v>114612.17258329999</v>
      </c>
      <c r="S276" s="112">
        <v>114612.17258329999</v>
      </c>
      <c r="T276" s="112">
        <v>114612.17258329999</v>
      </c>
      <c r="U276" s="112">
        <v>114612.17258329999</v>
      </c>
      <c r="V276" s="112">
        <v>114612.17258329999</v>
      </c>
      <c r="W276" s="112">
        <v>114612.17258329999</v>
      </c>
      <c r="X276" s="112">
        <v>114612.17258329999</v>
      </c>
      <c r="Y276" s="112">
        <v>114612.17258329999</v>
      </c>
      <c r="Z276" s="112">
        <v>114612.17258329999</v>
      </c>
      <c r="AA276" s="112">
        <v>1167180.0709996</v>
      </c>
    </row>
    <row r="277" spans="10:27" ht="15" customHeight="1" x14ac:dyDescent="0.2">
      <c r="J277" s="115" t="str">
        <f xml:space="preserve"> _xll.EPMOlapMemberO("[COSTCENTER].[PARENTH1].[1001]","","1001","","000")</f>
        <v>1001</v>
      </c>
      <c r="K277" s="163" t="str">
        <f xml:space="preserve"> _xll.EPMOlapMemberO("[C_ACCOUNT].[PARENTH2].[AMORT_EXP_RC]","","AMORT_EXP_RC","","000")</f>
        <v>AMORT_EXP_RC</v>
      </c>
      <c r="L277" s="115" t="str">
        <f>_xll.EPMMemberDesc(K277)</f>
        <v>Amortization Expense</v>
      </c>
      <c r="M277" s="114">
        <v>7394404.13906</v>
      </c>
      <c r="N277" s="114">
        <v>7022514.3156827996</v>
      </c>
      <c r="O277" s="114">
        <v>427581.91783659998</v>
      </c>
      <c r="P277" s="114">
        <v>453547.1405184</v>
      </c>
      <c r="Q277" s="114">
        <v>454506.6925761</v>
      </c>
      <c r="R277" s="114">
        <v>462594.84363890003</v>
      </c>
      <c r="S277" s="114">
        <v>464078.79869660002</v>
      </c>
      <c r="T277" s="114">
        <v>656209.84131659998</v>
      </c>
      <c r="U277" s="114">
        <v>672875.75376660004</v>
      </c>
      <c r="V277" s="114">
        <v>683937.28226660006</v>
      </c>
      <c r="W277" s="114">
        <v>684703.97676660004</v>
      </c>
      <c r="X277" s="114">
        <v>685628.60926659999</v>
      </c>
      <c r="Y277" s="114">
        <v>686282.65276660002</v>
      </c>
      <c r="Z277" s="114">
        <v>690566.80626660003</v>
      </c>
      <c r="AA277" s="114">
        <v>7022514.3156827996</v>
      </c>
    </row>
    <row r="278" spans="10:27" ht="15" customHeight="1" x14ac:dyDescent="0.2">
      <c r="J278" s="100" t="str">
        <f xml:space="preserve"> _xll.EPMOlapMemberO("[COSTCENTER].[PARENTH1].[1001]","","1001","","000")</f>
        <v>1001</v>
      </c>
      <c r="K278" s="166" t="str">
        <f xml:space="preserve"> _xll.EPMOlapMemberO("[C_ACCOUNT].[PARENTH2].[A_6800010]","","A_6800010","","000")</f>
        <v>A_6800010</v>
      </c>
      <c r="L278" s="112" t="str">
        <f>_xll.EPMMemberDesc(K278)</f>
        <v>Amortization - Utility Plant</v>
      </c>
      <c r="M278" s="112">
        <v>6394404.1391000003</v>
      </c>
      <c r="N278" s="112">
        <v>6022514.3156832</v>
      </c>
      <c r="O278" s="112">
        <v>344248.58450330002</v>
      </c>
      <c r="P278" s="112">
        <v>370213.80718509998</v>
      </c>
      <c r="Q278" s="112">
        <v>371173.35924279998</v>
      </c>
      <c r="R278" s="112">
        <v>379261.51030560001</v>
      </c>
      <c r="S278" s="112">
        <v>380745.4653633</v>
      </c>
      <c r="T278" s="112">
        <v>572876.50798330002</v>
      </c>
      <c r="U278" s="112">
        <v>589542.42043329997</v>
      </c>
      <c r="V278" s="112">
        <v>600603.94893329998</v>
      </c>
      <c r="W278" s="112">
        <v>601370.64343329996</v>
      </c>
      <c r="X278" s="112">
        <v>602295.27593330003</v>
      </c>
      <c r="Y278" s="112">
        <v>602949.31943330006</v>
      </c>
      <c r="Z278" s="112">
        <v>607233.47293329996</v>
      </c>
      <c r="AA278" s="112">
        <v>6022514.3156832</v>
      </c>
    </row>
    <row r="279" spans="10:27" ht="15" customHeight="1" x14ac:dyDescent="0.2">
      <c r="J279" s="100" t="str">
        <f xml:space="preserve"> _xll.EPMOlapMemberO("[COSTCENTER].[PARENTH1].[1001]","","1001","","000")</f>
        <v>1001</v>
      </c>
      <c r="K279" s="166" t="str">
        <f xml:space="preserve"> _xll.EPMOlapMemberO("[C_ACCOUNT].[PARENTH2].[A_6800050]","","A_6800050","","000")</f>
        <v>A_6800050</v>
      </c>
      <c r="L279" s="112" t="str">
        <f>_xll.EPMMemberDesc(K279)</f>
        <v>Amortization - Environmental Remediation</v>
      </c>
      <c r="M279" s="112">
        <v>999999.99996000004</v>
      </c>
      <c r="N279" s="112">
        <v>999999.9999996</v>
      </c>
      <c r="O279" s="112">
        <v>83333.333333300005</v>
      </c>
      <c r="P279" s="112">
        <v>83333.333333300005</v>
      </c>
      <c r="Q279" s="112">
        <v>83333.333333300005</v>
      </c>
      <c r="R279" s="112">
        <v>83333.333333300005</v>
      </c>
      <c r="S279" s="112">
        <v>83333.333333300005</v>
      </c>
      <c r="T279" s="112">
        <v>83333.333333300005</v>
      </c>
      <c r="U279" s="112">
        <v>83333.333333300005</v>
      </c>
      <c r="V279" s="112">
        <v>83333.333333300005</v>
      </c>
      <c r="W279" s="112">
        <v>83333.333333300005</v>
      </c>
      <c r="X279" s="112">
        <v>83333.333333300005</v>
      </c>
      <c r="Y279" s="112">
        <v>83333.333333300005</v>
      </c>
      <c r="Z279" s="112">
        <v>83333.333333300005</v>
      </c>
      <c r="AA279" s="112">
        <v>999999.9999996</v>
      </c>
    </row>
    <row r="280" spans="10:27" ht="15" customHeight="1" x14ac:dyDescent="0.2">
      <c r="J280" s="115" t="str">
        <f xml:space="preserve"> _xll.EPMOlapMemberO("[COSTCENTER].[PARENTH1].[1001]","","1001","","000")</f>
        <v>1001</v>
      </c>
      <c r="K280" s="161" t="str">
        <f xml:space="preserve"> _xll.EPMOlapMemberO("[C_ACCOUNT].[PARENTH2].[OTH_OPINC_RC]","","OTH_OPINC_RC","","000")</f>
        <v>OTH_OPINC_RC</v>
      </c>
      <c r="L280" s="115" t="str">
        <f>_xll.EPMMemberDesc(K280)</f>
        <v>Other Operating Income Items</v>
      </c>
      <c r="M280" s="114">
        <v>2383665.6450796998</v>
      </c>
      <c r="N280" s="114">
        <v>8246337.6826171</v>
      </c>
      <c r="O280" s="114">
        <v>591309.76359470002</v>
      </c>
      <c r="P280" s="114">
        <v>653174.61240510002</v>
      </c>
      <c r="Q280" s="114">
        <v>691240.02216159995</v>
      </c>
      <c r="R280" s="114">
        <v>704581.62608409999</v>
      </c>
      <c r="S280" s="114">
        <v>686474.83869060001</v>
      </c>
      <c r="T280" s="114">
        <v>562763.95780079998</v>
      </c>
      <c r="U280" s="114">
        <v>752202.58231159998</v>
      </c>
      <c r="V280" s="114">
        <v>760465.28771429998</v>
      </c>
      <c r="W280" s="114">
        <v>802167.26033980004</v>
      </c>
      <c r="X280" s="114">
        <v>779685.49619700003</v>
      </c>
      <c r="Y280" s="114">
        <v>771359.55612009997</v>
      </c>
      <c r="Z280" s="114">
        <v>490912.67919739999</v>
      </c>
      <c r="AA280" s="114">
        <v>8246337.6826171</v>
      </c>
    </row>
    <row r="281" spans="10:27" ht="15" customHeight="1" x14ac:dyDescent="0.2">
      <c r="J281" s="115" t="str">
        <f xml:space="preserve"> _xll.EPMOlapMemberO("[COSTCENTER].[PARENTH1].[1001]","","1001","","000")</f>
        <v>1001</v>
      </c>
      <c r="K281" s="163" t="str">
        <f xml:space="preserve"> _xll.EPMOlapMemberO("[C_ACCOUNT].[PARENTH2].[TAX_OTH_RC]","","TAX_OTH_RC","","000")</f>
        <v>TAX_OTH_RC</v>
      </c>
      <c r="L281" s="115" t="str">
        <f>_xll.EPMMemberDesc(K281)</f>
        <v>Taxes. other than income</v>
      </c>
      <c r="M281" s="114">
        <v>4885988.9190934002</v>
      </c>
      <c r="N281" s="114">
        <v>-891931.13553590002</v>
      </c>
      <c r="O281" s="114">
        <v>-52857.394332099997</v>
      </c>
      <c r="P281" s="114">
        <v>-100462.4691424</v>
      </c>
      <c r="Q281" s="114">
        <v>-122373.5398989</v>
      </c>
      <c r="R281" s="114">
        <v>-120403.24682119999</v>
      </c>
      <c r="S281" s="114">
        <v>-88623.734927800004</v>
      </c>
      <c r="T281" s="114">
        <v>48129.909461700001</v>
      </c>
      <c r="U281" s="114">
        <v>-128229.3870488</v>
      </c>
      <c r="V281" s="114">
        <v>-124540.0723517</v>
      </c>
      <c r="W281" s="114">
        <v>-156098.88217610001</v>
      </c>
      <c r="X281" s="114">
        <v>-124333.6117433</v>
      </c>
      <c r="Y281" s="114">
        <v>-106387.8307471</v>
      </c>
      <c r="Z281" s="114">
        <v>184249.12419179999</v>
      </c>
      <c r="AA281" s="114">
        <v>-891931.13553590002</v>
      </c>
    </row>
    <row r="282" spans="10:27" ht="15" customHeight="1" x14ac:dyDescent="0.2">
      <c r="J282" s="115" t="str">
        <f xml:space="preserve"> _xll.EPMOlapMemberO("[COSTCENTER].[PARENTH1].[1001]","","1001","","000")</f>
        <v>1001</v>
      </c>
      <c r="K282" s="165" t="str">
        <f xml:space="preserve"> _xll.EPMOlapMemberO("[C_ACCOUNT].[PARENTH2].[OTH_RC]","","OTH_RC","","000")</f>
        <v>OTH_RC</v>
      </c>
      <c r="L282" s="115" t="str">
        <f>_xll.EPMMemberDesc(K282)</f>
        <v>Other Taxes</v>
      </c>
      <c r="M282" s="114">
        <v>591448.27915299998</v>
      </c>
      <c r="N282" s="114">
        <v>-5015651.5224788003</v>
      </c>
      <c r="O282" s="114">
        <v>-388845.39933340001</v>
      </c>
      <c r="P282" s="114">
        <v>-410346.9694987</v>
      </c>
      <c r="Q282" s="114">
        <v>-477745.6897016</v>
      </c>
      <c r="R282" s="114">
        <v>-429935.96462570003</v>
      </c>
      <c r="S282" s="114">
        <v>-445456.96224560001</v>
      </c>
      <c r="T282" s="114">
        <v>-309607.34433290001</v>
      </c>
      <c r="U282" s="114">
        <v>-460170.51546640001</v>
      </c>
      <c r="V282" s="114">
        <v>-484984.9161263</v>
      </c>
      <c r="W282" s="114">
        <v>-485629.21191910002</v>
      </c>
      <c r="X282" s="114">
        <v>-469932.23289440002</v>
      </c>
      <c r="Y282" s="114">
        <v>-485089.71789229999</v>
      </c>
      <c r="Z282" s="114">
        <v>-167906.59844239999</v>
      </c>
      <c r="AA282" s="114">
        <v>-5015651.5224788003</v>
      </c>
    </row>
    <row r="283" spans="10:27" ht="15" customHeight="1" x14ac:dyDescent="0.2">
      <c r="J283" s="100" t="str">
        <f xml:space="preserve"> _xll.EPMOlapMemberO("[COSTCENTER].[PARENTH1].[1001]","","1001","","000")</f>
        <v>1001</v>
      </c>
      <c r="K283" s="167" t="str">
        <f xml:space="preserve"> _xll.EPMOlapMemberO("[C_ACCOUNT].[PARENTH2].[A_6900070]","","A_6900070","","000")</f>
        <v>A_6900070</v>
      </c>
      <c r="L283" s="112" t="str">
        <f>_xll.EPMMemberDesc(K283)</f>
        <v>TOTI - Regulatory Assessment Fee</v>
      </c>
      <c r="M283" s="112">
        <v>3265981.159953</v>
      </c>
      <c r="N283" s="112">
        <v>3265981.159953</v>
      </c>
      <c r="O283" s="112">
        <v>285518.55028000002</v>
      </c>
      <c r="P283" s="112">
        <v>324021.79398000002</v>
      </c>
      <c r="Q283" s="112">
        <v>286864.03928000003</v>
      </c>
      <c r="R283" s="112">
        <v>270287.13276000001</v>
      </c>
      <c r="S283" s="112">
        <v>256923.17733999999</v>
      </c>
      <c r="T283" s="112">
        <v>237701.30704000001</v>
      </c>
      <c r="U283" s="112">
        <v>232872.98634</v>
      </c>
      <c r="V283" s="112">
        <v>236487.860847</v>
      </c>
      <c r="W283" s="112">
        <v>241461.03116799999</v>
      </c>
      <c r="X283" s="112">
        <v>264630.8726602</v>
      </c>
      <c r="Y283" s="112">
        <v>295469.96045840002</v>
      </c>
      <c r="Z283" s="112">
        <v>333742.44779940002</v>
      </c>
      <c r="AA283" s="112">
        <v>3265981.159953</v>
      </c>
    </row>
    <row r="284" spans="10:27" ht="15" customHeight="1" x14ac:dyDescent="0.2">
      <c r="J284" s="100" t="str">
        <f xml:space="preserve"> _xll.EPMOlapMemberO("[COSTCENTER].[PARENTH1].[1001]","","1001","","000")</f>
        <v>1001</v>
      </c>
      <c r="K284" s="167" t="str">
        <f xml:space="preserve"> _xll.EPMOlapMemberO("[C_ACCOUNT].[PARENTH2].[A_6900800]","","A_6900800","","000")</f>
        <v>A_6900800</v>
      </c>
      <c r="L284" s="112" t="str">
        <f>_xll.EPMMemberDesc(K284)</f>
        <v>Taxes other than income - Other</v>
      </c>
      <c r="M284" s="112">
        <v>-508009.43170999998</v>
      </c>
      <c r="N284" s="112">
        <v>-547148.39485509996</v>
      </c>
      <c r="O284" s="112">
        <v>-32694.461017599999</v>
      </c>
      <c r="P284" s="112">
        <v>-18849.93779</v>
      </c>
      <c r="Q284" s="112">
        <v>-83486.460370500005</v>
      </c>
      <c r="R284" s="112">
        <v>-54877.441239</v>
      </c>
      <c r="S284" s="112">
        <v>-75527.671457799996</v>
      </c>
      <c r="T284" s="112">
        <v>83563.264953000005</v>
      </c>
      <c r="U284" s="112">
        <v>-62298.6935973</v>
      </c>
      <c r="V284" s="112">
        <v>-88469.815483300001</v>
      </c>
      <c r="W284" s="112">
        <v>-80932.075486600006</v>
      </c>
      <c r="X284" s="112">
        <v>-72724.3475569</v>
      </c>
      <c r="Y284" s="112">
        <v>-95463.821614</v>
      </c>
      <c r="Z284" s="112">
        <v>34613.065804899998</v>
      </c>
      <c r="AA284" s="112">
        <v>-547148.39485509996</v>
      </c>
    </row>
    <row r="285" spans="10:27" ht="15" customHeight="1" x14ac:dyDescent="0.2">
      <c r="J285" s="100" t="str">
        <f xml:space="preserve"> _xll.EPMOlapMemberO("[COSTCENTER].[PARENTH1].[1001]","","1001","","000")</f>
        <v>1001</v>
      </c>
      <c r="K285" s="167" t="str">
        <f xml:space="preserve"> _xll.EPMOlapMemberO("[C_ACCOUNT].[PARENTH2].[A_6909000]","","A_6909000","","000")</f>
        <v>A_6909000</v>
      </c>
      <c r="L285" s="112" t="str">
        <f>_xll.EPMMemberDesc(K285)</f>
        <v>Taxes other than income Exp sent to Balance Sheet</v>
      </c>
      <c r="M285" s="112">
        <v>-1859022.8115999999</v>
      </c>
      <c r="N285" s="112">
        <v>-7409383.6500000004</v>
      </c>
      <c r="O285" s="112">
        <v>-534018.22</v>
      </c>
      <c r="P285" s="112">
        <v>-617866.81999999995</v>
      </c>
      <c r="Q285" s="112">
        <v>-608286.69999999995</v>
      </c>
      <c r="R285" s="112">
        <v>-605494.72</v>
      </c>
      <c r="S285" s="112">
        <v>-602748.82999999996</v>
      </c>
      <c r="T285" s="112">
        <v>-614842.76</v>
      </c>
      <c r="U285" s="112">
        <v>-617454.14</v>
      </c>
      <c r="V285" s="112">
        <v>-621836.04</v>
      </c>
      <c r="W285" s="112">
        <v>-632618.75</v>
      </c>
      <c r="X285" s="112">
        <v>-640854.16</v>
      </c>
      <c r="Y285" s="112">
        <v>-648173.12</v>
      </c>
      <c r="Z285" s="112">
        <v>-665189.39</v>
      </c>
      <c r="AA285" s="112">
        <v>-7409383.6500000004</v>
      </c>
    </row>
    <row r="286" spans="10:27" ht="15" customHeight="1" x14ac:dyDescent="0.2">
      <c r="J286" s="100" t="str">
        <f xml:space="preserve"> _xll.EPMOlapMemberO("[COSTCENTER].[PARENTH1].[1001]","","1001","","000")</f>
        <v>1001</v>
      </c>
      <c r="K286" s="167" t="str">
        <f xml:space="preserve"> _xll.EPMOlapMemberO("[C_ACCOUNT].[PARENTH2].[ER_FUEL_REGASMTFEE_1]","","ER_FUEL_REGASMTFEE_1","","000")</f>
        <v>ER_FUEL_REGASMTFEE_1</v>
      </c>
      <c r="L286" s="112" t="str">
        <f>_xll.EPMMemberDesc(K286)</f>
        <v>FUEL Regulatory Assessment Fee</v>
      </c>
      <c r="M286" s="112">
        <v>-1043700.63749</v>
      </c>
      <c r="N286" s="112">
        <v>-1043700.6375763</v>
      </c>
      <c r="O286" s="112">
        <v>-152084.6019291</v>
      </c>
      <c r="P286" s="112">
        <v>-142085.339022</v>
      </c>
      <c r="Q286" s="112">
        <v>-117269.9019444</v>
      </c>
      <c r="R286" s="112">
        <v>-84284.269480000003</v>
      </c>
      <c r="S286" s="112">
        <v>-68536.971461099994</v>
      </c>
      <c r="T286" s="112">
        <v>-60462.4896592</v>
      </c>
      <c r="U286" s="112">
        <v>-57724.001542400001</v>
      </c>
      <c r="V286" s="112">
        <v>-55600.254823299998</v>
      </c>
      <c r="W286" s="112">
        <v>-57972.750933800002</v>
      </c>
      <c r="X286" s="112">
        <v>-65417.931331</v>
      </c>
      <c r="Y286" s="112">
        <v>-81356.070070000002</v>
      </c>
      <c r="Z286" s="112">
        <v>-100906.05538000001</v>
      </c>
      <c r="AA286" s="112">
        <v>-1043700.6375763</v>
      </c>
    </row>
    <row r="287" spans="10:27" ht="15" customHeight="1" x14ac:dyDescent="0.2">
      <c r="J287" s="100" t="str">
        <f xml:space="preserve"> _xll.EPMOlapMemberO("[COSTCENTER].[PARENTH1].[1001]","","1001","","000")</f>
        <v>1001</v>
      </c>
      <c r="K287" s="167" t="str">
        <f xml:space="preserve"> _xll.EPMOlapMemberO("[C_ACCOUNT].[PARENTH2].[A_S6900800]","","A_S6900800","","000")</f>
        <v>A_S6900800</v>
      </c>
      <c r="L287" s="112" t="str">
        <f>_xll.EPMMemberDesc(K287)</f>
        <v>Settled Taxes other than income - Other</v>
      </c>
      <c r="M287" s="112">
        <v>736200</v>
      </c>
      <c r="N287" s="112">
        <v>718599.9999996</v>
      </c>
      <c r="O287" s="112">
        <v>44433.333333299997</v>
      </c>
      <c r="P287" s="112">
        <v>44433.333333299997</v>
      </c>
      <c r="Q287" s="112">
        <v>44433.333333299997</v>
      </c>
      <c r="R287" s="112">
        <v>44433.333333299997</v>
      </c>
      <c r="S287" s="112">
        <v>44433.333333299997</v>
      </c>
      <c r="T287" s="112">
        <v>44433.333333299997</v>
      </c>
      <c r="U287" s="112">
        <v>44433.333333299997</v>
      </c>
      <c r="V287" s="112">
        <v>44433.333333299997</v>
      </c>
      <c r="W287" s="112">
        <v>44433.333333299997</v>
      </c>
      <c r="X287" s="112">
        <v>44433.333333299997</v>
      </c>
      <c r="Y287" s="112">
        <v>44433.333333299997</v>
      </c>
      <c r="Z287" s="112">
        <v>229833.33333329999</v>
      </c>
      <c r="AA287" s="112">
        <v>718599.9999996</v>
      </c>
    </row>
    <row r="288" spans="10:27" ht="15" customHeight="1" x14ac:dyDescent="0.2">
      <c r="J288" s="115" t="str">
        <f xml:space="preserve"> _xll.EPMOlapMemberO("[COSTCENTER].[PARENTH1].[1001]","","1001","","000")</f>
        <v>1001</v>
      </c>
      <c r="K288" s="165" t="str">
        <f xml:space="preserve"> _xll.EPMOlapMemberO("[C_ACCOUNT].[PARENTH2].[PAYROLL_RC]","","PAYROLL_RC","","000")</f>
        <v>PAYROLL_RC</v>
      </c>
      <c r="L288" s="115" t="str">
        <f>_xll.EPMMemberDesc(K288)</f>
        <v>Payroll Taxes</v>
      </c>
      <c r="M288" s="114">
        <v>4294540.6399403997</v>
      </c>
      <c r="N288" s="114">
        <v>4123720.3869428998</v>
      </c>
      <c r="O288" s="114">
        <v>335988.00500130001</v>
      </c>
      <c r="P288" s="114">
        <v>309884.50035629998</v>
      </c>
      <c r="Q288" s="114">
        <v>355372.14980269998</v>
      </c>
      <c r="R288" s="114">
        <v>309532.71780450002</v>
      </c>
      <c r="S288" s="114">
        <v>356833.22731779999</v>
      </c>
      <c r="T288" s="114">
        <v>357737.25379460002</v>
      </c>
      <c r="U288" s="114">
        <v>331941.1284176</v>
      </c>
      <c r="V288" s="114">
        <v>360444.84377460001</v>
      </c>
      <c r="W288" s="114">
        <v>329530.32974299998</v>
      </c>
      <c r="X288" s="114">
        <v>345598.62115109997</v>
      </c>
      <c r="Y288" s="114">
        <v>378701.88714519999</v>
      </c>
      <c r="Z288" s="114">
        <v>352155.72263420001</v>
      </c>
      <c r="AA288" s="114">
        <v>4123720.3869428998</v>
      </c>
    </row>
    <row r="289" spans="10:27" ht="15" customHeight="1" x14ac:dyDescent="0.2">
      <c r="J289" s="100" t="str">
        <f xml:space="preserve"> _xll.EPMOlapMemberO("[COSTCENTER].[PARENTH1].[1001]","","1001","","000")</f>
        <v>1001</v>
      </c>
      <c r="K289" s="167" t="str">
        <f xml:space="preserve"> _xll.EPMOlapMemberO("[C_ACCOUNT].[PARENTH2].[A_6900040]","","A_6900040","","000")</f>
        <v>A_6900040</v>
      </c>
      <c r="L289" s="112" t="str">
        <f>_xll.EPMMemberDesc(K289)</f>
        <v>TOTI - Payroll Tax</v>
      </c>
      <c r="M289" s="112">
        <v>4381020.5126711996</v>
      </c>
      <c r="N289" s="112">
        <v>4137558.1864303998</v>
      </c>
      <c r="O289" s="112">
        <v>336000.70955009997</v>
      </c>
      <c r="P289" s="112">
        <v>310548.92495469999</v>
      </c>
      <c r="Q289" s="112">
        <v>355945.50049780001</v>
      </c>
      <c r="R289" s="112">
        <v>309640.6174323</v>
      </c>
      <c r="S289" s="112">
        <v>357576.02728879999</v>
      </c>
      <c r="T289" s="112">
        <v>359571.441506</v>
      </c>
      <c r="U289" s="112">
        <v>332573.71681150002</v>
      </c>
      <c r="V289" s="112">
        <v>362181.87571930001</v>
      </c>
      <c r="W289" s="112">
        <v>330762.53589280002</v>
      </c>
      <c r="X289" s="112">
        <v>347177.7282059</v>
      </c>
      <c r="Y289" s="112">
        <v>381508.89370850002</v>
      </c>
      <c r="Z289" s="112">
        <v>354070.21486270003</v>
      </c>
      <c r="AA289" s="112">
        <v>4137558.1864303998</v>
      </c>
    </row>
    <row r="290" spans="10:27" ht="15" customHeight="1" x14ac:dyDescent="0.2">
      <c r="J290" s="100" t="str">
        <f xml:space="preserve"> _xll.EPMOlapMemberO("[COSTCENTER].[PARENTH1].[1001]","","1001","","000")</f>
        <v>1001</v>
      </c>
      <c r="K290" s="167" t="str">
        <f xml:space="preserve"> _xll.EPMOlapMemberO("[C_ACCOUNT].[PARENTH2].[A_S6900049]","","A_S6900049","","000")</f>
        <v>A_S6900049</v>
      </c>
      <c r="L290" s="112" t="str">
        <f>_xll.EPMMemberDesc(K290)</f>
        <v>Settled TOTI - Payroll Tax Reclass</v>
      </c>
      <c r="M290" s="112">
        <v>-86479.872730799994</v>
      </c>
      <c r="N290" s="112">
        <v>-13837.7994875</v>
      </c>
      <c r="O290" s="112">
        <v>-12.7045488</v>
      </c>
      <c r="P290" s="112">
        <v>-664.42459840000004</v>
      </c>
      <c r="Q290" s="112">
        <v>-573.35069510000005</v>
      </c>
      <c r="R290" s="112">
        <v>-107.8996278</v>
      </c>
      <c r="S290" s="112">
        <v>-742.79997100000003</v>
      </c>
      <c r="T290" s="112">
        <v>-1834.1877113999999</v>
      </c>
      <c r="U290" s="112">
        <v>-632.58839390000003</v>
      </c>
      <c r="V290" s="112">
        <v>-1737.0319446999999</v>
      </c>
      <c r="W290" s="112">
        <v>-1232.2061498</v>
      </c>
      <c r="X290" s="112">
        <v>-1579.1070548</v>
      </c>
      <c r="Y290" s="112">
        <v>-2807.0065632999999</v>
      </c>
      <c r="Z290" s="112">
        <v>-1914.4922285</v>
      </c>
      <c r="AA290" s="112">
        <v>-13837.7994875</v>
      </c>
    </row>
    <row r="291" spans="10:27" ht="15" customHeight="1" x14ac:dyDescent="0.2">
      <c r="J291" s="115" t="str">
        <f xml:space="preserve"> _xll.EPMOlapMemberO("[COSTCENTER].[PARENTH1].[1001]","","1001","","000")</f>
        <v>1001</v>
      </c>
      <c r="K291" s="163" t="str">
        <f xml:space="preserve"> _xll.EPMOlapMemberO("[C_ACCOUNT].[PARENTH2].[ROI_CONS_RC]","","ROI_CONS_RC","","000")</f>
        <v>ROI_CONS_RC</v>
      </c>
      <c r="L291" s="115" t="str">
        <f>_xll.EPMMemberDesc(K291)</f>
        <v>ROI - Conservation</v>
      </c>
      <c r="M291" s="114">
        <v>-21880913.280000001</v>
      </c>
      <c r="N291" s="114">
        <v>-21880913.2754004</v>
      </c>
      <c r="O291" s="114">
        <v>-1823409.4396166999</v>
      </c>
      <c r="P291" s="114">
        <v>-1823409.4396166999</v>
      </c>
      <c r="Q291" s="114">
        <v>-1823409.4396166999</v>
      </c>
      <c r="R291" s="114">
        <v>-1823409.4396166999</v>
      </c>
      <c r="S291" s="114">
        <v>-1823409.4396166999</v>
      </c>
      <c r="T291" s="114">
        <v>-1823409.4396166999</v>
      </c>
      <c r="U291" s="114">
        <v>-1823409.4396166999</v>
      </c>
      <c r="V291" s="114">
        <v>-1823409.4396166999</v>
      </c>
      <c r="W291" s="114">
        <v>-1823409.4396166999</v>
      </c>
      <c r="X291" s="114">
        <v>-1823409.4396166999</v>
      </c>
      <c r="Y291" s="114">
        <v>-1823409.4396166999</v>
      </c>
      <c r="Z291" s="114">
        <v>-1823409.4396166999</v>
      </c>
      <c r="AA291" s="114">
        <v>-21880913.2754004</v>
      </c>
    </row>
    <row r="292" spans="10:27" ht="15" customHeight="1" x14ac:dyDescent="0.2">
      <c r="J292" s="100" t="str">
        <f xml:space="preserve"> _xll.EPMOlapMemberO("[COSTCENTER].[PARENTH1].[1001]","","1001","","000")</f>
        <v>1001</v>
      </c>
      <c r="K292" s="166" t="str">
        <f xml:space="preserve"> _xll.EPMOlapMemberO("[C_ACCOUNT].[PARENTH2].[ER_RECV_CON_BEN_1]","","ER_RECV_CON_BEN_1","","000")</f>
        <v>ER_RECV_CON_BEN_1</v>
      </c>
      <c r="L292" s="112" t="str">
        <f>_xll.EPMMemberDesc(K292)</f>
        <v>Recoverable Conservation Benefit</v>
      </c>
      <c r="M292" s="112">
        <v>21880913.280000001</v>
      </c>
      <c r="N292" s="112">
        <v>21880913.2754004</v>
      </c>
      <c r="O292" s="112">
        <v>1823409.4396166999</v>
      </c>
      <c r="P292" s="112">
        <v>1823409.4396166999</v>
      </c>
      <c r="Q292" s="112">
        <v>1823409.4396166999</v>
      </c>
      <c r="R292" s="112">
        <v>1823409.4396166999</v>
      </c>
      <c r="S292" s="112">
        <v>1823409.4396166999</v>
      </c>
      <c r="T292" s="112">
        <v>1823409.4396166999</v>
      </c>
      <c r="U292" s="112">
        <v>1823409.4396166999</v>
      </c>
      <c r="V292" s="112">
        <v>1823409.4396166999</v>
      </c>
      <c r="W292" s="112">
        <v>1823409.4396166999</v>
      </c>
      <c r="X292" s="112">
        <v>1823409.4396166999</v>
      </c>
      <c r="Y292" s="112">
        <v>1823409.4396166999</v>
      </c>
      <c r="Z292" s="112">
        <v>1823409.4396166999</v>
      </c>
      <c r="AA292" s="112">
        <v>21880913.2754004</v>
      </c>
    </row>
    <row r="293" spans="10:27" ht="15" customHeight="1" x14ac:dyDescent="0.2">
      <c r="J293" s="115" t="str">
        <f xml:space="preserve"> _xll.EPMOlapMemberO("[COSTCENTER].[PARENTH1].[1001]","","1001","","000")</f>
        <v>1001</v>
      </c>
      <c r="K293" s="163" t="str">
        <f xml:space="preserve"> _xll.EPMOlapMemberO("[C_ACCOUNT].[PARENTH2].[ENR_CONS_RC]","","ENR_CONS_RC","","000")</f>
        <v>ENR_CONS_RC</v>
      </c>
      <c r="L293" s="115" t="str">
        <f>_xll.EPMMemberDesc(K293)</f>
        <v>ENERGY CONSERVATION</v>
      </c>
      <c r="M293" s="114">
        <v>21880914.030000001</v>
      </c>
      <c r="N293" s="114">
        <v>21880914.030000001</v>
      </c>
      <c r="O293" s="114">
        <v>1823409.6</v>
      </c>
      <c r="P293" s="114">
        <v>1823409.27</v>
      </c>
      <c r="Q293" s="114">
        <v>1823409.63</v>
      </c>
      <c r="R293" s="114">
        <v>1823409.16</v>
      </c>
      <c r="S293" s="114">
        <v>1823409.26</v>
      </c>
      <c r="T293" s="114">
        <v>1823409.72</v>
      </c>
      <c r="U293" s="114">
        <v>1823409.43</v>
      </c>
      <c r="V293" s="114">
        <v>1823409.86</v>
      </c>
      <c r="W293" s="114">
        <v>1823409.34</v>
      </c>
      <c r="X293" s="114">
        <v>1823409.26</v>
      </c>
      <c r="Y293" s="114">
        <v>1823409.67</v>
      </c>
      <c r="Z293" s="114">
        <v>1823409.83</v>
      </c>
      <c r="AA293" s="114">
        <v>21880914.030000001</v>
      </c>
    </row>
    <row r="294" spans="10:27" ht="15" customHeight="1" x14ac:dyDescent="0.2">
      <c r="J294" s="115" t="str">
        <f xml:space="preserve"> _xll.EPMOlapMemberO("[COSTCENTER].[PARENTH1].[1001]","","1001","","000")</f>
        <v>1001</v>
      </c>
      <c r="K294" s="165" t="str">
        <f xml:space="preserve"> _xll.EPMOlapMemberO("[C_ACCOUNT].[PARENTH2].[ENRDEF_CONS_RC]","","ENRDEF_CONS_RC","","000")</f>
        <v>ENRDEF_CONS_RC</v>
      </c>
      <c r="L294" s="115" t="str">
        <f>_xll.EPMMemberDesc(K294)</f>
        <v>DEFERRED CONSERVATION</v>
      </c>
      <c r="M294" s="114">
        <v>3542589</v>
      </c>
      <c r="N294" s="114">
        <v>3542589</v>
      </c>
      <c r="O294" s="114">
        <v>-454773</v>
      </c>
      <c r="P294" s="114">
        <v>-220626</v>
      </c>
      <c r="Q294" s="114">
        <v>82780</v>
      </c>
      <c r="R294" s="114">
        <v>89079</v>
      </c>
      <c r="S294" s="114">
        <v>429478</v>
      </c>
      <c r="T294" s="114">
        <v>542025</v>
      </c>
      <c r="U294" s="114">
        <v>599584</v>
      </c>
      <c r="V294" s="114">
        <v>703354</v>
      </c>
      <c r="W294" s="114">
        <v>637735</v>
      </c>
      <c r="X294" s="114">
        <v>661408</v>
      </c>
      <c r="Y294" s="114">
        <v>462330</v>
      </c>
      <c r="Z294" s="114">
        <v>10215</v>
      </c>
      <c r="AA294" s="114">
        <v>3542589</v>
      </c>
    </row>
    <row r="295" spans="10:27" ht="15" customHeight="1" x14ac:dyDescent="0.2">
      <c r="J295" s="100" t="str">
        <f xml:space="preserve"> _xll.EPMOlapMemberO("[COSTCENTER].[PARENTH1].[1001]","","1001","","000")</f>
        <v>1001</v>
      </c>
      <c r="K295" s="167" t="str">
        <f xml:space="preserve"> _xll.EPMOlapMemberO("[C_ACCOUNT].[PARENTH2].[A_4074140]","","A_4074140","","000")</f>
        <v>A_4074140</v>
      </c>
      <c r="L295" s="112" t="str">
        <f>_xll.EPMMemberDesc(K295)</f>
        <v>REG CR Defd Conservation - Gas</v>
      </c>
      <c r="M295" s="112">
        <v>1969402</v>
      </c>
      <c r="N295" s="112">
        <v>1969402</v>
      </c>
      <c r="O295" s="112">
        <v>0</v>
      </c>
      <c r="P295" s="112">
        <v>0</v>
      </c>
      <c r="Q295" s="112">
        <v>0</v>
      </c>
      <c r="R295" s="112">
        <v>0</v>
      </c>
      <c r="S295" s="112">
        <v>134262</v>
      </c>
      <c r="T295" s="112">
        <v>246809</v>
      </c>
      <c r="U295" s="112">
        <v>304368</v>
      </c>
      <c r="V295" s="112">
        <v>408138</v>
      </c>
      <c r="W295" s="112">
        <v>342519</v>
      </c>
      <c r="X295" s="112">
        <v>366192</v>
      </c>
      <c r="Y295" s="112">
        <v>167114</v>
      </c>
      <c r="Z295" s="112">
        <v>0</v>
      </c>
      <c r="AA295" s="112">
        <v>1969402</v>
      </c>
    </row>
    <row r="296" spans="10:27" ht="15" customHeight="1" x14ac:dyDescent="0.2">
      <c r="J296" s="100" t="str">
        <f xml:space="preserve"> _xll.EPMOlapMemberO("[COSTCENTER].[PARENTH1].[1001]","","1001","","000")</f>
        <v>1001</v>
      </c>
      <c r="K296" s="167" t="str">
        <f xml:space="preserve"> _xll.EPMOlapMemberO("[C_ACCOUNT].[PARENTH2].[A_4073140]","","A_4073140","","000")</f>
        <v>A_4073140</v>
      </c>
      <c r="L296" s="112" t="str">
        <f>_xll.EPMMemberDesc(K296)</f>
        <v>REG DR Defd Conservation - Gas</v>
      </c>
      <c r="M296" s="112">
        <v>1969401</v>
      </c>
      <c r="N296" s="112">
        <v>1969401</v>
      </c>
      <c r="O296" s="112">
        <v>749989</v>
      </c>
      <c r="P296" s="112">
        <v>515842</v>
      </c>
      <c r="Q296" s="112">
        <v>212436</v>
      </c>
      <c r="R296" s="112">
        <v>206137</v>
      </c>
      <c r="S296" s="112">
        <v>0</v>
      </c>
      <c r="T296" s="112">
        <v>0</v>
      </c>
      <c r="U296" s="112">
        <v>0</v>
      </c>
      <c r="V296" s="112">
        <v>0</v>
      </c>
      <c r="W296" s="112">
        <v>0</v>
      </c>
      <c r="X296" s="112">
        <v>0</v>
      </c>
      <c r="Y296" s="112">
        <v>0</v>
      </c>
      <c r="Z296" s="112">
        <v>284997</v>
      </c>
      <c r="AA296" s="112">
        <v>1969401</v>
      </c>
    </row>
    <row r="297" spans="10:27" ht="15" customHeight="1" x14ac:dyDescent="0.2">
      <c r="J297" s="100" t="str">
        <f xml:space="preserve"> _xll.EPMOlapMemberO("[COSTCENTER].[PARENTH1].[1001]","","1001","","000")</f>
        <v>1001</v>
      </c>
      <c r="K297" s="167" t="str">
        <f xml:space="preserve"> _xll.EPMOlapMemberO("[C_ACCOUNT].[PARENTH2].[A_4074141]","","A_4074141","","000")</f>
        <v>A_4074141</v>
      </c>
      <c r="L297" s="112" t="str">
        <f>_xll.EPMMemberDesc(K297)</f>
        <v>REG CR Defd Conservation - Gas - Amortiz</v>
      </c>
      <c r="M297" s="112">
        <v>3542588</v>
      </c>
      <c r="N297" s="112">
        <v>3542588</v>
      </c>
      <c r="O297" s="112">
        <v>295216</v>
      </c>
      <c r="P297" s="112">
        <v>295216</v>
      </c>
      <c r="Q297" s="112">
        <v>295216</v>
      </c>
      <c r="R297" s="112">
        <v>295216</v>
      </c>
      <c r="S297" s="112">
        <v>295216</v>
      </c>
      <c r="T297" s="112">
        <v>295216</v>
      </c>
      <c r="U297" s="112">
        <v>295216</v>
      </c>
      <c r="V297" s="112">
        <v>295216</v>
      </c>
      <c r="W297" s="112">
        <v>295216</v>
      </c>
      <c r="X297" s="112">
        <v>295216</v>
      </c>
      <c r="Y297" s="112">
        <v>295216</v>
      </c>
      <c r="Z297" s="112">
        <v>295212</v>
      </c>
      <c r="AA297" s="112">
        <v>3542588</v>
      </c>
    </row>
    <row r="298" spans="10:27" ht="15" customHeight="1" x14ac:dyDescent="0.2">
      <c r="J298" s="115" t="str">
        <f xml:space="preserve"> _xll.EPMOlapMemberO("[COSTCENTER].[PARENTH1].[1001]","","1001","","000")</f>
        <v>1001</v>
      </c>
      <c r="K298" s="165" t="str">
        <f xml:space="preserve"> _xll.EPMOlapMemberO("[C_ACCOUNT].[PARENTH2].[ENR_CONS_REV_RC]","","ENR_CONS_REV_RC","","000")</f>
        <v>ENR_CONS_REV_RC</v>
      </c>
      <c r="L298" s="115" t="str">
        <f>_xll.EPMMemberDesc(K298)</f>
        <v>ENERGY CONSERVATION REVENUE</v>
      </c>
      <c r="M298" s="114">
        <v>18338325.030000001</v>
      </c>
      <c r="N298" s="114">
        <v>18338325.030000001</v>
      </c>
      <c r="O298" s="114">
        <v>2278182.6</v>
      </c>
      <c r="P298" s="114">
        <v>2044035.27</v>
      </c>
      <c r="Q298" s="114">
        <v>1740629.63</v>
      </c>
      <c r="R298" s="114">
        <v>1734330.16</v>
      </c>
      <c r="S298" s="114">
        <v>1393931.26</v>
      </c>
      <c r="T298" s="114">
        <v>1281384.72</v>
      </c>
      <c r="U298" s="114">
        <v>1223825.43</v>
      </c>
      <c r="V298" s="114">
        <v>1120055.8600000001</v>
      </c>
      <c r="W298" s="114">
        <v>1185674.3400000001</v>
      </c>
      <c r="X298" s="114">
        <v>1162001.26</v>
      </c>
      <c r="Y298" s="114">
        <v>1361079.67</v>
      </c>
      <c r="Z298" s="114">
        <v>1813194.83</v>
      </c>
      <c r="AA298" s="114">
        <v>18338325.030000001</v>
      </c>
    </row>
    <row r="299" spans="10:27" ht="15" customHeight="1" x14ac:dyDescent="0.2">
      <c r="J299" s="100" t="str">
        <f xml:space="preserve"> _xll.EPMOlapMemberO("[COSTCENTER].[PARENTH1].[1001]","","1001","","000")</f>
        <v>1001</v>
      </c>
      <c r="K299" s="167" t="str">
        <f xml:space="preserve"> _xll.EPMOlapMemberO("[C_ACCOUNT].[PARENTH2].[A_4950203]","","A_4950203","","000")</f>
        <v>A_4950203</v>
      </c>
      <c r="L299" s="112" t="str">
        <f>_xll.EPMMemberDesc(K299)</f>
        <v>Other Revenues - Energy Conservation</v>
      </c>
      <c r="M299" s="112">
        <v>18338325.030000001</v>
      </c>
      <c r="N299" s="112">
        <v>18338325.030000001</v>
      </c>
      <c r="O299" s="112">
        <v>2278182.6</v>
      </c>
      <c r="P299" s="112">
        <v>2044035.27</v>
      </c>
      <c r="Q299" s="112">
        <v>1740629.63</v>
      </c>
      <c r="R299" s="112">
        <v>1734330.16</v>
      </c>
      <c r="S299" s="112">
        <v>1393931.26</v>
      </c>
      <c r="T299" s="112">
        <v>1281384.72</v>
      </c>
      <c r="U299" s="112">
        <v>1223825.43</v>
      </c>
      <c r="V299" s="112">
        <v>1120055.8600000001</v>
      </c>
      <c r="W299" s="112">
        <v>1185674.3400000001</v>
      </c>
      <c r="X299" s="112">
        <v>1162001.26</v>
      </c>
      <c r="Y299" s="112">
        <v>1361079.67</v>
      </c>
      <c r="Z299" s="112">
        <v>1813194.83</v>
      </c>
      <c r="AA299" s="112">
        <v>18338325.030000001</v>
      </c>
    </row>
    <row r="300" spans="10:27" ht="15" customHeight="1" x14ac:dyDescent="0.2">
      <c r="J300" s="115" t="str">
        <f xml:space="preserve"> _xll.EPMOlapMemberO("[COSTCENTER].[PARENTH1].[1001]","","1001","","000")</f>
        <v>1001</v>
      </c>
      <c r="K300" s="163" t="str">
        <f xml:space="preserve"> _xll.EPMOlapMemberO("[C_ACCOUNT].[PARENTH2].[FUEL_RC]","","FUEL_RC","","000")</f>
        <v>FUEL_RC</v>
      </c>
      <c r="L300" s="115" t="str">
        <f>_xll.EPMMemberDesc(K300)</f>
        <v>Fuel</v>
      </c>
      <c r="M300" s="114">
        <v>-22005061.942826901</v>
      </c>
      <c r="N300" s="114">
        <v>-22005061.959998999</v>
      </c>
      <c r="O300" s="114">
        <v>-2137943.33</v>
      </c>
      <c r="P300" s="114">
        <v>-1936405.3299999</v>
      </c>
      <c r="Q300" s="114">
        <v>-1597943.3299999</v>
      </c>
      <c r="R300" s="114">
        <v>-1590764.3299997</v>
      </c>
      <c r="S300" s="114">
        <v>-1597943.3299998001</v>
      </c>
      <c r="T300" s="114">
        <v>-1950764.3300001</v>
      </c>
      <c r="U300" s="114">
        <v>-1957943.3299998001</v>
      </c>
      <c r="V300" s="114">
        <v>-1957943.33</v>
      </c>
      <c r="W300" s="114">
        <v>-2310764.3299999</v>
      </c>
      <c r="X300" s="114">
        <v>-1957943.33</v>
      </c>
      <c r="Y300" s="114">
        <v>-1590764.3299998001</v>
      </c>
      <c r="Z300" s="114">
        <v>-1417939.3300001</v>
      </c>
      <c r="AA300" s="114">
        <v>-22005061.959998999</v>
      </c>
    </row>
    <row r="301" spans="10:27" ht="15" customHeight="1" x14ac:dyDescent="0.2">
      <c r="J301" s="115" t="str">
        <f xml:space="preserve"> _xll.EPMOlapMemberO("[COSTCENTER].[PARENTH1].[1001]","","1001","","000")</f>
        <v>1001</v>
      </c>
      <c r="K301" s="165" t="str">
        <f xml:space="preserve"> _xll.EPMOlapMemberO("[C_ACCOUNT].[PARENTH2].[FUEL_REV_BILL_RC]","","FUEL_REV_BILL_RC","","000")</f>
        <v>FUEL_REV_BILL_RC</v>
      </c>
      <c r="L301" s="115" t="str">
        <f>_xll.EPMMemberDesc(K301)</f>
        <v>FUEL REVENUE BILLED</v>
      </c>
      <c r="M301" s="114">
        <v>207467279.6389631</v>
      </c>
      <c r="N301" s="114">
        <v>207467279.6375773</v>
      </c>
      <c r="O301" s="114">
        <v>30344791.601929098</v>
      </c>
      <c r="P301" s="114">
        <v>28342887.3390221</v>
      </c>
      <c r="Q301" s="114">
        <v>23329241.901944499</v>
      </c>
      <c r="R301" s="114">
        <v>16737266.269480299</v>
      </c>
      <c r="S301" s="114">
        <v>13615976.9714613</v>
      </c>
      <c r="T301" s="114">
        <v>11953534.489659101</v>
      </c>
      <c r="U301" s="114">
        <v>11429351.0015426</v>
      </c>
      <c r="V301" s="114">
        <v>11007782.254823299</v>
      </c>
      <c r="W301" s="114">
        <v>11502163.7509339</v>
      </c>
      <c r="X301" s="114">
        <v>12993674.931330999</v>
      </c>
      <c r="Y301" s="114">
        <v>16152191.0700702</v>
      </c>
      <c r="Z301" s="114">
        <v>20058418.055379901</v>
      </c>
      <c r="AA301" s="114">
        <v>207467279.6375773</v>
      </c>
    </row>
    <row r="302" spans="10:27" ht="15" customHeight="1" x14ac:dyDescent="0.2">
      <c r="J302" s="115" t="str">
        <f xml:space="preserve"> _xll.EPMOlapMemberO("[COSTCENTER].[PARENTH1].[1001]","","1001","","000")</f>
        <v>1001</v>
      </c>
      <c r="K302" s="168" t="str">
        <f xml:space="preserve"> _xll.EPMOlapMemberO("[C_ACCOUNT].[PARENTH2].[RES_FUEL_RC]","","RES_FUEL_RC","","000")</f>
        <v>RES_FUEL_RC</v>
      </c>
      <c r="L302" s="115" t="str">
        <f>_xll.EPMMemberDesc(K302)</f>
        <v>RESIDENTIAL</v>
      </c>
      <c r="M302" s="114">
        <v>141484145.13102591</v>
      </c>
      <c r="N302" s="114">
        <v>141484145.12876579</v>
      </c>
      <c r="O302" s="114">
        <v>23401008.047795799</v>
      </c>
      <c r="P302" s="114">
        <v>20853852.5444532</v>
      </c>
      <c r="Q302" s="114">
        <v>15875445.6432063</v>
      </c>
      <c r="R302" s="114">
        <v>11783100.256965199</v>
      </c>
      <c r="S302" s="114">
        <v>8757974.3359996006</v>
      </c>
      <c r="T302" s="114">
        <v>7336269.7753287004</v>
      </c>
      <c r="U302" s="114">
        <v>6810398.8988774996</v>
      </c>
      <c r="V302" s="114">
        <v>6814423.6819956005</v>
      </c>
      <c r="W302" s="114">
        <v>6907354.7563474001</v>
      </c>
      <c r="X302" s="114">
        <v>8008089.6861520996</v>
      </c>
      <c r="Y302" s="114">
        <v>10632273.2725667</v>
      </c>
      <c r="Z302" s="114">
        <v>14303954.229077701</v>
      </c>
      <c r="AA302" s="114">
        <v>141484145.12876579</v>
      </c>
    </row>
    <row r="303" spans="10:27" ht="15" customHeight="1" x14ac:dyDescent="0.2">
      <c r="J303" s="100" t="str">
        <f xml:space="preserve"> _xll.EPMOlapMemberO("[COSTCENTER].[PARENTH1].[1001]","","1001","","000")</f>
        <v>1001</v>
      </c>
      <c r="K303" s="169" t="str">
        <f xml:space="preserve"> _xll.EPMOlapMemberO("[C_ACCOUNT].[PARENTH2].[A_4800011]","","A_4800011","","000")</f>
        <v>A_4800011</v>
      </c>
      <c r="L303" s="112" t="str">
        <f>_xll.EPMMemberDesc(K303)</f>
        <v>Residential - 1 FUEL</v>
      </c>
      <c r="M303" s="112">
        <v>13060360.7589</v>
      </c>
      <c r="N303" s="112">
        <v>13060360.7576988</v>
      </c>
      <c r="O303" s="112">
        <v>1802470.1205406999</v>
      </c>
      <c r="P303" s="112">
        <v>1649403.1975165</v>
      </c>
      <c r="Q303" s="112">
        <v>1555445.9522682</v>
      </c>
      <c r="R303" s="112">
        <v>1126540.7376055999</v>
      </c>
      <c r="S303" s="112">
        <v>905521.41617970006</v>
      </c>
      <c r="T303" s="112">
        <v>834810.08637709997</v>
      </c>
      <c r="U303" s="112">
        <v>672870.92105640005</v>
      </c>
      <c r="V303" s="112">
        <v>740447.59301269997</v>
      </c>
      <c r="W303" s="112">
        <v>727566.89839089999</v>
      </c>
      <c r="X303" s="112">
        <v>845193.5528372</v>
      </c>
      <c r="Y303" s="112">
        <v>1013813.2030103999</v>
      </c>
      <c r="Z303" s="112">
        <v>1186277.0789034001</v>
      </c>
      <c r="AA303" s="112">
        <v>13060360.7576988</v>
      </c>
    </row>
    <row r="304" spans="10:27" ht="15" customHeight="1" x14ac:dyDescent="0.2">
      <c r="J304" s="100" t="str">
        <f xml:space="preserve"> _xll.EPMOlapMemberO("[COSTCENTER].[PARENTH1].[1001]","","1001","","000")</f>
        <v>1001</v>
      </c>
      <c r="K304" s="169" t="str">
        <f xml:space="preserve"> _xll.EPMOlapMemberO("[C_ACCOUNT].[PARENTH2].[A_4800021]","","A_4800021","","000")</f>
        <v>A_4800021</v>
      </c>
      <c r="L304" s="112" t="str">
        <f>_xll.EPMMemberDesc(K304)</f>
        <v>Residential - 2 FUEL</v>
      </c>
      <c r="M304" s="112">
        <v>52850755.046999998</v>
      </c>
      <c r="N304" s="112">
        <v>52850755.046406202</v>
      </c>
      <c r="O304" s="112">
        <v>8084437.6731115002</v>
      </c>
      <c r="P304" s="112">
        <v>7909574.8885284998</v>
      </c>
      <c r="Q304" s="112">
        <v>5228717.7286152998</v>
      </c>
      <c r="R304" s="112">
        <v>3789968.8678528001</v>
      </c>
      <c r="S304" s="112">
        <v>3353329.0173256998</v>
      </c>
      <c r="T304" s="112">
        <v>3289248.9458252001</v>
      </c>
      <c r="U304" s="112">
        <v>2921955.2201779</v>
      </c>
      <c r="V304" s="112">
        <v>3027785.6290810001</v>
      </c>
      <c r="W304" s="112">
        <v>3028467.9983502999</v>
      </c>
      <c r="X304" s="112">
        <v>3374836.3792137001</v>
      </c>
      <c r="Y304" s="112">
        <v>4000601.0827508001</v>
      </c>
      <c r="Z304" s="112">
        <v>4841831.6155735003</v>
      </c>
      <c r="AA304" s="112">
        <v>52850755.046406202</v>
      </c>
    </row>
    <row r="305" spans="10:27" ht="15" customHeight="1" x14ac:dyDescent="0.2">
      <c r="J305" s="100" t="str">
        <f xml:space="preserve"> _xll.EPMOlapMemberO("[COSTCENTER].[PARENTH1].[1001]","","1001","","000")</f>
        <v>1001</v>
      </c>
      <c r="K305" s="169" t="str">
        <f xml:space="preserve"> _xll.EPMOlapMemberO("[C_ACCOUNT].[PARENTH2].[A_4800031]","","A_4800031","","000")</f>
        <v>A_4800031</v>
      </c>
      <c r="L305" s="112" t="str">
        <f>_xll.EPMMemberDesc(K305)</f>
        <v>Residential - 3 FUEL</v>
      </c>
      <c r="M305" s="112">
        <v>67018531.251000002</v>
      </c>
      <c r="N305" s="112">
        <v>67018531.250631802</v>
      </c>
      <c r="O305" s="112">
        <v>11818147.071142299</v>
      </c>
      <c r="P305" s="112">
        <v>9991758.8036947008</v>
      </c>
      <c r="Q305" s="112">
        <v>7898424.4496251</v>
      </c>
      <c r="R305" s="112">
        <v>5977290.7045735996</v>
      </c>
      <c r="S305" s="112">
        <v>4019355.1768534002</v>
      </c>
      <c r="T305" s="112">
        <v>2994392.2643602001</v>
      </c>
      <c r="U305" s="112">
        <v>2691704.4424017002</v>
      </c>
      <c r="V305" s="112">
        <v>2947397.2222946002</v>
      </c>
      <c r="W305" s="112">
        <v>2907596.3979751002</v>
      </c>
      <c r="X305" s="112">
        <v>3723147.0855175001</v>
      </c>
      <c r="Y305" s="112">
        <v>4890621.0315175997</v>
      </c>
      <c r="Z305" s="112">
        <v>7158696.6006760001</v>
      </c>
      <c r="AA305" s="112">
        <v>67018531.250631802</v>
      </c>
    </row>
    <row r="306" spans="10:27" ht="15" customHeight="1" x14ac:dyDescent="0.2">
      <c r="J306" s="100" t="str">
        <f xml:space="preserve"> _xll.EPMOlapMemberO("[COSTCENTER].[PARENTH1].[1001]","","1001","","000")</f>
        <v>1001</v>
      </c>
      <c r="K306" s="169" t="str">
        <f xml:space="preserve"> _xll.EPMOlapMemberO("[C_ACCOUNT].[PARENTH2].[A_4800036]","","A_4800036","","000")</f>
        <v>A_4800036</v>
      </c>
      <c r="L306" s="112" t="str">
        <f>_xll.EPMMemberDesc(K306)</f>
        <v>Residential Stand By Generator FUEL</v>
      </c>
      <c r="M306" s="112">
        <v>105157.35266400001</v>
      </c>
      <c r="N306" s="112">
        <v>105157.3526639</v>
      </c>
      <c r="O306" s="112">
        <v>14009.6073533</v>
      </c>
      <c r="P306" s="112">
        <v>14175.8616571</v>
      </c>
      <c r="Q306" s="112">
        <v>12553.1221386</v>
      </c>
      <c r="R306" s="112">
        <v>9115.1974145000004</v>
      </c>
      <c r="S306" s="112">
        <v>7513.0597848999996</v>
      </c>
      <c r="T306" s="112">
        <v>7174.6916211999996</v>
      </c>
      <c r="U306" s="112">
        <v>5518.9544050000004</v>
      </c>
      <c r="V306" s="112">
        <v>6396.9554472</v>
      </c>
      <c r="W306" s="112">
        <v>5008.4917283000004</v>
      </c>
      <c r="X306" s="112">
        <v>6443.1795507999996</v>
      </c>
      <c r="Y306" s="112">
        <v>7087.4000520999998</v>
      </c>
      <c r="Z306" s="112">
        <v>10160.8315109</v>
      </c>
      <c r="AA306" s="112">
        <v>105157.3526639</v>
      </c>
    </row>
    <row r="307" spans="10:27" ht="15" customHeight="1" x14ac:dyDescent="0.2">
      <c r="J307" s="100" t="str">
        <f xml:space="preserve"> _xll.EPMOlapMemberO("[COSTCENTER].[PARENTH1].[1001]","","1001","","000")</f>
        <v>1001</v>
      </c>
      <c r="K307" s="169" t="str">
        <f xml:space="preserve"> _xll.EPMOlapMemberO("[C_ACCOUNT].[PARENTH2].[A_4800041]","","A_4800041","","000")</f>
        <v>A_4800041</v>
      </c>
      <c r="L307" s="112" t="str">
        <f>_xll.EPMMemberDesc(K307)</f>
        <v>Residential General Service 1 FUEL</v>
      </c>
      <c r="M307" s="112">
        <v>7389778.1127899997</v>
      </c>
      <c r="N307" s="112">
        <v>7389778.1126722004</v>
      </c>
      <c r="O307" s="112">
        <v>1509460.6731302</v>
      </c>
      <c r="P307" s="112">
        <v>1154359.8718042001</v>
      </c>
      <c r="Q307" s="112">
        <v>1055375.2139822</v>
      </c>
      <c r="R307" s="112">
        <v>782279.26382500003</v>
      </c>
      <c r="S307" s="112">
        <v>396346.85566990002</v>
      </c>
      <c r="T307" s="112">
        <v>155991.68234490001</v>
      </c>
      <c r="U307" s="112">
        <v>483239.64770089998</v>
      </c>
      <c r="V307" s="112">
        <v>56079.976087100003</v>
      </c>
      <c r="W307" s="112">
        <v>194440.7788724</v>
      </c>
      <c r="X307" s="112">
        <v>-20845.580899600001</v>
      </c>
      <c r="Y307" s="112">
        <v>639598.48025869997</v>
      </c>
      <c r="Z307" s="112">
        <v>983451.24989630003</v>
      </c>
      <c r="AA307" s="112">
        <v>7389778.1126722004</v>
      </c>
    </row>
    <row r="308" spans="10:27" ht="15" customHeight="1" x14ac:dyDescent="0.2">
      <c r="J308" s="100" t="str">
        <f xml:space="preserve"> _xll.EPMOlapMemberO("[COSTCENTER].[PARENTH1].[1001]","","1001","","000")</f>
        <v>1001</v>
      </c>
      <c r="K308" s="169" t="str">
        <f xml:space="preserve"> _xll.EPMOlapMemberO("[C_ACCOUNT].[PARENTH2].[A_4800043]","","A_4800043","","000")</f>
        <v>A_4800043</v>
      </c>
      <c r="L308" s="112" t="str">
        <f>_xll.EPMMemberDesc(K308)</f>
        <v>Residential General Service 2 FUEL</v>
      </c>
      <c r="M308" s="112">
        <v>809460.72919999994</v>
      </c>
      <c r="N308" s="112">
        <v>809460.72923229996</v>
      </c>
      <c r="O308" s="112">
        <v>137115.30601100001</v>
      </c>
      <c r="P308" s="112">
        <v>100898.7800301</v>
      </c>
      <c r="Q308" s="112">
        <v>97457.875512600003</v>
      </c>
      <c r="R308" s="112">
        <v>71619.408257000003</v>
      </c>
      <c r="S308" s="112">
        <v>55754.812087899998</v>
      </c>
      <c r="T308" s="112">
        <v>38997.920586200002</v>
      </c>
      <c r="U308" s="112">
        <v>23510.745765299998</v>
      </c>
      <c r="V308" s="112">
        <v>26227.5173335</v>
      </c>
      <c r="W308" s="112">
        <v>32499.5463256</v>
      </c>
      <c r="X308" s="112">
        <v>65568.827193200006</v>
      </c>
      <c r="Y308" s="112">
        <v>64259.093805800003</v>
      </c>
      <c r="Z308" s="112">
        <v>95550.896324100002</v>
      </c>
      <c r="AA308" s="112">
        <v>809460.72923229996</v>
      </c>
    </row>
    <row r="309" spans="10:27" ht="15" customHeight="1" x14ac:dyDescent="0.2">
      <c r="J309" s="100" t="str">
        <f xml:space="preserve"> _xll.EPMOlapMemberO("[COSTCENTER].[PARENTH1].[1001]","","1001","","000")</f>
        <v>1001</v>
      </c>
      <c r="K309" s="169" t="str">
        <f xml:space="preserve"> _xll.EPMOlapMemberO("[C_ACCOUNT].[PARENTH2].[A_4800045]","","A_4800045","","000")</f>
        <v>A_4800045</v>
      </c>
      <c r="L309" s="112" t="str">
        <f>_xll.EPMMemberDesc(K309)</f>
        <v>Residential General Service 3 FUEL</v>
      </c>
      <c r="M309" s="112">
        <v>13599.6384702</v>
      </c>
      <c r="N309" s="112">
        <v>13599.638470399999</v>
      </c>
      <c r="O309" s="112">
        <v>2682.6907698</v>
      </c>
      <c r="P309" s="112">
        <v>833.87421510000001</v>
      </c>
      <c r="Q309" s="112">
        <v>2738.8630121000001</v>
      </c>
      <c r="R309" s="112">
        <v>1302.1710591999999</v>
      </c>
      <c r="S309" s="112">
        <v>1318.0806640000001</v>
      </c>
      <c r="T309" s="112">
        <v>1967.2541541999999</v>
      </c>
      <c r="U309" s="112">
        <v>110.3790881</v>
      </c>
      <c r="V309" s="112">
        <v>-106.6159241</v>
      </c>
      <c r="W309" s="112">
        <v>445.19926470000001</v>
      </c>
      <c r="X309" s="112">
        <v>505.3474157</v>
      </c>
      <c r="Y309" s="112">
        <v>629.99111570000002</v>
      </c>
      <c r="Z309" s="112">
        <v>1172.4036358999999</v>
      </c>
      <c r="AA309" s="112">
        <v>13599.638470399999</v>
      </c>
    </row>
    <row r="310" spans="10:27" ht="15" customHeight="1" x14ac:dyDescent="0.2">
      <c r="J310" s="100" t="str">
        <f xml:space="preserve"> _xll.EPMOlapMemberO("[COSTCENTER].[PARENTH1].[1001]","","1001","","000")</f>
        <v>1001</v>
      </c>
      <c r="K310" s="169" t="str">
        <f xml:space="preserve"> _xll.EPMOlapMemberO("[C_ACCOUNT].[PARENTH2].[A_4893041]","","A_4893041","","000")</f>
        <v>A_4893041</v>
      </c>
      <c r="L310" s="112" t="str">
        <f>_xll.EPMMemberDesc(K310)</f>
        <v>Residential Transportation General Service 1-Swing</v>
      </c>
      <c r="M310" s="112">
        <v>40802.696133700003</v>
      </c>
      <c r="N310" s="112">
        <v>40802.696133400001</v>
      </c>
      <c r="O310" s="112">
        <v>7118.7865660999996</v>
      </c>
      <c r="P310" s="112">
        <v>7183.7129112000002</v>
      </c>
      <c r="Q310" s="112">
        <v>4845.4395003</v>
      </c>
      <c r="R310" s="112">
        <v>4733.0810457999996</v>
      </c>
      <c r="S310" s="112">
        <v>3043.2637546999999</v>
      </c>
      <c r="T310" s="112">
        <v>1691.4796710000001</v>
      </c>
      <c r="U310" s="112">
        <v>1068.7058867000001</v>
      </c>
      <c r="V310" s="112">
        <v>948.51427869999998</v>
      </c>
      <c r="W310" s="112">
        <v>1017.8427054</v>
      </c>
      <c r="X310" s="112">
        <v>1381.094437</v>
      </c>
      <c r="Y310" s="112">
        <v>2225.2875764999999</v>
      </c>
      <c r="Z310" s="112">
        <v>5545.4877999999999</v>
      </c>
      <c r="AA310" s="112">
        <v>40802.696133400001</v>
      </c>
    </row>
    <row r="311" spans="10:27" ht="15" customHeight="1" x14ac:dyDescent="0.2">
      <c r="J311" s="100" t="str">
        <f xml:space="preserve"> _xll.EPMOlapMemberO("[COSTCENTER].[PARENTH1].[1001]","","1001","","000")</f>
        <v>1001</v>
      </c>
      <c r="K311" s="169" t="str">
        <f xml:space="preserve"> _xll.EPMOlapMemberO("[C_ACCOUNT].[PARENTH2].[A_4893043]","","A_4893043","","000")</f>
        <v>A_4893043</v>
      </c>
      <c r="L311" s="112" t="str">
        <f>_xll.EPMMemberDesc(K311)</f>
        <v>Residential Transportation General Service 2-Swing</v>
      </c>
      <c r="M311" s="112">
        <v>121394.454278</v>
      </c>
      <c r="N311" s="112">
        <v>121394.4542677</v>
      </c>
      <c r="O311" s="112">
        <v>17095.3398366</v>
      </c>
      <c r="P311" s="112">
        <v>17126.3880274</v>
      </c>
      <c r="Q311" s="112">
        <v>12947.5500214</v>
      </c>
      <c r="R311" s="112">
        <v>13055.415218</v>
      </c>
      <c r="S311" s="112">
        <v>9506.8327912999994</v>
      </c>
      <c r="T311" s="112">
        <v>6814.3851500999999</v>
      </c>
      <c r="U311" s="112">
        <v>5838.3006773999996</v>
      </c>
      <c r="V311" s="112">
        <v>5205.5902118000004</v>
      </c>
      <c r="W311" s="112">
        <v>5759.8482064999998</v>
      </c>
      <c r="X311" s="112">
        <v>6446.6522209000004</v>
      </c>
      <c r="Y311" s="112">
        <v>8051.4950496000001</v>
      </c>
      <c r="Z311" s="112">
        <v>13546.656856699999</v>
      </c>
      <c r="AA311" s="112">
        <v>121394.4542677</v>
      </c>
    </row>
    <row r="312" spans="10:27" ht="15" customHeight="1" x14ac:dyDescent="0.2">
      <c r="J312" s="100" t="str">
        <f xml:space="preserve"> _xll.EPMOlapMemberO("[COSTCENTER].[PARENTH1].[1001]","","1001","","000")</f>
        <v>1001</v>
      </c>
      <c r="K312" s="169" t="str">
        <f xml:space="preserve"> _xll.EPMOlapMemberO("[C_ACCOUNT].[PARENTH2].[A_4893045]","","A_4893045","","000")</f>
        <v>A_4893045</v>
      </c>
      <c r="L312" s="112" t="str">
        <f>_xll.EPMMemberDesc(K312)</f>
        <v>Residential Transportation General Service 3-Swing</v>
      </c>
      <c r="M312" s="112">
        <v>74305.090590000007</v>
      </c>
      <c r="N312" s="112">
        <v>74305.0905891</v>
      </c>
      <c r="O312" s="112">
        <v>8470.7793342999994</v>
      </c>
      <c r="P312" s="112">
        <v>8537.1660683999999</v>
      </c>
      <c r="Q312" s="112">
        <v>6939.4485304999998</v>
      </c>
      <c r="R312" s="112">
        <v>7195.4101136999998</v>
      </c>
      <c r="S312" s="112">
        <v>6285.8208881</v>
      </c>
      <c r="T312" s="112">
        <v>5181.0652386000002</v>
      </c>
      <c r="U312" s="112">
        <v>4581.5817181000002</v>
      </c>
      <c r="V312" s="112">
        <v>4041.3001730999999</v>
      </c>
      <c r="W312" s="112">
        <v>4551.7545282000001</v>
      </c>
      <c r="X312" s="112">
        <v>5413.1486656999996</v>
      </c>
      <c r="Y312" s="112">
        <v>5386.2074295000002</v>
      </c>
      <c r="Z312" s="112">
        <v>7721.4079008999997</v>
      </c>
      <c r="AA312" s="112">
        <v>74305.0905891</v>
      </c>
    </row>
    <row r="313" spans="10:27" ht="15" customHeight="1" x14ac:dyDescent="0.2">
      <c r="J313" s="115" t="str">
        <f xml:space="preserve"> _xll.EPMOlapMemberO("[COSTCENTER].[PARENTH1].[1001]","","1001","","000")</f>
        <v>1001</v>
      </c>
      <c r="K313" s="168" t="str">
        <f xml:space="preserve"> _xll.EPMOlapMemberO("[C_ACCOUNT].[PARENTH2].[COMM_FUEL_RC]","","COMM_FUEL_RC","","000")</f>
        <v>COMM_FUEL_RC</v>
      </c>
      <c r="L313" s="115" t="str">
        <f>_xll.EPMMemberDesc(K313)</f>
        <v>COMMERCIAL</v>
      </c>
      <c r="M313" s="114">
        <v>67223142.507937193</v>
      </c>
      <c r="N313" s="114">
        <v>67223142.508811504</v>
      </c>
      <c r="O313" s="114">
        <v>7047117.5541332997</v>
      </c>
      <c r="P313" s="114">
        <v>7592368.7945689</v>
      </c>
      <c r="Q313" s="114">
        <v>7557130.2587382002</v>
      </c>
      <c r="R313" s="114">
        <v>5057500.0125150997</v>
      </c>
      <c r="S313" s="114">
        <v>4961336.6354617001</v>
      </c>
      <c r="T313" s="114">
        <v>4720598.7143304003</v>
      </c>
      <c r="U313" s="114">
        <v>4722286.1026651002</v>
      </c>
      <c r="V313" s="114">
        <v>4296692.5728276996</v>
      </c>
      <c r="W313" s="114">
        <v>4698142.9945865003</v>
      </c>
      <c r="X313" s="114">
        <v>5088919.2451788997</v>
      </c>
      <c r="Y313" s="114">
        <v>5623251.7975035002</v>
      </c>
      <c r="Z313" s="114">
        <v>5857797.8263021996</v>
      </c>
      <c r="AA313" s="114">
        <v>67223142.508811504</v>
      </c>
    </row>
    <row r="314" spans="10:27" ht="15" customHeight="1" x14ac:dyDescent="0.2">
      <c r="J314" s="100" t="str">
        <f xml:space="preserve"> _xll.EPMOlapMemberO("[COSTCENTER].[PARENTH1].[1001]","","1001","","000")</f>
        <v>1001</v>
      </c>
      <c r="K314" s="169" t="str">
        <f xml:space="preserve"> _xll.EPMOlapMemberO("[C_ACCOUNT].[PARENTH2].[A_4810005]","","A_4810005","","000")</f>
        <v>A_4810005</v>
      </c>
      <c r="L314" s="112" t="str">
        <f>_xll.EPMMemberDesc(K314)</f>
        <v>Commercial Street Lighting FUEL</v>
      </c>
      <c r="M314" s="112">
        <v>67722.988196999999</v>
      </c>
      <c r="N314" s="112">
        <v>67722.988193700003</v>
      </c>
      <c r="O314" s="112">
        <v>6855.7653006</v>
      </c>
      <c r="P314" s="112">
        <v>6393.0356492999999</v>
      </c>
      <c r="Q314" s="112">
        <v>7075.3961145000003</v>
      </c>
      <c r="R314" s="112">
        <v>5045.9128545000003</v>
      </c>
      <c r="S314" s="112">
        <v>5140.5145897000002</v>
      </c>
      <c r="T314" s="112">
        <v>6364.6457929999997</v>
      </c>
      <c r="U314" s="112">
        <v>5187.8171407</v>
      </c>
      <c r="V314" s="112">
        <v>5330.796206</v>
      </c>
      <c r="W314" s="112">
        <v>5231.0913606000004</v>
      </c>
      <c r="X314" s="112">
        <v>5053.4741574999998</v>
      </c>
      <c r="Y314" s="112">
        <v>5354.9244838000004</v>
      </c>
      <c r="Z314" s="112">
        <v>4689.6145434999999</v>
      </c>
      <c r="AA314" s="112">
        <v>67722.988193700003</v>
      </c>
    </row>
    <row r="315" spans="10:27" ht="15" customHeight="1" x14ac:dyDescent="0.2">
      <c r="J315" s="100" t="str">
        <f xml:space="preserve"> _xll.EPMOlapMemberO("[COSTCENTER].[PARENTH1].[1001]","","1001","","000")</f>
        <v>1001</v>
      </c>
      <c r="K315" s="169" t="str">
        <f xml:space="preserve"> _xll.EPMOlapMemberO("[C_ACCOUNT].[PARENTH2].[A_4810036]","","A_4810036","","000")</f>
        <v>A_4810036</v>
      </c>
      <c r="L315" s="112" t="str">
        <f>_xll.EPMMemberDesc(K315)</f>
        <v>Commercial Standby Generator FUEL</v>
      </c>
      <c r="M315" s="112">
        <v>271709.13965000003</v>
      </c>
      <c r="N315" s="112">
        <v>271709.13964210002</v>
      </c>
      <c r="O315" s="112">
        <v>22653.833167000001</v>
      </c>
      <c r="P315" s="112">
        <v>25016.226453700001</v>
      </c>
      <c r="Q315" s="112">
        <v>25334.482861600001</v>
      </c>
      <c r="R315" s="112">
        <v>18230.394829000001</v>
      </c>
      <c r="S315" s="112">
        <v>20957.482557899999</v>
      </c>
      <c r="T315" s="112">
        <v>22218.399859199999</v>
      </c>
      <c r="U315" s="112">
        <v>21413.543091399999</v>
      </c>
      <c r="V315" s="112">
        <v>23668.735154599999</v>
      </c>
      <c r="W315" s="112">
        <v>22593.862685200002</v>
      </c>
      <c r="X315" s="112">
        <v>24888.360225500001</v>
      </c>
      <c r="Y315" s="112">
        <v>24412.155735100001</v>
      </c>
      <c r="Z315" s="112">
        <v>20321.6630219</v>
      </c>
      <c r="AA315" s="112">
        <v>271709.13964210002</v>
      </c>
    </row>
    <row r="316" spans="10:27" ht="15" customHeight="1" x14ac:dyDescent="0.2">
      <c r="J316" s="100" t="str">
        <f xml:space="preserve"> _xll.EPMOlapMemberO("[COSTCENTER].[PARENTH1].[1001]","","1001","","000")</f>
        <v>1001</v>
      </c>
      <c r="K316" s="169" t="str">
        <f xml:space="preserve"> _xll.EPMOlapMemberO("[C_ACCOUNT].[PARENTH2].[A_4810009]","","A_4810009","","000")</f>
        <v>A_4810009</v>
      </c>
      <c r="L316" s="112" t="str">
        <f>_xll.EPMMemberDesc(K316)</f>
        <v>General Service Small FUEL</v>
      </c>
      <c r="M316" s="112">
        <v>8719767.5451999996</v>
      </c>
      <c r="N316" s="112">
        <v>8719767.5452705007</v>
      </c>
      <c r="O316" s="112">
        <v>1049230.1677365999</v>
      </c>
      <c r="P316" s="112">
        <v>1109052.7061157001</v>
      </c>
      <c r="Q316" s="112">
        <v>1008586.3041927</v>
      </c>
      <c r="R316" s="112">
        <v>686244.1482077</v>
      </c>
      <c r="S316" s="112">
        <v>671825.71444949997</v>
      </c>
      <c r="T316" s="112">
        <v>739919.00364500005</v>
      </c>
      <c r="U316" s="112">
        <v>482356.61499610002</v>
      </c>
      <c r="V316" s="112">
        <v>566983.48446960002</v>
      </c>
      <c r="W316" s="112">
        <v>568742.06069720001</v>
      </c>
      <c r="X316" s="112">
        <v>562199.00001880003</v>
      </c>
      <c r="Y316" s="112">
        <v>657553.22705740004</v>
      </c>
      <c r="Z316" s="112">
        <v>617075.11368419998</v>
      </c>
      <c r="AA316" s="112">
        <v>8719767.5452705007</v>
      </c>
    </row>
    <row r="317" spans="10:27" ht="15" customHeight="1" x14ac:dyDescent="0.2">
      <c r="J317" s="100" t="str">
        <f xml:space="preserve"> _xll.EPMOlapMemberO("[COSTCENTER].[PARENTH1].[1001]","","1001","","000")</f>
        <v>1001</v>
      </c>
      <c r="K317" s="169" t="str">
        <f xml:space="preserve"> _xll.EPMOlapMemberO("[C_ACCOUNT].[PARENTH2].[A_4810051]","","A_4810051","","000")</f>
        <v>A_4810051</v>
      </c>
      <c r="L317" s="112" t="str">
        <f>_xll.EPMMemberDesc(K317)</f>
        <v>General Service Large Vol. 1 FUEL</v>
      </c>
      <c r="M317" s="112">
        <v>25690333.903999999</v>
      </c>
      <c r="N317" s="112">
        <v>25690333.9039777</v>
      </c>
      <c r="O317" s="112">
        <v>2743796.5039817002</v>
      </c>
      <c r="P317" s="112">
        <v>2577783.1570219002</v>
      </c>
      <c r="Q317" s="112">
        <v>2887218.0918846</v>
      </c>
      <c r="R317" s="112">
        <v>2082497.0664538001</v>
      </c>
      <c r="S317" s="112">
        <v>1811701.8726914001</v>
      </c>
      <c r="T317" s="112">
        <v>2190132.4777894998</v>
      </c>
      <c r="U317" s="112">
        <v>1721472.2580045001</v>
      </c>
      <c r="V317" s="112">
        <v>1843495.9439572</v>
      </c>
      <c r="W317" s="112">
        <v>1749187.9111383001</v>
      </c>
      <c r="X317" s="112">
        <v>1942808.1398401</v>
      </c>
      <c r="Y317" s="112">
        <v>2171579.3759682002</v>
      </c>
      <c r="Z317" s="112">
        <v>1968661.1052465001</v>
      </c>
      <c r="AA317" s="112">
        <v>25690333.9039777</v>
      </c>
    </row>
    <row r="318" spans="10:27" ht="15" customHeight="1" x14ac:dyDescent="0.2">
      <c r="J318" s="100" t="str">
        <f xml:space="preserve"> _xll.EPMOlapMemberO("[COSTCENTER].[PARENTH1].[1001]","","1001","","000")</f>
        <v>1001</v>
      </c>
      <c r="K318" s="169" t="str">
        <f xml:space="preserve"> _xll.EPMOlapMemberO("[C_ACCOUNT].[PARENTH2].[A_4810053]","","A_4810053","","000")</f>
        <v>A_4810053</v>
      </c>
      <c r="L318" s="112" t="str">
        <f>_xll.EPMMemberDesc(K318)</f>
        <v>General Service Large Vol. 2 FUEL</v>
      </c>
      <c r="M318" s="112">
        <v>17227311.834100001</v>
      </c>
      <c r="N318" s="112">
        <v>17227311.8346503</v>
      </c>
      <c r="O318" s="112">
        <v>1710066.3273594</v>
      </c>
      <c r="P318" s="112">
        <v>1857037.8770824999</v>
      </c>
      <c r="Q318" s="112">
        <v>1860144.4623604</v>
      </c>
      <c r="R318" s="112">
        <v>1342863.9048182</v>
      </c>
      <c r="S318" s="112">
        <v>1199717.0203883001</v>
      </c>
      <c r="T318" s="112">
        <v>1268763.2086275001</v>
      </c>
      <c r="U318" s="112">
        <v>1458328.5119745999</v>
      </c>
      <c r="V318" s="112">
        <v>775417.61612400005</v>
      </c>
      <c r="W318" s="112">
        <v>1350289.3699370001</v>
      </c>
      <c r="X318" s="112">
        <v>1277391.930155</v>
      </c>
      <c r="Y318" s="112">
        <v>1644591.8076487</v>
      </c>
      <c r="Z318" s="112">
        <v>1482699.7981747</v>
      </c>
      <c r="AA318" s="112">
        <v>17227311.8346503</v>
      </c>
    </row>
    <row r="319" spans="10:27" ht="15" customHeight="1" x14ac:dyDescent="0.2">
      <c r="J319" s="100" t="str">
        <f xml:space="preserve"> _xll.EPMOlapMemberO("[COSTCENTER].[PARENTH1].[1001]","","1001","","000")</f>
        <v>1001</v>
      </c>
      <c r="K319" s="169" t="str">
        <f xml:space="preserve"> _xll.EPMOlapMemberO("[C_ACCOUNT].[PARENTH2].[A_4810055]","","A_4810055","","000")</f>
        <v>A_4810055</v>
      </c>
      <c r="L319" s="112" t="str">
        <f>_xll.EPMMemberDesc(K319)</f>
        <v>General Service Large 3 FUEL</v>
      </c>
      <c r="M319" s="112">
        <v>5622189.3386000004</v>
      </c>
      <c r="N319" s="112">
        <v>5622189.3386418996</v>
      </c>
      <c r="O319" s="112">
        <v>564259.29191060003</v>
      </c>
      <c r="P319" s="112">
        <v>1000927.0162212</v>
      </c>
      <c r="Q319" s="112">
        <v>889445.76316790003</v>
      </c>
      <c r="R319" s="112">
        <v>122404.0795665</v>
      </c>
      <c r="S319" s="112">
        <v>616466.32656079996</v>
      </c>
      <c r="T319" s="112">
        <v>-112133.48678950001</v>
      </c>
      <c r="U319" s="112">
        <v>409616.79593840003</v>
      </c>
      <c r="V319" s="112">
        <v>551310.94362399995</v>
      </c>
      <c r="W319" s="112">
        <v>131111.183464</v>
      </c>
      <c r="X319" s="112">
        <v>619429.59485210001</v>
      </c>
      <c r="Y319" s="112">
        <v>281448.53095849999</v>
      </c>
      <c r="Z319" s="112">
        <v>547903.29916739999</v>
      </c>
      <c r="AA319" s="112">
        <v>5622189.3386418996</v>
      </c>
    </row>
    <row r="320" spans="10:27" ht="15" customHeight="1" x14ac:dyDescent="0.2">
      <c r="J320" s="100" t="str">
        <f xml:space="preserve"> _xll.EPMOlapMemberO("[COSTCENTER].[PARENTH1].[1001]","","1001","","000")</f>
        <v>1001</v>
      </c>
      <c r="K320" s="169" t="str">
        <f xml:space="preserve"> _xll.EPMOlapMemberO("[C_ACCOUNT].[PARENTH2].[A_4810057]","","A_4810057","","000")</f>
        <v>A_4810057</v>
      </c>
      <c r="L320" s="112" t="str">
        <f>_xll.EPMMemberDesc(K320)</f>
        <v>General Service Large Vol. 4 FUEL</v>
      </c>
      <c r="M320" s="112">
        <v>397868.36534740002</v>
      </c>
      <c r="N320" s="112">
        <v>397868.3653608</v>
      </c>
      <c r="O320" s="112">
        <v>28615.368211000001</v>
      </c>
      <c r="P320" s="112">
        <v>46696.956047</v>
      </c>
      <c r="Q320" s="112">
        <v>27160.391536300001</v>
      </c>
      <c r="R320" s="112">
        <v>27671.135008400001</v>
      </c>
      <c r="S320" s="112">
        <v>131.8080664</v>
      </c>
      <c r="T320" s="112">
        <v>2082.9749867999999</v>
      </c>
      <c r="U320" s="112">
        <v>0</v>
      </c>
      <c r="V320" s="112">
        <v>0</v>
      </c>
      <c r="W320" s="112">
        <v>7457.0876842999996</v>
      </c>
      <c r="X320" s="112">
        <v>28931.1395515</v>
      </c>
      <c r="Y320" s="112">
        <v>145685.4455157</v>
      </c>
      <c r="Z320" s="112">
        <v>83436.058753399993</v>
      </c>
      <c r="AA320" s="112">
        <v>397868.3653608</v>
      </c>
    </row>
    <row r="321" spans="10:27" ht="15" customHeight="1" x14ac:dyDescent="0.2">
      <c r="J321" s="100" t="str">
        <f xml:space="preserve"> _xll.EPMOlapMemberO("[COSTCENTER].[PARENTH1].[1001]","","1001","","000")</f>
        <v>1001</v>
      </c>
      <c r="K321" s="169" t="str">
        <f xml:space="preserve"> _xll.EPMOlapMemberO("[C_ACCOUNT].[PARENTH2].[A_4810059]","","A_4810059","","000")</f>
        <v>A_4810059</v>
      </c>
      <c r="L321" s="112" t="str">
        <f>_xll.EPMMemberDesc(K321)</f>
        <v>General Service Large Vol. 5 FUEL</v>
      </c>
      <c r="M321" s="112">
        <v>956264.51463800005</v>
      </c>
      <c r="N321" s="112">
        <v>956264.51460420003</v>
      </c>
      <c r="O321" s="112">
        <v>59913.427191800001</v>
      </c>
      <c r="P321" s="112">
        <v>23626.436095199999</v>
      </c>
      <c r="Q321" s="112">
        <v>103620.3172898</v>
      </c>
      <c r="R321" s="112">
        <v>112149.4824751</v>
      </c>
      <c r="S321" s="112">
        <v>2372.5451951999999</v>
      </c>
      <c r="T321" s="112">
        <v>22797.004022199999</v>
      </c>
      <c r="U321" s="112">
        <v>52319.687759300003</v>
      </c>
      <c r="V321" s="112">
        <v>852.92739300000005</v>
      </c>
      <c r="W321" s="112">
        <v>287042.22593700001</v>
      </c>
      <c r="X321" s="112">
        <v>76054.786070000002</v>
      </c>
      <c r="Y321" s="112">
        <v>92608.694014299996</v>
      </c>
      <c r="Z321" s="112">
        <v>122906.98116130001</v>
      </c>
      <c r="AA321" s="112">
        <v>956264.51460420003</v>
      </c>
    </row>
    <row r="322" spans="10:27" ht="15" customHeight="1" x14ac:dyDescent="0.2">
      <c r="J322" s="100" t="str">
        <f xml:space="preserve"> _xll.EPMOlapMemberO("[COSTCENTER].[PARENTH1].[1001]","","1001","","000")</f>
        <v>1001</v>
      </c>
      <c r="K322" s="169" t="str">
        <f xml:space="preserve"> _xll.EPMOlapMemberO("[C_ACCOUNT].[PARENTH2].[A_4893005]","","A_4893005","","000")</f>
        <v>A_4893005</v>
      </c>
      <c r="L322" s="112" t="str">
        <f>_xll.EPMMemberDesc(K322)</f>
        <v>Commercial Street Lighting Transportation-Swing</v>
      </c>
      <c r="M322" s="112">
        <v>3250.6456349999999</v>
      </c>
      <c r="N322" s="112">
        <v>3250.6456349999999</v>
      </c>
      <c r="O322" s="112">
        <v>307.56233589999999</v>
      </c>
      <c r="P322" s="112">
        <v>279.8004123</v>
      </c>
      <c r="Q322" s="112">
        <v>286.10007100000001</v>
      </c>
      <c r="R322" s="112">
        <v>152.13474790000001</v>
      </c>
      <c r="S322" s="112">
        <v>301.63322169999998</v>
      </c>
      <c r="T322" s="112">
        <v>276.25885740000001</v>
      </c>
      <c r="U322" s="112">
        <v>291.91503390000003</v>
      </c>
      <c r="V322" s="112">
        <v>269.71970010000001</v>
      </c>
      <c r="W322" s="112">
        <v>275.86391079999999</v>
      </c>
      <c r="X322" s="112">
        <v>264.16907020000002</v>
      </c>
      <c r="Y322" s="112">
        <v>278.16094709999999</v>
      </c>
      <c r="Z322" s="112">
        <v>267.32732670000001</v>
      </c>
      <c r="AA322" s="112">
        <v>3250.6456349999999</v>
      </c>
    </row>
    <row r="323" spans="10:27" ht="15" customHeight="1" x14ac:dyDescent="0.2">
      <c r="J323" s="100" t="str">
        <f xml:space="preserve"> _xll.EPMOlapMemberO("[COSTCENTER].[PARENTH1].[1001]","","1001","","000")</f>
        <v>1001</v>
      </c>
      <c r="K323" s="169" t="str">
        <f xml:space="preserve"> _xll.EPMOlapMemberO("[C_ACCOUNT].[PARENTH2].[A_4893036]","","A_4893036","","000")</f>
        <v>A_4893036</v>
      </c>
      <c r="L323" s="112" t="str">
        <f>_xll.EPMMemberDesc(K323)</f>
        <v>Commercial Transportation Standby Generator-Swing</v>
      </c>
      <c r="M323" s="112">
        <v>2888.6345928000001</v>
      </c>
      <c r="N323" s="112">
        <v>2888.6345928000001</v>
      </c>
      <c r="O323" s="112">
        <v>249.8943979</v>
      </c>
      <c r="P323" s="112">
        <v>234.251508</v>
      </c>
      <c r="Q323" s="112">
        <v>249.5766577</v>
      </c>
      <c r="R323" s="112">
        <v>214.11557110000001</v>
      </c>
      <c r="S323" s="112">
        <v>215.45230119999999</v>
      </c>
      <c r="T323" s="112">
        <v>213.25245140000001</v>
      </c>
      <c r="U323" s="112">
        <v>257.28104680000001</v>
      </c>
      <c r="V323" s="112">
        <v>242.74773010000001</v>
      </c>
      <c r="W323" s="112">
        <v>294.88900810000001</v>
      </c>
      <c r="X323" s="112">
        <v>190.01634870000001</v>
      </c>
      <c r="Y323" s="112">
        <v>222.5287577</v>
      </c>
      <c r="Z323" s="112">
        <v>304.6288141</v>
      </c>
      <c r="AA323" s="112">
        <v>2888.6345928000001</v>
      </c>
    </row>
    <row r="324" spans="10:27" ht="15" customHeight="1" x14ac:dyDescent="0.2">
      <c r="J324" s="100" t="str">
        <f xml:space="preserve"> _xll.EPMOlapMemberO("[COSTCENTER].[PARENTH1].[1001]","","1001","","000")</f>
        <v>1001</v>
      </c>
      <c r="K324" s="169" t="str">
        <f xml:space="preserve"> _xll.EPMOlapMemberO("[C_ACCOUNT].[PARENTH2].[A_4893009]","","A_4893009","","000")</f>
        <v>A_4893009</v>
      </c>
      <c r="L324" s="112" t="str">
        <f>_xll.EPMMemberDesc(K324)</f>
        <v>General Service Small Transportation-Swing</v>
      </c>
      <c r="M324" s="112">
        <v>183681.974334</v>
      </c>
      <c r="N324" s="112">
        <v>183681.97434069999</v>
      </c>
      <c r="O324" s="112">
        <v>20645.121796700001</v>
      </c>
      <c r="P324" s="112">
        <v>20828.8632507</v>
      </c>
      <c r="Q324" s="112">
        <v>17232.963850799999</v>
      </c>
      <c r="R324" s="112">
        <v>17382.803602700002</v>
      </c>
      <c r="S324" s="112">
        <v>15259.4092339</v>
      </c>
      <c r="T324" s="112">
        <v>14273.374300900001</v>
      </c>
      <c r="U324" s="112">
        <v>12003.1503758</v>
      </c>
      <c r="V324" s="112">
        <v>15072.8359069</v>
      </c>
      <c r="W324" s="112">
        <v>7286.6122644999996</v>
      </c>
      <c r="X324" s="112">
        <v>12286.1790349</v>
      </c>
      <c r="Y324" s="112">
        <v>13953.5645991</v>
      </c>
      <c r="Z324" s="112">
        <v>17457.096123800002</v>
      </c>
      <c r="AA324" s="112">
        <v>183681.97434069999</v>
      </c>
    </row>
    <row r="325" spans="10:27" ht="15" customHeight="1" x14ac:dyDescent="0.2">
      <c r="J325" s="100" t="str">
        <f xml:space="preserve"> _xll.EPMOlapMemberO("[COSTCENTER].[PARENTH1].[1001]","","1001","","000")</f>
        <v>1001</v>
      </c>
      <c r="K325" s="169" t="str">
        <f xml:space="preserve"> _xll.EPMOlapMemberO("[C_ACCOUNT].[PARENTH2].[A_4893051]","","A_4893051","","000")</f>
        <v>A_4893051</v>
      </c>
      <c r="L325" s="112" t="str">
        <f>_xll.EPMMemberDesc(K325)</f>
        <v>General Service Large Vol. 1 Transportation-Swing</v>
      </c>
      <c r="M325" s="112">
        <v>1423007.5173299999</v>
      </c>
      <c r="N325" s="112">
        <v>1423007.5175429001</v>
      </c>
      <c r="O325" s="112">
        <v>135449.17121679999</v>
      </c>
      <c r="P325" s="112">
        <v>136854.93654719999</v>
      </c>
      <c r="Q325" s="112">
        <v>126736.2442155</v>
      </c>
      <c r="R325" s="112">
        <v>131517.6722496</v>
      </c>
      <c r="S325" s="112">
        <v>118768.0810475</v>
      </c>
      <c r="T325" s="112">
        <v>110033.41825250001</v>
      </c>
      <c r="U325" s="112">
        <v>110269.6671169</v>
      </c>
      <c r="V325" s="112">
        <v>99683.905826400005</v>
      </c>
      <c r="W325" s="112">
        <v>108552.44889889999</v>
      </c>
      <c r="X325" s="112">
        <v>103410.6046043</v>
      </c>
      <c r="Y325" s="112">
        <v>111567.8271315</v>
      </c>
      <c r="Z325" s="112">
        <v>130163.54043579999</v>
      </c>
      <c r="AA325" s="112">
        <v>1423007.5175429001</v>
      </c>
    </row>
    <row r="326" spans="10:27" ht="15" customHeight="1" x14ac:dyDescent="0.2">
      <c r="J326" s="100" t="str">
        <f xml:space="preserve"> _xll.EPMOlapMemberO("[COSTCENTER].[PARENTH1].[1001]","","1001","","000")</f>
        <v>1001</v>
      </c>
      <c r="K326" s="169" t="str">
        <f xml:space="preserve"> _xll.EPMOlapMemberO("[C_ACCOUNT].[PARENTH2].[A_4893053]","","A_4893053","","000")</f>
        <v>A_4893053</v>
      </c>
      <c r="L326" s="112" t="str">
        <f>_xll.EPMMemberDesc(K326)</f>
        <v>General Service Large Vol. 2 Transportation-Swing</v>
      </c>
      <c r="M326" s="112">
        <v>2660663.8070999999</v>
      </c>
      <c r="N326" s="112">
        <v>2660663.8069807999</v>
      </c>
      <c r="O326" s="112">
        <v>260165.69842060001</v>
      </c>
      <c r="P326" s="112">
        <v>265485.04237009998</v>
      </c>
      <c r="Q326" s="112">
        <v>236269.960758</v>
      </c>
      <c r="R326" s="112">
        <v>240930.72909129999</v>
      </c>
      <c r="S326" s="112">
        <v>221791.98518339999</v>
      </c>
      <c r="T326" s="112">
        <v>197694.71569909999</v>
      </c>
      <c r="U326" s="112">
        <v>205904.0008406</v>
      </c>
      <c r="V326" s="112">
        <v>184713.04128100001</v>
      </c>
      <c r="W326" s="112">
        <v>199882.42847029999</v>
      </c>
      <c r="X326" s="112">
        <v>191049.8522657</v>
      </c>
      <c r="Y326" s="112">
        <v>208398.18154029999</v>
      </c>
      <c r="Z326" s="112">
        <v>248378.1710604</v>
      </c>
      <c r="AA326" s="112">
        <v>2660663.8069807999</v>
      </c>
    </row>
    <row r="327" spans="10:27" ht="15" customHeight="1" x14ac:dyDescent="0.2">
      <c r="J327" s="100" t="str">
        <f xml:space="preserve"> _xll.EPMOlapMemberO("[COSTCENTER].[PARENTH1].[1001]","","1001","","000")</f>
        <v>1001</v>
      </c>
      <c r="K327" s="169" t="str">
        <f xml:space="preserve"> _xll.EPMOlapMemberO("[C_ACCOUNT].[PARENTH2].[A_4893055]","","A_4893055","","000")</f>
        <v>A_4893055</v>
      </c>
      <c r="L327" s="112" t="str">
        <f>_xll.EPMMemberDesc(K327)</f>
        <v>General Service Large Vol. 3 Transportation-Swing</v>
      </c>
      <c r="M327" s="112">
        <v>1561491.2731999999</v>
      </c>
      <c r="N327" s="112">
        <v>1561491.2731758</v>
      </c>
      <c r="O327" s="112">
        <v>153005.85455719999</v>
      </c>
      <c r="P327" s="112">
        <v>156694.73787529999</v>
      </c>
      <c r="Q327" s="112">
        <v>168859.91424300001</v>
      </c>
      <c r="R327" s="112">
        <v>113030.4830696</v>
      </c>
      <c r="S327" s="112">
        <v>130332.48331549999</v>
      </c>
      <c r="T327" s="112">
        <v>116852.65004920001</v>
      </c>
      <c r="U327" s="112">
        <v>120115.6148695</v>
      </c>
      <c r="V327" s="112">
        <v>106629.1881038</v>
      </c>
      <c r="W327" s="112">
        <v>113974.60162840001</v>
      </c>
      <c r="X327" s="112">
        <v>111335.67670909999</v>
      </c>
      <c r="Y327" s="112">
        <v>123114.03517050001</v>
      </c>
      <c r="Z327" s="112">
        <v>147546.0335847</v>
      </c>
      <c r="AA327" s="112">
        <v>1561491.2731758</v>
      </c>
    </row>
    <row r="328" spans="10:27" ht="15" customHeight="1" x14ac:dyDescent="0.2">
      <c r="J328" s="100" t="str">
        <f xml:space="preserve"> _xll.EPMOlapMemberO("[COSTCENTER].[PARENTH1].[1001]","","1001","","000")</f>
        <v>1001</v>
      </c>
      <c r="K328" s="169" t="str">
        <f xml:space="preserve"> _xll.EPMOlapMemberO("[C_ACCOUNT].[PARENTH2].[A_4893057]","","A_4893057","","000")</f>
        <v>A_4893057</v>
      </c>
      <c r="L328" s="112" t="str">
        <f>_xll.EPMMemberDesc(K328)</f>
        <v>General Service Large Vol. 4 Transportation-Swing</v>
      </c>
      <c r="M328" s="112">
        <v>280910.88605999999</v>
      </c>
      <c r="N328" s="112">
        <v>280910.88605959999</v>
      </c>
      <c r="O328" s="112">
        <v>25860.866409499999</v>
      </c>
      <c r="P328" s="112">
        <v>24993.334503499998</v>
      </c>
      <c r="Q328" s="112">
        <v>22510.597075400001</v>
      </c>
      <c r="R328" s="112">
        <v>22887.827628499999</v>
      </c>
      <c r="S328" s="112">
        <v>20688.807224699998</v>
      </c>
      <c r="T328" s="112">
        <v>21053.8329247</v>
      </c>
      <c r="U328" s="112">
        <v>24035.9870262</v>
      </c>
      <c r="V328" s="112">
        <v>22818.286628000002</v>
      </c>
      <c r="W328" s="112">
        <v>24028.697885400001</v>
      </c>
      <c r="X328" s="112">
        <v>17750.307696600001</v>
      </c>
      <c r="Y328" s="112">
        <v>21873.565382799999</v>
      </c>
      <c r="Z328" s="112">
        <v>32408.775674299999</v>
      </c>
      <c r="AA328" s="112">
        <v>280910.88605959999</v>
      </c>
    </row>
    <row r="329" spans="10:27" ht="15" customHeight="1" x14ac:dyDescent="0.2">
      <c r="J329" s="100" t="str">
        <f xml:space="preserve"> _xll.EPMOlapMemberO("[COSTCENTER].[PARENTH1].[1001]","","1001","","000")</f>
        <v>1001</v>
      </c>
      <c r="K329" s="169" t="str">
        <f xml:space="preserve"> _xll.EPMOlapMemberO("[C_ACCOUNT].[PARENTH2].[A_4893059]","","A_4893059","","000")</f>
        <v>A_4893059</v>
      </c>
      <c r="L329" s="112" t="str">
        <f>_xll.EPMMemberDesc(K329)</f>
        <v>General Service Large Vol. 5 Transportation-Swing</v>
      </c>
      <c r="M329" s="112">
        <v>145344.726543</v>
      </c>
      <c r="N329" s="112">
        <v>145344.7265467</v>
      </c>
      <c r="O329" s="112">
        <v>12379.3840196</v>
      </c>
      <c r="P329" s="112">
        <v>12473.8927996</v>
      </c>
      <c r="Q329" s="112">
        <v>11839.673150799999</v>
      </c>
      <c r="R329" s="112">
        <v>12362.356922000001</v>
      </c>
      <c r="S329" s="112">
        <v>12442.3703955</v>
      </c>
      <c r="T329" s="112">
        <v>10585.0762218</v>
      </c>
      <c r="U329" s="112">
        <v>10409.986970600001</v>
      </c>
      <c r="V329" s="112">
        <v>9898.7129934000004</v>
      </c>
      <c r="W329" s="112">
        <v>10002.444903600001</v>
      </c>
      <c r="X329" s="112">
        <v>13922.1734519</v>
      </c>
      <c r="Y329" s="112">
        <v>10676.3228955</v>
      </c>
      <c r="Z329" s="112">
        <v>18352.3318224</v>
      </c>
      <c r="AA329" s="112">
        <v>145344.7265467</v>
      </c>
    </row>
    <row r="330" spans="10:27" ht="15" customHeight="1" x14ac:dyDescent="0.2">
      <c r="J330" s="100" t="str">
        <f xml:space="preserve"> _xll.EPMOlapMemberO("[COSTCENTER].[PARENTH1].[1001]","","1001","","000")</f>
        <v>1001</v>
      </c>
      <c r="K330" s="169" t="str">
        <f xml:space="preserve"> _xll.EPMOlapMemberO("[C_ACCOUNT].[PARENTH2].[A_4830092]","","A_4830092","","000")</f>
        <v>A_4830092</v>
      </c>
      <c r="L330" s="112" t="str">
        <f>_xll.EPMMemberDesc(K330)</f>
        <v>Wholesale Sales for Resale FUEL</v>
      </c>
      <c r="M330" s="112">
        <v>2008735.41341</v>
      </c>
      <c r="N330" s="112">
        <v>2008735.4135960001</v>
      </c>
      <c r="O330" s="112">
        <v>253663.31612040001</v>
      </c>
      <c r="P330" s="112">
        <v>327990.52461570001</v>
      </c>
      <c r="Q330" s="112">
        <v>164560.01930819999</v>
      </c>
      <c r="R330" s="112">
        <v>121915.7654192</v>
      </c>
      <c r="S330" s="112">
        <v>113223.12903909999</v>
      </c>
      <c r="T330" s="112">
        <v>109471.9076397</v>
      </c>
      <c r="U330" s="112">
        <v>88303.270479800005</v>
      </c>
      <c r="V330" s="112">
        <v>90303.687729600002</v>
      </c>
      <c r="W330" s="112">
        <v>112190.21471289999</v>
      </c>
      <c r="X330" s="112">
        <v>101953.84112700001</v>
      </c>
      <c r="Y330" s="112">
        <v>109933.44969730001</v>
      </c>
      <c r="Z330" s="112">
        <v>415226.28770709998</v>
      </c>
      <c r="AA330" s="112">
        <v>2008735.4135960001</v>
      </c>
    </row>
    <row r="331" spans="10:27" ht="15" customHeight="1" x14ac:dyDescent="0.2">
      <c r="J331" s="115" t="str">
        <f xml:space="preserve"> _xll.EPMOlapMemberO("[COSTCENTER].[PARENTH1].[1001]","","1001","","000")</f>
        <v>1001</v>
      </c>
      <c r="K331" s="168" t="str">
        <f xml:space="preserve"> _xll.EPMOlapMemberO("[C_ACCOUNT].[PARENTH2].[IND_OTH_FUEL_RC]","","IND_OTH_FUEL_RC","","000")</f>
        <v>IND_OTH_FUEL_RC</v>
      </c>
      <c r="L331" s="115" t="str">
        <f>_xll.EPMMemberDesc(K331)</f>
        <v>INDUSTRIAL-OTHER</v>
      </c>
      <c r="M331" s="114">
        <v>-1240008</v>
      </c>
      <c r="N331" s="114">
        <v>-1240008</v>
      </c>
      <c r="O331" s="114">
        <v>-103334</v>
      </c>
      <c r="P331" s="114">
        <v>-103334</v>
      </c>
      <c r="Q331" s="114">
        <v>-103334</v>
      </c>
      <c r="R331" s="114">
        <v>-103334</v>
      </c>
      <c r="S331" s="114">
        <v>-103334</v>
      </c>
      <c r="T331" s="114">
        <v>-103334</v>
      </c>
      <c r="U331" s="114">
        <v>-103334</v>
      </c>
      <c r="V331" s="114">
        <v>-103334</v>
      </c>
      <c r="W331" s="114">
        <v>-103334</v>
      </c>
      <c r="X331" s="114">
        <v>-103334</v>
      </c>
      <c r="Y331" s="114">
        <v>-103334</v>
      </c>
      <c r="Z331" s="114">
        <v>-103334</v>
      </c>
      <c r="AA331" s="114">
        <v>-1240008</v>
      </c>
    </row>
    <row r="332" spans="10:27" ht="15" customHeight="1" x14ac:dyDescent="0.2">
      <c r="J332" s="100" t="str">
        <f xml:space="preserve"> _xll.EPMOlapMemberO("[COSTCENTER].[PARENTH1].[1001]","","1001","","000")</f>
        <v>1001</v>
      </c>
      <c r="K332" s="169" t="str">
        <f xml:space="preserve"> _xll.EPMOlapMemberO("[C_ACCOUNT].[PARENTH2].[A_4810091]","","A_4810091","","000")</f>
        <v>A_4810091</v>
      </c>
      <c r="L332" s="112" t="str">
        <f>_xll.EPMMemberDesc(K332)</f>
        <v>Interruptible Contract Service Fuel</v>
      </c>
      <c r="M332" s="112">
        <v>-1240008</v>
      </c>
      <c r="N332" s="112">
        <v>-1240008</v>
      </c>
      <c r="O332" s="112">
        <v>-103334</v>
      </c>
      <c r="P332" s="112">
        <v>-103334</v>
      </c>
      <c r="Q332" s="112">
        <v>-103334</v>
      </c>
      <c r="R332" s="112">
        <v>-103334</v>
      </c>
      <c r="S332" s="112">
        <v>-103334</v>
      </c>
      <c r="T332" s="112">
        <v>-103334</v>
      </c>
      <c r="U332" s="112">
        <v>-103334</v>
      </c>
      <c r="V332" s="112">
        <v>-103334</v>
      </c>
      <c r="W332" s="112">
        <v>-103334</v>
      </c>
      <c r="X332" s="112">
        <v>-103334</v>
      </c>
      <c r="Y332" s="112">
        <v>-103334</v>
      </c>
      <c r="Z332" s="112">
        <v>-103334</v>
      </c>
      <c r="AA332" s="112">
        <v>-1240008</v>
      </c>
    </row>
    <row r="333" spans="10:27" ht="15" customHeight="1" x14ac:dyDescent="0.2">
      <c r="J333" s="115" t="str">
        <f xml:space="preserve"> _xll.EPMOlapMemberO("[COSTCENTER].[PARENTH1].[1001]","","1001","","000")</f>
        <v>1001</v>
      </c>
      <c r="K333" s="165" t="str">
        <f xml:space="preserve"> _xll.EPMOlapMemberO("[C_ACCOUNT].[PARENTH2].[OTH_PGA_GAS_REV_RC]","","OTH_PGA_GAS_REV_RC","","000")</f>
        <v>OTH_PGA_GAS_REV_RC</v>
      </c>
      <c r="L333" s="115" t="str">
        <f>_xll.EPMMemberDesc(K333)</f>
        <v>OTHER PGA GAS REVENUES</v>
      </c>
      <c r="M333" s="114">
        <v>-291.95999999999998</v>
      </c>
      <c r="N333" s="114">
        <v>-291.95999999999998</v>
      </c>
      <c r="O333" s="114">
        <v>-24.33</v>
      </c>
      <c r="P333" s="114">
        <v>-24.33</v>
      </c>
      <c r="Q333" s="114">
        <v>-24.33</v>
      </c>
      <c r="R333" s="114">
        <v>-24.33</v>
      </c>
      <c r="S333" s="114">
        <v>-24.33</v>
      </c>
      <c r="T333" s="114">
        <v>-24.33</v>
      </c>
      <c r="U333" s="114">
        <v>-24.33</v>
      </c>
      <c r="V333" s="114">
        <v>-24.33</v>
      </c>
      <c r="W333" s="114">
        <v>-24.33</v>
      </c>
      <c r="X333" s="114">
        <v>-24.33</v>
      </c>
      <c r="Y333" s="114">
        <v>-24.33</v>
      </c>
      <c r="Z333" s="114">
        <v>-24.33</v>
      </c>
      <c r="AA333" s="114">
        <v>-291.95999999999998</v>
      </c>
    </row>
    <row r="334" spans="10:27" ht="15" customHeight="1" x14ac:dyDescent="0.2">
      <c r="J334" s="100" t="str">
        <f xml:space="preserve"> _xll.EPMOlapMemberO("[COSTCENTER].[PARENTH1].[1001]","","1001","","000")</f>
        <v>1001</v>
      </c>
      <c r="K334" s="167" t="str">
        <f xml:space="preserve"> _xll.EPMOlapMemberO("[C_ACCOUNT].[PARENTH2].[A_4950800]","","A_4950800","","000")</f>
        <v>A_4950800</v>
      </c>
      <c r="L334" s="112" t="str">
        <f>_xll.EPMMemberDesc(K334)</f>
        <v>Other Revenues - Miscellaneous</v>
      </c>
      <c r="M334" s="112">
        <v>-291.95999999999998</v>
      </c>
      <c r="N334" s="112">
        <v>-291.95999999999998</v>
      </c>
      <c r="O334" s="112">
        <v>-24.33</v>
      </c>
      <c r="P334" s="112">
        <v>-24.33</v>
      </c>
      <c r="Q334" s="112">
        <v>-24.33</v>
      </c>
      <c r="R334" s="112">
        <v>-24.33</v>
      </c>
      <c r="S334" s="112">
        <v>-24.33</v>
      </c>
      <c r="T334" s="112">
        <v>-24.33</v>
      </c>
      <c r="U334" s="112">
        <v>-24.33</v>
      </c>
      <c r="V334" s="112">
        <v>-24.33</v>
      </c>
      <c r="W334" s="112">
        <v>-24.33</v>
      </c>
      <c r="X334" s="112">
        <v>-24.33</v>
      </c>
      <c r="Y334" s="112">
        <v>-24.33</v>
      </c>
      <c r="Z334" s="112">
        <v>-24.33</v>
      </c>
      <c r="AA334" s="112">
        <v>-291.95999999999998</v>
      </c>
    </row>
    <row r="335" spans="10:27" ht="15" customHeight="1" x14ac:dyDescent="0.2">
      <c r="J335" s="115" t="str">
        <f xml:space="preserve"> _xll.EPMOlapMemberO("[COSTCENTER].[PARENTH1].[1001]","","1001","","000")</f>
        <v>1001</v>
      </c>
      <c r="K335" s="165" t="str">
        <f xml:space="preserve"> _xll.EPMOlapMemberO("[C_ACCOUNT].[PARENTH2].[DEF_PGA_RC]","","DEF_PGA_RC","","000")</f>
        <v>DEF_PGA_RC</v>
      </c>
      <c r="L335" s="115" t="str">
        <f>_xll.EPMMemberDesc(K335)</f>
        <v>DEFERRED PGA</v>
      </c>
      <c r="M335" s="114">
        <v>-292</v>
      </c>
      <c r="N335" s="114">
        <v>-292</v>
      </c>
      <c r="O335" s="114">
        <v>-24</v>
      </c>
      <c r="P335" s="114">
        <v>-24</v>
      </c>
      <c r="Q335" s="114">
        <v>-24</v>
      </c>
      <c r="R335" s="114">
        <v>-24</v>
      </c>
      <c r="S335" s="114">
        <v>-24</v>
      </c>
      <c r="T335" s="114">
        <v>-24</v>
      </c>
      <c r="U335" s="114">
        <v>-24</v>
      </c>
      <c r="V335" s="114">
        <v>-24</v>
      </c>
      <c r="W335" s="114">
        <v>-24</v>
      </c>
      <c r="X335" s="114">
        <v>-24</v>
      </c>
      <c r="Y335" s="114">
        <v>-24</v>
      </c>
      <c r="Z335" s="114">
        <v>-28</v>
      </c>
      <c r="AA335" s="114">
        <v>-292</v>
      </c>
    </row>
    <row r="336" spans="10:27" ht="15" customHeight="1" x14ac:dyDescent="0.2">
      <c r="J336" s="100" t="str">
        <f xml:space="preserve"> _xll.EPMOlapMemberO("[COSTCENTER].[PARENTH1].[1001]","","1001","","000")</f>
        <v>1001</v>
      </c>
      <c r="K336" s="167" t="str">
        <f xml:space="preserve"> _xll.EPMOlapMemberO("[C_ACCOUNT].[PARENTH2].[A_4074061]","","A_4074061","","000")</f>
        <v>A_4074061</v>
      </c>
      <c r="L336" s="112" t="str">
        <f>_xll.EPMMemberDesc(K336)</f>
        <v>REG CR Defd PGA - Amortization</v>
      </c>
      <c r="M336" s="112">
        <v>-292</v>
      </c>
      <c r="N336" s="112">
        <v>-292</v>
      </c>
      <c r="O336" s="112">
        <v>-24</v>
      </c>
      <c r="P336" s="112">
        <v>-24</v>
      </c>
      <c r="Q336" s="112">
        <v>-24</v>
      </c>
      <c r="R336" s="112">
        <v>-24</v>
      </c>
      <c r="S336" s="112">
        <v>-24</v>
      </c>
      <c r="T336" s="112">
        <v>-24</v>
      </c>
      <c r="U336" s="112">
        <v>-24</v>
      </c>
      <c r="V336" s="112">
        <v>-24</v>
      </c>
      <c r="W336" s="112">
        <v>-24</v>
      </c>
      <c r="X336" s="112">
        <v>-24</v>
      </c>
      <c r="Y336" s="112">
        <v>-24</v>
      </c>
      <c r="Z336" s="112">
        <v>-28</v>
      </c>
      <c r="AA336" s="112">
        <v>-292</v>
      </c>
    </row>
    <row r="337" spans="10:27" ht="15" customHeight="1" x14ac:dyDescent="0.2">
      <c r="J337" s="115" t="str">
        <f xml:space="preserve"> _xll.EPMOlapMemberO("[COSTCENTER].[PARENTH1].[1001]","","1001","","000")</f>
        <v>1001</v>
      </c>
      <c r="K337" s="165" t="str">
        <f xml:space="preserve"> _xll.EPMOlapMemberO("[C_ACCOUNT].[PARENTH2].[COGSFUEL_RC]","","COGSFUEL_RC","","000")</f>
        <v>COGSFUEL_RC</v>
      </c>
      <c r="L337" s="115" t="str">
        <f>_xll.EPMMemberDesc(K337)</f>
        <v>Cost of Natural Gas Sold</v>
      </c>
      <c r="M337" s="114">
        <v>221081204.40000001</v>
      </c>
      <c r="N337" s="114">
        <v>221081204.41589129</v>
      </c>
      <c r="O337" s="114">
        <v>31721498.383781001</v>
      </c>
      <c r="P337" s="114">
        <v>29546349.578732502</v>
      </c>
      <c r="Q337" s="114">
        <v>24198534.055907499</v>
      </c>
      <c r="R337" s="114">
        <v>17647684.292141501</v>
      </c>
      <c r="S337" s="114">
        <v>14532060.138673</v>
      </c>
      <c r="T337" s="114">
        <v>13207465.210507</v>
      </c>
      <c r="U337" s="114">
        <v>12727303.370748</v>
      </c>
      <c r="V337" s="114">
        <v>12297829.0937226</v>
      </c>
      <c r="W337" s="114">
        <v>13152490.151548101</v>
      </c>
      <c r="X337" s="114">
        <v>14272047.5232001</v>
      </c>
      <c r="Y337" s="114">
        <v>17005983.644806299</v>
      </c>
      <c r="Z337" s="114">
        <v>20771958.972123701</v>
      </c>
      <c r="AA337" s="114">
        <v>221081204.41589129</v>
      </c>
    </row>
    <row r="338" spans="10:27" ht="15" customHeight="1" x14ac:dyDescent="0.2">
      <c r="J338" s="100" t="str">
        <f xml:space="preserve"> _xll.EPMOlapMemberO("[COSTCENTER].[PARENTH1].[1001]","","1001","","000")</f>
        <v>1001</v>
      </c>
      <c r="K338" s="167" t="str">
        <f xml:space="preserve"> _xll.EPMOlapMemberO("[C_ACCOUNT].[PARENTH2].[A_6300100]","","A_6300100","","000")</f>
        <v>A_6300100</v>
      </c>
      <c r="L338" s="112" t="str">
        <f>_xll.EPMMemberDesc(K338)</f>
        <v>Cost of Natural Gas Sold</v>
      </c>
      <c r="M338" s="112">
        <v>221081204.40000001</v>
      </c>
      <c r="N338" s="112">
        <v>221081204.41589129</v>
      </c>
      <c r="O338" s="112">
        <v>31721498.383781001</v>
      </c>
      <c r="P338" s="112">
        <v>29546349.578732502</v>
      </c>
      <c r="Q338" s="112">
        <v>24198534.055907499</v>
      </c>
      <c r="R338" s="112">
        <v>17647684.292141501</v>
      </c>
      <c r="S338" s="112">
        <v>14532060.138673</v>
      </c>
      <c r="T338" s="112">
        <v>13207465.210507</v>
      </c>
      <c r="U338" s="112">
        <v>12727303.370748</v>
      </c>
      <c r="V338" s="112">
        <v>12297829.0937226</v>
      </c>
      <c r="W338" s="112">
        <v>13152490.151548101</v>
      </c>
      <c r="X338" s="112">
        <v>14272047.5232001</v>
      </c>
      <c r="Y338" s="112">
        <v>17005983.644806299</v>
      </c>
      <c r="Z338" s="112">
        <v>20771958.972123701</v>
      </c>
      <c r="AA338" s="112">
        <v>221081204.41589129</v>
      </c>
    </row>
    <row r="339" spans="10:27" ht="15" customHeight="1" x14ac:dyDescent="0.2">
      <c r="J339" s="115" t="str">
        <f xml:space="preserve"> _xll.EPMOlapMemberO("[COSTCENTER].[PARENTH1].[1001]","","1001","","000")</f>
        <v>1001</v>
      </c>
      <c r="K339" s="165" t="str">
        <f xml:space="preserve"> _xll.EPMOlapMemberO("[C_ACCOUNT].[PARENTH2].[FUEL_FLADD_RC]","","FUEL_FLADD_RC","","000")</f>
        <v>FUEL_FLADD_RC</v>
      </c>
      <c r="L339" s="115" t="str">
        <f>_xll.EPMMemberDesc(K339)</f>
        <v>Fuel Additive</v>
      </c>
      <c r="M339" s="114">
        <v>7347436.5843000002</v>
      </c>
      <c r="N339" s="114">
        <v>7347436.5841087</v>
      </c>
      <c r="O339" s="114">
        <v>609151.61621899996</v>
      </c>
      <c r="P339" s="114">
        <v>590857.42126750003</v>
      </c>
      <c r="Q339" s="114">
        <v>611380.94409250002</v>
      </c>
      <c r="R339" s="114">
        <v>596061.70785849995</v>
      </c>
      <c r="S339" s="114">
        <v>613322.86132699996</v>
      </c>
      <c r="T339" s="114">
        <v>636370.78949300002</v>
      </c>
      <c r="U339" s="114">
        <v>602266.62925200001</v>
      </c>
      <c r="V339" s="114">
        <v>612295.90627739998</v>
      </c>
      <c r="W339" s="114">
        <v>602464.84845189995</v>
      </c>
      <c r="X339" s="114">
        <v>614152.47679989995</v>
      </c>
      <c r="Y339" s="114">
        <v>655615.35519369994</v>
      </c>
      <c r="Z339" s="114">
        <v>603496.02787630004</v>
      </c>
      <c r="AA339" s="114">
        <v>7347436.5841087</v>
      </c>
    </row>
    <row r="340" spans="10:27" ht="15" customHeight="1" x14ac:dyDescent="0.2">
      <c r="J340" s="100" t="str">
        <f xml:space="preserve"> _xll.EPMOlapMemberO("[COSTCENTER].[PARENTH1].[1001]","","1001","","000")</f>
        <v>1001</v>
      </c>
      <c r="K340" s="167" t="str">
        <f xml:space="preserve"> _xll.EPMOlapMemberO("[C_ACCOUNT].[PARENTH2].[ER_PGA_OM_1]","","ER_PGA_OM_1","","000")</f>
        <v>ER_PGA_OM_1</v>
      </c>
      <c r="L340" s="112" t="str">
        <f>_xll.EPMMemberDesc(K340)</f>
        <v>PGA O&amp;M Expense</v>
      </c>
      <c r="M340" s="112">
        <v>7347436.5843000002</v>
      </c>
      <c r="N340" s="112">
        <v>7347436.5841087</v>
      </c>
      <c r="O340" s="112">
        <v>609151.61621899996</v>
      </c>
      <c r="P340" s="112">
        <v>590857.42126750003</v>
      </c>
      <c r="Q340" s="112">
        <v>611380.94409250002</v>
      </c>
      <c r="R340" s="112">
        <v>596061.70785849995</v>
      </c>
      <c r="S340" s="112">
        <v>613322.86132699996</v>
      </c>
      <c r="T340" s="112">
        <v>636370.78949300002</v>
      </c>
      <c r="U340" s="112">
        <v>602266.62925200001</v>
      </c>
      <c r="V340" s="112">
        <v>612295.90627739998</v>
      </c>
      <c r="W340" s="112">
        <v>602464.84845189995</v>
      </c>
      <c r="X340" s="112">
        <v>614152.47679989995</v>
      </c>
      <c r="Y340" s="112">
        <v>655615.35519369994</v>
      </c>
      <c r="Z340" s="112">
        <v>603496.02787630004</v>
      </c>
      <c r="AA340" s="112">
        <v>7347436.5841087</v>
      </c>
    </row>
    <row r="341" spans="10:27" ht="15" customHeight="1" x14ac:dyDescent="0.2">
      <c r="J341" s="100" t="str">
        <f xml:space="preserve"> _xll.EPMOlapMemberO("[COSTCENTER].[PARENTH1].[1001]","","1001","","000")</f>
        <v>1001</v>
      </c>
      <c r="K341" s="166" t="str">
        <f xml:space="preserve"> _xll.EPMOlapMemberO("[C_ACCOUNT].[PARENTH2].[ER_FUEL_REGASMTFEE_2]","","ER_FUEL_REGASMTFEE_2","","000")</f>
        <v>ER_FUEL_REGASMTFEE_2</v>
      </c>
      <c r="L341" s="112" t="str">
        <f>_xll.EPMMemberDesc(K341)</f>
        <v>FUEL Regulatory Assessment Fee</v>
      </c>
      <c r="M341" s="112">
        <v>1043700.63749</v>
      </c>
      <c r="N341" s="112">
        <v>1043700.6375763</v>
      </c>
      <c r="O341" s="112">
        <v>152084.6019291</v>
      </c>
      <c r="P341" s="112">
        <v>142085.339022</v>
      </c>
      <c r="Q341" s="112">
        <v>117269.9019444</v>
      </c>
      <c r="R341" s="112">
        <v>84284.269480000003</v>
      </c>
      <c r="S341" s="112">
        <v>68536.971461099994</v>
      </c>
      <c r="T341" s="112">
        <v>60462.4896592</v>
      </c>
      <c r="U341" s="112">
        <v>57724.001542400001</v>
      </c>
      <c r="V341" s="112">
        <v>55600.254823299998</v>
      </c>
      <c r="W341" s="112">
        <v>57972.750933800002</v>
      </c>
      <c r="X341" s="112">
        <v>65417.931331</v>
      </c>
      <c r="Y341" s="112">
        <v>81356.070070000002</v>
      </c>
      <c r="Z341" s="112">
        <v>100906.05538000001</v>
      </c>
      <c r="AA341" s="112">
        <v>1043700.6375763</v>
      </c>
    </row>
    <row r="342" spans="10:27" ht="15" customHeight="1" x14ac:dyDescent="0.2">
      <c r="J342" s="115" t="str">
        <f xml:space="preserve"> _xll.EPMOlapMemberO("[COSTCENTER].[PARENTH1].[1001]","","1001","","000")</f>
        <v>1001</v>
      </c>
      <c r="K342" s="163" t="str">
        <f xml:space="preserve"> _xll.EPMOlapMemberO("[C_ACCOUNT].[PARENTH2].[FRANCHISE_RC]","","FRANCHISE_RC","","000")</f>
        <v>FRANCHISE_RC</v>
      </c>
      <c r="L342" s="115" t="str">
        <f>_xll.EPMMemberDesc(K342)</f>
        <v>FRANCHISE</v>
      </c>
      <c r="M342" s="114">
        <v>119208.09699999999</v>
      </c>
      <c r="N342" s="114">
        <v>3.9290000000000002E-3</v>
      </c>
      <c r="O342" s="114">
        <v>4.0000000000000001E-3</v>
      </c>
      <c r="P342" s="114">
        <v>-2E-3</v>
      </c>
      <c r="Q342" s="114">
        <v>-3.0000000000000001E-3</v>
      </c>
      <c r="R342" s="114">
        <v>4.0000000000000001E-3</v>
      </c>
      <c r="S342" s="114">
        <v>-1.5E-3</v>
      </c>
      <c r="T342" s="114">
        <v>2E-3</v>
      </c>
      <c r="U342" s="114">
        <v>0</v>
      </c>
      <c r="V342" s="114">
        <v>1E-4</v>
      </c>
      <c r="W342" s="114">
        <v>2.9009999999999999E-3</v>
      </c>
      <c r="X342" s="114">
        <v>-8.0889999999999998E-4</v>
      </c>
      <c r="Y342" s="114">
        <v>1.102E-4</v>
      </c>
      <c r="Z342" s="114">
        <v>-1.8733000000000001E-3</v>
      </c>
      <c r="AA342" s="114">
        <v>3.9290000000000002E-3</v>
      </c>
    </row>
    <row r="343" spans="10:27" ht="15" customHeight="1" x14ac:dyDescent="0.2">
      <c r="J343" s="115" t="str">
        <f xml:space="preserve"> _xll.EPMOlapMemberO("[COSTCENTER].[PARENTH1].[1001]","","1001","","000")</f>
        <v>1001</v>
      </c>
      <c r="K343" s="165" t="str">
        <f xml:space="preserve"> _xll.EPMOlapMemberO("[C_ACCOUNT].[PARENTH2].[FRAN_FEE_REV_RC]","","FRAN_FEE_REV_RC","","000")</f>
        <v>FRAN_FEE_REV_RC</v>
      </c>
      <c r="L343" s="115" t="str">
        <f>_xll.EPMMemberDesc(K343)</f>
        <v>FRANCHISE FEE REVENUE (PGS)</v>
      </c>
      <c r="M343" s="114">
        <v>15562414.643999999</v>
      </c>
      <c r="N343" s="114">
        <v>15562414.643928999</v>
      </c>
      <c r="O343" s="114">
        <v>1521356.4240000001</v>
      </c>
      <c r="P343" s="114">
        <v>1606030.608</v>
      </c>
      <c r="Q343" s="114">
        <v>1438911.9569999999</v>
      </c>
      <c r="R343" s="114">
        <v>1322465.4240000001</v>
      </c>
      <c r="S343" s="114">
        <v>1251201.1784999999</v>
      </c>
      <c r="T343" s="114">
        <v>1145970.4620000001</v>
      </c>
      <c r="U343" s="114">
        <v>1069127.01</v>
      </c>
      <c r="V343" s="114">
        <v>1079818.2801000001</v>
      </c>
      <c r="W343" s="114">
        <v>1090616.4629009999</v>
      </c>
      <c r="X343" s="114">
        <v>1199678.1091911001</v>
      </c>
      <c r="Y343" s="114">
        <v>1319645.9201102001</v>
      </c>
      <c r="Z343" s="114">
        <v>1517592.8081267001</v>
      </c>
      <c r="AA343" s="114">
        <v>15562414.643928999</v>
      </c>
    </row>
    <row r="344" spans="10:27" ht="15" customHeight="1" x14ac:dyDescent="0.2">
      <c r="J344" s="100" t="str">
        <f xml:space="preserve"> _xll.EPMOlapMemberO("[COSTCENTER].[PARENTH1].[1001]","","1001","","000")</f>
        <v>1001</v>
      </c>
      <c r="K344" s="167" t="str">
        <f xml:space="preserve"> _xll.EPMOlapMemberO("[C_ACCOUNT].[PARENTH2].[A_4950205]","","A_4950205","","000")</f>
        <v>A_4950205</v>
      </c>
      <c r="L344" s="112" t="str">
        <f>_xll.EPMMemberDesc(K344)</f>
        <v>Other Revenues - Franchise Fees</v>
      </c>
      <c r="M344" s="112">
        <v>15562414.643999999</v>
      </c>
      <c r="N344" s="112">
        <v>15562414.643928999</v>
      </c>
      <c r="O344" s="112">
        <v>1521356.4240000001</v>
      </c>
      <c r="P344" s="112">
        <v>1606030.608</v>
      </c>
      <c r="Q344" s="112">
        <v>1438911.9569999999</v>
      </c>
      <c r="R344" s="112">
        <v>1322465.4240000001</v>
      </c>
      <c r="S344" s="112">
        <v>1251201.1784999999</v>
      </c>
      <c r="T344" s="112">
        <v>1145970.4620000001</v>
      </c>
      <c r="U344" s="112">
        <v>1069127.01</v>
      </c>
      <c r="V344" s="112">
        <v>1079818.2801000001</v>
      </c>
      <c r="W344" s="112">
        <v>1090616.4629009999</v>
      </c>
      <c r="X344" s="112">
        <v>1199678.1091911001</v>
      </c>
      <c r="Y344" s="112">
        <v>1319645.9201102001</v>
      </c>
      <c r="Z344" s="112">
        <v>1517592.8081267001</v>
      </c>
      <c r="AA344" s="112">
        <v>15562414.643928999</v>
      </c>
    </row>
    <row r="345" spans="10:27" ht="15" customHeight="1" x14ac:dyDescent="0.2">
      <c r="J345" s="115" t="str">
        <f xml:space="preserve"> _xll.EPMOlapMemberO("[COSTCENTER].[PARENTH1].[1001]","","1001","","000")</f>
        <v>1001</v>
      </c>
      <c r="K345" s="165" t="str">
        <f xml:space="preserve"> _xll.EPMOlapMemberO("[C_ACCOUNT].[PARENTH2].[FRAN_FEE_RC]","","FRAN_FEE_RC","","000")</f>
        <v>FRAN_FEE_RC</v>
      </c>
      <c r="L345" s="115" t="str">
        <f>_xll.EPMMemberDesc(K345)</f>
        <v>Franchise Fees</v>
      </c>
      <c r="M345" s="114">
        <v>15443206.547</v>
      </c>
      <c r="N345" s="114">
        <v>15562414.640000001</v>
      </c>
      <c r="O345" s="114">
        <v>1521356.42</v>
      </c>
      <c r="P345" s="114">
        <v>1606030.61</v>
      </c>
      <c r="Q345" s="114">
        <v>1438911.96</v>
      </c>
      <c r="R345" s="114">
        <v>1322465.42</v>
      </c>
      <c r="S345" s="114">
        <v>1251201.18</v>
      </c>
      <c r="T345" s="114">
        <v>1145970.46</v>
      </c>
      <c r="U345" s="114">
        <v>1069127.01</v>
      </c>
      <c r="V345" s="114">
        <v>1079818.28</v>
      </c>
      <c r="W345" s="114">
        <v>1090616.46</v>
      </c>
      <c r="X345" s="114">
        <v>1199678.1100000001</v>
      </c>
      <c r="Y345" s="114">
        <v>1319645.92</v>
      </c>
      <c r="Z345" s="114">
        <v>1517592.81</v>
      </c>
      <c r="AA345" s="114">
        <v>15562414.640000001</v>
      </c>
    </row>
    <row r="346" spans="10:27" ht="15" customHeight="1" x14ac:dyDescent="0.2">
      <c r="J346" s="100" t="str">
        <f xml:space="preserve"> _xll.EPMOlapMemberO("[COSTCENTER].[PARENTH1].[1001]","","1001","","000")</f>
        <v>1001</v>
      </c>
      <c r="K346" s="167" t="str">
        <f xml:space="preserve"> _xll.EPMOlapMemberO("[C_ACCOUNT].[PARENTH2].[A_6900010]","","A_6900010","","000")</f>
        <v>A_6900010</v>
      </c>
      <c r="L346" s="112" t="str">
        <f>_xll.EPMMemberDesc(K346)</f>
        <v>TOTI - Franchise Fees</v>
      </c>
      <c r="M346" s="112">
        <v>15443206.547</v>
      </c>
      <c r="N346" s="112">
        <v>15562414.640000001</v>
      </c>
      <c r="O346" s="112">
        <v>1521356.42</v>
      </c>
      <c r="P346" s="112">
        <v>1606030.61</v>
      </c>
      <c r="Q346" s="112">
        <v>1438911.96</v>
      </c>
      <c r="R346" s="112">
        <v>1322465.42</v>
      </c>
      <c r="S346" s="112">
        <v>1251201.18</v>
      </c>
      <c r="T346" s="112">
        <v>1145970.46</v>
      </c>
      <c r="U346" s="112">
        <v>1069127.01</v>
      </c>
      <c r="V346" s="112">
        <v>1079818.28</v>
      </c>
      <c r="W346" s="112">
        <v>1090616.46</v>
      </c>
      <c r="X346" s="112">
        <v>1199678.1100000001</v>
      </c>
      <c r="Y346" s="112">
        <v>1319645.92</v>
      </c>
      <c r="Z346" s="112">
        <v>1517592.81</v>
      </c>
      <c r="AA346" s="112">
        <v>15562414.640000001</v>
      </c>
    </row>
    <row r="347" spans="10:27" ht="15" customHeight="1" x14ac:dyDescent="0.2">
      <c r="J347" s="115" t="str">
        <f xml:space="preserve"> _xll.EPMOlapMemberO("[COSTCENTER].[PARENTH1].[1001]","","1001","","000")</f>
        <v>1001</v>
      </c>
      <c r="K347" s="165" t="str">
        <f xml:space="preserve"> _xll.EPMOlapMemberO("[C_ACCOUNT].[PARENTH2].[GR_REV_PGS_RC]","","GR_REV_PGS_RC","","000")</f>
        <v>GR_REV_PGS_RC</v>
      </c>
      <c r="L347" s="115" t="str">
        <f>_xll.EPMMemberDesc(K347)</f>
        <v>GROSS RECEIPTS REVENUE (PGS)</v>
      </c>
      <c r="M347" s="114">
        <v>17727454.098000001</v>
      </c>
      <c r="N347" s="114">
        <v>17727454.0984152</v>
      </c>
      <c r="O347" s="114">
        <v>1869731.8244</v>
      </c>
      <c r="P347" s="114">
        <v>2025487.423</v>
      </c>
      <c r="Q347" s="114">
        <v>1754831.0834999999</v>
      </c>
      <c r="R347" s="114">
        <v>1571082.6370999999</v>
      </c>
      <c r="S347" s="114">
        <v>1424221.0068999999</v>
      </c>
      <c r="T347" s="114">
        <v>1255627.1203000001</v>
      </c>
      <c r="U347" s="114">
        <v>1125751.1370000001</v>
      </c>
      <c r="V347" s="114">
        <v>1131379.8926850001</v>
      </c>
      <c r="W347" s="114">
        <v>1187948.8873193001</v>
      </c>
      <c r="X347" s="114">
        <v>1282984.7983047999</v>
      </c>
      <c r="Y347" s="114">
        <v>1475432.5180505</v>
      </c>
      <c r="Z347" s="114">
        <v>1622975.7698556001</v>
      </c>
      <c r="AA347" s="114">
        <v>17727454.0984152</v>
      </c>
    </row>
    <row r="348" spans="10:27" ht="15" customHeight="1" x14ac:dyDescent="0.2">
      <c r="J348" s="100" t="str">
        <f xml:space="preserve"> _xll.EPMOlapMemberO("[COSTCENTER].[PARENTH1].[1001]","","1001","","000")</f>
        <v>1001</v>
      </c>
      <c r="K348" s="167" t="str">
        <f xml:space="preserve"> _xll.EPMOlapMemberO("[C_ACCOUNT].[PARENTH2].[A_4950206]","","A_4950206","","000")</f>
        <v>A_4950206</v>
      </c>
      <c r="L348" s="112" t="str">
        <f>_xll.EPMMemberDesc(K348)</f>
        <v>Other Revenues - Gross Receipts</v>
      </c>
      <c r="M348" s="112">
        <v>17727454.098000001</v>
      </c>
      <c r="N348" s="112">
        <v>17727454.0984152</v>
      </c>
      <c r="O348" s="112">
        <v>1869731.8244</v>
      </c>
      <c r="P348" s="112">
        <v>2025487.423</v>
      </c>
      <c r="Q348" s="112">
        <v>1754831.0834999999</v>
      </c>
      <c r="R348" s="112">
        <v>1571082.6370999999</v>
      </c>
      <c r="S348" s="112">
        <v>1424221.0068999999</v>
      </c>
      <c r="T348" s="112">
        <v>1255627.1203000001</v>
      </c>
      <c r="U348" s="112">
        <v>1125751.1370000001</v>
      </c>
      <c r="V348" s="112">
        <v>1131379.8926850001</v>
      </c>
      <c r="W348" s="112">
        <v>1187948.8873193001</v>
      </c>
      <c r="X348" s="112">
        <v>1282984.7983047999</v>
      </c>
      <c r="Y348" s="112">
        <v>1475432.5180505</v>
      </c>
      <c r="Z348" s="112">
        <v>1622975.7698556001</v>
      </c>
      <c r="AA348" s="112">
        <v>17727454.0984152</v>
      </c>
    </row>
    <row r="349" spans="10:27" ht="15" customHeight="1" x14ac:dyDescent="0.2">
      <c r="J349" s="115" t="str">
        <f xml:space="preserve"> _xll.EPMOlapMemberO("[COSTCENTER].[PARENTH1].[1001]","","1001","","000")</f>
        <v>1001</v>
      </c>
      <c r="K349" s="165" t="str">
        <f xml:space="preserve"> _xll.EPMOlapMemberO("[C_ACCOUNT].[PARENTH2].[GR_TAX_RC]","","GR_TAX_RC","","000")</f>
        <v>GR_TAX_RC</v>
      </c>
      <c r="L349" s="115" t="str">
        <f>_xll.EPMMemberDesc(K349)</f>
        <v>GROSS RECEIPTS TAX</v>
      </c>
      <c r="M349" s="114">
        <v>17727454.098000001</v>
      </c>
      <c r="N349" s="114">
        <v>17727454.0984152</v>
      </c>
      <c r="O349" s="114">
        <v>1869731.8244</v>
      </c>
      <c r="P349" s="114">
        <v>2025487.423</v>
      </c>
      <c r="Q349" s="114">
        <v>1754831.0834999999</v>
      </c>
      <c r="R349" s="114">
        <v>1571082.6370999999</v>
      </c>
      <c r="S349" s="114">
        <v>1424221.0068999999</v>
      </c>
      <c r="T349" s="114">
        <v>1255627.1203000001</v>
      </c>
      <c r="U349" s="114">
        <v>1125751.1370000001</v>
      </c>
      <c r="V349" s="114">
        <v>1131379.8926850001</v>
      </c>
      <c r="W349" s="114">
        <v>1187948.8873193001</v>
      </c>
      <c r="X349" s="114">
        <v>1282984.7983047999</v>
      </c>
      <c r="Y349" s="114">
        <v>1475432.5180505</v>
      </c>
      <c r="Z349" s="114">
        <v>1622975.7698556001</v>
      </c>
      <c r="AA349" s="114">
        <v>17727454.0984152</v>
      </c>
    </row>
    <row r="350" spans="10:27" ht="15" customHeight="1" x14ac:dyDescent="0.2">
      <c r="J350" s="100" t="str">
        <f xml:space="preserve"> _xll.EPMOlapMemberO("[COSTCENTER].[PARENTH1].[1001]","","1001","","000")</f>
        <v>1001</v>
      </c>
      <c r="K350" s="167" t="str">
        <f xml:space="preserve"> _xll.EPMOlapMemberO("[C_ACCOUNT].[PARENTH2].[A_6900030]","","A_6900030","","000")</f>
        <v>A_6900030</v>
      </c>
      <c r="L350" s="112" t="str">
        <f>_xll.EPMMemberDesc(K350)</f>
        <v>TOTI - Gross Receipts</v>
      </c>
      <c r="M350" s="112">
        <v>17727454.098000001</v>
      </c>
      <c r="N350" s="112">
        <v>17727454.0984152</v>
      </c>
      <c r="O350" s="112">
        <v>1869731.8244</v>
      </c>
      <c r="P350" s="112">
        <v>2025487.423</v>
      </c>
      <c r="Q350" s="112">
        <v>1754831.0834999999</v>
      </c>
      <c r="R350" s="112">
        <v>1571082.6370999999</v>
      </c>
      <c r="S350" s="112">
        <v>1424221.0068999999</v>
      </c>
      <c r="T350" s="112">
        <v>1255627.1203000001</v>
      </c>
      <c r="U350" s="112">
        <v>1125751.1370000001</v>
      </c>
      <c r="V350" s="112">
        <v>1131379.8926850001</v>
      </c>
      <c r="W350" s="112">
        <v>1187948.8873193001</v>
      </c>
      <c r="X350" s="112">
        <v>1282984.7983047999</v>
      </c>
      <c r="Y350" s="112">
        <v>1475432.5180505</v>
      </c>
      <c r="Z350" s="112">
        <v>1622975.7698556001</v>
      </c>
      <c r="AA350" s="112">
        <v>17727454.0984152</v>
      </c>
    </row>
    <row r="351" spans="10:27" ht="15" customHeight="1" x14ac:dyDescent="0.2">
      <c r="J351" s="115" t="str">
        <f xml:space="preserve"> _xll.EPMOlapMemberO("[COSTCENTER].[PARENTH1].[1001]","","1001","","000")</f>
        <v>1001</v>
      </c>
      <c r="K351" s="163" t="str">
        <f xml:space="preserve"> _xll.EPMOlapMemberO("[C_ACCOUNT].[PARENTH2].[OFFSYS_EX_MARG_RC]","","OFFSYS_EX_MARG_RC","","000")</f>
        <v>OFFSYS_EX_MARG_RC</v>
      </c>
      <c r="L351" s="115" t="str">
        <f>_xll.EPMMemberDesc(K351)</f>
        <v>OFF-SYSTEM SALES (EXCLUDING MARGIN)</v>
      </c>
      <c r="M351" s="114">
        <v>22005062</v>
      </c>
      <c r="N351" s="114">
        <v>22005062</v>
      </c>
      <c r="O351" s="114">
        <v>2137943</v>
      </c>
      <c r="P351" s="114">
        <v>1936405</v>
      </c>
      <c r="Q351" s="114">
        <v>1597943</v>
      </c>
      <c r="R351" s="114">
        <v>1590764</v>
      </c>
      <c r="S351" s="114">
        <v>1597943</v>
      </c>
      <c r="T351" s="114">
        <v>1950764</v>
      </c>
      <c r="U351" s="114">
        <v>1957943</v>
      </c>
      <c r="V351" s="114">
        <v>1957943</v>
      </c>
      <c r="W351" s="114">
        <v>2310764</v>
      </c>
      <c r="X351" s="114">
        <v>1957943</v>
      </c>
      <c r="Y351" s="114">
        <v>1590764</v>
      </c>
      <c r="Z351" s="114">
        <v>1417943</v>
      </c>
      <c r="AA351" s="114">
        <v>22005062</v>
      </c>
    </row>
    <row r="352" spans="10:27" ht="15" customHeight="1" x14ac:dyDescent="0.2">
      <c r="J352" s="100" t="str">
        <f xml:space="preserve"> _xll.EPMOlapMemberO("[COSTCENTER].[PARENTH1].[1001]","","1001","","000")</f>
        <v>1001</v>
      </c>
      <c r="K352" s="166" t="str">
        <f xml:space="preserve"> _xll.EPMOlapMemberO("[C_ACCOUNT].[PARENTH2].[A_4810601]","","A_4810601","","000")</f>
        <v>A_4810601</v>
      </c>
      <c r="L352" s="112" t="str">
        <f>_xll.EPMMemberDesc(K352)</f>
        <v>Off System Sales (to PGA) - Non RP End User</v>
      </c>
      <c r="M352" s="112">
        <v>4005062</v>
      </c>
      <c r="N352" s="112">
        <v>4005062</v>
      </c>
      <c r="O352" s="112">
        <v>337943</v>
      </c>
      <c r="P352" s="112">
        <v>316405</v>
      </c>
      <c r="Q352" s="112">
        <v>337943</v>
      </c>
      <c r="R352" s="112">
        <v>330764</v>
      </c>
      <c r="S352" s="112">
        <v>337943</v>
      </c>
      <c r="T352" s="112">
        <v>330764</v>
      </c>
      <c r="U352" s="112">
        <v>337943</v>
      </c>
      <c r="V352" s="112">
        <v>337943</v>
      </c>
      <c r="W352" s="112">
        <v>330764</v>
      </c>
      <c r="X352" s="112">
        <v>337943</v>
      </c>
      <c r="Y352" s="112">
        <v>330764</v>
      </c>
      <c r="Z352" s="112">
        <v>337943</v>
      </c>
      <c r="AA352" s="112">
        <v>4005062</v>
      </c>
    </row>
    <row r="353" spans="10:27" ht="15" customHeight="1" x14ac:dyDescent="0.2">
      <c r="J353" s="100" t="str">
        <f xml:space="preserve"> _xll.EPMOlapMemberO("[COSTCENTER].[PARENTH1].[1001]","","1001","","000")</f>
        <v>1001</v>
      </c>
      <c r="K353" s="166" t="str">
        <f xml:space="preserve"> _xll.EPMOlapMemberO("[C_ACCOUNT].[PARENTH2].[A_4810602]","","A_4810602","","000")</f>
        <v>A_4810602</v>
      </c>
      <c r="L353" s="112" t="str">
        <f>_xll.EPMMemberDesc(K353)</f>
        <v>Off System Sales (to PGA) - Receipt Point</v>
      </c>
      <c r="M353" s="112">
        <v>18000000</v>
      </c>
      <c r="N353" s="112">
        <v>18000000</v>
      </c>
      <c r="O353" s="112">
        <v>1800000</v>
      </c>
      <c r="P353" s="112">
        <v>1620000</v>
      </c>
      <c r="Q353" s="112">
        <v>1260000</v>
      </c>
      <c r="R353" s="112">
        <v>1260000</v>
      </c>
      <c r="S353" s="112">
        <v>1260000</v>
      </c>
      <c r="T353" s="112">
        <v>1620000</v>
      </c>
      <c r="U353" s="112">
        <v>1620000</v>
      </c>
      <c r="V353" s="112">
        <v>1620000</v>
      </c>
      <c r="W353" s="112">
        <v>1980000</v>
      </c>
      <c r="X353" s="112">
        <v>1620000</v>
      </c>
      <c r="Y353" s="112">
        <v>1260000</v>
      </c>
      <c r="Z353" s="112">
        <v>1080000</v>
      </c>
      <c r="AA353" s="112">
        <v>18000000</v>
      </c>
    </row>
    <row r="354" spans="10:27" ht="15" customHeight="1" x14ac:dyDescent="0.2">
      <c r="J354" s="115" t="str">
        <f xml:space="preserve"> _xll.EPMOlapMemberO("[COSTCENTER].[PARENTH1].[1001]","","1001","","000")</f>
        <v>1001</v>
      </c>
      <c r="K354" s="163" t="str">
        <f xml:space="preserve"> _xll.EPMOlapMemberO("[C_ACCOUNT].[PARENTH2].[MISCOTH_RC]","","MISCOTH_RC","","000")</f>
        <v>MISCOTH_RC</v>
      </c>
      <c r="L354" s="115" t="str">
        <f>_xll.EPMMemberDesc(K354)</f>
        <v>Miscellaneous Other</v>
      </c>
      <c r="M354" s="114">
        <v>1096830</v>
      </c>
      <c r="N354" s="114">
        <v>1166806.8585516</v>
      </c>
      <c r="O354" s="114">
        <v>97233.904879299997</v>
      </c>
      <c r="P354" s="114">
        <v>97233.904879299997</v>
      </c>
      <c r="Q354" s="114">
        <v>97233.904879299997</v>
      </c>
      <c r="R354" s="114">
        <v>97233.904879299997</v>
      </c>
      <c r="S354" s="114">
        <v>97233.904879299997</v>
      </c>
      <c r="T354" s="114">
        <v>97233.904879299997</v>
      </c>
      <c r="U354" s="114">
        <v>97233.904879299997</v>
      </c>
      <c r="V354" s="114">
        <v>97233.904879299997</v>
      </c>
      <c r="W354" s="114">
        <v>97233.904879299997</v>
      </c>
      <c r="X354" s="114">
        <v>97233.904879299997</v>
      </c>
      <c r="Y354" s="114">
        <v>97233.904879299997</v>
      </c>
      <c r="Z354" s="114">
        <v>97233.904879299997</v>
      </c>
      <c r="AA354" s="114">
        <v>1166806.8585516</v>
      </c>
    </row>
    <row r="355" spans="10:27" ht="15" customHeight="1" x14ac:dyDescent="0.2">
      <c r="J355" s="100" t="str">
        <f xml:space="preserve"> _xll.EPMOlapMemberO("[COSTCENTER].[PARENTH1].[1001]","","1001","","000")</f>
        <v>1001</v>
      </c>
      <c r="K355" s="166" t="str">
        <f xml:space="preserve"> _xll.EPMOlapMemberO("[C_ACCOUNT].[PARENTH2].[A_4074212]","","A_4074212","","000")</f>
        <v>A_4074212</v>
      </c>
      <c r="L355" s="112" t="str">
        <f>_xll.EPMMemberDesc(K355)</f>
        <v>REG CR Tax Reform</v>
      </c>
      <c r="M355" s="112">
        <v>-1096830</v>
      </c>
      <c r="N355" s="112">
        <v>-1166806.8585516</v>
      </c>
      <c r="O355" s="112">
        <v>-97233.904879299997</v>
      </c>
      <c r="P355" s="112">
        <v>-97233.904879299997</v>
      </c>
      <c r="Q355" s="112">
        <v>-97233.904879299997</v>
      </c>
      <c r="R355" s="112">
        <v>-97233.904879299997</v>
      </c>
      <c r="S355" s="112">
        <v>-97233.904879299997</v>
      </c>
      <c r="T355" s="112">
        <v>-97233.904879299997</v>
      </c>
      <c r="U355" s="112">
        <v>-97233.904879299997</v>
      </c>
      <c r="V355" s="112">
        <v>-97233.904879299997</v>
      </c>
      <c r="W355" s="112">
        <v>-97233.904879299997</v>
      </c>
      <c r="X355" s="112">
        <v>-97233.904879299997</v>
      </c>
      <c r="Y355" s="112">
        <v>-97233.904879299997</v>
      </c>
      <c r="Z355" s="112">
        <v>-97233.904879299997</v>
      </c>
      <c r="AA355" s="112">
        <v>-1166806.8585516</v>
      </c>
    </row>
    <row r="356" spans="10:27" ht="15" customHeight="1" x14ac:dyDescent="0.2">
      <c r="J356" s="115" t="str">
        <f xml:space="preserve"> _xll.EPMOlapMemberO("[COSTCENTER].[PARENTH1].[1001]","","1001","","000")</f>
        <v>1001</v>
      </c>
      <c r="K356" s="163" t="str">
        <f xml:space="preserve"> _xll.EPMOlapMemberO("[C_ACCOUNT].[PARENTH2].[OTHER_]","","OTHER_","","000")</f>
        <v>OTHER_</v>
      </c>
      <c r="L356" s="115" t="str">
        <f>_xll.EPMMemberDesc(K356)</f>
        <v>Other</v>
      </c>
      <c r="M356" s="114">
        <v>43995.44</v>
      </c>
      <c r="N356" s="114">
        <v>43995.44</v>
      </c>
      <c r="O356" s="114">
        <v>5037.6099999999997</v>
      </c>
      <c r="P356" s="114">
        <v>4866.32</v>
      </c>
      <c r="Q356" s="114">
        <v>4290.33</v>
      </c>
      <c r="R356" s="114">
        <v>3812.72</v>
      </c>
      <c r="S356" s="114">
        <v>3361.77</v>
      </c>
      <c r="T356" s="114">
        <v>3134.18</v>
      </c>
      <c r="U356" s="114">
        <v>2978.97</v>
      </c>
      <c r="V356" s="114">
        <v>2874.49</v>
      </c>
      <c r="W356" s="114">
        <v>2945.66</v>
      </c>
      <c r="X356" s="114">
        <v>2981.38</v>
      </c>
      <c r="Y356" s="114">
        <v>3371.22</v>
      </c>
      <c r="Z356" s="114">
        <v>4340.79</v>
      </c>
      <c r="AA356" s="114">
        <v>43995.44</v>
      </c>
    </row>
    <row r="357" spans="10:27" ht="15" customHeight="1" x14ac:dyDescent="0.2">
      <c r="J357" s="100" t="str">
        <f xml:space="preserve"> _xll.EPMOlapMemberO("[COSTCENTER].[PARENTH1].[1001]","","1001","","000")</f>
        <v>1001</v>
      </c>
      <c r="K357" s="166" t="str">
        <f xml:space="preserve"> _xll.EPMOlapMemberO("[C_ACCOUNT].[PARENTH2].[A_4120001]","","A_4120001","","000")</f>
        <v>A_4120001</v>
      </c>
      <c r="L357" s="112" t="str">
        <f>_xll.EPMMemberDesc(K357)</f>
        <v>Revenues from Gas Plant leased to Others-GAAP adj</v>
      </c>
      <c r="M357" s="112">
        <v>-4017816</v>
      </c>
      <c r="N357" s="112">
        <v>-3348180</v>
      </c>
      <c r="O357" s="112">
        <v>0</v>
      </c>
      <c r="P357" s="112">
        <v>0</v>
      </c>
      <c r="Q357" s="112">
        <v>-334818</v>
      </c>
      <c r="R357" s="112">
        <v>-334818</v>
      </c>
      <c r="S357" s="112">
        <v>-334818</v>
      </c>
      <c r="T357" s="112">
        <v>-334818</v>
      </c>
      <c r="U357" s="112">
        <v>-334818</v>
      </c>
      <c r="V357" s="112">
        <v>-334818</v>
      </c>
      <c r="W357" s="112">
        <v>-334818</v>
      </c>
      <c r="X357" s="112">
        <v>-334818</v>
      </c>
      <c r="Y357" s="112">
        <v>-334818</v>
      </c>
      <c r="Z357" s="112">
        <v>-334818</v>
      </c>
      <c r="AA357" s="112">
        <v>-3348180</v>
      </c>
    </row>
    <row r="358" spans="10:27" ht="15" customHeight="1" x14ac:dyDescent="0.2">
      <c r="J358" s="100" t="str">
        <f xml:space="preserve"> _xll.EPMOlapMemberO("[COSTCENTER].[PARENTH1].[1001]","","1001","","000")</f>
        <v>1001</v>
      </c>
      <c r="K358" s="166" t="str">
        <f xml:space="preserve"> _xll.EPMOlapMemberO("[C_ACCOUNT].[PARENTH2].[A_4120002]","","A_4120002","","000")</f>
        <v>A_4120002</v>
      </c>
      <c r="L358" s="112" t="str">
        <f>_xll.EPMMemberDesc(K358)</f>
        <v>Rev from Gas Plant leased-Interest Earned GAAP</v>
      </c>
      <c r="M358" s="112">
        <v>2783928</v>
      </c>
      <c r="N358" s="112">
        <v>2307350</v>
      </c>
      <c r="O358" s="112">
        <v>0</v>
      </c>
      <c r="P358" s="112">
        <v>0</v>
      </c>
      <c r="Q358" s="112">
        <v>230735</v>
      </c>
      <c r="R358" s="112">
        <v>230735</v>
      </c>
      <c r="S358" s="112">
        <v>230735</v>
      </c>
      <c r="T358" s="112">
        <v>230735</v>
      </c>
      <c r="U358" s="112">
        <v>230735</v>
      </c>
      <c r="V358" s="112">
        <v>230735</v>
      </c>
      <c r="W358" s="112">
        <v>230735</v>
      </c>
      <c r="X358" s="112">
        <v>230735</v>
      </c>
      <c r="Y358" s="112">
        <v>230735</v>
      </c>
      <c r="Z358" s="112">
        <v>230735</v>
      </c>
      <c r="AA358" s="112">
        <v>2307350</v>
      </c>
    </row>
    <row r="359" spans="10:27" ht="15" customHeight="1" x14ac:dyDescent="0.2">
      <c r="J359" s="100" t="str">
        <f xml:space="preserve"> _xll.EPMOlapMemberO("[COSTCENTER].[PARENTH1].[1001]","","1001","","000")</f>
        <v>1001</v>
      </c>
      <c r="K359" s="166" t="str">
        <f xml:space="preserve"> _xll.EPMOlapMemberO("[C_ACCOUNT].[PARENTH2].[A_6810801]","","A_6810801","","000")</f>
        <v>A_6810801</v>
      </c>
      <c r="L359" s="112" t="str">
        <f>_xll.EPMMemberDesc(K359)</f>
        <v>Depreciation - Other - GAAP adjustment</v>
      </c>
      <c r="M359" s="112">
        <v>-1233888</v>
      </c>
      <c r="N359" s="112">
        <v>-1040830</v>
      </c>
      <c r="O359" s="112">
        <v>0</v>
      </c>
      <c r="P359" s="112">
        <v>0</v>
      </c>
      <c r="Q359" s="112">
        <v>-104083</v>
      </c>
      <c r="R359" s="112">
        <v>-104083</v>
      </c>
      <c r="S359" s="112">
        <v>-104083</v>
      </c>
      <c r="T359" s="112">
        <v>-104083</v>
      </c>
      <c r="U359" s="112">
        <v>-104083</v>
      </c>
      <c r="V359" s="112">
        <v>-104083</v>
      </c>
      <c r="W359" s="112">
        <v>-104083</v>
      </c>
      <c r="X359" s="112">
        <v>-104083</v>
      </c>
      <c r="Y359" s="112">
        <v>-104083</v>
      </c>
      <c r="Z359" s="112">
        <v>-104083</v>
      </c>
      <c r="AA359" s="112">
        <v>-1040830</v>
      </c>
    </row>
    <row r="360" spans="10:27" ht="15" customHeight="1" x14ac:dyDescent="0.2">
      <c r="J360" s="100" t="str">
        <f xml:space="preserve"> _xll.EPMOlapMemberO("[COSTCENTER].[PARENTH1].[1001]","","1001","","000")</f>
        <v>1001</v>
      </c>
      <c r="K360" s="166" t="str">
        <f xml:space="preserve"> _xll.EPMOlapMemberO("[C_ACCOUNT].[PARENTH2].[ER_CIBSR_REGASMTF_1]","","ER_CIBSR_REGASMTF_1","","000")</f>
        <v>ER_CIBSR_REGASMTF_1</v>
      </c>
      <c r="L360" s="112" t="str">
        <f>_xll.EPMMemberDesc(K360)</f>
        <v>CIBSR Regulatory Assessment Fee</v>
      </c>
      <c r="M360" s="112">
        <v>-43995.44</v>
      </c>
      <c r="N360" s="112">
        <v>-43995.44</v>
      </c>
      <c r="O360" s="112">
        <v>-5037.6099999999997</v>
      </c>
      <c r="P360" s="112">
        <v>-4866.32</v>
      </c>
      <c r="Q360" s="112">
        <v>-4290.33</v>
      </c>
      <c r="R360" s="112">
        <v>-3812.72</v>
      </c>
      <c r="S360" s="112">
        <v>-3361.77</v>
      </c>
      <c r="T360" s="112">
        <v>-3134.18</v>
      </c>
      <c r="U360" s="112">
        <v>-2978.97</v>
      </c>
      <c r="V360" s="112">
        <v>-2874.49</v>
      </c>
      <c r="W360" s="112">
        <v>-2945.66</v>
      </c>
      <c r="X360" s="112">
        <v>-2981.38</v>
      </c>
      <c r="Y360" s="112">
        <v>-3371.22</v>
      </c>
      <c r="Z360" s="112">
        <v>-4340.79</v>
      </c>
      <c r="AA360" s="112">
        <v>-43995.44</v>
      </c>
    </row>
    <row r="361" spans="10:27" ht="15" customHeight="1" x14ac:dyDescent="0.2">
      <c r="J361" s="115" t="str">
        <f xml:space="preserve"> _xll.EPMOlapMemberO("[COSTCENTER].[PARENTH1].[1001]","","1001","","000")</f>
        <v>1001</v>
      </c>
      <c r="K361" s="163" t="str">
        <f xml:space="preserve"> _xll.EPMOlapMemberO("[C_ACCOUNT].[PARENTH2].[CAST_IRON_RECOV]","","CAST_IRON_RECOV","","000")</f>
        <v>CAST_IRON_RECOV</v>
      </c>
      <c r="L361" s="115" t="str">
        <f>_xll.EPMMemberDesc(K361)</f>
        <v>Recoverable CIBSR</v>
      </c>
      <c r="M361" s="114">
        <v>6009620.2199999997</v>
      </c>
      <c r="N361" s="114">
        <v>6143603.4500000002</v>
      </c>
      <c r="O361" s="114">
        <v>436181.02</v>
      </c>
      <c r="P361" s="114">
        <v>450612.42</v>
      </c>
      <c r="Q361" s="114">
        <v>467342.39</v>
      </c>
      <c r="R361" s="114">
        <v>483132.36</v>
      </c>
      <c r="S361" s="114">
        <v>497255.94</v>
      </c>
      <c r="T361" s="114">
        <v>510525.83</v>
      </c>
      <c r="U361" s="114">
        <v>523760.66</v>
      </c>
      <c r="V361" s="114">
        <v>535816.73</v>
      </c>
      <c r="W361" s="114">
        <v>545889.24</v>
      </c>
      <c r="X361" s="114">
        <v>555137.11</v>
      </c>
      <c r="Y361" s="114">
        <v>564366.69999999995</v>
      </c>
      <c r="Z361" s="114">
        <v>573583.05000000005</v>
      </c>
      <c r="AA361" s="114">
        <v>6143603.4500000002</v>
      </c>
    </row>
    <row r="362" spans="10:27" ht="15" customHeight="1" x14ac:dyDescent="0.2">
      <c r="J362" s="100" t="str">
        <f xml:space="preserve"> _xll.EPMOlapMemberO("[COSTCENTER].[PARENTH1].[1001]","","1001","","000")</f>
        <v>1001</v>
      </c>
      <c r="K362" s="166" t="str">
        <f xml:space="preserve"> _xll.EPMOlapMemberO("[C_ACCOUNT].[PARENTH2].[A_4074071]","","A_4074071","","000")</f>
        <v>A_4074071</v>
      </c>
      <c r="L362" s="112" t="str">
        <f>_xll.EPMMemberDesc(K362)</f>
        <v>REG CR Defd CI/BSR Rider</v>
      </c>
      <c r="M362" s="112">
        <v>1015217</v>
      </c>
      <c r="N362" s="112">
        <v>784878</v>
      </c>
      <c r="O362" s="112">
        <v>0</v>
      </c>
      <c r="P362" s="112">
        <v>0</v>
      </c>
      <c r="Q362" s="112">
        <v>0</v>
      </c>
      <c r="R362" s="112">
        <v>0</v>
      </c>
      <c r="S362" s="112">
        <v>8887</v>
      </c>
      <c r="T362" s="112">
        <v>73264</v>
      </c>
      <c r="U362" s="112">
        <v>122348</v>
      </c>
      <c r="V362" s="112">
        <v>159519</v>
      </c>
      <c r="W362" s="112">
        <v>158910</v>
      </c>
      <c r="X362" s="112">
        <v>163887</v>
      </c>
      <c r="Y362" s="112">
        <v>98063</v>
      </c>
      <c r="Z362" s="112">
        <v>0</v>
      </c>
      <c r="AA362" s="112">
        <v>784878</v>
      </c>
    </row>
    <row r="363" spans="10:27" ht="15" customHeight="1" x14ac:dyDescent="0.2">
      <c r="J363" s="100" t="str">
        <f xml:space="preserve"> _xll.EPMOlapMemberO("[COSTCENTER].[PARENTH1].[1001]","","1001","","000")</f>
        <v>1001</v>
      </c>
      <c r="K363" s="166" t="str">
        <f xml:space="preserve"> _xll.EPMOlapMemberO("[C_ACCOUNT].[PARENTH2].[A_4950271]","","A_4950271","","000")</f>
        <v>A_4950271</v>
      </c>
      <c r="L363" s="112" t="str">
        <f>_xll.EPMMemberDesc(K363)</f>
        <v>CI/BSR Rider Revenue</v>
      </c>
      <c r="M363" s="112">
        <v>8799090.5600000005</v>
      </c>
      <c r="N363" s="112">
        <v>8799090.5600000005</v>
      </c>
      <c r="O363" s="112">
        <v>1007521.19</v>
      </c>
      <c r="P363" s="112">
        <v>973264.47</v>
      </c>
      <c r="Q363" s="112">
        <v>858066.57</v>
      </c>
      <c r="R363" s="112">
        <v>762543.54</v>
      </c>
      <c r="S363" s="112">
        <v>672354.91</v>
      </c>
      <c r="T363" s="112">
        <v>626836.01</v>
      </c>
      <c r="U363" s="112">
        <v>595794.52</v>
      </c>
      <c r="V363" s="112">
        <v>574898.30000000005</v>
      </c>
      <c r="W363" s="112">
        <v>589132.39</v>
      </c>
      <c r="X363" s="112">
        <v>596276.51</v>
      </c>
      <c r="Y363" s="112">
        <v>674243.8</v>
      </c>
      <c r="Z363" s="112">
        <v>868158.35</v>
      </c>
      <c r="AA363" s="112">
        <v>8799090.5600000005</v>
      </c>
    </row>
    <row r="364" spans="10:27" ht="15" customHeight="1" x14ac:dyDescent="0.2">
      <c r="J364" s="100" t="str">
        <f xml:space="preserve"> _xll.EPMOlapMemberO("[COSTCENTER].[PARENTH1].[1001]","","1001","","000")</f>
        <v>1001</v>
      </c>
      <c r="K364" s="166" t="str">
        <f xml:space="preserve"> _xll.EPMOlapMemberO("[C_ACCOUNT].[PARENTH2].[A_4073071]","","A_4073071","","000")</f>
        <v>A_4073071</v>
      </c>
      <c r="L364" s="112" t="str">
        <f>_xll.EPMMemberDesc(K364)</f>
        <v>REG DR CI/BS Rider</v>
      </c>
      <c r="M364" s="112">
        <v>966590</v>
      </c>
      <c r="N364" s="112">
        <v>1196781</v>
      </c>
      <c r="O364" s="112">
        <v>425310</v>
      </c>
      <c r="P364" s="112">
        <v>364064</v>
      </c>
      <c r="Q364" s="112">
        <v>221874</v>
      </c>
      <c r="R364" s="112">
        <v>102155</v>
      </c>
      <c r="S364" s="112">
        <v>0</v>
      </c>
      <c r="T364" s="112">
        <v>0</v>
      </c>
      <c r="U364" s="112">
        <v>0</v>
      </c>
      <c r="V364" s="112">
        <v>0</v>
      </c>
      <c r="W364" s="112">
        <v>0</v>
      </c>
      <c r="X364" s="112">
        <v>0</v>
      </c>
      <c r="Y364" s="112">
        <v>0</v>
      </c>
      <c r="Z364" s="112">
        <v>83378</v>
      </c>
      <c r="AA364" s="112">
        <v>1196781</v>
      </c>
    </row>
    <row r="365" spans="10:27" ht="15" customHeight="1" x14ac:dyDescent="0.2">
      <c r="J365" s="100" t="str">
        <f xml:space="preserve"> _xll.EPMOlapMemberO("[COSTCENTER].[PARENTH1].[1001]","","1001","","000")</f>
        <v>1001</v>
      </c>
      <c r="K365" s="166" t="str">
        <f xml:space="preserve"> _xll.EPMOlapMemberO("[C_ACCOUNT].[PARENTH2].[A_4073072]","","A_4073072","","000")</f>
        <v>A_4073072</v>
      </c>
      <c r="L365" s="112" t="str">
        <f>_xll.EPMMemberDesc(K365)</f>
        <v>REG DR Defd CIBSR - Amortization</v>
      </c>
      <c r="M365" s="112">
        <v>721168</v>
      </c>
      <c r="N365" s="112">
        <v>721168</v>
      </c>
      <c r="O365" s="112">
        <v>60097</v>
      </c>
      <c r="P365" s="112">
        <v>60097</v>
      </c>
      <c r="Q365" s="112">
        <v>60097</v>
      </c>
      <c r="R365" s="112">
        <v>60097</v>
      </c>
      <c r="S365" s="112">
        <v>60097</v>
      </c>
      <c r="T365" s="112">
        <v>60097</v>
      </c>
      <c r="U365" s="112">
        <v>60097</v>
      </c>
      <c r="V365" s="112">
        <v>60097</v>
      </c>
      <c r="W365" s="112">
        <v>60097</v>
      </c>
      <c r="X365" s="112">
        <v>60097</v>
      </c>
      <c r="Y365" s="112">
        <v>60097</v>
      </c>
      <c r="Z365" s="112">
        <v>60101</v>
      </c>
      <c r="AA365" s="112">
        <v>721168</v>
      </c>
    </row>
    <row r="366" spans="10:27" ht="15" customHeight="1" x14ac:dyDescent="0.2">
      <c r="J366" s="100" t="str">
        <f xml:space="preserve"> _xll.EPMOlapMemberO("[COSTCENTER].[PARENTH1].[1001]","","1001","","000")</f>
        <v>1001</v>
      </c>
      <c r="K366" s="166" t="str">
        <f xml:space="preserve"> _xll.EPMOlapMemberO("[C_ACCOUNT].[PARENTH2].[A_6810071]","","A_6810071","","000")</f>
        <v>A_6810071</v>
      </c>
      <c r="L366" s="112" t="str">
        <f>_xll.EPMMemberDesc(K366)</f>
        <v>Depreciation - CI/BSR Rider</v>
      </c>
      <c r="M366" s="112">
        <v>1037370.9</v>
      </c>
      <c r="N366" s="112">
        <v>940633.67</v>
      </c>
      <c r="O366" s="112">
        <v>36079.56</v>
      </c>
      <c r="P366" s="112">
        <v>48808.73</v>
      </c>
      <c r="Q366" s="112">
        <v>59646.85</v>
      </c>
      <c r="R366" s="112">
        <v>68530.460000000006</v>
      </c>
      <c r="S366" s="112">
        <v>75711.199999999997</v>
      </c>
      <c r="T366" s="112">
        <v>81527</v>
      </c>
      <c r="U366" s="112">
        <v>86489.89</v>
      </c>
      <c r="V366" s="112">
        <v>90813.08</v>
      </c>
      <c r="W366" s="112">
        <v>94294.49</v>
      </c>
      <c r="X366" s="112">
        <v>97132.02</v>
      </c>
      <c r="Y366" s="112">
        <v>99655.88</v>
      </c>
      <c r="Z366" s="112">
        <v>101944.51</v>
      </c>
      <c r="AA366" s="112">
        <v>940633.67</v>
      </c>
    </row>
    <row r="367" spans="10:27" ht="15" customHeight="1" x14ac:dyDescent="0.2">
      <c r="J367" s="100" t="str">
        <f xml:space="preserve"> _xll.EPMOlapMemberO("[COSTCENTER].[PARENTH1].[1001]","","1001","","000")</f>
        <v>1001</v>
      </c>
      <c r="K367" s="166" t="str">
        <f xml:space="preserve"> _xll.EPMOlapMemberO("[C_ACCOUNT].[PARENTH2].[CISBR_PROTAX_1]","","CISBR_PROTAX_1","","000")</f>
        <v>CISBR_PROTAX_1</v>
      </c>
      <c r="L367" s="112" t="str">
        <f>_xll.EPMMemberDesc(K367)</f>
        <v>CI/BSR Property Tax 1</v>
      </c>
      <c r="M367" s="112">
        <v>1035563</v>
      </c>
      <c r="N367" s="112">
        <v>537787</v>
      </c>
      <c r="O367" s="112">
        <v>44816</v>
      </c>
      <c r="P367" s="112">
        <v>44816</v>
      </c>
      <c r="Q367" s="112">
        <v>44816</v>
      </c>
      <c r="R367" s="112">
        <v>44816</v>
      </c>
      <c r="S367" s="112">
        <v>44816</v>
      </c>
      <c r="T367" s="112">
        <v>44816</v>
      </c>
      <c r="U367" s="112">
        <v>44816</v>
      </c>
      <c r="V367" s="112">
        <v>44816</v>
      </c>
      <c r="W367" s="112">
        <v>44816</v>
      </c>
      <c r="X367" s="112">
        <v>44816</v>
      </c>
      <c r="Y367" s="112">
        <v>44816</v>
      </c>
      <c r="Z367" s="112">
        <v>44811</v>
      </c>
      <c r="AA367" s="112">
        <v>537787</v>
      </c>
    </row>
    <row r="368" spans="10:27" ht="15" customHeight="1" x14ac:dyDescent="0.2">
      <c r="J368" s="100" t="str">
        <f xml:space="preserve"> _xll.EPMOlapMemberO("[COSTCENTER].[PARENTH1].[1001]","","1001","","000")</f>
        <v>1001</v>
      </c>
      <c r="K368" s="166" t="str">
        <f xml:space="preserve"> _xll.EPMOlapMemberO("[C_ACCOUNT].[PARENTH2].[ER_CIBSR_REGASMTF_2]","","ER_CIBSR_REGASMTF_2","","000")</f>
        <v>ER_CIBSR_REGASMTF_2</v>
      </c>
      <c r="L368" s="112" t="str">
        <f>_xll.EPMMemberDesc(K368)</f>
        <v>CIBSR Regulatory Assessment Fee</v>
      </c>
      <c r="M368" s="112">
        <v>43995.44</v>
      </c>
      <c r="N368" s="112">
        <v>43995.44</v>
      </c>
      <c r="O368" s="112">
        <v>5037.6099999999997</v>
      </c>
      <c r="P368" s="112">
        <v>4866.32</v>
      </c>
      <c r="Q368" s="112">
        <v>4290.33</v>
      </c>
      <c r="R368" s="112">
        <v>3812.72</v>
      </c>
      <c r="S368" s="112">
        <v>3361.77</v>
      </c>
      <c r="T368" s="112">
        <v>3134.18</v>
      </c>
      <c r="U368" s="112">
        <v>2978.97</v>
      </c>
      <c r="V368" s="112">
        <v>2874.49</v>
      </c>
      <c r="W368" s="112">
        <v>2945.66</v>
      </c>
      <c r="X368" s="112">
        <v>2981.38</v>
      </c>
      <c r="Y368" s="112">
        <v>3371.22</v>
      </c>
      <c r="Z368" s="112">
        <v>4340.79</v>
      </c>
      <c r="AA368" s="112">
        <v>43995.44</v>
      </c>
    </row>
    <row r="369" spans="10:27" ht="15" customHeight="1" x14ac:dyDescent="0.2">
      <c r="J369" s="115" t="str">
        <f xml:space="preserve"> _xll.EPMOlapMemberO("[COSTCENTER].[PARENTH1].[1001]","","1001","","000")</f>
        <v>1001</v>
      </c>
      <c r="K369" s="161" t="str">
        <f xml:space="preserve"> _xll.EPMOlapMemberO("[C_ACCOUNT].[PARENTH2].[PROPERTY_RC]","","PROPERTY_RC","","000")</f>
        <v>PROPERTY_RC</v>
      </c>
      <c r="L369" s="115" t="str">
        <f>_xll.EPMMemberDesc(K369)</f>
        <v>Property Tax</v>
      </c>
      <c r="M369" s="114">
        <v>20394437.000043999</v>
      </c>
      <c r="N369" s="114">
        <v>20892213.000000801</v>
      </c>
      <c r="O369" s="114">
        <v>1741017.3333334001</v>
      </c>
      <c r="P369" s="114">
        <v>1741017.3333334001</v>
      </c>
      <c r="Q369" s="114">
        <v>1741017.3333334001</v>
      </c>
      <c r="R369" s="114">
        <v>1741017.3333334001</v>
      </c>
      <c r="S369" s="114">
        <v>1741017.3333334001</v>
      </c>
      <c r="T369" s="114">
        <v>1741017.3333334001</v>
      </c>
      <c r="U369" s="114">
        <v>1741017.3333334001</v>
      </c>
      <c r="V369" s="114">
        <v>1741017.3333334001</v>
      </c>
      <c r="W369" s="114">
        <v>1741017.3333334001</v>
      </c>
      <c r="X369" s="114">
        <v>1741017.3333334001</v>
      </c>
      <c r="Y369" s="114">
        <v>1741017.3333334001</v>
      </c>
      <c r="Z369" s="114">
        <v>1741022.3333334001</v>
      </c>
      <c r="AA369" s="114">
        <v>20892213.000000801</v>
      </c>
    </row>
    <row r="370" spans="10:27" ht="15" customHeight="1" x14ac:dyDescent="0.2">
      <c r="J370" s="100" t="str">
        <f xml:space="preserve"> _xll.EPMOlapMemberO("[COSTCENTER].[PARENTH1].[1001]","","1001","","000")</f>
        <v>1001</v>
      </c>
      <c r="K370" s="164" t="str">
        <f xml:space="preserve"> _xll.EPMOlapMemberO("[C_ACCOUNT].[PARENTH2].[A_6900060]","","A_6900060","","000")</f>
        <v>A_6900060</v>
      </c>
      <c r="L370" s="112" t="str">
        <f>_xll.EPMMemberDesc(K370)</f>
        <v>TOTI - Property Tax - Above the line</v>
      </c>
      <c r="M370" s="112">
        <v>21430000.000043999</v>
      </c>
      <c r="N370" s="112">
        <v>21430000.000000801</v>
      </c>
      <c r="O370" s="112">
        <v>1785833.3333334001</v>
      </c>
      <c r="P370" s="112">
        <v>1785833.3333334001</v>
      </c>
      <c r="Q370" s="112">
        <v>1785833.3333334001</v>
      </c>
      <c r="R370" s="112">
        <v>1785833.3333334001</v>
      </c>
      <c r="S370" s="112">
        <v>1785833.3333334001</v>
      </c>
      <c r="T370" s="112">
        <v>1785833.3333334001</v>
      </c>
      <c r="U370" s="112">
        <v>1785833.3333334001</v>
      </c>
      <c r="V370" s="112">
        <v>1785833.3333334001</v>
      </c>
      <c r="W370" s="112">
        <v>1785833.3333334001</v>
      </c>
      <c r="X370" s="112">
        <v>1785833.3333334001</v>
      </c>
      <c r="Y370" s="112">
        <v>1785833.3333334001</v>
      </c>
      <c r="Z370" s="112">
        <v>1785833.3333334001</v>
      </c>
      <c r="AA370" s="112">
        <v>21430000.000000801</v>
      </c>
    </row>
    <row r="371" spans="10:27" ht="15" customHeight="1" x14ac:dyDescent="0.2">
      <c r="J371" s="100" t="str">
        <f xml:space="preserve"> _xll.EPMOlapMemberO("[COSTCENTER].[PARENTH1].[1001]","","1001","","000")</f>
        <v>1001</v>
      </c>
      <c r="K371" s="164" t="str">
        <f xml:space="preserve"> _xll.EPMOlapMemberO("[C_ACCOUNT].[PARENTH2].[CISBR_PROTAX_2]","","CISBR_PROTAX_2","","000")</f>
        <v>CISBR_PROTAX_2</v>
      </c>
      <c r="L371" s="112" t="str">
        <f>_xll.EPMMemberDesc(K371)</f>
        <v>CI/BSR Property Tax 2</v>
      </c>
      <c r="M371" s="112">
        <v>-1035563</v>
      </c>
      <c r="N371" s="112">
        <v>-537787</v>
      </c>
      <c r="O371" s="112">
        <v>-44816</v>
      </c>
      <c r="P371" s="112">
        <v>-44816</v>
      </c>
      <c r="Q371" s="112">
        <v>-44816</v>
      </c>
      <c r="R371" s="112">
        <v>-44816</v>
      </c>
      <c r="S371" s="112">
        <v>-44816</v>
      </c>
      <c r="T371" s="112">
        <v>-44816</v>
      </c>
      <c r="U371" s="112">
        <v>-44816</v>
      </c>
      <c r="V371" s="112">
        <v>-44816</v>
      </c>
      <c r="W371" s="112">
        <v>-44816</v>
      </c>
      <c r="X371" s="112">
        <v>-44816</v>
      </c>
      <c r="Y371" s="112">
        <v>-44816</v>
      </c>
      <c r="Z371" s="112">
        <v>-44811</v>
      </c>
      <c r="AA371" s="112">
        <v>-537787</v>
      </c>
    </row>
    <row r="372" spans="10:27" ht="15" customHeight="1" x14ac:dyDescent="0.2">
      <c r="J372" s="115" t="str">
        <f xml:space="preserve"> _xll.EPMOlapMemberO("[COSTCENTER].[PARENTH1].[1001]","","1001","","000")</f>
        <v>1001</v>
      </c>
      <c r="K372" s="160" t="str">
        <f xml:space="preserve"> _xll.EPMOlapMemberO("[C_ACCOUNT].[PARENTH2].[INTEXP_RC]","","INTEXP_RC","","000")</f>
        <v>INTEXP_RC</v>
      </c>
      <c r="L372" s="115" t="str">
        <f>_xll.EPMMemberDesc(K372)</f>
        <v>Interest Expense</v>
      </c>
      <c r="M372" s="114">
        <v>37716715.381899998</v>
      </c>
      <c r="N372" s="114">
        <v>39563326.051352099</v>
      </c>
      <c r="O372" s="114">
        <v>2565608.4268693002</v>
      </c>
      <c r="P372" s="114">
        <v>2699185.1695507001</v>
      </c>
      <c r="Q372" s="114">
        <v>2805862.2328156</v>
      </c>
      <c r="R372" s="114">
        <v>2868459.6646379</v>
      </c>
      <c r="S372" s="114">
        <v>2911015.8351850002</v>
      </c>
      <c r="T372" s="114">
        <v>2946750.4146594</v>
      </c>
      <c r="U372" s="114">
        <v>3003723.3876534002</v>
      </c>
      <c r="V372" s="114">
        <v>3026560.6140937</v>
      </c>
      <c r="W372" s="114">
        <v>3036304.5245319</v>
      </c>
      <c r="X372" s="114">
        <v>4960431.1684569996</v>
      </c>
      <c r="Y372" s="114">
        <v>4375482.2781864004</v>
      </c>
      <c r="Z372" s="114">
        <v>4363942.3347118003</v>
      </c>
      <c r="AA372" s="114">
        <v>39563326.051352099</v>
      </c>
    </row>
    <row r="373" spans="10:27" ht="15" customHeight="1" x14ac:dyDescent="0.2">
      <c r="J373" s="115" t="str">
        <f xml:space="preserve"> _xll.EPMOlapMemberO("[COSTCENTER].[PARENTH1].[1001]","","1001","","000")</f>
        <v>1001</v>
      </c>
      <c r="K373" s="161" t="str">
        <f xml:space="preserve"> _xll.EPMOlapMemberO("[C_ACCOUNT].[PARENTH2].[INTEXP_INTCP_RC]","","INTEXP_INTCP_RC","","000")</f>
        <v>INTEXP_INTCP_RC</v>
      </c>
      <c r="L373" s="115" t="str">
        <f>_xll.EPMMemberDesc(K373)</f>
        <v>Interest expense - intercompany</v>
      </c>
      <c r="M373" s="114">
        <v>16507097.6085</v>
      </c>
      <c r="N373" s="114">
        <v>25260039.579996899</v>
      </c>
      <c r="O373" s="114">
        <v>2498560.4668693002</v>
      </c>
      <c r="P373" s="114">
        <v>2630833.7195506999</v>
      </c>
      <c r="Q373" s="114">
        <v>2736443.2628155998</v>
      </c>
      <c r="R373" s="114">
        <v>2798463.1146379001</v>
      </c>
      <c r="S373" s="114">
        <v>2841490.6751850001</v>
      </c>
      <c r="T373" s="114">
        <v>2878840.6046593999</v>
      </c>
      <c r="U373" s="114">
        <v>2937951.8776533999</v>
      </c>
      <c r="V373" s="114">
        <v>2963387.3640937</v>
      </c>
      <c r="W373" s="114">
        <v>2974068.4945319002</v>
      </c>
      <c r="X373" s="114">
        <v>0</v>
      </c>
      <c r="Y373" s="114">
        <v>0</v>
      </c>
      <c r="Z373" s="114">
        <v>0</v>
      </c>
      <c r="AA373" s="114">
        <v>25260039.579996899</v>
      </c>
    </row>
    <row r="374" spans="10:27" ht="15" customHeight="1" x14ac:dyDescent="0.2">
      <c r="J374" s="100" t="str">
        <f xml:space="preserve"> _xll.EPMOlapMemberO("[COSTCENTER].[PARENTH1].[1001]","","1001","","000")</f>
        <v>1001</v>
      </c>
      <c r="K374" s="164" t="str">
        <f xml:space="preserve"> _xll.EPMOlapMemberO("[C_ACCOUNT].[PARENTH2].[A_7500700]","","A_7500700","","000")</f>
        <v>A_7500700</v>
      </c>
      <c r="L374" s="112" t="str">
        <f>_xll.EPMMemberDesc(K374)</f>
        <v>Interest Exp - Intercompany</v>
      </c>
      <c r="M374" s="112">
        <v>5003219.6184999999</v>
      </c>
      <c r="N374" s="112">
        <v>8005330.6601186004</v>
      </c>
      <c r="O374" s="112">
        <v>580878.16686919995</v>
      </c>
      <c r="P374" s="112">
        <v>713151.4195506</v>
      </c>
      <c r="Q374" s="112">
        <v>818760.96281559998</v>
      </c>
      <c r="R374" s="112">
        <v>881519.39463790006</v>
      </c>
      <c r="S374" s="112">
        <v>924547.01518500003</v>
      </c>
      <c r="T374" s="112">
        <v>961896.94478030002</v>
      </c>
      <c r="U374" s="112">
        <v>1021008.2176534</v>
      </c>
      <c r="V374" s="112">
        <v>1046443.7040937</v>
      </c>
      <c r="W374" s="112">
        <v>1057124.8345329</v>
      </c>
      <c r="X374" s="112">
        <v>0</v>
      </c>
      <c r="Y374" s="112">
        <v>0</v>
      </c>
      <c r="Z374" s="112">
        <v>0</v>
      </c>
      <c r="AA374" s="112">
        <v>8005330.6601186004</v>
      </c>
    </row>
    <row r="375" spans="10:27" ht="15" customHeight="1" x14ac:dyDescent="0.2">
      <c r="J375" s="100" t="str">
        <f xml:space="preserve"> _xll.EPMOlapMemberO("[COSTCENTER].[PARENTH1].[1001]","","1001","","000")</f>
        <v>1001</v>
      </c>
      <c r="K375" s="164" t="str">
        <f xml:space="preserve"> _xll.EPMOlapMemberO("[C_ACCOUNT].[PARENTH2].[A_S7500700]","","A_S7500700","","000")</f>
        <v>A_S7500700</v>
      </c>
      <c r="L375" s="112" t="str">
        <f>_xll.EPMMemberDesc(K375)</f>
        <v>Settled Interest Exp - Intercompany</v>
      </c>
      <c r="M375" s="112">
        <v>11503877.99</v>
      </c>
      <c r="N375" s="112">
        <v>17254708.9198783</v>
      </c>
      <c r="O375" s="112">
        <v>1917682.3000000999</v>
      </c>
      <c r="P375" s="112">
        <v>1917682.3000000999</v>
      </c>
      <c r="Q375" s="112">
        <v>1917682.3</v>
      </c>
      <c r="R375" s="112">
        <v>1916943.72</v>
      </c>
      <c r="S375" s="112">
        <v>1916943.66</v>
      </c>
      <c r="T375" s="112">
        <v>1916943.6598791</v>
      </c>
      <c r="U375" s="112">
        <v>1916943.66</v>
      </c>
      <c r="V375" s="112">
        <v>1916943.66</v>
      </c>
      <c r="W375" s="112">
        <v>1916943.6599989999</v>
      </c>
      <c r="X375" s="112">
        <v>0</v>
      </c>
      <c r="Y375" s="112">
        <v>0</v>
      </c>
      <c r="Z375" s="112">
        <v>0</v>
      </c>
      <c r="AA375" s="112">
        <v>17254708.9198783</v>
      </c>
    </row>
    <row r="376" spans="10:27" ht="15" customHeight="1" x14ac:dyDescent="0.2">
      <c r="J376" s="115" t="str">
        <f xml:space="preserve"> _xll.EPMOlapMemberO("[COSTCENTER].[PARENTH1].[1001]","","1001","","000")</f>
        <v>1001</v>
      </c>
      <c r="K376" s="161" t="str">
        <f xml:space="preserve"> _xll.EPMOlapMemberO("[C_ACCOUNT].[PARENTH2].[INTEXP_LTD_RC]","","INTEXP_LTD_RC","","000")</f>
        <v>INTEXP_LTD_RC</v>
      </c>
      <c r="L376" s="115" t="str">
        <f>_xll.EPMMemberDesc(K376)</f>
        <v>Interest expense - long-term debt</v>
      </c>
      <c r="M376" s="114">
        <v>17250000</v>
      </c>
      <c r="N376" s="114">
        <v>11490000</v>
      </c>
      <c r="O376" s="114">
        <v>0</v>
      </c>
      <c r="P376" s="114">
        <v>0</v>
      </c>
      <c r="Q376" s="114">
        <v>0</v>
      </c>
      <c r="R376" s="114">
        <v>0</v>
      </c>
      <c r="S376" s="114">
        <v>0</v>
      </c>
      <c r="T376" s="114">
        <v>0</v>
      </c>
      <c r="U376" s="114">
        <v>0</v>
      </c>
      <c r="V376" s="114">
        <v>0</v>
      </c>
      <c r="W376" s="114">
        <v>0</v>
      </c>
      <c r="X376" s="114">
        <v>3830000</v>
      </c>
      <c r="Y376" s="114">
        <v>3830000</v>
      </c>
      <c r="Z376" s="114">
        <v>3830000</v>
      </c>
      <c r="AA376" s="114">
        <v>11490000</v>
      </c>
    </row>
    <row r="377" spans="10:27" ht="15" customHeight="1" x14ac:dyDescent="0.2">
      <c r="J377" s="100" t="str">
        <f xml:space="preserve"> _xll.EPMOlapMemberO("[COSTCENTER].[PARENTH1].[1001]","","1001","","000")</f>
        <v>1001</v>
      </c>
      <c r="K377" s="164" t="str">
        <f xml:space="preserve"> _xll.EPMOlapMemberO("[C_ACCOUNT].[PARENTH2].[A_7500110]","","A_7500110","","000")</f>
        <v>A_7500110</v>
      </c>
      <c r="L377" s="112" t="str">
        <f>_xll.EPMMemberDesc(K377)</f>
        <v>Interest Exp - Long-term Debt</v>
      </c>
      <c r="M377" s="112">
        <v>16875000</v>
      </c>
      <c r="N377" s="112">
        <v>11490000</v>
      </c>
      <c r="O377" s="112">
        <v>0</v>
      </c>
      <c r="P377" s="112">
        <v>0</v>
      </c>
      <c r="Q377" s="112">
        <v>0</v>
      </c>
      <c r="R377" s="112">
        <v>0</v>
      </c>
      <c r="S377" s="112">
        <v>0</v>
      </c>
      <c r="T377" s="112">
        <v>0</v>
      </c>
      <c r="U377" s="112">
        <v>0</v>
      </c>
      <c r="V377" s="112">
        <v>0</v>
      </c>
      <c r="W377" s="112">
        <v>0</v>
      </c>
      <c r="X377" s="112">
        <v>3830000</v>
      </c>
      <c r="Y377" s="112">
        <v>3830000</v>
      </c>
      <c r="Z377" s="112">
        <v>3830000</v>
      </c>
      <c r="AA377" s="112">
        <v>11490000</v>
      </c>
    </row>
    <row r="378" spans="10:27" ht="15" customHeight="1" x14ac:dyDescent="0.2">
      <c r="J378" s="100" t="str">
        <f xml:space="preserve"> _xll.EPMOlapMemberO("[COSTCENTER].[PARENTH1].[1001]","","1001","","000")</f>
        <v>1001</v>
      </c>
      <c r="K378" s="164" t="str">
        <f xml:space="preserve"> _xll.EPMOlapMemberO("[C_ACCOUNT].[PARENTH2].[A_7500130]","","A_7500130","","000")</f>
        <v>A_7500130</v>
      </c>
      <c r="L378" s="112" t="str">
        <f>_xll.EPMMemberDesc(K378)</f>
        <v>Interest Exp - Amortiz of Fees on Long-term Debt</v>
      </c>
      <c r="M378" s="112">
        <v>375000</v>
      </c>
      <c r="N378" s="112">
        <v>0</v>
      </c>
      <c r="O378" s="112">
        <v>0</v>
      </c>
      <c r="P378" s="112">
        <v>0</v>
      </c>
      <c r="Q378" s="112">
        <v>0</v>
      </c>
      <c r="R378" s="112">
        <v>0</v>
      </c>
      <c r="S378" s="112">
        <v>0</v>
      </c>
      <c r="T378" s="112">
        <v>0</v>
      </c>
      <c r="U378" s="112">
        <v>0</v>
      </c>
      <c r="V378" s="112">
        <v>0</v>
      </c>
      <c r="W378" s="112">
        <v>0</v>
      </c>
      <c r="X378" s="112">
        <v>0</v>
      </c>
      <c r="Y378" s="112">
        <v>0</v>
      </c>
      <c r="Z378" s="112">
        <v>0</v>
      </c>
      <c r="AA378" s="112">
        <v>0</v>
      </c>
    </row>
    <row r="379" spans="10:27" ht="15" customHeight="1" x14ac:dyDescent="0.2">
      <c r="J379" s="115" t="str">
        <f xml:space="preserve"> _xll.EPMOlapMemberO("[COSTCENTER].[PARENTH1].[1001]","","1001","","000")</f>
        <v>1001</v>
      </c>
      <c r="K379" s="161" t="str">
        <f xml:space="preserve"> _xll.EPMOlapMemberO("[C_ACCOUNT].[PARENTH2].[INTEXP_OTH_RC]","","INTEXP_OTH_RC","","000")</f>
        <v>INTEXP_OTH_RC</v>
      </c>
      <c r="L379" s="115" t="str">
        <f>_xll.EPMMemberDesc(K379)</f>
        <v>Interest expense - other</v>
      </c>
      <c r="M379" s="114">
        <v>3959617.7733999998</v>
      </c>
      <c r="N379" s="114">
        <v>2813286.4713551998</v>
      </c>
      <c r="O379" s="114">
        <v>67047.960000000006</v>
      </c>
      <c r="P379" s="114">
        <v>68351.45</v>
      </c>
      <c r="Q379" s="114">
        <v>69418.97</v>
      </c>
      <c r="R379" s="114">
        <v>69996.55</v>
      </c>
      <c r="S379" s="114">
        <v>69525.16</v>
      </c>
      <c r="T379" s="114">
        <v>67909.81</v>
      </c>
      <c r="U379" s="114">
        <v>65771.509999999995</v>
      </c>
      <c r="V379" s="114">
        <v>63173.25</v>
      </c>
      <c r="W379" s="114">
        <v>62236.03</v>
      </c>
      <c r="X379" s="114">
        <v>1130431.1684570001</v>
      </c>
      <c r="Y379" s="114">
        <v>545482.27818639996</v>
      </c>
      <c r="Z379" s="114">
        <v>533942.33471179998</v>
      </c>
      <c r="AA379" s="114">
        <v>2813286.4713551998</v>
      </c>
    </row>
    <row r="380" spans="10:27" ht="15" customHeight="1" x14ac:dyDescent="0.2">
      <c r="J380" s="100" t="str">
        <f xml:space="preserve"> _xll.EPMOlapMemberO("[COSTCENTER].[PARENTH1].[1001]","","1001","","000")</f>
        <v>1001</v>
      </c>
      <c r="K380" s="164" t="str">
        <f xml:space="preserve"> _xll.EPMOlapMemberO("[C_ACCOUNT].[PARENTH2].[A_7500090]","","A_7500090","","000")</f>
        <v>A_7500090</v>
      </c>
      <c r="L380" s="112" t="str">
        <f>_xll.EPMMemberDesc(K380)</f>
        <v>Interest Exp - Other Short Term Borrowing</v>
      </c>
      <c r="M380" s="112">
        <v>3178493.8733999999</v>
      </c>
      <c r="N380" s="112">
        <v>2024249.5713551999</v>
      </c>
      <c r="O380" s="112">
        <v>0</v>
      </c>
      <c r="P380" s="112">
        <v>0</v>
      </c>
      <c r="Q380" s="112">
        <v>0</v>
      </c>
      <c r="R380" s="112">
        <v>0</v>
      </c>
      <c r="S380" s="112">
        <v>0</v>
      </c>
      <c r="T380" s="112">
        <v>0</v>
      </c>
      <c r="U380" s="112">
        <v>0</v>
      </c>
      <c r="V380" s="112">
        <v>0</v>
      </c>
      <c r="W380" s="112">
        <v>0</v>
      </c>
      <c r="X380" s="112">
        <v>1068508.3084569999</v>
      </c>
      <c r="Y380" s="112">
        <v>483763.55818639998</v>
      </c>
      <c r="Z380" s="112">
        <v>471977.70471179998</v>
      </c>
      <c r="AA380" s="112">
        <v>2024249.5713551999</v>
      </c>
    </row>
    <row r="381" spans="10:27" ht="15" customHeight="1" x14ac:dyDescent="0.2">
      <c r="J381" s="100" t="str">
        <f xml:space="preserve"> _xll.EPMOlapMemberO("[COSTCENTER].[PARENTH1].[1001]","","1001","","000")</f>
        <v>1001</v>
      </c>
      <c r="K381" s="164" t="str">
        <f xml:space="preserve"> _xll.EPMOlapMemberO("[C_ACCOUNT].[PARENTH2].[A_7500240]","","A_7500240","","000")</f>
        <v>A_7500240</v>
      </c>
      <c r="L381" s="112" t="str">
        <f>_xll.EPMMemberDesc(K381)</f>
        <v>Interest Exp - Defd Conservation Clause</v>
      </c>
      <c r="M381" s="112">
        <v>-47131</v>
      </c>
      <c r="N381" s="112">
        <v>-45365</v>
      </c>
      <c r="O381" s="112">
        <v>-6464</v>
      </c>
      <c r="P381" s="112">
        <v>-7717</v>
      </c>
      <c r="Q381" s="112">
        <v>-7996</v>
      </c>
      <c r="R381" s="112">
        <v>-7712</v>
      </c>
      <c r="S381" s="112">
        <v>-6796</v>
      </c>
      <c r="T381" s="112">
        <v>-5053</v>
      </c>
      <c r="U381" s="112">
        <v>-2994</v>
      </c>
      <c r="V381" s="112">
        <v>-633</v>
      </c>
      <c r="W381" s="112">
        <v>0</v>
      </c>
      <c r="X381" s="112">
        <v>0</v>
      </c>
      <c r="Y381" s="112">
        <v>0</v>
      </c>
      <c r="Z381" s="112">
        <v>0</v>
      </c>
      <c r="AA381" s="112">
        <v>-45365</v>
      </c>
    </row>
    <row r="382" spans="10:27" ht="15" customHeight="1" x14ac:dyDescent="0.2">
      <c r="J382" s="100" t="str">
        <f xml:space="preserve"> _xll.EPMOlapMemberO("[COSTCENTER].[PARENTH1].[1001]","","1001","","000")</f>
        <v>1001</v>
      </c>
      <c r="K382" s="164" t="str">
        <f xml:space="preserve"> _xll.EPMOlapMemberO("[C_ACCOUNT].[PARENTH2].[A_7500271]","","A_7500271","","000")</f>
        <v>A_7500271</v>
      </c>
      <c r="L382" s="112" t="str">
        <f>_xll.EPMMemberDesc(K382)</f>
        <v>Interest Exp - Defd CI/BSR Rider</v>
      </c>
      <c r="M382" s="112">
        <v>3644</v>
      </c>
      <c r="N382" s="112">
        <v>13323</v>
      </c>
      <c r="O382" s="112">
        <v>0</v>
      </c>
      <c r="P382" s="112">
        <v>0</v>
      </c>
      <c r="Q382" s="112">
        <v>738</v>
      </c>
      <c r="R382" s="112">
        <v>1549</v>
      </c>
      <c r="S382" s="112">
        <v>1943</v>
      </c>
      <c r="T382" s="112">
        <v>2020</v>
      </c>
      <c r="U382" s="112">
        <v>1890</v>
      </c>
      <c r="V382" s="112">
        <v>1602</v>
      </c>
      <c r="W382" s="112">
        <v>1247</v>
      </c>
      <c r="X382" s="112">
        <v>883</v>
      </c>
      <c r="Y382" s="112">
        <v>628</v>
      </c>
      <c r="Z382" s="112">
        <v>823</v>
      </c>
      <c r="AA382" s="112">
        <v>13323</v>
      </c>
    </row>
    <row r="383" spans="10:27" ht="15" customHeight="1" x14ac:dyDescent="0.2">
      <c r="J383" s="100" t="str">
        <f xml:space="preserve"> _xll.EPMOlapMemberO("[COSTCENTER].[PARENTH1].[1001]","","1001","","000")</f>
        <v>1001</v>
      </c>
      <c r="K383" s="164" t="str">
        <f xml:space="preserve"> _xll.EPMOlapMemberO("[C_ACCOUNT].[PARENTH2].[A_S7500030]","","A_S7500030","","000")</f>
        <v>A_S7500030</v>
      </c>
      <c r="L383" s="112" t="str">
        <f>_xll.EPMMemberDesc(K383)</f>
        <v>Settled Interest Exp - Customer Deposits</v>
      </c>
      <c r="M383" s="112">
        <v>730348.9</v>
      </c>
      <c r="N383" s="112">
        <v>730348.9</v>
      </c>
      <c r="O383" s="112">
        <v>60583.96</v>
      </c>
      <c r="P383" s="112">
        <v>60634.45</v>
      </c>
      <c r="Q383" s="112">
        <v>60684.97</v>
      </c>
      <c r="R383" s="112">
        <v>60735.55</v>
      </c>
      <c r="S383" s="112">
        <v>60786.16</v>
      </c>
      <c r="T383" s="112">
        <v>60836.81</v>
      </c>
      <c r="U383" s="112">
        <v>60887.51</v>
      </c>
      <c r="V383" s="112">
        <v>60938.25</v>
      </c>
      <c r="W383" s="112">
        <v>60989.03</v>
      </c>
      <c r="X383" s="112">
        <v>61039.86</v>
      </c>
      <c r="Y383" s="112">
        <v>61090.720000000001</v>
      </c>
      <c r="Z383" s="112">
        <v>61141.63</v>
      </c>
      <c r="AA383" s="112">
        <v>730348.9</v>
      </c>
    </row>
    <row r="384" spans="10:27" ht="15" customHeight="1" x14ac:dyDescent="0.2">
      <c r="J384" s="115" t="str">
        <f xml:space="preserve"> _xll.EPMOlapMemberO("[COSTCENTER].[PARENTH1].[1001]","","1001","","000")</f>
        <v>1001</v>
      </c>
      <c r="K384" s="160" t="str">
        <f xml:space="preserve"> _xll.EPMOlapMemberO("[C_ACCOUNT].[PARENTH2].[INTINC_RC]","","INTINC_RC","","000")</f>
        <v>INTINC_RC</v>
      </c>
      <c r="L384" s="115" t="str">
        <f>_xll.EPMMemberDesc(K384)</f>
        <v>Interest Income</v>
      </c>
      <c r="M384" s="114">
        <v>244197</v>
      </c>
      <c r="N384" s="114">
        <v>289320</v>
      </c>
      <c r="O384" s="114">
        <v>29775</v>
      </c>
      <c r="P384" s="114">
        <v>28154</v>
      </c>
      <c r="Q384" s="114">
        <v>26272</v>
      </c>
      <c r="R384" s="114">
        <v>23580</v>
      </c>
      <c r="S384" s="114">
        <v>21661</v>
      </c>
      <c r="T384" s="114">
        <v>20541</v>
      </c>
      <c r="U384" s="114">
        <v>20000</v>
      </c>
      <c r="V384" s="114">
        <v>20000</v>
      </c>
      <c r="W384" s="114">
        <v>21805</v>
      </c>
      <c r="X384" s="114">
        <v>24176</v>
      </c>
      <c r="Y384" s="114">
        <v>26237</v>
      </c>
      <c r="Z384" s="114">
        <v>27119</v>
      </c>
      <c r="AA384" s="114">
        <v>289320</v>
      </c>
    </row>
    <row r="385" spans="10:27" ht="15" customHeight="1" x14ac:dyDescent="0.2">
      <c r="J385" s="115" t="str">
        <f xml:space="preserve"> _xll.EPMOlapMemberO("[COSTCENTER].[PARENTH1].[1001]","","1001","","000")</f>
        <v>1001</v>
      </c>
      <c r="K385" s="161" t="str">
        <f xml:space="preserve"> _xll.EPMOlapMemberO("[C_ACCOUNT].[PARENTH2].[INTINC_INC_RC]","","INTINC_INC_RC","","000")</f>
        <v>INTINC_INC_RC</v>
      </c>
      <c r="L385" s="115" t="str">
        <f>_xll.EPMMemberDesc(K385)</f>
        <v>Interest Income</v>
      </c>
      <c r="M385" s="114">
        <v>4197</v>
      </c>
      <c r="N385" s="114">
        <v>49320</v>
      </c>
      <c r="O385" s="114">
        <v>9775</v>
      </c>
      <c r="P385" s="114">
        <v>8154</v>
      </c>
      <c r="Q385" s="114">
        <v>6272</v>
      </c>
      <c r="R385" s="114">
        <v>3580</v>
      </c>
      <c r="S385" s="114">
        <v>1661</v>
      </c>
      <c r="T385" s="114">
        <v>541</v>
      </c>
      <c r="U385" s="114">
        <v>0</v>
      </c>
      <c r="V385" s="114">
        <v>0</v>
      </c>
      <c r="W385" s="114">
        <v>1805</v>
      </c>
      <c r="X385" s="114">
        <v>4176</v>
      </c>
      <c r="Y385" s="114">
        <v>6237</v>
      </c>
      <c r="Z385" s="114">
        <v>7119</v>
      </c>
      <c r="AA385" s="114">
        <v>49320</v>
      </c>
    </row>
    <row r="386" spans="10:27" ht="15" customHeight="1" x14ac:dyDescent="0.2">
      <c r="J386" s="100" t="str">
        <f xml:space="preserve"> _xll.EPMOlapMemberO("[COSTCENTER].[PARENTH1].[1001]","","1001","","000")</f>
        <v>1001</v>
      </c>
      <c r="K386" s="164" t="str">
        <f xml:space="preserve"> _xll.EPMOlapMemberO("[C_ACCOUNT].[PARENTH2].[A_7000240]","","A_7000240","","000")</f>
        <v>A_7000240</v>
      </c>
      <c r="L386" s="112" t="str">
        <f>_xll.EPMMemberDesc(K386)</f>
        <v>Interest Inc - Defd Conservation Clause</v>
      </c>
      <c r="M386" s="112">
        <v>2076</v>
      </c>
      <c r="N386" s="112">
        <v>19337</v>
      </c>
      <c r="O386" s="112">
        <v>0</v>
      </c>
      <c r="P386" s="112">
        <v>0</v>
      </c>
      <c r="Q386" s="112">
        <v>0</v>
      </c>
      <c r="R386" s="112">
        <v>0</v>
      </c>
      <c r="S386" s="112">
        <v>0</v>
      </c>
      <c r="T386" s="112">
        <v>0</v>
      </c>
      <c r="U386" s="112">
        <v>0</v>
      </c>
      <c r="V386" s="112">
        <v>0</v>
      </c>
      <c r="W386" s="112">
        <v>1805</v>
      </c>
      <c r="X386" s="112">
        <v>4176</v>
      </c>
      <c r="Y386" s="112">
        <v>6237</v>
      </c>
      <c r="Z386" s="112">
        <v>7119</v>
      </c>
      <c r="AA386" s="112">
        <v>19337</v>
      </c>
    </row>
    <row r="387" spans="10:27" ht="15" customHeight="1" x14ac:dyDescent="0.2">
      <c r="J387" s="100" t="str">
        <f xml:space="preserve"> _xll.EPMOlapMemberO("[COSTCENTER].[PARENTH1].[1001]","","1001","","000")</f>
        <v>1001</v>
      </c>
      <c r="K387" s="164" t="str">
        <f xml:space="preserve"> _xll.EPMOlapMemberO("[C_ACCOUNT].[PARENTH2].[A_7000260]","","A_7000260","","000")</f>
        <v>A_7000260</v>
      </c>
      <c r="L387" s="112" t="str">
        <f>_xll.EPMMemberDesc(K387)</f>
        <v>Interest Inc - Defd Purchased Gas Adj Clause</v>
      </c>
      <c r="M387" s="112">
        <v>0</v>
      </c>
      <c r="N387" s="112">
        <v>27245</v>
      </c>
      <c r="O387" s="112">
        <v>7582</v>
      </c>
      <c r="P387" s="112">
        <v>7609</v>
      </c>
      <c r="Q387" s="112">
        <v>6272</v>
      </c>
      <c r="R387" s="112">
        <v>3580</v>
      </c>
      <c r="S387" s="112">
        <v>1661</v>
      </c>
      <c r="T387" s="112">
        <v>541</v>
      </c>
      <c r="U387" s="112">
        <v>0</v>
      </c>
      <c r="V387" s="112">
        <v>0</v>
      </c>
      <c r="W387" s="112">
        <v>0</v>
      </c>
      <c r="X387" s="112">
        <v>0</v>
      </c>
      <c r="Y387" s="112">
        <v>0</v>
      </c>
      <c r="Z387" s="112">
        <v>0</v>
      </c>
      <c r="AA387" s="112">
        <v>27245</v>
      </c>
    </row>
    <row r="388" spans="10:27" ht="15" customHeight="1" x14ac:dyDescent="0.2">
      <c r="J388" s="100" t="str">
        <f xml:space="preserve"> _xll.EPMOlapMemberO("[COSTCENTER].[PARENTH1].[1001]","","1001","","000")</f>
        <v>1001</v>
      </c>
      <c r="K388" s="164" t="str">
        <f xml:space="preserve"> _xll.EPMOlapMemberO("[C_ACCOUNT].[PARENTH2].[A_7000271]","","A_7000271","","000")</f>
        <v>A_7000271</v>
      </c>
      <c r="L388" s="112" t="str">
        <f>_xll.EPMMemberDesc(K388)</f>
        <v>Interest Inc - Defd CI/BSR Rider</v>
      </c>
      <c r="M388" s="112">
        <v>2121</v>
      </c>
      <c r="N388" s="112">
        <v>2738</v>
      </c>
      <c r="O388" s="112">
        <v>2193</v>
      </c>
      <c r="P388" s="112">
        <v>545</v>
      </c>
      <c r="Q388" s="112">
        <v>0</v>
      </c>
      <c r="R388" s="112">
        <v>0</v>
      </c>
      <c r="S388" s="112">
        <v>0</v>
      </c>
      <c r="T388" s="112">
        <v>0</v>
      </c>
      <c r="U388" s="112">
        <v>0</v>
      </c>
      <c r="V388" s="112">
        <v>0</v>
      </c>
      <c r="W388" s="112">
        <v>0</v>
      </c>
      <c r="X388" s="112">
        <v>0</v>
      </c>
      <c r="Y388" s="112">
        <v>0</v>
      </c>
      <c r="Z388" s="112">
        <v>0</v>
      </c>
      <c r="AA388" s="112">
        <v>2738</v>
      </c>
    </row>
    <row r="389" spans="10:27" ht="15" customHeight="1" x14ac:dyDescent="0.2">
      <c r="J389" s="115" t="str">
        <f xml:space="preserve"> _xll.EPMOlapMemberO("[COSTCENTER].[PARENTH1].[1001]","","1001","","000")</f>
        <v>1001</v>
      </c>
      <c r="K389" s="161" t="str">
        <f xml:space="preserve"> _xll.EPMOlapMemberO("[C_ACCOUNT].[PARENTH2].[INTINC_INTCO_RC]","","INTINC_INTCO_RC","","000")</f>
        <v>INTINC_INTCO_RC</v>
      </c>
      <c r="L389" s="115" t="str">
        <f>_xll.EPMMemberDesc(K389)</f>
        <v>Interest income - Intercompany</v>
      </c>
      <c r="M389" s="114">
        <v>240000</v>
      </c>
      <c r="N389" s="114">
        <v>240000</v>
      </c>
      <c r="O389" s="114">
        <v>20000</v>
      </c>
      <c r="P389" s="114">
        <v>20000</v>
      </c>
      <c r="Q389" s="114">
        <v>20000</v>
      </c>
      <c r="R389" s="114">
        <v>20000</v>
      </c>
      <c r="S389" s="114">
        <v>20000</v>
      </c>
      <c r="T389" s="114">
        <v>20000</v>
      </c>
      <c r="U389" s="114">
        <v>20000</v>
      </c>
      <c r="V389" s="114">
        <v>20000</v>
      </c>
      <c r="W389" s="114">
        <v>20000</v>
      </c>
      <c r="X389" s="114">
        <v>20000</v>
      </c>
      <c r="Y389" s="114">
        <v>20000</v>
      </c>
      <c r="Z389" s="114">
        <v>20000</v>
      </c>
      <c r="AA389" s="114">
        <v>240000</v>
      </c>
    </row>
    <row r="390" spans="10:27" ht="15" customHeight="1" x14ac:dyDescent="0.2">
      <c r="J390" s="100" t="str">
        <f xml:space="preserve"> _xll.EPMOlapMemberO("[COSTCENTER].[PARENTH1].[1001]","","1001","","000")</f>
        <v>1001</v>
      </c>
      <c r="K390" s="164" t="str">
        <f xml:space="preserve"> _xll.EPMOlapMemberO("[C_ACCOUNT].[PARENTH2].[A_7000700]","","A_7000700","","000")</f>
        <v>A_7000700</v>
      </c>
      <c r="L390" s="112" t="str">
        <f>_xll.EPMMemberDesc(K390)</f>
        <v>Interest Inc - Intercompany</v>
      </c>
      <c r="M390" s="112">
        <v>240000</v>
      </c>
      <c r="N390" s="112">
        <v>240000</v>
      </c>
      <c r="O390" s="112">
        <v>20000</v>
      </c>
      <c r="P390" s="112">
        <v>20000</v>
      </c>
      <c r="Q390" s="112">
        <v>20000</v>
      </c>
      <c r="R390" s="112">
        <v>20000</v>
      </c>
      <c r="S390" s="112">
        <v>20000</v>
      </c>
      <c r="T390" s="112">
        <v>20000</v>
      </c>
      <c r="U390" s="112">
        <v>20000</v>
      </c>
      <c r="V390" s="112">
        <v>20000</v>
      </c>
      <c r="W390" s="112">
        <v>20000</v>
      </c>
      <c r="X390" s="112">
        <v>20000</v>
      </c>
      <c r="Y390" s="112">
        <v>20000</v>
      </c>
      <c r="Z390" s="112">
        <v>20000</v>
      </c>
      <c r="AA390" s="112">
        <v>240000</v>
      </c>
    </row>
    <row r="391" spans="10:27" ht="15" customHeight="1" x14ac:dyDescent="0.2">
      <c r="J391" s="115" t="str">
        <f xml:space="preserve"> _xll.EPMOlapMemberO("[COSTCENTER].[PARENTH1].[1001]","","1001","","000")</f>
        <v>1001</v>
      </c>
      <c r="K391" s="160" t="str">
        <f xml:space="preserve"> _xll.EPMOlapMemberO("[C_ACCOUNT].[PARENTH2].[AFUDC_RC]","","AFUDC_RC","","000")</f>
        <v>AFUDC_RC</v>
      </c>
      <c r="L391" s="115" t="str">
        <f>_xll.EPMMemberDesc(K391)</f>
        <v>AFUDC</v>
      </c>
      <c r="M391" s="114">
        <v>-4743247.43</v>
      </c>
      <c r="N391" s="114">
        <v>-5997164.3300000001</v>
      </c>
      <c r="O391" s="114">
        <v>-436728.6</v>
      </c>
      <c r="P391" s="114">
        <v>-445150.07</v>
      </c>
      <c r="Q391" s="114">
        <v>-470312.07</v>
      </c>
      <c r="R391" s="114">
        <v>-561597.71</v>
      </c>
      <c r="S391" s="114">
        <v>-539933.01</v>
      </c>
      <c r="T391" s="114">
        <v>-466089.91</v>
      </c>
      <c r="U391" s="114">
        <v>-506735.29</v>
      </c>
      <c r="V391" s="114">
        <v>-550687.59</v>
      </c>
      <c r="W391" s="114">
        <v>-592626.96</v>
      </c>
      <c r="X391" s="114">
        <v>-628999.49</v>
      </c>
      <c r="Y391" s="114">
        <v>-478721.44</v>
      </c>
      <c r="Z391" s="114">
        <v>-319582.19</v>
      </c>
      <c r="AA391" s="114">
        <v>-5997164.3300000001</v>
      </c>
    </row>
    <row r="392" spans="10:27" ht="15" customHeight="1" x14ac:dyDescent="0.2">
      <c r="J392" s="115" t="str">
        <f xml:space="preserve"> _xll.EPMOlapMemberO("[COSTCENTER].[PARENTH1].[1001]","","1001","","000")</f>
        <v>1001</v>
      </c>
      <c r="K392" s="161" t="str">
        <f xml:space="preserve"> _xll.EPMOlapMemberO("[C_ACCOUNT].[PARENTH2].[AFUDC_OTH_RC]","","AFUDC_OTH_RC","","000")</f>
        <v>AFUDC_OTH_RC</v>
      </c>
      <c r="L392" s="115" t="str">
        <f>_xll.EPMMemberDesc(K392)</f>
        <v>Allowance for other funds used during construction</v>
      </c>
      <c r="M392" s="114">
        <v>3596410.48</v>
      </c>
      <c r="N392" s="114">
        <v>4547151.54</v>
      </c>
      <c r="O392" s="114">
        <v>331135.02</v>
      </c>
      <c r="P392" s="114">
        <v>337520.31</v>
      </c>
      <c r="Q392" s="114">
        <v>356598.57</v>
      </c>
      <c r="R392" s="114">
        <v>425812.9</v>
      </c>
      <c r="S392" s="114">
        <v>409386.33</v>
      </c>
      <c r="T392" s="114">
        <v>353397.25</v>
      </c>
      <c r="U392" s="114">
        <v>384215.28</v>
      </c>
      <c r="V392" s="114">
        <v>417540.69</v>
      </c>
      <c r="W392" s="114">
        <v>449339.8</v>
      </c>
      <c r="X392" s="114">
        <v>476918.07</v>
      </c>
      <c r="Y392" s="114">
        <v>362974.7</v>
      </c>
      <c r="Z392" s="114">
        <v>242312.62</v>
      </c>
      <c r="AA392" s="114">
        <v>4547151.54</v>
      </c>
    </row>
    <row r="393" spans="10:27" ht="15" customHeight="1" x14ac:dyDescent="0.2">
      <c r="J393" s="100" t="str">
        <f xml:space="preserve"> _xll.EPMOlapMemberO("[COSTCENTER].[PARENTH1].[1001]","","1001","","000")</f>
        <v>1001</v>
      </c>
      <c r="K393" s="164" t="str">
        <f xml:space="preserve"> _xll.EPMOlapMemberO("[C_ACCOUNT].[PARENTH2].[A_7100010]","","A_7100010","","000")</f>
        <v>A_7100010</v>
      </c>
      <c r="L393" s="112" t="str">
        <f>_xll.EPMMemberDesc(K393)</f>
        <v>Allowance for other funds AFUDC Equity</v>
      </c>
      <c r="M393" s="112">
        <v>3596410.48</v>
      </c>
      <c r="N393" s="112">
        <v>4547151.54</v>
      </c>
      <c r="O393" s="112">
        <v>331135.02</v>
      </c>
      <c r="P393" s="112">
        <v>337520.31</v>
      </c>
      <c r="Q393" s="112">
        <v>356598.57</v>
      </c>
      <c r="R393" s="112">
        <v>425812.9</v>
      </c>
      <c r="S393" s="112">
        <v>409386.33</v>
      </c>
      <c r="T393" s="112">
        <v>353397.25</v>
      </c>
      <c r="U393" s="112">
        <v>384215.28</v>
      </c>
      <c r="V393" s="112">
        <v>417540.69</v>
      </c>
      <c r="W393" s="112">
        <v>449339.8</v>
      </c>
      <c r="X393" s="112">
        <v>476918.07</v>
      </c>
      <c r="Y393" s="112">
        <v>362974.7</v>
      </c>
      <c r="Z393" s="112">
        <v>242312.62</v>
      </c>
      <c r="AA393" s="112">
        <v>4547151.54</v>
      </c>
    </row>
    <row r="394" spans="10:27" ht="15" customHeight="1" x14ac:dyDescent="0.2">
      <c r="J394" s="115" t="str">
        <f xml:space="preserve"> _xll.EPMOlapMemberO("[COSTCENTER].[PARENTH1].[1001]","","1001","","000")</f>
        <v>1001</v>
      </c>
      <c r="K394" s="161" t="str">
        <f xml:space="preserve"> _xll.EPMOlapMemberO("[C_ACCOUNT].[PARENTH2].[AFUDC_BRW_RC]","","AFUDC_BRW_RC","","000")</f>
        <v>AFUDC_BRW_RC</v>
      </c>
      <c r="L394" s="115" t="str">
        <f>_xll.EPMMemberDesc(K394)</f>
        <v>Allowance for borrowed funds used during contruction</v>
      </c>
      <c r="M394" s="114">
        <v>-1146836.95</v>
      </c>
      <c r="N394" s="114">
        <v>-1450012.79</v>
      </c>
      <c r="O394" s="114">
        <v>-105593.58</v>
      </c>
      <c r="P394" s="114">
        <v>-107629.75999999999</v>
      </c>
      <c r="Q394" s="114">
        <v>-113713.5</v>
      </c>
      <c r="R394" s="114">
        <v>-135784.81</v>
      </c>
      <c r="S394" s="114">
        <v>-130546.68</v>
      </c>
      <c r="T394" s="114">
        <v>-112692.66</v>
      </c>
      <c r="U394" s="114">
        <v>-122520.01</v>
      </c>
      <c r="V394" s="114">
        <v>-133146.9</v>
      </c>
      <c r="W394" s="114">
        <v>-143287.16</v>
      </c>
      <c r="X394" s="114">
        <v>-152081.42000000001</v>
      </c>
      <c r="Y394" s="114">
        <v>-115746.74</v>
      </c>
      <c r="Z394" s="114">
        <v>-77269.570000000007</v>
      </c>
      <c r="AA394" s="114">
        <v>-1450012.79</v>
      </c>
    </row>
    <row r="395" spans="10:27" ht="15" customHeight="1" x14ac:dyDescent="0.2">
      <c r="J395" s="100" t="str">
        <f xml:space="preserve"> _xll.EPMOlapMemberO("[COSTCENTER].[PARENTH1].[1001]","","1001","","000")</f>
        <v>1001</v>
      </c>
      <c r="K395" s="164" t="str">
        <f xml:space="preserve"> _xll.EPMOlapMemberO("[C_ACCOUNT].[PARENTH2].[A_7500010]","","A_7500010","","000")</f>
        <v>A_7500010</v>
      </c>
      <c r="L395" s="112" t="str">
        <f>_xll.EPMMemberDesc(K395)</f>
        <v>Interest Exp - Allow for Borrowed Funds AFUDC Debt</v>
      </c>
      <c r="M395" s="112">
        <v>-1146836.95</v>
      </c>
      <c r="N395" s="112">
        <v>-1450012.79</v>
      </c>
      <c r="O395" s="112">
        <v>-105593.58</v>
      </c>
      <c r="P395" s="112">
        <v>-107629.75999999999</v>
      </c>
      <c r="Q395" s="112">
        <v>-113713.5</v>
      </c>
      <c r="R395" s="112">
        <v>-135784.81</v>
      </c>
      <c r="S395" s="112">
        <v>-130546.68</v>
      </c>
      <c r="T395" s="112">
        <v>-112692.66</v>
      </c>
      <c r="U395" s="112">
        <v>-122520.01</v>
      </c>
      <c r="V395" s="112">
        <v>-133146.9</v>
      </c>
      <c r="W395" s="112">
        <v>-143287.16</v>
      </c>
      <c r="X395" s="112">
        <v>-152081.42000000001</v>
      </c>
      <c r="Y395" s="112">
        <v>-115746.74</v>
      </c>
      <c r="Z395" s="112">
        <v>-77269.570000000007</v>
      </c>
      <c r="AA395" s="112">
        <v>-1450012.79</v>
      </c>
    </row>
    <row r="396" spans="10:27" ht="15" customHeight="1" x14ac:dyDescent="0.2">
      <c r="J396" s="115" t="str">
        <f xml:space="preserve"> _xll.EPMOlapMemberO("[COSTCENTER].[PARENTH1].[1001]","","1001","","000")</f>
        <v>1001</v>
      </c>
      <c r="K396" s="160" t="str">
        <f xml:space="preserve"> _xll.EPMOlapMemberO("[C_ACCOUNT].[PARENTH2].[INC_EQU_RC]","","INC_EQU_RC","","000")</f>
        <v>INC_EQU_RC</v>
      </c>
      <c r="L396" s="115" t="str">
        <f>_xll.EPMMemberDesc(K396)</f>
        <v>Income from Equity Investments</v>
      </c>
      <c r="M396" s="114">
        <v>3864766.8933000001</v>
      </c>
      <c r="N396" s="114">
        <v>3864766.8932968001</v>
      </c>
      <c r="O396" s="114">
        <v>178713.76567349999</v>
      </c>
      <c r="P396" s="114">
        <v>282529.74216149998</v>
      </c>
      <c r="Q396" s="114">
        <v>222728.04834849999</v>
      </c>
      <c r="R396" s="114">
        <v>351566.02933340002</v>
      </c>
      <c r="S396" s="114">
        <v>309957.23729860003</v>
      </c>
      <c r="T396" s="114">
        <v>309538.7644707</v>
      </c>
      <c r="U396" s="114">
        <v>336278.54651499999</v>
      </c>
      <c r="V396" s="114">
        <v>306023.6997538</v>
      </c>
      <c r="W396" s="114">
        <v>324221.1591778</v>
      </c>
      <c r="X396" s="114">
        <v>321607.56833640003</v>
      </c>
      <c r="Y396" s="114">
        <v>355023.84421750001</v>
      </c>
      <c r="Z396" s="114">
        <v>566578.48801009997</v>
      </c>
      <c r="AA396" s="114">
        <v>3864766.8932968001</v>
      </c>
    </row>
    <row r="397" spans="10:27" ht="15" customHeight="1" x14ac:dyDescent="0.2">
      <c r="J397" s="100" t="str">
        <f xml:space="preserve"> _xll.EPMOlapMemberO("[COSTCENTER].[PARENTH1].[1001]","","1001","","000")</f>
        <v>1001</v>
      </c>
      <c r="K397" s="162" t="str">
        <f xml:space="preserve"> _xll.EPMOlapMemberO("[C_ACCOUNT].[PARENTH2].[A_7301000]","","A_7301000","","000")</f>
        <v>A_7301000</v>
      </c>
      <c r="L397" s="112" t="str">
        <f>_xll.EPMMemberDesc(K397)</f>
        <v>Equity Earnings - Consolidated Affiliate</v>
      </c>
      <c r="M397" s="112">
        <v>3864766.8933000001</v>
      </c>
      <c r="N397" s="112">
        <v>3864766.8932968001</v>
      </c>
      <c r="O397" s="112">
        <v>178713.76567349999</v>
      </c>
      <c r="P397" s="112">
        <v>282529.74216149998</v>
      </c>
      <c r="Q397" s="112">
        <v>222728.04834849999</v>
      </c>
      <c r="R397" s="112">
        <v>351566.02933340002</v>
      </c>
      <c r="S397" s="112">
        <v>309957.23729860003</v>
      </c>
      <c r="T397" s="112">
        <v>309538.7644707</v>
      </c>
      <c r="U397" s="112">
        <v>336278.54651499999</v>
      </c>
      <c r="V397" s="112">
        <v>306023.6997538</v>
      </c>
      <c r="W397" s="112">
        <v>324221.1591778</v>
      </c>
      <c r="X397" s="112">
        <v>321607.56833640003</v>
      </c>
      <c r="Y397" s="112">
        <v>355023.84421750001</v>
      </c>
      <c r="Z397" s="112">
        <v>566578.48801009997</v>
      </c>
      <c r="AA397" s="112">
        <v>3864766.8932968001</v>
      </c>
    </row>
    <row r="398" spans="10:27" ht="15" customHeight="1" x14ac:dyDescent="0.2">
      <c r="J398" s="115" t="str">
        <f xml:space="preserve"> _xll.EPMOlapMemberO("[COSTCENTER].[PARENTH1].[1001]","","1001","","000")</f>
        <v>1001</v>
      </c>
      <c r="K398" s="160" t="str">
        <f xml:space="preserve"> _xll.EPMOlapMemberO("[C_ACCOUNT].[PARENTH2].[OTHINC_DED_RC]","","OTHINC_DED_RC","","000")</f>
        <v>OTHINC_DED_RC</v>
      </c>
      <c r="L398" s="115" t="str">
        <f>_xll.EPMMemberDesc(K398)</f>
        <v>Other income &amp; Deduction</v>
      </c>
      <c r="M398" s="114">
        <v>-112937.9464</v>
      </c>
      <c r="N398" s="114">
        <v>-112937.9464</v>
      </c>
      <c r="O398" s="114">
        <v>-40808.39</v>
      </c>
      <c r="P398" s="114">
        <v>16257.643400000001</v>
      </c>
      <c r="Q398" s="114">
        <v>-10736.59</v>
      </c>
      <c r="R398" s="114">
        <v>-30742.356599999999</v>
      </c>
      <c r="S398" s="114">
        <v>-17736.59</v>
      </c>
      <c r="T398" s="114">
        <v>-10736.59</v>
      </c>
      <c r="U398" s="114">
        <v>21257.643400000001</v>
      </c>
      <c r="V398" s="114">
        <v>-5736.59</v>
      </c>
      <c r="W398" s="114">
        <v>-10736.59</v>
      </c>
      <c r="X398" s="114">
        <v>23257.643400000001</v>
      </c>
      <c r="Y398" s="114">
        <v>-5736.59</v>
      </c>
      <c r="Z398" s="114">
        <v>-40740.589999999997</v>
      </c>
      <c r="AA398" s="114">
        <v>-112937.9464</v>
      </c>
    </row>
    <row r="399" spans="10:27" ht="15" customHeight="1" x14ac:dyDescent="0.2">
      <c r="J399" s="115" t="str">
        <f xml:space="preserve"> _xll.EPMOlapMemberO("[COSTCENTER].[PARENTH1].[1001]","","1001","","000")</f>
        <v>1001</v>
      </c>
      <c r="K399" s="161" t="str">
        <f xml:space="preserve"> _xll.EPMOlapMemberO("[C_ACCOUNT].[PARENTH2].[INDDD_RC]","","INDDD_RC","","000")</f>
        <v>INDDD_RC</v>
      </c>
      <c r="L399" s="115" t="str">
        <f>_xll.EPMMemberDesc(K399)</f>
        <v>Industry Dues &amp; Donations</v>
      </c>
      <c r="M399" s="114">
        <v>517480</v>
      </c>
      <c r="N399" s="114">
        <v>517480</v>
      </c>
      <c r="O399" s="114">
        <v>37290</v>
      </c>
      <c r="P399" s="114">
        <v>37290</v>
      </c>
      <c r="Q399" s="114">
        <v>42290</v>
      </c>
      <c r="R399" s="114">
        <v>37290</v>
      </c>
      <c r="S399" s="114">
        <v>37290</v>
      </c>
      <c r="T399" s="114">
        <v>42290</v>
      </c>
      <c r="U399" s="114">
        <v>37290</v>
      </c>
      <c r="V399" s="114">
        <v>37290</v>
      </c>
      <c r="W399" s="114">
        <v>42290</v>
      </c>
      <c r="X399" s="114">
        <v>37290</v>
      </c>
      <c r="Y399" s="114">
        <v>37290</v>
      </c>
      <c r="Z399" s="114">
        <v>92290</v>
      </c>
      <c r="AA399" s="114">
        <v>517480</v>
      </c>
    </row>
    <row r="400" spans="10:27" ht="15" customHeight="1" x14ac:dyDescent="0.2">
      <c r="J400" s="100" t="str">
        <f xml:space="preserve"> _xll.EPMOlapMemberO("[COSTCENTER].[PARENTH1].[1001]","","1001","","000")</f>
        <v>1001</v>
      </c>
      <c r="K400" s="164" t="str">
        <f xml:space="preserve"> _xll.EPMOlapMemberO("[C_ACCOUNT].[PARENTH2].[A_S6790090]","","A_S6790090","","000")</f>
        <v>A_S6790090</v>
      </c>
      <c r="L400" s="112" t="str">
        <f>_xll.EPMMemberDesc(K400)</f>
        <v>Settled Donations - Charitable (501c)</v>
      </c>
      <c r="M400" s="112">
        <v>306400</v>
      </c>
      <c r="N400" s="112">
        <v>306400</v>
      </c>
      <c r="O400" s="112">
        <v>23450</v>
      </c>
      <c r="P400" s="112">
        <v>23450</v>
      </c>
      <c r="Q400" s="112">
        <v>23450</v>
      </c>
      <c r="R400" s="112">
        <v>23450</v>
      </c>
      <c r="S400" s="112">
        <v>23450</v>
      </c>
      <c r="T400" s="112">
        <v>23450</v>
      </c>
      <c r="U400" s="112">
        <v>23450</v>
      </c>
      <c r="V400" s="112">
        <v>23450</v>
      </c>
      <c r="W400" s="112">
        <v>23450</v>
      </c>
      <c r="X400" s="112">
        <v>23450</v>
      </c>
      <c r="Y400" s="112">
        <v>23450</v>
      </c>
      <c r="Z400" s="112">
        <v>48450</v>
      </c>
      <c r="AA400" s="112">
        <v>306400</v>
      </c>
    </row>
    <row r="401" spans="10:27" ht="15" customHeight="1" x14ac:dyDescent="0.2">
      <c r="J401" s="100" t="str">
        <f xml:space="preserve"> _xll.EPMOlapMemberO("[COSTCENTER].[PARENTH1].[1001]","","1001","","000")</f>
        <v>1001</v>
      </c>
      <c r="K401" s="164" t="str">
        <f xml:space="preserve"> _xll.EPMOlapMemberO("[C_ACCOUNT].[PARENTH2].[A_S6790091]","","A_S6790091","","000")</f>
        <v>A_S6790091</v>
      </c>
      <c r="L401" s="112" t="str">
        <f>_xll.EPMMemberDesc(K401)</f>
        <v>Settled Donations - Non deductible</v>
      </c>
      <c r="M401" s="112">
        <v>135040</v>
      </c>
      <c r="N401" s="112">
        <v>135040</v>
      </c>
      <c r="O401" s="112">
        <v>9170</v>
      </c>
      <c r="P401" s="112">
        <v>9170</v>
      </c>
      <c r="Q401" s="112">
        <v>9170</v>
      </c>
      <c r="R401" s="112">
        <v>9170</v>
      </c>
      <c r="S401" s="112">
        <v>9170</v>
      </c>
      <c r="T401" s="112">
        <v>9170</v>
      </c>
      <c r="U401" s="112">
        <v>9170</v>
      </c>
      <c r="V401" s="112">
        <v>9170</v>
      </c>
      <c r="W401" s="112">
        <v>9170</v>
      </c>
      <c r="X401" s="112">
        <v>9170</v>
      </c>
      <c r="Y401" s="112">
        <v>9170</v>
      </c>
      <c r="Z401" s="112">
        <v>34170</v>
      </c>
      <c r="AA401" s="112">
        <v>135040</v>
      </c>
    </row>
    <row r="402" spans="10:27" ht="15" customHeight="1" x14ac:dyDescent="0.2">
      <c r="J402" s="100" t="str">
        <f xml:space="preserve"> _xll.EPMOlapMemberO("[COSTCENTER].[PARENTH1].[1001]","","1001","","000")</f>
        <v>1001</v>
      </c>
      <c r="K402" s="164" t="str">
        <f xml:space="preserve"> _xll.EPMOlapMemberO("[C_ACCOUNT].[PARENTH2].[A_S6790092]","","A_S6790092","","000")</f>
        <v>A_S6790092</v>
      </c>
      <c r="L402" s="112" t="str">
        <f>_xll.EPMMemberDesc(K402)</f>
        <v>Settled Donations - Other</v>
      </c>
      <c r="M402" s="112">
        <v>76040</v>
      </c>
      <c r="N402" s="112">
        <v>76040</v>
      </c>
      <c r="O402" s="112">
        <v>4670</v>
      </c>
      <c r="P402" s="112">
        <v>4670</v>
      </c>
      <c r="Q402" s="112">
        <v>9670</v>
      </c>
      <c r="R402" s="112">
        <v>4670</v>
      </c>
      <c r="S402" s="112">
        <v>4670</v>
      </c>
      <c r="T402" s="112">
        <v>9670</v>
      </c>
      <c r="U402" s="112">
        <v>4670</v>
      </c>
      <c r="V402" s="112">
        <v>4670</v>
      </c>
      <c r="W402" s="112">
        <v>9670</v>
      </c>
      <c r="X402" s="112">
        <v>4670</v>
      </c>
      <c r="Y402" s="112">
        <v>4670</v>
      </c>
      <c r="Z402" s="112">
        <v>9670</v>
      </c>
      <c r="AA402" s="112">
        <v>76040</v>
      </c>
    </row>
    <row r="403" spans="10:27" ht="15" customHeight="1" x14ac:dyDescent="0.2">
      <c r="J403" s="115" t="str">
        <f xml:space="preserve"> _xll.EPMOlapMemberO("[COSTCENTER].[PARENTH1].[1001]","","1001","","000")</f>
        <v>1001</v>
      </c>
      <c r="K403" s="161" t="str">
        <f xml:space="preserve"> _xll.EPMOlapMemberO("[C_ACCOUNT].[PARENTH2].[POLITICAL_CONTRI_RC]","","POLITICAL_CONTRI_RC","","000")</f>
        <v>POLITICAL_CONTRI_RC</v>
      </c>
      <c r="L403" s="115" t="str">
        <f>_xll.EPMMemberDesc(K403)</f>
        <v>Political Contributions</v>
      </c>
      <c r="M403" s="114">
        <v>100000</v>
      </c>
      <c r="N403" s="114">
        <v>100000</v>
      </c>
      <c r="O403" s="114">
        <v>8333</v>
      </c>
      <c r="P403" s="114">
        <v>8333</v>
      </c>
      <c r="Q403" s="114">
        <v>8333</v>
      </c>
      <c r="R403" s="114">
        <v>8333</v>
      </c>
      <c r="S403" s="114">
        <v>8333</v>
      </c>
      <c r="T403" s="114">
        <v>8333</v>
      </c>
      <c r="U403" s="114">
        <v>8333</v>
      </c>
      <c r="V403" s="114">
        <v>8333</v>
      </c>
      <c r="W403" s="114">
        <v>8333</v>
      </c>
      <c r="X403" s="114">
        <v>8333</v>
      </c>
      <c r="Y403" s="114">
        <v>8333</v>
      </c>
      <c r="Z403" s="114">
        <v>8337</v>
      </c>
      <c r="AA403" s="114">
        <v>100000</v>
      </c>
    </row>
    <row r="404" spans="10:27" ht="15" customHeight="1" x14ac:dyDescent="0.2">
      <c r="J404" s="100" t="str">
        <f xml:space="preserve"> _xll.EPMOlapMemberO("[COSTCENTER].[PARENTH1].[1001]","","1001","","000")</f>
        <v>1001</v>
      </c>
      <c r="K404" s="164" t="str">
        <f xml:space="preserve"> _xll.EPMOlapMemberO("[C_ACCOUNT].[PARENTH2].[A_S6790220]","","A_S6790220","","000")</f>
        <v>A_S6790220</v>
      </c>
      <c r="L404" s="112" t="str">
        <f>_xll.EPMMemberDesc(K404)</f>
        <v>Settled Political Contributions</v>
      </c>
      <c r="M404" s="112">
        <v>100000</v>
      </c>
      <c r="N404" s="112">
        <v>100000</v>
      </c>
      <c r="O404" s="112">
        <v>8333</v>
      </c>
      <c r="P404" s="112">
        <v>8333</v>
      </c>
      <c r="Q404" s="112">
        <v>8333</v>
      </c>
      <c r="R404" s="112">
        <v>8333</v>
      </c>
      <c r="S404" s="112">
        <v>8333</v>
      </c>
      <c r="T404" s="112">
        <v>8333</v>
      </c>
      <c r="U404" s="112">
        <v>8333</v>
      </c>
      <c r="V404" s="112">
        <v>8333</v>
      </c>
      <c r="W404" s="112">
        <v>8333</v>
      </c>
      <c r="X404" s="112">
        <v>8333</v>
      </c>
      <c r="Y404" s="112">
        <v>8333</v>
      </c>
      <c r="Z404" s="112">
        <v>8337</v>
      </c>
      <c r="AA404" s="112">
        <v>100000</v>
      </c>
    </row>
    <row r="405" spans="10:27" ht="15" customHeight="1" x14ac:dyDescent="0.2">
      <c r="J405" s="115" t="str">
        <f xml:space="preserve"> _xll.EPMOlapMemberO("[COSTCENTER].[PARENTH1].[1001]","","1001","","000")</f>
        <v>1001</v>
      </c>
      <c r="K405" s="161" t="str">
        <f xml:space="preserve"> _xll.EPMOlapMemberO("[C_ACCOUNT].[PARENTH2].[GSA_RC]","","GSA_RC","","000")</f>
        <v>GSA_RC</v>
      </c>
      <c r="L405" s="115" t="str">
        <f>_xll.EPMMemberDesc(K405)</f>
        <v>Gain / (Loss) on sale of assets</v>
      </c>
      <c r="M405" s="114">
        <v>495916.92</v>
      </c>
      <c r="N405" s="114">
        <v>495916.92</v>
      </c>
      <c r="O405" s="114">
        <v>41326.410000000003</v>
      </c>
      <c r="P405" s="114">
        <v>41326.410000000003</v>
      </c>
      <c r="Q405" s="114">
        <v>41326.410000000003</v>
      </c>
      <c r="R405" s="114">
        <v>41326.410000000003</v>
      </c>
      <c r="S405" s="114">
        <v>41326.410000000003</v>
      </c>
      <c r="T405" s="114">
        <v>41326.410000000003</v>
      </c>
      <c r="U405" s="114">
        <v>41326.410000000003</v>
      </c>
      <c r="V405" s="114">
        <v>41326.410000000003</v>
      </c>
      <c r="W405" s="114">
        <v>41326.410000000003</v>
      </c>
      <c r="X405" s="114">
        <v>41326.410000000003</v>
      </c>
      <c r="Y405" s="114">
        <v>41326.410000000003</v>
      </c>
      <c r="Z405" s="114">
        <v>41326.410000000003</v>
      </c>
      <c r="AA405" s="114">
        <v>495916.92</v>
      </c>
    </row>
    <row r="406" spans="10:27" ht="15" customHeight="1" x14ac:dyDescent="0.2">
      <c r="J406" s="100" t="str">
        <f xml:space="preserve"> _xll.EPMOlapMemberO("[COSTCENTER].[PARENTH1].[1001]","","1001","","000")</f>
        <v>1001</v>
      </c>
      <c r="K406" s="164" t="str">
        <f xml:space="preserve"> _xll.EPMOlapMemberO("[C_ACCOUNT].[PARENTH2].[A_7101000]","","A_7101000","","000")</f>
        <v>A_7101000</v>
      </c>
      <c r="L406" s="112" t="str">
        <f>_xll.EPMMemberDesc(K406)</f>
        <v>Gain Sale of Utility Property</v>
      </c>
      <c r="M406" s="112">
        <v>557900.4</v>
      </c>
      <c r="N406" s="112">
        <v>557900.4</v>
      </c>
      <c r="O406" s="112">
        <v>46491.7</v>
      </c>
      <c r="P406" s="112">
        <v>46491.7</v>
      </c>
      <c r="Q406" s="112">
        <v>46491.7</v>
      </c>
      <c r="R406" s="112">
        <v>46491.7</v>
      </c>
      <c r="S406" s="112">
        <v>46491.7</v>
      </c>
      <c r="T406" s="112">
        <v>46491.7</v>
      </c>
      <c r="U406" s="112">
        <v>46491.7</v>
      </c>
      <c r="V406" s="112">
        <v>46491.7</v>
      </c>
      <c r="W406" s="112">
        <v>46491.7</v>
      </c>
      <c r="X406" s="112">
        <v>46491.7</v>
      </c>
      <c r="Y406" s="112">
        <v>46491.7</v>
      </c>
      <c r="Z406" s="112">
        <v>46491.7</v>
      </c>
      <c r="AA406" s="112">
        <v>557900.4</v>
      </c>
    </row>
    <row r="407" spans="10:27" ht="15" customHeight="1" x14ac:dyDescent="0.2">
      <c r="J407" s="100" t="str">
        <f xml:space="preserve"> _xll.EPMOlapMemberO("[COSTCENTER].[PARENTH1].[1001]","","1001","","000")</f>
        <v>1001</v>
      </c>
      <c r="K407" s="164" t="str">
        <f xml:space="preserve"> _xll.EPMOlapMemberO("[C_ACCOUNT].[PARENTH2].[A_7201000]","","A_7201000","","000")</f>
        <v>A_7201000</v>
      </c>
      <c r="L407" s="112" t="str">
        <f>_xll.EPMMemberDesc(K407)</f>
        <v>Loss Sale of Utility Property</v>
      </c>
      <c r="M407" s="112">
        <v>61983.48</v>
      </c>
      <c r="N407" s="112">
        <v>61983.48</v>
      </c>
      <c r="O407" s="112">
        <v>5165.29</v>
      </c>
      <c r="P407" s="112">
        <v>5165.29</v>
      </c>
      <c r="Q407" s="112">
        <v>5165.29</v>
      </c>
      <c r="R407" s="112">
        <v>5165.29</v>
      </c>
      <c r="S407" s="112">
        <v>5165.29</v>
      </c>
      <c r="T407" s="112">
        <v>5165.29</v>
      </c>
      <c r="U407" s="112">
        <v>5165.29</v>
      </c>
      <c r="V407" s="112">
        <v>5165.29</v>
      </c>
      <c r="W407" s="112">
        <v>5165.29</v>
      </c>
      <c r="X407" s="112">
        <v>5165.29</v>
      </c>
      <c r="Y407" s="112">
        <v>5165.29</v>
      </c>
      <c r="Z407" s="112">
        <v>5165.29</v>
      </c>
      <c r="AA407" s="112">
        <v>61983.48</v>
      </c>
    </row>
    <row r="408" spans="10:27" ht="15" customHeight="1" x14ac:dyDescent="0.2">
      <c r="J408" s="100" t="str">
        <f xml:space="preserve"> _xll.EPMOlapMemberO("[COSTCENTER].[PARENTH1].[1001]","","1001","","000")</f>
        <v>1001</v>
      </c>
      <c r="K408" s="162" t="str">
        <f xml:space="preserve"> _xll.EPMOlapMemberO("[C_ACCOUNT].[PARENTH2].[ER_IND_DUE_BTL_1]","","ER_IND_DUE_BTL_1","","000")</f>
        <v>ER_IND_DUE_BTL_1</v>
      </c>
      <c r="L408" s="112" t="str">
        <f>_xll.EPMMemberDesc(K408)</f>
        <v>Zap Cap BTL</v>
      </c>
      <c r="M408" s="112">
        <v>84094.866399999999</v>
      </c>
      <c r="N408" s="112">
        <v>84094.866399999999</v>
      </c>
      <c r="O408" s="112">
        <v>35071.800000000003</v>
      </c>
      <c r="P408" s="112">
        <v>3005.7665999999999</v>
      </c>
      <c r="Q408" s="112">
        <v>0</v>
      </c>
      <c r="R408" s="112">
        <v>28005.766599999999</v>
      </c>
      <c r="S408" s="112">
        <v>12000</v>
      </c>
      <c r="T408" s="112">
        <v>0</v>
      </c>
      <c r="U408" s="112">
        <v>3005.7665999999999</v>
      </c>
      <c r="V408" s="112">
        <v>0</v>
      </c>
      <c r="W408" s="112">
        <v>0</v>
      </c>
      <c r="X408" s="112">
        <v>3005.7665999999999</v>
      </c>
      <c r="Y408" s="112">
        <v>0</v>
      </c>
      <c r="Z408" s="112">
        <v>0</v>
      </c>
      <c r="AA408" s="112">
        <v>84094.866399999999</v>
      </c>
    </row>
    <row r="409" spans="10:27" ht="15" customHeight="1" x14ac:dyDescent="0.2">
      <c r="J409" s="100" t="str">
        <f xml:space="preserve"> _xll.EPMOlapMemberO("[COSTCENTER].[PARENTH1].[1001]","","1001","","000")</f>
        <v>1001</v>
      </c>
      <c r="K409" s="162" t="str">
        <f xml:space="preserve"> _xll.EPMOlapMemberO("[C_ACCOUNT].[PARENTH2].[A_S6030020]","","A_S6030020","","000")</f>
        <v>A_S6030020</v>
      </c>
      <c r="L409" s="112" t="str">
        <f>_xll.EPMMemberDesc(K409)</f>
        <v>Settled Empl Exp - Social/Civic Dues</v>
      </c>
      <c r="M409" s="112">
        <v>39280</v>
      </c>
      <c r="N409" s="112">
        <v>39280</v>
      </c>
      <c r="O409" s="112">
        <v>1440</v>
      </c>
      <c r="P409" s="112">
        <v>1440</v>
      </c>
      <c r="Q409" s="112">
        <v>1440</v>
      </c>
      <c r="R409" s="112">
        <v>23440</v>
      </c>
      <c r="S409" s="112">
        <v>1440</v>
      </c>
      <c r="T409" s="112">
        <v>1440</v>
      </c>
      <c r="U409" s="112">
        <v>1440</v>
      </c>
      <c r="V409" s="112">
        <v>1440</v>
      </c>
      <c r="W409" s="112">
        <v>1440</v>
      </c>
      <c r="X409" s="112">
        <v>1440</v>
      </c>
      <c r="Y409" s="112">
        <v>1440</v>
      </c>
      <c r="Z409" s="112">
        <v>1440</v>
      </c>
      <c r="AA409" s="112">
        <v>39280</v>
      </c>
    </row>
    <row r="410" spans="10:27" ht="15" customHeight="1" x14ac:dyDescent="0.2">
      <c r="J410" s="100" t="str">
        <f xml:space="preserve"> _xll.EPMOlapMemberO("[COSTCENTER].[PARENTH1].[1001]","","1001","","000")</f>
        <v>1001</v>
      </c>
      <c r="K410" s="162" t="str">
        <f xml:space="preserve"> _xll.EPMOlapMemberO("[C_ACCOUNT].[PARENTH2].[A_S7103040]","","A_S7103040","","000")</f>
        <v>A_S7103040</v>
      </c>
      <c r="L410" s="112" t="str">
        <f>_xll.EPMMemberDesc(K410)</f>
        <v>Settled Residential Zap Cap Revenue</v>
      </c>
      <c r="M410" s="112">
        <v>132000</v>
      </c>
      <c r="N410" s="112">
        <v>132000</v>
      </c>
      <c r="O410" s="112">
        <v>0</v>
      </c>
      <c r="P410" s="112">
        <v>25000</v>
      </c>
      <c r="Q410" s="112">
        <v>0</v>
      </c>
      <c r="R410" s="112">
        <v>25000</v>
      </c>
      <c r="S410" s="112">
        <v>0</v>
      </c>
      <c r="T410" s="112">
        <v>0</v>
      </c>
      <c r="U410" s="112">
        <v>30000</v>
      </c>
      <c r="V410" s="112">
        <v>0</v>
      </c>
      <c r="W410" s="112">
        <v>0</v>
      </c>
      <c r="X410" s="112">
        <v>32000</v>
      </c>
      <c r="Y410" s="112">
        <v>0</v>
      </c>
      <c r="Z410" s="112">
        <v>20000</v>
      </c>
      <c r="AA410" s="112">
        <v>132000</v>
      </c>
    </row>
    <row r="411" spans="10:27" ht="15" customHeight="1" x14ac:dyDescent="0.2">
      <c r="J411" s="115" t="str">
        <f xml:space="preserve"> _xll.EPMOlapMemberO("[COSTCENTER].[PARENTH1].[1001]","","1001","","000")</f>
        <v>1001</v>
      </c>
      <c r="K411" s="159" t="str">
        <f xml:space="preserve"> _xll.EPMOlapMemberO("[C_ACCOUNT].[PARENTH2].[PROV_TAX_RC]","","PROV_TAX_RC","","000")</f>
        <v>PROV_TAX_RC</v>
      </c>
      <c r="L411" s="115" t="str">
        <f>_xll.EPMMemberDesc(K411)</f>
        <v>PROVISION FOR INCOME TAXES</v>
      </c>
      <c r="M411" s="114">
        <v>25970015.640000001</v>
      </c>
      <c r="N411" s="114">
        <v>25778510.370000001</v>
      </c>
      <c r="O411" s="114">
        <v>3124156.07</v>
      </c>
      <c r="P411" s="114">
        <v>2770089</v>
      </c>
      <c r="Q411" s="114">
        <v>3145041.78</v>
      </c>
      <c r="R411" s="114">
        <v>2162722.11</v>
      </c>
      <c r="S411" s="114">
        <v>1598393.68</v>
      </c>
      <c r="T411" s="114">
        <v>2049436.38</v>
      </c>
      <c r="U411" s="114">
        <v>1298195.5900000001</v>
      </c>
      <c r="V411" s="114">
        <v>1225368.21</v>
      </c>
      <c r="W411" s="114">
        <v>1920256.17</v>
      </c>
      <c r="X411" s="114">
        <v>854247.21</v>
      </c>
      <c r="Y411" s="114">
        <v>1764980.57</v>
      </c>
      <c r="Z411" s="114">
        <v>3865623.6</v>
      </c>
      <c r="AA411" s="114">
        <v>25778510.370000001</v>
      </c>
    </row>
    <row r="412" spans="10:27" ht="15" customHeight="1" x14ac:dyDescent="0.2">
      <c r="J412" s="115" t="str">
        <f xml:space="preserve"> _xll.EPMOlapMemberO("[COSTCENTER].[PARENTH1].[1001]","","1001","","000")</f>
        <v>1001</v>
      </c>
      <c r="K412" s="160" t="str">
        <f xml:space="preserve"> _xll.EPMOlapMemberO("[C_ACCOUNT].[PARENTH2].[CUR_IT_EXP_RC]","","CUR_IT_EXP_RC","","000")</f>
        <v>CUR_IT_EXP_RC</v>
      </c>
      <c r="L412" s="115" t="str">
        <f>_xll.EPMMemberDesc(K412)</f>
        <v>Current income tax expense</v>
      </c>
      <c r="M412" s="114">
        <v>-728953.19</v>
      </c>
      <c r="N412" s="114">
        <v>-1070286.8700000001</v>
      </c>
      <c r="O412" s="114">
        <v>878328.26</v>
      </c>
      <c r="P412" s="114">
        <v>964241.71</v>
      </c>
      <c r="Q412" s="114">
        <v>-624852.26</v>
      </c>
      <c r="R412" s="114">
        <v>350288.48</v>
      </c>
      <c r="S412" s="114">
        <v>-437557.53</v>
      </c>
      <c r="T412" s="114">
        <v>6820.16</v>
      </c>
      <c r="U412" s="114">
        <v>-823099.85</v>
      </c>
      <c r="V412" s="114">
        <v>-961040.77</v>
      </c>
      <c r="W412" s="114">
        <v>-319458.96000000002</v>
      </c>
      <c r="X412" s="114">
        <v>-1399339.71</v>
      </c>
      <c r="Y412" s="114">
        <v>-299438.95</v>
      </c>
      <c r="Z412" s="114">
        <v>1594822.55</v>
      </c>
      <c r="AA412" s="114">
        <v>-1070286.8700000001</v>
      </c>
    </row>
    <row r="413" spans="10:27" ht="15" customHeight="1" x14ac:dyDescent="0.2">
      <c r="J413" s="100" t="str">
        <f xml:space="preserve"> _xll.EPMOlapMemberO("[COSTCENTER].[PARENTH1].[1001]","","1001","","000")</f>
        <v>1001</v>
      </c>
      <c r="K413" s="162" t="str">
        <f xml:space="preserve"> _xll.EPMOlapMemberO("[C_ACCOUNT].[PARENTH2].[A_8000300]","","A_8000300","","000")</f>
        <v>A_8000300</v>
      </c>
      <c r="L413" s="112" t="str">
        <f>_xll.EPMMemberDesc(K413)</f>
        <v>Federal Income Tax Expense</v>
      </c>
      <c r="M413" s="112">
        <v>-60824.92</v>
      </c>
      <c r="N413" s="112">
        <v>-68564.47</v>
      </c>
      <c r="O413" s="112">
        <v>-10617.07</v>
      </c>
      <c r="P413" s="112">
        <v>377.05</v>
      </c>
      <c r="Q413" s="112">
        <v>-5338.3</v>
      </c>
      <c r="R413" s="112">
        <v>-9843.1299999999992</v>
      </c>
      <c r="S413" s="112">
        <v>-8096.76</v>
      </c>
      <c r="T413" s="112">
        <v>-6489.31</v>
      </c>
      <c r="U413" s="112">
        <v>-2222.64</v>
      </c>
      <c r="V413" s="112">
        <v>-5596.29</v>
      </c>
      <c r="W413" s="112">
        <v>-6231.33</v>
      </c>
      <c r="X413" s="112">
        <v>992.25</v>
      </c>
      <c r="Y413" s="112">
        <v>-4365.8999999999996</v>
      </c>
      <c r="Z413" s="112">
        <v>-11133.04</v>
      </c>
      <c r="AA413" s="112">
        <v>-68564.47</v>
      </c>
    </row>
    <row r="414" spans="10:27" ht="15" customHeight="1" x14ac:dyDescent="0.2">
      <c r="J414" s="100" t="str">
        <f xml:space="preserve"> _xll.EPMOlapMemberO("[COSTCENTER].[PARENTH1].[1001]","","1001","","000")</f>
        <v>1001</v>
      </c>
      <c r="K414" s="162" t="str">
        <f xml:space="preserve"> _xll.EPMOlapMemberO("[C_ACCOUNT].[PARENTH2].[A_8000310]","","A_8000310","","000")</f>
        <v>A_8000310</v>
      </c>
      <c r="L414" s="112" t="str">
        <f>_xll.EPMMemberDesc(K414)</f>
        <v>Federal Income Tax Expense - Above Line</v>
      </c>
      <c r="M414" s="112">
        <v>-171690.05</v>
      </c>
      <c r="N414" s="112">
        <v>-431212.96</v>
      </c>
      <c r="O414" s="112">
        <v>726531.04</v>
      </c>
      <c r="P414" s="112">
        <v>782806.7</v>
      </c>
      <c r="Q414" s="112">
        <v>-455730.07</v>
      </c>
      <c r="R414" s="112">
        <v>312304.77</v>
      </c>
      <c r="S414" s="112">
        <v>-306320.83</v>
      </c>
      <c r="T414" s="112">
        <v>40017.08</v>
      </c>
      <c r="U414" s="112">
        <v>-614072.53</v>
      </c>
      <c r="V414" s="112">
        <v>-718705.89</v>
      </c>
      <c r="W414" s="112">
        <v>-215715.71</v>
      </c>
      <c r="X414" s="112">
        <v>-1068480.1599999999</v>
      </c>
      <c r="Y414" s="112">
        <v>-201905.58</v>
      </c>
      <c r="Z414" s="112">
        <v>1288058.22</v>
      </c>
      <c r="AA414" s="112">
        <v>-431212.96</v>
      </c>
    </row>
    <row r="415" spans="10:27" ht="15" customHeight="1" x14ac:dyDescent="0.2">
      <c r="J415" s="100" t="str">
        <f xml:space="preserve"> _xll.EPMOlapMemberO("[COSTCENTER].[PARENTH1].[1001]","","1001","","000")</f>
        <v>1001</v>
      </c>
      <c r="K415" s="162" t="str">
        <f xml:space="preserve"> _xll.EPMOlapMemberO("[C_ACCOUNT].[PARENTH2].[A_8000400]","","A_8000400","","000")</f>
        <v>A_8000400</v>
      </c>
      <c r="L415" s="112" t="str">
        <f>_xll.EPMMemberDesc(K415)</f>
        <v>State Income Tax Expense</v>
      </c>
      <c r="M415" s="112">
        <v>-16857.5</v>
      </c>
      <c r="N415" s="112">
        <v>-19002.5</v>
      </c>
      <c r="O415" s="112">
        <v>-2942.5</v>
      </c>
      <c r="P415" s="112">
        <v>104.5</v>
      </c>
      <c r="Q415" s="112">
        <v>-1479.5</v>
      </c>
      <c r="R415" s="112">
        <v>-2728</v>
      </c>
      <c r="S415" s="112">
        <v>-2244</v>
      </c>
      <c r="T415" s="112">
        <v>-1798.5</v>
      </c>
      <c r="U415" s="112">
        <v>-616</v>
      </c>
      <c r="V415" s="112">
        <v>-1551</v>
      </c>
      <c r="W415" s="112">
        <v>-1727</v>
      </c>
      <c r="X415" s="112">
        <v>275</v>
      </c>
      <c r="Y415" s="112">
        <v>-1210</v>
      </c>
      <c r="Z415" s="112">
        <v>-3085.5</v>
      </c>
      <c r="AA415" s="112">
        <v>-19002.5</v>
      </c>
    </row>
    <row r="416" spans="10:27" ht="15" customHeight="1" x14ac:dyDescent="0.2">
      <c r="J416" s="100" t="str">
        <f xml:space="preserve"> _xll.EPMOlapMemberO("[COSTCENTER].[PARENTH1].[1001]","","1001","","000")</f>
        <v>1001</v>
      </c>
      <c r="K416" s="162" t="str">
        <f xml:space="preserve"> _xll.EPMOlapMemberO("[C_ACCOUNT].[PARENTH2].[A_8000410]","","A_8000410","","000")</f>
        <v>A_8000410</v>
      </c>
      <c r="L416" s="112" t="str">
        <f>_xll.EPMMemberDesc(K416)</f>
        <v>State Income Tax Expense - Above Line</v>
      </c>
      <c r="M416" s="112">
        <v>-479580.72</v>
      </c>
      <c r="N416" s="112">
        <v>-551506.93999999994</v>
      </c>
      <c r="O416" s="112">
        <v>165356.79</v>
      </c>
      <c r="P416" s="112">
        <v>180953.46</v>
      </c>
      <c r="Q416" s="112">
        <v>-162304.39000000001</v>
      </c>
      <c r="R416" s="112">
        <v>50554.84</v>
      </c>
      <c r="S416" s="112">
        <v>-120895.94</v>
      </c>
      <c r="T416" s="112">
        <v>-24909.11</v>
      </c>
      <c r="U416" s="112">
        <v>-206188.68</v>
      </c>
      <c r="V416" s="112">
        <v>-235187.59</v>
      </c>
      <c r="W416" s="112">
        <v>-95784.92</v>
      </c>
      <c r="X416" s="112">
        <v>-332126.8</v>
      </c>
      <c r="Y416" s="112">
        <v>-91957.47</v>
      </c>
      <c r="Z416" s="112">
        <v>320982.87</v>
      </c>
      <c r="AA416" s="112">
        <v>-551506.93999999994</v>
      </c>
    </row>
    <row r="417" spans="10:27" ht="15" customHeight="1" x14ac:dyDescent="0.2">
      <c r="J417" s="115" t="str">
        <f xml:space="preserve"> _xll.EPMOlapMemberO("[COSTCENTER].[PARENTH1].[1001]","","1001","","000")</f>
        <v>1001</v>
      </c>
      <c r="K417" s="160" t="str">
        <f xml:space="preserve"> _xll.EPMOlapMemberO("[C_ACCOUNT].[PARENTH2].[DEF_IT_EXP_RC]","","DEF_IT_EXP_RC","","000")</f>
        <v>DEF_IT_EXP_RC</v>
      </c>
      <c r="L417" s="115" t="str">
        <f>_xll.EPMMemberDesc(K417)</f>
        <v>Deferred income tax expense</v>
      </c>
      <c r="M417" s="114">
        <v>26698968.829999998</v>
      </c>
      <c r="N417" s="114">
        <v>23535539.239999998</v>
      </c>
      <c r="O417" s="114">
        <v>-1067430.19</v>
      </c>
      <c r="P417" s="114">
        <v>1805847.29</v>
      </c>
      <c r="Q417" s="114">
        <v>3769894.04</v>
      </c>
      <c r="R417" s="114">
        <v>1812433.63</v>
      </c>
      <c r="S417" s="114">
        <v>2035951.21</v>
      </c>
      <c r="T417" s="114">
        <v>2042616.22</v>
      </c>
      <c r="U417" s="114">
        <v>2121295.44</v>
      </c>
      <c r="V417" s="114">
        <v>2186408.98</v>
      </c>
      <c r="W417" s="114">
        <v>2239715.13</v>
      </c>
      <c r="X417" s="114">
        <v>2253586.92</v>
      </c>
      <c r="Y417" s="114">
        <v>2064419.52</v>
      </c>
      <c r="Z417" s="114">
        <v>2270801.0499999998</v>
      </c>
      <c r="AA417" s="114">
        <v>23535539.239999998</v>
      </c>
    </row>
    <row r="418" spans="10:27" ht="15" customHeight="1" x14ac:dyDescent="0.2">
      <c r="J418" s="100" t="str">
        <f xml:space="preserve"> _xll.EPMOlapMemberO("[COSTCENTER].[PARENTH1].[1001]","","1001","","000")</f>
        <v>1001</v>
      </c>
      <c r="K418" s="162" t="str">
        <f xml:space="preserve"> _xll.EPMOlapMemberO("[C_ACCOUNT].[PARENTH2].[A_8010300]","","A_8010300","","000")</f>
        <v>A_8010300</v>
      </c>
      <c r="L418" s="112" t="str">
        <f>_xll.EPMMemberDesc(K418)</f>
        <v>Deferred Federal Income Tax Exp</v>
      </c>
      <c r="M418" s="112">
        <v>20962784.960000001</v>
      </c>
      <c r="N418" s="112">
        <v>17786964.07</v>
      </c>
      <c r="O418" s="112">
        <v>-1578975.73</v>
      </c>
      <c r="P418" s="112">
        <v>1389779.84</v>
      </c>
      <c r="Q418" s="112">
        <v>2867626.05</v>
      </c>
      <c r="R418" s="112">
        <v>1394936.91</v>
      </c>
      <c r="S418" s="112">
        <v>1569949.99</v>
      </c>
      <c r="T418" s="112">
        <v>1793984.04</v>
      </c>
      <c r="U418" s="112">
        <v>1636774.08</v>
      </c>
      <c r="V418" s="112">
        <v>1687757.62</v>
      </c>
      <c r="W418" s="112">
        <v>1732272.36</v>
      </c>
      <c r="X418" s="112">
        <v>1740357.55</v>
      </c>
      <c r="Y418" s="112">
        <v>1592240.54</v>
      </c>
      <c r="Z418" s="112">
        <v>1960260.82</v>
      </c>
      <c r="AA418" s="112">
        <v>17786964.07</v>
      </c>
    </row>
    <row r="419" spans="10:27" ht="15" customHeight="1" x14ac:dyDescent="0.2">
      <c r="J419" s="100" t="str">
        <f xml:space="preserve"> _xll.EPMOlapMemberO("[COSTCENTER].[PARENTH1].[1001]","","1001","","000")</f>
        <v>1001</v>
      </c>
      <c r="K419" s="162" t="str">
        <f xml:space="preserve"> _xll.EPMOlapMemberO("[C_ACCOUNT].[PARENTH2].[A_8010400]","","A_8010400","","000")</f>
        <v>A_8010400</v>
      </c>
      <c r="L419" s="112" t="str">
        <f>_xll.EPMMemberDesc(K419)</f>
        <v>Deferred State Income Tax Exp</v>
      </c>
      <c r="M419" s="112">
        <v>5736183.8700000001</v>
      </c>
      <c r="N419" s="112">
        <v>5748575.1699999999</v>
      </c>
      <c r="O419" s="112">
        <v>511545.54</v>
      </c>
      <c r="P419" s="112">
        <v>416067.45</v>
      </c>
      <c r="Q419" s="112">
        <v>902267.99</v>
      </c>
      <c r="R419" s="112">
        <v>417496.72</v>
      </c>
      <c r="S419" s="112">
        <v>466001.22</v>
      </c>
      <c r="T419" s="112">
        <v>248632.18</v>
      </c>
      <c r="U419" s="112">
        <v>484521.36</v>
      </c>
      <c r="V419" s="112">
        <v>498651.36</v>
      </c>
      <c r="W419" s="112">
        <v>507442.77</v>
      </c>
      <c r="X419" s="112">
        <v>513229.37</v>
      </c>
      <c r="Y419" s="112">
        <v>472178.98</v>
      </c>
      <c r="Z419" s="112">
        <v>310540.23</v>
      </c>
      <c r="AA419" s="112">
        <v>5748575.1699999999</v>
      </c>
    </row>
    <row r="420" spans="10:27" ht="15" customHeight="1" x14ac:dyDescent="0.2">
      <c r="J420" s="115" t="str">
        <f xml:space="preserve"> _xll.EPMOlapMemberO("[COSTCENTER].[PARENTH1].[1001]","","1001","","000")</f>
        <v>1001</v>
      </c>
      <c r="K420" s="160" t="str">
        <f xml:space="preserve"> _xll.EPMOlapMemberO("[C_ACCOUNT].[PARENTH2].[AMORT_IT_CR]","","AMORT_IT_CR","","000")</f>
        <v>AMORT_IT_CR</v>
      </c>
      <c r="L420" s="115" t="str">
        <f>_xll.EPMMemberDesc(K420)</f>
        <v>Amortization of investment tax credits</v>
      </c>
      <c r="M420" s="114">
        <v>0</v>
      </c>
      <c r="N420" s="114">
        <v>3313258</v>
      </c>
      <c r="O420" s="114">
        <v>3313258</v>
      </c>
      <c r="P420" s="114">
        <v>0</v>
      </c>
      <c r="Q420" s="114">
        <v>0</v>
      </c>
      <c r="R420" s="114">
        <v>0</v>
      </c>
      <c r="S420" s="114">
        <v>0</v>
      </c>
      <c r="T420" s="114">
        <v>0</v>
      </c>
      <c r="U420" s="114">
        <v>0</v>
      </c>
      <c r="V420" s="114">
        <v>0</v>
      </c>
      <c r="W420" s="114">
        <v>0</v>
      </c>
      <c r="X420" s="114">
        <v>0</v>
      </c>
      <c r="Y420" s="114">
        <v>0</v>
      </c>
      <c r="Z420" s="114">
        <v>0</v>
      </c>
      <c r="AA420" s="114">
        <v>3313258</v>
      </c>
    </row>
    <row r="421" spans="10:27" ht="15" customHeight="1" x14ac:dyDescent="0.2">
      <c r="J421" s="100" t="str">
        <f xml:space="preserve"> _xll.EPMOlapMemberO("[COSTCENTER].[PARENTH1].[1001]","","1001","","000")</f>
        <v>1001</v>
      </c>
      <c r="K421" s="162" t="str">
        <f xml:space="preserve"> _xll.EPMOlapMemberO("[C_ACCOUNT].[PARENTH2].[A_8010600]","","A_8010600","","000")</f>
        <v>A_8010600</v>
      </c>
      <c r="L421" s="112" t="str">
        <f>_xll.EPMMemberDesc(K421)</f>
        <v>Investment Tax Credit Amort - Utility</v>
      </c>
      <c r="M421" s="112">
        <v>0</v>
      </c>
      <c r="N421" s="112">
        <v>3313258</v>
      </c>
      <c r="O421" s="112">
        <v>3313258</v>
      </c>
      <c r="P421" s="112">
        <v>0</v>
      </c>
      <c r="Q421" s="112">
        <v>0</v>
      </c>
      <c r="R421" s="112">
        <v>0</v>
      </c>
      <c r="S421" s="112">
        <v>0</v>
      </c>
      <c r="T421" s="112">
        <v>0</v>
      </c>
      <c r="U421" s="112">
        <v>0</v>
      </c>
      <c r="V421" s="112">
        <v>0</v>
      </c>
      <c r="W421" s="112">
        <v>0</v>
      </c>
      <c r="X421" s="112">
        <v>0</v>
      </c>
      <c r="Y421" s="112">
        <v>0</v>
      </c>
      <c r="Z421" s="112">
        <v>0</v>
      </c>
      <c r="AA421" s="112">
        <v>3313258</v>
      </c>
    </row>
  </sheetData>
  <sheetProtection algorithmName="SHA-512" hashValue="8EF6awwV0isKCJVJB0pEMxKljXJ5Zy9lBwDlY5rzbKgR//23o5QO/53Nnd03z0UKfzQz1chdrVZSdP0DEWE/pA==" saltValue="jc0V4fU/ooOHWBvSDhV3Yg==" spinCount="100000" sheet="1" objects="1" scenarios="1" formatCells="0" formatColumns="0" formatRows="0" deleteRows="0"/>
  <conditionalFormatting sqref="L4:Z4 G28">
    <cfRule type="expression" dxfId="2" priority="411">
      <formula>#REF!="Y"</formula>
    </cfRule>
  </conditionalFormatting>
  <conditionalFormatting sqref="L4:Z4">
    <cfRule type="expression" dxfId="1" priority="409">
      <formula>#REF!="E"</formula>
    </cfRule>
    <cfRule type="expression" dxfId="0" priority="410">
      <formula>#REF!="Y"</formula>
    </cfRule>
  </conditionalFormatting>
  <dataValidations count="2">
    <dataValidation type="list" allowBlank="1" showInputMessage="1" showErrorMessage="1" sqref="L25" xr:uid="{00000000-0002-0000-0100-000000000000}">
      <formula1>$I$1:$I$3</formula1>
    </dataValidation>
    <dataValidation type="list" allowBlank="1" showInputMessage="1" showErrorMessage="1" sqref="L21" xr:uid="{00000000-0002-0000-0100-000001000000}">
      <formula1>$G$1:$G$5</formula1>
    </dataValidation>
  </dataValidations>
  <pageMargins left="0.25" right="0.25" top="0.75" bottom="0.75" header="0.3" footer="0.3"/>
  <pageSetup paperSize="3" scale="52" fitToHeight="0" orientation="landscape" r:id="rId1"/>
  <headerFooter>
    <oddFooter>&amp;L&amp;F&amp;C&amp;P</oddFooter>
  </headerFooter>
  <customProperties>
    <customPr name="CofWorksheetType" r:id="rId2"/>
    <customPr name="EpmWorksheetKeyString_GUID" r:id="rId3"/>
    <customPr name="FPMExcelClientCellBasedFunctionStatus" r:id="rId4"/>
    <customPr name="FPMExcelClientRefreshTime" r:id="rId5"/>
  </customProperties>
  <drawing r:id="rId6"/>
  <legacyDrawing r:id="rId7"/>
  <controls>
    <mc:AlternateContent xmlns:mc="http://schemas.openxmlformats.org/markup-compatibility/2006">
      <mc:Choice Requires="x14">
        <control shapeId="2068" r:id="rId8" name="CheckBox3">
          <controlPr defaultSize="0" autoLine="0" linkedCell="D14" r:id="rId9">
            <anchor moveWithCells="1">
              <from>
                <xdr:col>10</xdr:col>
                <xdr:colOff>2943225</xdr:colOff>
                <xdr:row>19</xdr:row>
                <xdr:rowOff>57150</xdr:rowOff>
              </from>
              <to>
                <xdr:col>11</xdr:col>
                <xdr:colOff>971550</xdr:colOff>
                <xdr:row>19</xdr:row>
                <xdr:rowOff>400050</xdr:rowOff>
              </to>
            </anchor>
          </controlPr>
        </control>
      </mc:Choice>
      <mc:Fallback>
        <control shapeId="2068" r:id="rId8" name="CheckBox3"/>
      </mc:Fallback>
    </mc:AlternateContent>
    <mc:AlternateContent xmlns:mc="http://schemas.openxmlformats.org/markup-compatibility/2006">
      <mc:Choice Requires="x14">
        <control shapeId="2067" r:id="rId10" name="CheckBox2">
          <controlPr defaultSize="0" autoLine="0" autoPict="0" linkedCell="G7" r:id="rId11">
            <anchor moveWithCells="1">
              <from>
                <xdr:col>11</xdr:col>
                <xdr:colOff>942975</xdr:colOff>
                <xdr:row>19</xdr:row>
                <xdr:rowOff>38100</xdr:rowOff>
              </from>
              <to>
                <xdr:col>14</xdr:col>
                <xdr:colOff>0</xdr:colOff>
                <xdr:row>19</xdr:row>
                <xdr:rowOff>438150</xdr:rowOff>
              </to>
            </anchor>
          </controlPr>
        </control>
      </mc:Choice>
      <mc:Fallback>
        <control shapeId="2067" r:id="rId10" name="CheckBox2"/>
      </mc:Fallback>
    </mc:AlternateContent>
    <mc:AlternateContent xmlns:mc="http://schemas.openxmlformats.org/markup-compatibility/2006">
      <mc:Choice Requires="x14">
        <control shapeId="2053" r:id="rId12" name="CustomMemberDispatchertb1">
          <controlPr defaultSize="0" autoLine="0" autoPict="0" r:id="rId13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981075</xdr:colOff>
                <xdr:row>19</xdr:row>
                <xdr:rowOff>0</xdr:rowOff>
              </to>
            </anchor>
          </controlPr>
        </control>
      </mc:Choice>
      <mc:Fallback>
        <control shapeId="2053" r:id="rId12" name="CustomMemberDispatchertb1"/>
      </mc:Fallback>
    </mc:AlternateContent>
    <mc:AlternateContent xmlns:mc="http://schemas.openxmlformats.org/markup-compatibility/2006">
      <mc:Choice Requires="x14">
        <control shapeId="2052" r:id="rId14" name="AnalyzerDynReport000tb1">
          <controlPr defaultSize="0" autoLine="0" autoPict="0" r:id="rId15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981075</xdr:colOff>
                <xdr:row>19</xdr:row>
                <xdr:rowOff>0</xdr:rowOff>
              </to>
            </anchor>
          </controlPr>
        </control>
      </mc:Choice>
      <mc:Fallback>
        <control shapeId="2052" r:id="rId14" name="AnalyzerDynReport000tb1"/>
      </mc:Fallback>
    </mc:AlternateContent>
    <mc:AlternateContent xmlns:mc="http://schemas.openxmlformats.org/markup-compatibility/2006">
      <mc:Choice Requires="x14">
        <control shapeId="2051" r:id="rId16" name="MultipleReportManagerInfotb1">
          <controlPr defaultSize="0" autoLine="0" autoPict="0" r:id="rId17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981075</xdr:colOff>
                <xdr:row>19</xdr:row>
                <xdr:rowOff>0</xdr:rowOff>
              </to>
            </anchor>
          </controlPr>
        </control>
      </mc:Choice>
      <mc:Fallback>
        <control shapeId="2051" r:id="rId16" name="MultipleReportManagerInfotb1"/>
      </mc:Fallback>
    </mc:AlternateContent>
    <mc:AlternateContent xmlns:mc="http://schemas.openxmlformats.org/markup-compatibility/2006">
      <mc:Choice Requires="x14">
        <control shapeId="2050" r:id="rId18" name="ConnectionDescriptorsInfotb1">
          <controlPr defaultSize="0" autoLine="0" autoPict="0" r:id="rId19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981075</xdr:colOff>
                <xdr:row>19</xdr:row>
                <xdr:rowOff>0</xdr:rowOff>
              </to>
            </anchor>
          </controlPr>
        </control>
      </mc:Choice>
      <mc:Fallback>
        <control shapeId="2050" r:id="rId18" name="ConnectionDescriptorsInfotb1"/>
      </mc:Fallback>
    </mc:AlternateContent>
    <mc:AlternateContent xmlns:mc="http://schemas.openxmlformats.org/markup-compatibility/2006">
      <mc:Choice Requires="x14">
        <control shapeId="2049" r:id="rId20" name="FPMExcelClientSheetOptionstb1">
          <controlPr defaultSize="0" autoLine="0" autoPict="0" r:id="rId21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981075</xdr:colOff>
                <xdr:row>19</xdr:row>
                <xdr:rowOff>0</xdr:rowOff>
              </to>
            </anchor>
          </controlPr>
        </control>
      </mc:Choice>
      <mc:Fallback>
        <control shapeId="2049" r:id="rId20" name="FPMExcelClientSheetOptionstb1"/>
      </mc:Fallback>
    </mc:AlternateContent>
    <mc:AlternateContent xmlns:mc="http://schemas.openxmlformats.org/markup-compatibility/2006">
      <mc:Choice Requires="x14">
        <control shapeId="2073" r:id="rId22" name="CheckBox1">
          <controlPr defaultSize="0" autoLine="0" linkedCell="C1" r:id="rId23">
            <anchor moveWithCells="1">
              <from>
                <xdr:col>10</xdr:col>
                <xdr:colOff>1514475</xdr:colOff>
                <xdr:row>19</xdr:row>
                <xdr:rowOff>57150</xdr:rowOff>
              </from>
              <to>
                <xdr:col>10</xdr:col>
                <xdr:colOff>2743200</xdr:colOff>
                <xdr:row>19</xdr:row>
                <xdr:rowOff>400050</xdr:rowOff>
              </to>
            </anchor>
          </controlPr>
        </control>
      </mc:Choice>
      <mc:Fallback>
        <control shapeId="2073" r:id="rId22" name="CheckBox1"/>
      </mc:Fallback>
    </mc:AlternateContent>
    <mc:AlternateContent xmlns:mc="http://schemas.openxmlformats.org/markup-compatibility/2006">
      <mc:Choice Requires="x14">
        <control shapeId="2056" r:id="rId24" name="Drop Down 8">
          <controlPr locked="0" defaultSize="0" autoLine="0" autoPict="0">
            <anchor>
              <from>
                <xdr:col>14</xdr:col>
                <xdr:colOff>133350</xdr:colOff>
                <xdr:row>24</xdr:row>
                <xdr:rowOff>161925</xdr:rowOff>
              </from>
              <to>
                <xdr:col>15</xdr:col>
                <xdr:colOff>190500</xdr:colOff>
                <xdr:row>25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0" r:id="rId25" name="Drop Down 22">
          <controlPr locked="0" defaultSize="0" autoLine="0" autoPict="0">
            <anchor>
              <from>
                <xdr:col>14</xdr:col>
                <xdr:colOff>104775</xdr:colOff>
                <xdr:row>19</xdr:row>
                <xdr:rowOff>371475</xdr:rowOff>
              </from>
              <to>
                <xdr:col>15</xdr:col>
                <xdr:colOff>190500</xdr:colOff>
                <xdr:row>20</xdr:row>
                <xdr:rowOff>104775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Application xmlns="http://www.sap.com/cof/excel/application">
  <Version>2</Version>
  <Revision>2.5.200.73632</Revision>
</Applicatio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4285B9-B852-4740-976D-DDFE5686F3FC}"/>
</file>

<file path=customXml/itemProps2.xml><?xml version="1.0" encoding="utf-8"?>
<ds:datastoreItem xmlns:ds="http://schemas.openxmlformats.org/officeDocument/2006/customXml" ds:itemID="{2681F6E2-1DAD-42A3-B28B-87A1D814EF20}"/>
</file>

<file path=customXml/itemProps3.xml><?xml version="1.0" encoding="utf-8"?>
<ds:datastoreItem xmlns:ds="http://schemas.openxmlformats.org/officeDocument/2006/customXml" ds:itemID="{103DE569-A73A-4A20-99E6-A633F9B509C1}"/>
</file>

<file path=customXml/itemProps4.xml><?xml version="1.0" encoding="utf-8"?>
<ds:datastoreItem xmlns:ds="http://schemas.openxmlformats.org/officeDocument/2006/customXml" ds:itemID="{1139C418-0820-4478-989B-7DCB7A9249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EPMFormattingSheet</vt:lpstr>
      <vt:lpstr>INCOME_STATEMENT</vt:lpstr>
      <vt:lpstr>INCOME_STATEMENT!Print_Titles</vt:lpstr>
      <vt:lpstr>SUPRESS</vt:lpstr>
      <vt:lpstr>SUPRESS2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Kurumeti, Purnima</dc:creator>
  <cp:lastModifiedBy>Dowley, Thomas J.</cp:lastModifiedBy>
  <cp:lastPrinted>2018-07-25T15:30:58Z</cp:lastPrinted>
  <dcterms:created xsi:type="dcterms:W3CDTF">2017-05-24T17:41:36Z</dcterms:created>
  <dcterms:modified xsi:type="dcterms:W3CDTF">2023-02-07T19:53:24Z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2023-02-07T19:52:04Z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95ce0088-9905-43e6-9b5d-5d46e66e07a9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  <property fmtid="{D5CDD505-2E9C-101B-9397-08002B2CF9AE}" pid="10" name="Order">
    <vt:r8>50900</vt:r8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_CopySource">
    <vt:lpwstr>https://caseworksprd.tec.net/1347/RachelParsons_DirectTestimony/Library/Final Supporting Workpapers/2023 BPC IS RECON 2-7-23.xlsx</vt:lpwstr>
  </property>
</Properties>
</file>