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.tec.net/1347/RachelParsons_DirectTestimony/Library/Final Supporting Workpapers/"/>
    </mc:Choice>
  </mc:AlternateContent>
  <xr:revisionPtr revIDLastSave="0" documentId="13_ncr:1_{8A836F7C-7A48-4F3E-B356-D1AEB9EB16D0}" xr6:coauthVersionLast="47" xr6:coauthVersionMax="47" xr10:uidLastSave="{00000000-0000-0000-0000-000000000000}"/>
  <bookViews>
    <workbookView xWindow="-108" yWindow="-108" windowWidth="23256" windowHeight="12576" xr2:uid="{426E0C12-19C8-4A98-8A99-B4DEC6919968}"/>
  </bookViews>
  <sheets>
    <sheet name="Combined Rate" sheetId="2" r:id="rId1"/>
    <sheet name="Budget Account Detai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2" l="1"/>
  <c r="D23" i="2"/>
  <c r="N3" i="3"/>
  <c r="M3" i="3"/>
  <c r="L3" i="3"/>
  <c r="K3" i="3"/>
  <c r="J3" i="3"/>
  <c r="I3" i="3"/>
  <c r="H3" i="3"/>
  <c r="G3" i="3"/>
  <c r="F3" i="3"/>
  <c r="E3" i="3"/>
  <c r="D3" i="3"/>
  <c r="C3" i="3"/>
  <c r="C6" i="3" s="1"/>
  <c r="D6" i="3" l="1"/>
  <c r="E6" i="3" s="1"/>
  <c r="F6" i="3" s="1"/>
  <c r="G6" i="3" s="1"/>
  <c r="H6" i="3" s="1"/>
  <c r="I6" i="3" s="1"/>
  <c r="J6" i="3" s="1"/>
  <c r="K6" i="3" s="1"/>
  <c r="L6" i="3" s="1"/>
  <c r="M6" i="3" s="1"/>
  <c r="N6" i="3" s="1"/>
  <c r="D21" i="2"/>
  <c r="D20" i="2"/>
  <c r="D17" i="2"/>
  <c r="D16" i="2"/>
  <c r="E22" i="2"/>
  <c r="N8" i="3" l="1"/>
  <c r="N10" i="3"/>
  <c r="N9" i="3"/>
  <c r="D22" i="2"/>
  <c r="D19" i="2"/>
  <c r="G21" i="2" s="1"/>
  <c r="AN4" i="3" l="1"/>
  <c r="AJ4" i="3"/>
  <c r="AF4" i="3"/>
  <c r="AM4" i="3"/>
  <c r="AI4" i="3"/>
  <c r="AE4" i="3"/>
  <c r="AL4" i="3"/>
  <c r="AH4" i="3"/>
  <c r="AD4" i="3"/>
  <c r="AK4" i="3"/>
  <c r="AG4" i="3"/>
  <c r="AC4" i="3"/>
  <c r="BA4" i="3"/>
  <c r="AW4" i="3"/>
  <c r="AS4" i="3"/>
  <c r="AZ4" i="3"/>
  <c r="AV4" i="3"/>
  <c r="AR4" i="3"/>
  <c r="AY4" i="3"/>
  <c r="AU4" i="3"/>
  <c r="AQ4" i="3"/>
  <c r="AX4" i="3"/>
  <c r="AT4" i="3"/>
  <c r="AP4" i="3"/>
  <c r="AA4" i="3"/>
  <c r="W4" i="3"/>
  <c r="S4" i="3"/>
  <c r="P4" i="3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Z4" i="3"/>
  <c r="V4" i="3"/>
  <c r="R4" i="3"/>
  <c r="Y4" i="3"/>
  <c r="U4" i="3"/>
  <c r="Q4" i="3"/>
  <c r="X4" i="3"/>
  <c r="T4" i="3"/>
  <c r="N11" i="3"/>
  <c r="G23" i="2"/>
  <c r="G8" i="2"/>
  <c r="D25" i="2"/>
  <c r="F8" i="2"/>
  <c r="AC6" i="3" l="1"/>
  <c r="AD6" i="3" s="1"/>
  <c r="AE6" i="3" s="1"/>
  <c r="AF6" i="3" s="1"/>
  <c r="AG6" i="3" s="1"/>
  <c r="AH6" i="3" s="1"/>
  <c r="AI6" i="3" s="1"/>
  <c r="AJ6" i="3" s="1"/>
  <c r="AK6" i="3" s="1"/>
  <c r="AL6" i="3" s="1"/>
  <c r="AM6" i="3" s="1"/>
  <c r="AN6" i="3" s="1"/>
  <c r="AA8" i="3"/>
  <c r="G22" i="2"/>
  <c r="F7" i="2"/>
  <c r="F9" i="2" s="1"/>
  <c r="F11" i="2" s="1"/>
  <c r="G7" i="2"/>
  <c r="G9" i="2" s="1"/>
  <c r="G11" i="2" s="1"/>
  <c r="AP6" i="3" l="1"/>
  <c r="AQ6" i="3" s="1"/>
  <c r="AR6" i="3" s="1"/>
  <c r="AS6" i="3" s="1"/>
  <c r="AT6" i="3" s="1"/>
  <c r="AU6" i="3" s="1"/>
  <c r="AV6" i="3" s="1"/>
  <c r="AW6" i="3" s="1"/>
  <c r="AX6" i="3" s="1"/>
  <c r="AY6" i="3" s="1"/>
  <c r="AZ6" i="3" s="1"/>
  <c r="BA6" i="3" s="1"/>
  <c r="BA8" i="3" s="1"/>
  <c r="AN8" i="3"/>
</calcChain>
</file>

<file path=xl/sharedStrings.xml><?xml version="1.0" encoding="utf-8"?>
<sst xmlns="http://schemas.openxmlformats.org/spreadsheetml/2006/main" count="84" uniqueCount="46">
  <si>
    <t>Peoples Gas System</t>
  </si>
  <si>
    <t>Florida State Income Tax Rate Change</t>
  </si>
  <si>
    <t>Estimated Annual Revenue Requirement Difference</t>
  </si>
  <si>
    <t xml:space="preserve">Florida State Rate </t>
  </si>
  <si>
    <t>Impact of New Rate</t>
  </si>
  <si>
    <t>Effective Tax Rate Gross-up Factor</t>
  </si>
  <si>
    <t>Tax</t>
  </si>
  <si>
    <t xml:space="preserve"> </t>
  </si>
  <si>
    <t>2023 Budget</t>
  </si>
  <si>
    <t>Perms</t>
  </si>
  <si>
    <t>Net</t>
  </si>
  <si>
    <t>Change in Rate</t>
  </si>
  <si>
    <t>Gross Up (new rates)</t>
  </si>
  <si>
    <t>Grossed Up</t>
  </si>
  <si>
    <t>2023 NOI per SR</t>
  </si>
  <si>
    <t>FPSC Adjustments</t>
  </si>
  <si>
    <t>Net Operating Income at Former 4.458% Tax Rate</t>
  </si>
  <si>
    <t>Net Operating Income at New 5.5% Tax Rate</t>
  </si>
  <si>
    <t>2023 SR</t>
  </si>
  <si>
    <t>Net NOI at Former Rate</t>
  </si>
  <si>
    <t>23 Surv Report</t>
  </si>
  <si>
    <t>2023 Fed/State Rate</t>
  </si>
  <si>
    <t>2020 Rate Case Fed/State Rate</t>
  </si>
  <si>
    <t>Fed / State Tax</t>
  </si>
  <si>
    <t>Additional Tax</t>
  </si>
  <si>
    <t>per Surveillance Report Jan 24 2023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</si>
  <si>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</si>
  <si>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</si>
  <si>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</si>
  <si>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</si>
  <si>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</si>
  <si>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</si>
  <si>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</si>
  <si>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</si>
  <si>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</si>
  <si>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</si>
  <si>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</si>
  <si>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</si>
  <si>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A_4074212</t>
  </si>
  <si>
    <t>REG CR Tax Reform</t>
  </si>
  <si>
    <t>A_4073212</t>
  </si>
  <si>
    <t>REG DR Tax Reform</t>
  </si>
  <si>
    <t>A_1823612</t>
  </si>
  <si>
    <t>Oth Reg Asset-Deferred Tax Reform Impact Current</t>
  </si>
  <si>
    <t>Amortize over 3 years</t>
  </si>
  <si>
    <t>Revenue Requirement Change (increase)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</si>
</sst>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.0000_);_(* \(#,##0.0000\);_(* &quot;-&quot;??_);_(@_)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0" borderId="0" xfId="0" applyNumberFormat="1"/>
    <xf numFmtId="165" fontId="0" fillId="0" borderId="1" xfId="2" applyNumberFormat="1" applyFont="1" applyBorder="1"/>
    <xf numFmtId="165" fontId="0" fillId="0" borderId="2" xfId="2" applyNumberFormat="1" applyFont="1" applyBorder="1"/>
    <xf numFmtId="0" fontId="4" fillId="0" borderId="0" xfId="0" applyFont="1"/>
    <xf numFmtId="164" fontId="0" fillId="0" borderId="2" xfId="3" applyNumberFormat="1" applyFont="1" applyBorder="1"/>
    <xf numFmtId="0" fontId="2" fillId="0" borderId="0" xfId="0" applyFont="1"/>
    <xf numFmtId="166" fontId="0" fillId="0" borderId="1" xfId="1" applyNumberFormat="1" applyFont="1" applyBorder="1"/>
    <xf numFmtId="164" fontId="0" fillId="0" borderId="0" xfId="3" applyNumberFormat="1" applyFont="1"/>
    <xf numFmtId="164" fontId="0" fillId="0" borderId="1" xfId="3" applyNumberFormat="1" applyFont="1" applyBorder="1"/>
    <xf numFmtId="167" fontId="0" fillId="0" borderId="2" xfId="3" applyNumberFormat="1" applyFont="1" applyBorder="1"/>
    <xf numFmtId="164" fontId="0" fillId="0" borderId="1" xfId="3" applyNumberFormat="1" applyFont="1" applyFill="1" applyBorder="1"/>
    <xf numFmtId="165" fontId="0" fillId="0" borderId="2" xfId="0" applyNumberFormat="1" applyBorder="1"/>
    <xf numFmtId="165" fontId="1" fillId="0" borderId="0" xfId="2" applyNumberFormat="1" applyFont="1"/>
    <xf numFmtId="165" fontId="1" fillId="0" borderId="2" xfId="2" applyNumberFormat="1" applyFont="1" applyBorder="1"/>
    <xf numFmtId="165" fontId="5" fillId="0" borderId="0" xfId="2" applyNumberFormat="1" applyFont="1" applyBorder="1"/>
    <xf numFmtId="165" fontId="0" fillId="0" borderId="2" xfId="2" applyNumberFormat="1" applyFont="1" applyFill="1" applyBorder="1"/>
    <xf numFmtId="166" fontId="0" fillId="0" borderId="1" xfId="1" applyNumberFormat="1" applyFont="1" applyFill="1" applyBorder="1"/>
    <xf numFmtId="164" fontId="0" fillId="0" borderId="2" xfId="3" applyNumberFormat="1" applyFont="1" applyFill="1" applyBorder="1"/>
    <xf numFmtId="165" fontId="0" fillId="0" borderId="0" xfId="2" applyNumberFormat="1" applyFont="1" applyFill="1"/>
    <xf numFmtId="165" fontId="0" fillId="0" borderId="1" xfId="2" applyNumberFormat="1" applyFont="1" applyFill="1" applyBorder="1"/>
    <xf numFmtId="43" fontId="0" fillId="0" borderId="0" xfId="1" applyFont="1"/>
    <xf numFmtId="43" fontId="2" fillId="0" borderId="0" xfId="1" applyFont="1"/>
    <xf numFmtId="43" fontId="0" fillId="0" borderId="0" xfId="0" applyNumberFormat="1"/>
    <xf numFmtId="43" fontId="0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/>
    <xf numFmtId="165" fontId="1" fillId="0" borderId="0" xfId="2" applyNumberFormat="1" applyFont="1" applyFill="1"/>
    <xf numFmtId="164" fontId="0" fillId="0" borderId="0" xfId="3" applyNumberFormat="1" applyFont="1" applyFill="1"/>
    <xf numFmtId="0" fontId="5" fillId="0" borderId="0" xfId="1" applyNumberFormat="1" applyFont="1" applyFill="1"/>
    <xf numFmtId="49" fontId="5" fillId="0" borderId="0" xfId="1" applyNumberFormat="1" applyFont="1" applyFill="1"/>
    <xf numFmtId="0" fontId="5" fillId="0" borderId="0" xfId="0" applyFont="1" applyFill="1"/>
  </cellXfs>
  <cellStyles count="5">
    <cellStyle name="Comma" xfId="1" builtinId="3"/>
    <cellStyle name="Currency" xfId="2" builtinId="4"/>
    <cellStyle name="Normal" xfId="0" builtinId="0"/>
    <cellStyle name="Normal 11" xfId="4" xr:uid="{8939E2CA-5B09-40AF-9DC1-F02A1F2046F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038CD-1046-427A-BFD7-C1254B7AF2B7}">
  <dimension ref="A1:Z28"/>
  <sheetViews>
    <sheetView tabSelected="1" workbookViewId="0">
      <selection activeCell="D17" sqref="D17"/>
    </sheetView>
  </sheetViews>
  <sheetFormatPr defaultRowHeight="14.4" x14ac:dyDescent="0.3"/>
  <cols>
    <col min="3" max="3" width="16.5546875" customWidth="1"/>
    <col min="4" max="4" width="18.21875" customWidth="1"/>
    <col min="6" max="6" width="22.21875" hidden="1" customWidth="1"/>
    <col min="7" max="7" width="20.44140625" customWidth="1"/>
    <col min="8" max="8" width="15.77734375" customWidth="1"/>
    <col min="24" max="24" width="14.77734375" customWidth="1"/>
    <col min="25" max="25" width="15.5546875" customWidth="1"/>
    <col min="26" max="26" width="14.77734375" customWidth="1"/>
  </cols>
  <sheetData>
    <row r="1" spans="1:26" x14ac:dyDescent="0.3">
      <c r="A1" s="8" t="s">
        <v>0</v>
      </c>
      <c r="B1" s="8"/>
      <c r="D1" s="8"/>
      <c r="E1" s="8"/>
      <c r="F1" s="8"/>
    </row>
    <row r="2" spans="1:26" x14ac:dyDescent="0.3">
      <c r="A2" s="8" t="s">
        <v>1</v>
      </c>
      <c r="C2" s="8"/>
      <c r="D2" s="8"/>
      <c r="E2" s="8"/>
      <c r="F2" s="8"/>
    </row>
    <row r="3" spans="1:26" x14ac:dyDescent="0.3">
      <c r="A3" s="8" t="s">
        <v>2</v>
      </c>
      <c r="B3" s="8"/>
      <c r="C3" s="8"/>
      <c r="D3" s="8"/>
      <c r="E3" s="8"/>
      <c r="F3" s="8"/>
    </row>
    <row r="5" spans="1:26" x14ac:dyDescent="0.3">
      <c r="F5" s="1" t="s">
        <v>8</v>
      </c>
      <c r="G5" s="1" t="s">
        <v>18</v>
      </c>
    </row>
    <row r="6" spans="1:26" x14ac:dyDescent="0.3">
      <c r="A6" t="s">
        <v>3</v>
      </c>
      <c r="F6" s="7">
        <v>5.5E-2</v>
      </c>
      <c r="G6" s="20">
        <v>5.5E-2</v>
      </c>
    </row>
    <row r="7" spans="1:26" x14ac:dyDescent="0.3">
      <c r="A7" t="s">
        <v>16</v>
      </c>
      <c r="F7" s="2" t="e">
        <f>+#REF!</f>
        <v>#REF!</v>
      </c>
      <c r="G7" s="21">
        <f>+G23</f>
        <v>106689538.41549161</v>
      </c>
      <c r="H7" s="2"/>
      <c r="X7" s="6"/>
      <c r="Y7" s="6"/>
      <c r="Z7" s="6"/>
    </row>
    <row r="8" spans="1:26" x14ac:dyDescent="0.3">
      <c r="A8" t="s">
        <v>17</v>
      </c>
      <c r="F8" s="4" t="e">
        <f>+#REF!</f>
        <v>#REF!</v>
      </c>
      <c r="G8" s="22">
        <f>+D19</f>
        <v>105818462</v>
      </c>
      <c r="H8" s="2"/>
    </row>
    <row r="9" spans="1:26" x14ac:dyDescent="0.3">
      <c r="A9" t="s">
        <v>4</v>
      </c>
      <c r="F9" s="2" t="e">
        <f>+F8-F7</f>
        <v>#REF!</v>
      </c>
      <c r="G9" s="21">
        <f>+G8-G7</f>
        <v>-871076.41549161077</v>
      </c>
      <c r="H9" s="2"/>
    </row>
    <row r="10" spans="1:26" x14ac:dyDescent="0.3">
      <c r="A10" t="s">
        <v>5</v>
      </c>
      <c r="F10" s="9">
        <v>1.3394999999999999</v>
      </c>
      <c r="G10" s="19">
        <v>1.3394999999999999</v>
      </c>
      <c r="H10" s="2"/>
    </row>
    <row r="11" spans="1:26" x14ac:dyDescent="0.3">
      <c r="A11" t="s">
        <v>45</v>
      </c>
      <c r="F11" s="18" t="e">
        <f>+F9*F10</f>
        <v>#REF!</v>
      </c>
      <c r="G11" s="18">
        <f>+G9*G10</f>
        <v>-1166806.8585510126</v>
      </c>
      <c r="H11" s="2"/>
    </row>
    <row r="12" spans="1:26" x14ac:dyDescent="0.3">
      <c r="F12" s="2"/>
      <c r="G12" s="21"/>
      <c r="H12" s="2"/>
    </row>
    <row r="13" spans="1:26" x14ac:dyDescent="0.3">
      <c r="F13" s="2"/>
      <c r="G13" s="21"/>
      <c r="H13" s="2"/>
    </row>
    <row r="14" spans="1:26" x14ac:dyDescent="0.3">
      <c r="C14" s="2"/>
    </row>
    <row r="15" spans="1:26" x14ac:dyDescent="0.3">
      <c r="D15" s="1" t="s">
        <v>20</v>
      </c>
    </row>
    <row r="16" spans="1:26" x14ac:dyDescent="0.3">
      <c r="A16" t="s">
        <v>14</v>
      </c>
      <c r="D16" s="15">
        <f>112695*1000</f>
        <v>112695000</v>
      </c>
      <c r="E16" t="s">
        <v>25</v>
      </c>
    </row>
    <row r="17" spans="1:7" x14ac:dyDescent="0.3">
      <c r="A17" t="s">
        <v>15</v>
      </c>
      <c r="D17" s="17">
        <f>-2957*1000</f>
        <v>-2957000</v>
      </c>
    </row>
    <row r="18" spans="1:7" x14ac:dyDescent="0.3">
      <c r="A18" t="s">
        <v>9</v>
      </c>
      <c r="D18" s="29">
        <v>-3919538</v>
      </c>
    </row>
    <row r="19" spans="1:7" x14ac:dyDescent="0.3">
      <c r="A19" t="s">
        <v>10</v>
      </c>
      <c r="D19" s="16">
        <f>+D16+D18+D17</f>
        <v>105818462</v>
      </c>
    </row>
    <row r="20" spans="1:7" x14ac:dyDescent="0.3">
      <c r="A20" t="s">
        <v>21</v>
      </c>
      <c r="D20" s="30">
        <f>0.21+(0.79*0.055)</f>
        <v>0.25345000000000001</v>
      </c>
      <c r="E20" s="10">
        <v>5.5E-2</v>
      </c>
      <c r="F20" t="s">
        <v>23</v>
      </c>
      <c r="G20" s="2">
        <f>+D19*D20</f>
        <v>26819689.1939</v>
      </c>
    </row>
    <row r="21" spans="1:7" x14ac:dyDescent="0.3">
      <c r="A21" t="s">
        <v>22</v>
      </c>
      <c r="D21" s="30">
        <f>0.21+(0.79*0.04458)</f>
        <v>0.2452182</v>
      </c>
      <c r="E21" s="11">
        <v>4.4580000000000002E-2</v>
      </c>
      <c r="F21" t="s">
        <v>23</v>
      </c>
      <c r="G21" s="4">
        <f>+D21*D19</f>
        <v>25948612.778408401</v>
      </c>
    </row>
    <row r="22" spans="1:7" x14ac:dyDescent="0.3">
      <c r="A22" t="s">
        <v>11</v>
      </c>
      <c r="D22" s="12">
        <f>+D20-D21</f>
        <v>8.2318000000000113E-3</v>
      </c>
      <c r="E22" s="7">
        <f>+E20-E21</f>
        <v>1.0419999999999999E-2</v>
      </c>
      <c r="F22" t="s">
        <v>24</v>
      </c>
      <c r="G22" s="14">
        <f>+G20-G21</f>
        <v>871076.41549159959</v>
      </c>
    </row>
    <row r="23" spans="1:7" x14ac:dyDescent="0.3">
      <c r="A23" t="s">
        <v>6</v>
      </c>
      <c r="D23" s="2">
        <f>+D19*D22</f>
        <v>871076.41549160122</v>
      </c>
      <c r="F23" t="s">
        <v>19</v>
      </c>
      <c r="G23" s="14">
        <f>+D19+G20-G21</f>
        <v>106689538.41549161</v>
      </c>
    </row>
    <row r="24" spans="1:7" x14ac:dyDescent="0.3">
      <c r="A24" t="s">
        <v>12</v>
      </c>
      <c r="D24" s="13">
        <v>1.3394999999999999</v>
      </c>
      <c r="E24" t="s">
        <v>7</v>
      </c>
      <c r="G24" s="3" t="s">
        <v>7</v>
      </c>
    </row>
    <row r="25" spans="1:7" x14ac:dyDescent="0.3">
      <c r="A25" t="s">
        <v>13</v>
      </c>
      <c r="D25" s="5">
        <f>+D23*D24</f>
        <v>1166806.8585509998</v>
      </c>
    </row>
    <row r="26" spans="1:7" x14ac:dyDescent="0.3">
      <c r="C26" s="2"/>
    </row>
    <row r="28" spans="1:7" x14ac:dyDescent="0.3">
      <c r="A28" s="28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AA254-7B1D-4FB1-98AB-4B10C10BD599}">
  <dimension ref="A1:BA23"/>
  <sheetViews>
    <sheetView workbookViewId="0">
      <pane xSplit="2" ySplit="2" topLeftCell="K3" activePane="bottomRight" state="frozen"/>
      <selection pane="topRight" activeCell="C1" sqref="C1"/>
      <selection pane="bottomLeft" activeCell="A3" sqref="A3"/>
      <selection pane="bottomRight" activeCell="L18" sqref="L18"/>
    </sheetView>
  </sheetViews>
  <sheetFormatPr defaultRowHeight="14.4" x14ac:dyDescent="0.3"/>
  <cols>
    <col min="1" max="1" width="10.21875" bestFit="1" customWidth="1"/>
    <col min="2" max="2" width="47.21875" bestFit="1" customWidth="1"/>
    <col min="3" max="3" width="11.21875" bestFit="1" customWidth="1"/>
    <col min="4" max="4" width="11.5546875" bestFit="1" customWidth="1"/>
    <col min="5" max="12" width="11.21875" bestFit="1" customWidth="1"/>
    <col min="13" max="14" width="13.21875" bestFit="1" customWidth="1"/>
    <col min="15" max="15" width="1.109375" customWidth="1"/>
    <col min="16" max="17" width="13.21875" bestFit="1" customWidth="1"/>
    <col min="18" max="26" width="11.21875" bestFit="1" customWidth="1"/>
    <col min="27" max="27" width="11.5546875" bestFit="1" customWidth="1"/>
    <col min="28" max="28" width="1.109375" customWidth="1"/>
    <col min="29" max="30" width="11.5546875" bestFit="1" customWidth="1"/>
    <col min="31" max="40" width="11.21875" bestFit="1" customWidth="1"/>
    <col min="41" max="41" width="1.109375" customWidth="1"/>
    <col min="42" max="43" width="11.5546875" bestFit="1" customWidth="1"/>
    <col min="44" max="53" width="11.21875" bestFit="1" customWidth="1"/>
  </cols>
  <sheetData>
    <row r="1" spans="1:53" s="8" customFormat="1" x14ac:dyDescent="0.3">
      <c r="C1" s="27">
        <v>2023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P1" s="27">
        <v>2024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C1" s="27">
        <v>2025</v>
      </c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P1" s="27">
        <v>2026</v>
      </c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</row>
    <row r="2" spans="1:53" s="8" customFormat="1" x14ac:dyDescent="0.3">
      <c r="C2" s="8" t="s">
        <v>26</v>
      </c>
      <c r="D2" s="8" t="s">
        <v>27</v>
      </c>
      <c r="E2" s="8" t="s">
        <v>28</v>
      </c>
      <c r="F2" s="8" t="s">
        <v>29</v>
      </c>
      <c r="G2" s="8" t="s">
        <v>30</v>
      </c>
      <c r="H2" s="8" t="s">
        <v>31</v>
      </c>
      <c r="I2" s="8" t="s">
        <v>32</v>
      </c>
      <c r="J2" s="8" t="s">
        <v>33</v>
      </c>
      <c r="K2" s="8" t="s">
        <v>34</v>
      </c>
      <c r="L2" s="8" t="s">
        <v>35</v>
      </c>
      <c r="M2" s="8" t="s">
        <v>36</v>
      </c>
      <c r="N2" s="8" t="s">
        <v>37</v>
      </c>
      <c r="P2" s="8" t="s">
        <v>26</v>
      </c>
      <c r="Q2" s="8" t="s">
        <v>27</v>
      </c>
      <c r="R2" s="8" t="s">
        <v>28</v>
      </c>
      <c r="S2" s="8" t="s">
        <v>29</v>
      </c>
      <c r="T2" s="8" t="s">
        <v>30</v>
      </c>
      <c r="U2" s="8" t="s">
        <v>31</v>
      </c>
      <c r="V2" s="8" t="s">
        <v>32</v>
      </c>
      <c r="W2" s="8" t="s">
        <v>33</v>
      </c>
      <c r="X2" s="8" t="s">
        <v>34</v>
      </c>
      <c r="Y2" s="8" t="s">
        <v>35</v>
      </c>
      <c r="Z2" s="8" t="s">
        <v>36</v>
      </c>
      <c r="AA2" s="8" t="s">
        <v>37</v>
      </c>
      <c r="AC2" s="8" t="s">
        <v>26</v>
      </c>
      <c r="AD2" s="8" t="s">
        <v>27</v>
      </c>
      <c r="AE2" s="8" t="s">
        <v>28</v>
      </c>
      <c r="AF2" s="8" t="s">
        <v>29</v>
      </c>
      <c r="AG2" s="8" t="s">
        <v>30</v>
      </c>
      <c r="AH2" s="8" t="s">
        <v>31</v>
      </c>
      <c r="AI2" s="8" t="s">
        <v>32</v>
      </c>
      <c r="AJ2" s="8" t="s">
        <v>33</v>
      </c>
      <c r="AK2" s="8" t="s">
        <v>34</v>
      </c>
      <c r="AL2" s="8" t="s">
        <v>35</v>
      </c>
      <c r="AM2" s="8" t="s">
        <v>36</v>
      </c>
      <c r="AN2" s="8" t="s">
        <v>37</v>
      </c>
      <c r="AP2" s="8" t="s">
        <v>26</v>
      </c>
      <c r="AQ2" s="8" t="s">
        <v>27</v>
      </c>
      <c r="AR2" s="8" t="s">
        <v>28</v>
      </c>
      <c r="AS2" s="8" t="s">
        <v>29</v>
      </c>
      <c r="AT2" s="8" t="s">
        <v>30</v>
      </c>
      <c r="AU2" s="8" t="s">
        <v>31</v>
      </c>
      <c r="AV2" s="8" t="s">
        <v>32</v>
      </c>
      <c r="AW2" s="8" t="s">
        <v>33</v>
      </c>
      <c r="AX2" s="8" t="s">
        <v>34</v>
      </c>
      <c r="AY2" s="8" t="s">
        <v>35</v>
      </c>
      <c r="AZ2" s="8" t="s">
        <v>36</v>
      </c>
      <c r="BA2" s="8" t="s">
        <v>37</v>
      </c>
    </row>
    <row r="3" spans="1:53" x14ac:dyDescent="0.3">
      <c r="A3" s="31" t="s">
        <v>38</v>
      </c>
      <c r="B3" s="32" t="s">
        <v>39</v>
      </c>
      <c r="C3" s="23">
        <f>'Combined Rate'!$G$11/12</f>
        <v>-97233.904879251044</v>
      </c>
      <c r="D3" s="23">
        <f>'Combined Rate'!$G$11/12</f>
        <v>-97233.904879251044</v>
      </c>
      <c r="E3" s="23">
        <f>'Combined Rate'!$G$11/12</f>
        <v>-97233.904879251044</v>
      </c>
      <c r="F3" s="23">
        <f>'Combined Rate'!$G$11/12</f>
        <v>-97233.904879251044</v>
      </c>
      <c r="G3" s="23">
        <f>'Combined Rate'!$G$11/12</f>
        <v>-97233.904879251044</v>
      </c>
      <c r="H3" s="23">
        <f>'Combined Rate'!$G$11/12</f>
        <v>-97233.904879251044</v>
      </c>
      <c r="I3" s="23">
        <f>'Combined Rate'!$G$11/12</f>
        <v>-97233.904879251044</v>
      </c>
      <c r="J3" s="23">
        <f>'Combined Rate'!$G$11/12</f>
        <v>-97233.904879251044</v>
      </c>
      <c r="K3" s="23">
        <f>'Combined Rate'!$G$11/12</f>
        <v>-97233.904879251044</v>
      </c>
      <c r="L3" s="23">
        <f>'Combined Rate'!$G$11/12</f>
        <v>-97233.904879251044</v>
      </c>
      <c r="M3" s="23">
        <f>'Combined Rate'!$G$11/12</f>
        <v>-97233.904879251044</v>
      </c>
      <c r="N3" s="23">
        <f>'Combined Rate'!$G$11/12</f>
        <v>-97233.904879251044</v>
      </c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O3" s="23"/>
    </row>
    <row r="4" spans="1:53" x14ac:dyDescent="0.3">
      <c r="A4" s="31" t="s">
        <v>40</v>
      </c>
      <c r="B4" s="32" t="s">
        <v>41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>
        <f>$N$8/12</f>
        <v>32411.301626417015</v>
      </c>
      <c r="Q4" s="23">
        <f t="shared" ref="Q4:AA4" si="0">$N$8/12</f>
        <v>32411.301626417015</v>
      </c>
      <c r="R4" s="23">
        <f t="shared" si="0"/>
        <v>32411.301626417015</v>
      </c>
      <c r="S4" s="23">
        <f t="shared" si="0"/>
        <v>32411.301626417015</v>
      </c>
      <c r="T4" s="23">
        <f t="shared" si="0"/>
        <v>32411.301626417015</v>
      </c>
      <c r="U4" s="23">
        <f t="shared" si="0"/>
        <v>32411.301626417015</v>
      </c>
      <c r="V4" s="23">
        <f t="shared" si="0"/>
        <v>32411.301626417015</v>
      </c>
      <c r="W4" s="23">
        <f t="shared" si="0"/>
        <v>32411.301626417015</v>
      </c>
      <c r="X4" s="23">
        <f t="shared" si="0"/>
        <v>32411.301626417015</v>
      </c>
      <c r="Y4" s="23">
        <f t="shared" si="0"/>
        <v>32411.301626417015</v>
      </c>
      <c r="Z4" s="23">
        <f t="shared" si="0"/>
        <v>32411.301626417015</v>
      </c>
      <c r="AA4" s="23">
        <f t="shared" si="0"/>
        <v>32411.301626417015</v>
      </c>
      <c r="AB4" s="23"/>
      <c r="AC4" s="23">
        <f>$N$9/12</f>
        <v>32411.301626417015</v>
      </c>
      <c r="AD4" s="23">
        <f t="shared" ref="AD4:AN4" si="1">$N$9/12</f>
        <v>32411.301626417015</v>
      </c>
      <c r="AE4" s="23">
        <f t="shared" si="1"/>
        <v>32411.301626417015</v>
      </c>
      <c r="AF4" s="23">
        <f t="shared" si="1"/>
        <v>32411.301626417015</v>
      </c>
      <c r="AG4" s="23">
        <f t="shared" si="1"/>
        <v>32411.301626417015</v>
      </c>
      <c r="AH4" s="23">
        <f t="shared" si="1"/>
        <v>32411.301626417015</v>
      </c>
      <c r="AI4" s="23">
        <f t="shared" si="1"/>
        <v>32411.301626417015</v>
      </c>
      <c r="AJ4" s="23">
        <f t="shared" si="1"/>
        <v>32411.301626417015</v>
      </c>
      <c r="AK4" s="23">
        <f t="shared" si="1"/>
        <v>32411.301626417015</v>
      </c>
      <c r="AL4" s="23">
        <f t="shared" si="1"/>
        <v>32411.301626417015</v>
      </c>
      <c r="AM4" s="23">
        <f t="shared" si="1"/>
        <v>32411.301626417015</v>
      </c>
      <c r="AN4" s="23">
        <f t="shared" si="1"/>
        <v>32411.301626417015</v>
      </c>
      <c r="AO4" s="23"/>
      <c r="AP4" s="25">
        <f>$N$10/12</f>
        <v>32411.301626417015</v>
      </c>
      <c r="AQ4" s="25">
        <f t="shared" ref="AQ4:BA4" si="2">$N$10/12</f>
        <v>32411.301626417015</v>
      </c>
      <c r="AR4" s="25">
        <f t="shared" si="2"/>
        <v>32411.301626417015</v>
      </c>
      <c r="AS4" s="25">
        <f t="shared" si="2"/>
        <v>32411.301626417015</v>
      </c>
      <c r="AT4" s="25">
        <f t="shared" si="2"/>
        <v>32411.301626417015</v>
      </c>
      <c r="AU4" s="25">
        <f t="shared" si="2"/>
        <v>32411.301626417015</v>
      </c>
      <c r="AV4" s="25">
        <f t="shared" si="2"/>
        <v>32411.301626417015</v>
      </c>
      <c r="AW4" s="25">
        <f t="shared" si="2"/>
        <v>32411.301626417015</v>
      </c>
      <c r="AX4" s="25">
        <f t="shared" si="2"/>
        <v>32411.301626417015</v>
      </c>
      <c r="AY4" s="25">
        <f t="shared" si="2"/>
        <v>32411.301626417015</v>
      </c>
      <c r="AZ4" s="25">
        <f t="shared" si="2"/>
        <v>32411.301626417015</v>
      </c>
      <c r="BA4" s="25">
        <f t="shared" si="2"/>
        <v>32411.301626417015</v>
      </c>
    </row>
    <row r="5" spans="1:53" x14ac:dyDescent="0.3">
      <c r="A5" s="28"/>
      <c r="B5" s="2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O5" s="23"/>
    </row>
    <row r="6" spans="1:53" x14ac:dyDescent="0.3">
      <c r="A6" s="31" t="s">
        <v>42</v>
      </c>
      <c r="B6" s="33" t="s">
        <v>43</v>
      </c>
      <c r="C6" s="23">
        <f>-C3</f>
        <v>97233.904879251044</v>
      </c>
      <c r="D6" s="23">
        <f>-D3+C6</f>
        <v>194467.80975850209</v>
      </c>
      <c r="E6" s="23">
        <f t="shared" ref="E6:N6" si="3">-E3+D6</f>
        <v>291701.71463775315</v>
      </c>
      <c r="F6" s="23">
        <f t="shared" si="3"/>
        <v>388935.61951700418</v>
      </c>
      <c r="G6" s="23">
        <f t="shared" si="3"/>
        <v>486169.5243962552</v>
      </c>
      <c r="H6" s="23">
        <f t="shared" si="3"/>
        <v>583403.42927550629</v>
      </c>
      <c r="I6" s="23">
        <f t="shared" si="3"/>
        <v>680637.33415475732</v>
      </c>
      <c r="J6" s="23">
        <f t="shared" si="3"/>
        <v>777871.23903400835</v>
      </c>
      <c r="K6" s="23">
        <f t="shared" si="3"/>
        <v>875105.14391325938</v>
      </c>
      <c r="L6" s="23">
        <f t="shared" si="3"/>
        <v>972339.04879251041</v>
      </c>
      <c r="M6" s="23">
        <f t="shared" si="3"/>
        <v>1069572.9536717616</v>
      </c>
      <c r="N6" s="23">
        <f t="shared" si="3"/>
        <v>1166806.8585510126</v>
      </c>
      <c r="O6" s="23"/>
      <c r="P6" s="23">
        <f>N6-P4</f>
        <v>1134395.5569245955</v>
      </c>
      <c r="Q6" s="23">
        <f>P6-Q4</f>
        <v>1101984.2552981784</v>
      </c>
      <c r="R6" s="23">
        <f t="shared" ref="R6:AA6" si="4">Q6-R4</f>
        <v>1069572.9536717613</v>
      </c>
      <c r="S6" s="23">
        <f t="shared" si="4"/>
        <v>1037161.6520453444</v>
      </c>
      <c r="T6" s="23">
        <f t="shared" si="4"/>
        <v>1004750.3504189274</v>
      </c>
      <c r="U6" s="23">
        <f t="shared" si="4"/>
        <v>972339.04879251041</v>
      </c>
      <c r="V6" s="23">
        <f t="shared" si="4"/>
        <v>939927.74716609344</v>
      </c>
      <c r="W6" s="23">
        <f t="shared" si="4"/>
        <v>907516.44553967647</v>
      </c>
      <c r="X6" s="23">
        <f t="shared" si="4"/>
        <v>875105.1439132595</v>
      </c>
      <c r="Y6" s="23">
        <f t="shared" si="4"/>
        <v>842693.84228684253</v>
      </c>
      <c r="Z6" s="23">
        <f t="shared" si="4"/>
        <v>810282.54066042555</v>
      </c>
      <c r="AA6" s="23">
        <f t="shared" si="4"/>
        <v>777871.23903400858</v>
      </c>
      <c r="AB6" s="23"/>
      <c r="AC6" s="23">
        <f>AA6-AC4</f>
        <v>745459.93740759161</v>
      </c>
      <c r="AD6" s="23">
        <f>AC6-AD4</f>
        <v>713048.63578117464</v>
      </c>
      <c r="AE6" s="23">
        <f t="shared" ref="AE6:AN6" si="5">AD6-AE4</f>
        <v>680637.33415475767</v>
      </c>
      <c r="AF6" s="23">
        <f t="shared" si="5"/>
        <v>648226.0325283407</v>
      </c>
      <c r="AG6" s="23">
        <f t="shared" si="5"/>
        <v>615814.73090192373</v>
      </c>
      <c r="AH6" s="23">
        <f t="shared" si="5"/>
        <v>583403.42927550676</v>
      </c>
      <c r="AI6" s="23">
        <f t="shared" si="5"/>
        <v>550992.12764908979</v>
      </c>
      <c r="AJ6" s="23">
        <f t="shared" si="5"/>
        <v>518580.82602267276</v>
      </c>
      <c r="AK6" s="23">
        <f t="shared" si="5"/>
        <v>486169.52439625573</v>
      </c>
      <c r="AL6" s="23">
        <f t="shared" si="5"/>
        <v>453758.2227698387</v>
      </c>
      <c r="AM6" s="23">
        <f t="shared" si="5"/>
        <v>421346.92114342167</v>
      </c>
      <c r="AN6" s="23">
        <f t="shared" si="5"/>
        <v>388935.61951700464</v>
      </c>
      <c r="AO6" s="23"/>
      <c r="AP6" s="23">
        <f>AN6-AP4</f>
        <v>356524.31789058761</v>
      </c>
      <c r="AQ6" s="23">
        <f>AP6-AQ4</f>
        <v>324113.01626417058</v>
      </c>
      <c r="AR6" s="23">
        <f t="shared" ref="AR6:BA6" si="6">AQ6-AR4</f>
        <v>291701.71463775355</v>
      </c>
      <c r="AS6" s="23">
        <f t="shared" si="6"/>
        <v>259290.41301133652</v>
      </c>
      <c r="AT6" s="23">
        <f t="shared" si="6"/>
        <v>226879.1113849195</v>
      </c>
      <c r="AU6" s="23">
        <f t="shared" si="6"/>
        <v>194467.80975850247</v>
      </c>
      <c r="AV6" s="23">
        <f t="shared" si="6"/>
        <v>162056.50813208544</v>
      </c>
      <c r="AW6" s="23">
        <f t="shared" si="6"/>
        <v>129645.20650566842</v>
      </c>
      <c r="AX6" s="23">
        <f t="shared" si="6"/>
        <v>97233.904879251408</v>
      </c>
      <c r="AY6" s="23">
        <f t="shared" si="6"/>
        <v>64822.603252834393</v>
      </c>
      <c r="AZ6" s="23">
        <f t="shared" si="6"/>
        <v>32411.301626417378</v>
      </c>
      <c r="BA6" s="23">
        <f t="shared" si="6"/>
        <v>3.637978807091713E-10</v>
      </c>
    </row>
    <row r="7" spans="1:53" x14ac:dyDescent="0.3"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O7" s="23"/>
    </row>
    <row r="8" spans="1:53" x14ac:dyDescent="0.3">
      <c r="C8" s="23"/>
      <c r="D8" s="23"/>
      <c r="E8" s="23"/>
      <c r="F8" s="23"/>
      <c r="G8" s="23"/>
      <c r="H8" s="23"/>
      <c r="I8" s="23"/>
      <c r="J8" s="23"/>
      <c r="K8" s="23"/>
      <c r="L8" s="23"/>
      <c r="M8" s="26" t="s">
        <v>44</v>
      </c>
      <c r="N8" s="23">
        <f>$N$6/3</f>
        <v>388935.61951700418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>
        <f>N6-AA6</f>
        <v>388935.619517004</v>
      </c>
      <c r="AB8" s="23"/>
      <c r="AC8" s="23"/>
      <c r="AD8" s="23"/>
      <c r="AE8" s="23"/>
      <c r="AF8" s="23"/>
      <c r="AG8" s="23"/>
      <c r="AH8" s="23"/>
      <c r="AI8" s="23"/>
      <c r="AJ8" s="23"/>
      <c r="AK8" s="23"/>
      <c r="AN8" s="23">
        <f>AA6-AN6</f>
        <v>388935.61951700394</v>
      </c>
      <c r="AO8" s="23"/>
      <c r="BA8" s="23">
        <f>AN6-BA6</f>
        <v>388935.61951700429</v>
      </c>
    </row>
    <row r="9" spans="1:53" x14ac:dyDescent="0.3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>
        <f t="shared" ref="N9:N10" si="7">$N$6/3</f>
        <v>388935.61951700418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O9" s="23"/>
    </row>
    <row r="10" spans="1:53" x14ac:dyDescent="0.3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f t="shared" si="7"/>
        <v>388935.61951700418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O10" s="23"/>
    </row>
    <row r="11" spans="1:53" x14ac:dyDescent="0.3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>
        <f>SUM(N8:N10)</f>
        <v>1166806.8585510126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O11" s="23"/>
    </row>
    <row r="12" spans="1:53" x14ac:dyDescent="0.3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O12" s="23"/>
    </row>
    <row r="13" spans="1:53" x14ac:dyDescent="0.3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O13" s="23"/>
    </row>
    <row r="14" spans="1:53" x14ac:dyDescent="0.3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O14" s="23"/>
    </row>
    <row r="15" spans="1:53" x14ac:dyDescent="0.3"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O15" s="23"/>
    </row>
    <row r="16" spans="1:53" x14ac:dyDescent="0.3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O16" s="23"/>
    </row>
    <row r="17" spans="3:41" x14ac:dyDescent="0.3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O17" s="23"/>
    </row>
    <row r="18" spans="3:41" x14ac:dyDescent="0.3"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O18" s="23"/>
    </row>
    <row r="19" spans="3:41" x14ac:dyDescent="0.3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O19" s="23"/>
    </row>
    <row r="20" spans="3:41" x14ac:dyDescent="0.3"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O20" s="23"/>
    </row>
    <row r="21" spans="3:41" x14ac:dyDescent="0.3"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O21" s="23"/>
    </row>
    <row r="22" spans="3:41" x14ac:dyDescent="0.3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O22" s="23"/>
    </row>
    <row r="23" spans="3:41" x14ac:dyDescent="0.3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O23" s="23"/>
    </row>
  </sheetData>
  <mergeCells count="4">
    <mergeCell ref="C1:N1"/>
    <mergeCell ref="P1:AA1"/>
    <mergeCell ref="AC1:AN1"/>
    <mergeCell ref="AP1:BA1"/>
  </mergeCells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60A6B6-D3E5-4128-8310-4832CEA9CF44}"/>
</file>

<file path=customXml/itemProps2.xml><?xml version="1.0" encoding="utf-8"?>
<ds:datastoreItem xmlns:ds="http://schemas.openxmlformats.org/officeDocument/2006/customXml" ds:itemID="{7F27D4B1-6747-45D5-A65D-A520D0348249}"/>
</file>

<file path=customXml/itemProps3.xml><?xml version="1.0" encoding="utf-8"?>
<ds:datastoreItem xmlns:ds="http://schemas.openxmlformats.org/officeDocument/2006/customXml" ds:itemID="{BE99DEF5-DDCA-401A-A297-A95468CCAC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Combined Rate</vt:lpstr>
      <vt:lpstr>Budget Account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MacDonald, Derrick S.</dc:creator>
  <cp:lastModifiedBy>Hillary, Sean P.</cp:lastModifiedBy>
  <dcterms:created xsi:type="dcterms:W3CDTF">2023-01-19T18:41:36Z</dcterms:created>
  <dcterms:modified xsi:type="dcterms:W3CDTF">2023-03-27T19:58:59Z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2023-01-19T18:41:37Z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dd1cc7a5-1d3d-48bf-b8ef-46d64ec05bc7</vt:lpwstr>
  </property>
  <property fmtid="{D5CDD505-2E9C-101B-9397-08002B2CF9AE}" pid="8" name="MSIP_Label_a83f872e-d8d7-43ac-9961-0f2ad31e50e5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0x0101001B9469E761E20748A773F85B33816D32</vt:lpwstr>
  </property>
  <property fmtid="{D5CDD505-2E9C-101B-9397-08002B2CF9AE}" pid="12" name="Order">
    <vt:r8>51800</vt:r8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_CopySource">
    <vt:lpwstr>https://caseworksprd.tec.net/1347/RachelParsons_DirectTestimony/Library/Final Supporting Workpapers/2023 NOI State Tax Rate Change Estimate.xlsx</vt:lpwstr>
  </property>
</Properties>
</file>