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ersons/person.xml" ContentType="application/vnd.ms-excel.person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BUDGET_FIN\Regulatory\Rate Case 2023\Discovery\OPC 1st Set IRRS\IRR 100\Scenario with just Chg in Legacy\"/>
    </mc:Choice>
  </mc:AlternateContent>
  <xr:revisionPtr revIDLastSave="0" documentId="13_ncr:1_{08D94AF2-C9FC-4FBA-95A0-15BCED79FF37}" xr6:coauthVersionLast="47" xr6:coauthVersionMax="47" xr10:uidLastSave="{00000000-0000-0000-0000-000000000000}"/>
  <bookViews>
    <workbookView xWindow="28680" yWindow="-120" windowWidth="29040" windowHeight="15840" xr2:uid="{7CE9B6A5-4ABF-4CAC-85C8-C6A475040339}"/>
  </bookViews>
  <sheets>
    <sheet name="Summary" sheetId="3" r:id="rId1"/>
    <sheet name="Scenario" sheetId="16" r:id="rId2"/>
    <sheet name="Variance to Rate Case" sheetId="21" r:id="rId3"/>
    <sheet name="IncomeStmt Scenario" sheetId="19" r:id="rId4"/>
    <sheet name="Rate Case" sheetId="4" r:id="rId5"/>
    <sheet name="IncomeStmt Rate Case" sheetId="20" r:id="rId6"/>
    <sheet name="Int Synch" sheetId="18" state="hidden" r:id="rId7"/>
  </sheets>
  <externalReferences>
    <externalReference r:id="rId8"/>
  </externalReferences>
  <definedNames>
    <definedName name="_Key1" localSheetId="5" hidden="1">#REF!</definedName>
    <definedName name="_Key1" localSheetId="3" hidden="1">#REF!</definedName>
    <definedName name="_Key1" localSheetId="6" hidden="1">#REF!</definedName>
    <definedName name="_Key1" hidden="1">#REF!</definedName>
    <definedName name="_Order1" hidden="1">255</definedName>
    <definedName name="_Sort" localSheetId="5" hidden="1">#REF!</definedName>
    <definedName name="_Sort" localSheetId="3" hidden="1">#REF!</definedName>
    <definedName name="_Sort" localSheetId="6" hidden="1">#REF!</definedName>
    <definedName name="_Sort" hidden="1">#REF!</definedName>
    <definedName name="CIQWBGuid" hidden="1">"f0842c6b-4f67-4da4-8ab9-05f9b8d91da0"</definedName>
    <definedName name="CYFGSGF">#REF!</definedName>
    <definedName name="DAT">#REF!</definedName>
    <definedName name="dcHundred">100</definedName>
    <definedName name="dcMillions">1000000</definedName>
    <definedName name="dcMonthsinYear">12</definedName>
    <definedName name="dcThousands">1000</definedName>
    <definedName name="EV__LASTREFTIME__" hidden="1">"(GMT-05:00)9/28/2017 1:11:18 PM"</definedName>
    <definedName name="Interest_synch">'Int Synch'!$A$4:$E$35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AVG_PRICE_TARGET" hidden="1">"c82"</definedName>
    <definedName name="IQ_CAPEX_BR" hidden="1">"c111"</definedName>
    <definedName name="IQ_CH">110000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LASSB_OUTSTANDING_BS_DATE" hidden="1">"c1972"</definedName>
    <definedName name="IQ_CLASSB_OUTSTANDING_FILING_DATE" hidden="1">"c1974"</definedName>
    <definedName name="IQ_COMMON_APIC_BR" hidden="1">"c185"</definedName>
    <definedName name="IQ_COMMON_ISSUED_BR" hidden="1">"c199"</definedName>
    <definedName name="IQ_COMMON_REP_BR" hidden="1">"c208"</definedName>
    <definedName name="IQ_CONV_RATE" hidden="1">"c2192"</definedName>
    <definedName name="IQ_CQ">5000</definedName>
    <definedName name="IQ_CURRENCY_GAIN_BR" hidden="1">"c236"</definedName>
    <definedName name="IQ_CURRENT_PORT_DEBT_BR" hidden="1">"c1567"</definedName>
    <definedName name="IQ_CY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ST_EPS_SURPRISE" hidden="1">"c1635"</definedName>
    <definedName name="IQ_EXTRA_ACC_ITEMS_BR" hidden="1">"c412"</definedName>
    <definedName name="IQ_FH">100000</definedName>
    <definedName name="IQ_FHLB_DUE_AFTER_FIVE" hidden="1">"c2086"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TEL_EPS_EST" hidden="1">"c24729"</definedName>
    <definedName name="IQ_INTEREST_LT_DEBT" hidden="1">"c2086"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ISTING_CURRENCY" hidden="1">"c2127"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>2000</definedName>
    <definedName name="IQ_LTMMONTH" hidden="1">120000</definedName>
    <definedName name="IQ_MACRO_SURVEY_CONSUMER_SENTIMENT" hidden="1">"c20808"</definedName>
    <definedName name="IQ_MERGER_BR" hidden="1">"c715"</definedName>
    <definedName name="IQ_MERGER_RESTRUCTURE_BR" hidden="1">"c721"</definedName>
    <definedName name="IQ_MINORITY_INTEREST_BR" hidden="1">"c729"</definedName>
    <definedName name="IQ_MONTH">15000</definedName>
    <definedName name="IQ_MTD" hidden="1">800000</definedName>
    <definedName name="IQ_NAMES_REVISION_DATE_" hidden="1">44420.558275463</definedName>
    <definedName name="IQ_NAV_ACT_OR_EST" hidden="1">"c2225"</definedName>
    <definedName name="IQ_NET_DEBT_ISSUED_BR" hidden="1">"c753"</definedName>
    <definedName name="IQ_NET_INT_INC_BR" hidden="1">"c765"</definedName>
    <definedName name="IQ_NTM">6000</definedName>
    <definedName name="IQ_NUM_OFFICES" hidden="1">"c2088"</definedName>
    <definedName name="IQ_NUMBER_SHAREHOLDERS_CLASSB" hidden="1">"c1969"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ARGET_PRICE_LASTCLOSE" hidden="1">"c1855"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PENSION_OBLIGATION" hidden="1">"c1292"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WEEK">50000</definedName>
    <definedName name="IQ_YTD">3000</definedName>
    <definedName name="IQ_YTDMONTH" hidden="1">130000</definedName>
    <definedName name="Last_Row" localSheetId="5">IF('IncomeStmt Rate Case'!Values_Entered,Header_Row+'IncomeStmt Rate Case'!Number_of_Payments,Header_Row)</definedName>
    <definedName name="Last_Row" localSheetId="3">IF('IncomeStmt Scenario'!Values_Entered,Header_Row+'IncomeStmt Scenario'!Number_of_Payments,Header_Row)</definedName>
    <definedName name="Last_Row" localSheetId="6">IF('Int Synch'!Values_Entered,Header_Row+'Int Synch'!Number_of_Payments,Header_Row)</definedName>
    <definedName name="Last_Row" localSheetId="1">IF(Scenario!Values_Entered,Header_Row+Scenario!Number_of_Payments,Header_Row)</definedName>
    <definedName name="Last_Row" localSheetId="2">IF('Variance to Rate Case'!Values_Entered,Header_Row+'Variance to Rate Case'!Number_of_Payments,Header_Row)</definedName>
    <definedName name="Last_Row">IF(Values_Entered,Header_Row+Number_of_Payments,Header_Row)</definedName>
    <definedName name="MACROS">#REF!</definedName>
    <definedName name="Number_of_Payments" localSheetId="5">MATCH(0.01,End_Bal,-1)+1</definedName>
    <definedName name="Number_of_Payments" localSheetId="3">MATCH(0.01,End_Bal,-1)+1</definedName>
    <definedName name="Number_of_Payments" localSheetId="6">MATCH(0.01,End_Bal,-1)+1</definedName>
    <definedName name="Number_of_Payments" localSheetId="1">MATCH(0.01,End_Bal,-1)+1</definedName>
    <definedName name="Number_of_Payments" localSheetId="2">MATCH(0.01,End_Bal,-1)+1</definedName>
    <definedName name="Number_of_Payments">MATCH(0.01,End_Bal,-1)+1</definedName>
    <definedName name="Payment_Date" localSheetId="5">DATE(YEAR(Loan_Start),MONTH(Loan_Start)+Payment_Number,DAY(Loan_Start))</definedName>
    <definedName name="Payment_Date" localSheetId="3">DATE(YEAR(Loan_Start),MONTH(Loan_Start)+Payment_Number,DAY(Loan_Start))</definedName>
    <definedName name="Payment_Date" localSheetId="6">DATE(YEAR(Loan_Start),MONTH(Loan_Start)+Payment_Number,DAY(Loan_Start))</definedName>
    <definedName name="Payment_Date" localSheetId="1">DATE(YEAR(Loan_Start),MONTH(Loan_Start)+Payment_Number,DAY(Loan_Start))</definedName>
    <definedName name="Payment_Date" localSheetId="2">DATE(YEAR(Loan_Start),MONTH(Loan_Start)+Payment_Number,DAY(Loan_Start))</definedName>
    <definedName name="Payment_Date">DATE(YEAR(Loan_Start),MONTH(Loan_Start)+Payment_Number,DAY(Loan_Start))</definedName>
    <definedName name="_xlnm.Print_Area" localSheetId="5">'IncomeStmt Rate Case'!$A$1:$S$43</definedName>
    <definedName name="_xlnm.Print_Area" localSheetId="3">'IncomeStmt Scenario'!$A$1:$R$43</definedName>
    <definedName name="_xlnm.Print_Area" localSheetId="6">[1]Reconcil!$A$172:$H$212</definedName>
    <definedName name="Print_Area_Reset" localSheetId="5">OFFSET(Full_Print,0,0,'IncomeStmt Rate Case'!Last_Row)</definedName>
    <definedName name="Print_Area_Reset" localSheetId="3">OFFSET(Full_Print,0,0,'IncomeStmt Scenario'!Last_Row)</definedName>
    <definedName name="Print_Area_Reset" localSheetId="6">OFFSET(Full_Print,0,0,'Int Synch'!Last_Row)</definedName>
    <definedName name="Print_Area_Reset" localSheetId="1">OFFSET(Full_Print,0,0,Scenario!Last_Row)</definedName>
    <definedName name="Print_Area_Reset" localSheetId="2">OFFSET(Full_Print,0,0,'Variance to Rate Case'!Last_Row)</definedName>
    <definedName name="Print_Area_Reset">OFFSET(Full_Print,0,0,Last_Row)</definedName>
    <definedName name="random">#REF!</definedName>
    <definedName name="REGTAX">#REF!</definedName>
    <definedName name="sally">#REF!</definedName>
    <definedName name="SURV">#REF!</definedName>
    <definedName name="Surv_support">#REF!</definedName>
    <definedName name="TAXRATE">#REF!</definedName>
    <definedName name="TAXUP">#REF!</definedName>
    <definedName name="Tolerance" localSheetId="5">[1]i.SR!$F$3</definedName>
    <definedName name="Tolerance" localSheetId="3">[1]i.SR!$F$3</definedName>
    <definedName name="Tolerance" localSheetId="6">[1]i.SR!$F$3</definedName>
    <definedName name="Tolerance">#REF!</definedName>
    <definedName name="Total_Payment" localSheetId="5">Scheduled_Payment+Extra_Payment</definedName>
    <definedName name="Total_Payment" localSheetId="3">Scheduled_Payment+Extra_Payment</definedName>
    <definedName name="Total_Payment" localSheetId="6">Scheduled_Payment+Extra_Payment</definedName>
    <definedName name="Total_Payment" localSheetId="1">Scheduled_Payment+Extra_Payment</definedName>
    <definedName name="Total_Payment" localSheetId="2">Scheduled_Payment+Extra_Payment</definedName>
    <definedName name="Total_Payment">Scheduled_Payment+Extra_Payment</definedName>
    <definedName name="TOTAVG">#REF!</definedName>
    <definedName name="Values_Entered" localSheetId="5">IF(Loan_Amount*Interest_Rate*Loan_Years*Loan_Start&gt;0,1,0)</definedName>
    <definedName name="Values_Entered" localSheetId="3">IF(Loan_Amount*Interest_Rate*Loan_Years*Loan_Start&gt;0,1,0)</definedName>
    <definedName name="Values_Entered" localSheetId="6">IF(Loan_Amount*Interest_Rate*Loan_Years*Loan_Start&gt;0,1,0)</definedName>
    <definedName name="Values_Entered" localSheetId="1">IF(Loan_Amount*Interest_Rate*Loan_Years*Loan_Start&gt;0,1,0)</definedName>
    <definedName name="Values_Entered" localSheetId="2">IF(Loan_Amount*Interest_Rate*Loan_Years*Loan_Start&gt;0,1,0)</definedName>
    <definedName name="Values_Entered">IF(Loan_Amount*Interest_Rate*Loan_Years*Loan_Start&gt;0,1,0)</definedName>
    <definedName name="WC_AVG">#REF!</definedName>
    <definedName name="YTDM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16" i="16" l="1"/>
  <c r="AV16" i="16"/>
  <c r="AW16" i="16"/>
  <c r="AX16" i="16"/>
  <c r="AY16" i="16" s="1"/>
  <c r="AZ16" i="16" s="1"/>
  <c r="A23" i="16"/>
  <c r="AM14" i="16"/>
  <c r="AL14" i="16"/>
  <c r="AZ28" i="16"/>
  <c r="AY28" i="16"/>
  <c r="AX28" i="16"/>
  <c r="AW28" i="16"/>
  <c r="AV28" i="16"/>
  <c r="AU28" i="16"/>
  <c r="AT28" i="16"/>
  <c r="AS28" i="16"/>
  <c r="AR28" i="16"/>
  <c r="AQ28" i="16"/>
  <c r="AP28" i="16"/>
  <c r="AO28" i="16"/>
  <c r="AC21" i="16"/>
  <c r="AD21" i="16"/>
  <c r="AE21" i="16"/>
  <c r="AF21" i="16"/>
  <c r="AG21" i="16"/>
  <c r="AH21" i="16"/>
  <c r="AI21" i="16"/>
  <c r="AJ21" i="16"/>
  <c r="AK21" i="16"/>
  <c r="AB21" i="16"/>
  <c r="AC28" i="4"/>
  <c r="AD28" i="4"/>
  <c r="AE28" i="4"/>
  <c r="AF28" i="4"/>
  <c r="AG28" i="4"/>
  <c r="AH28" i="4"/>
  <c r="AI28" i="4"/>
  <c r="AJ28" i="4"/>
  <c r="AI28" i="16"/>
  <c r="AF28" i="16"/>
  <c r="AD28" i="16"/>
  <c r="AE28" i="16" s="1"/>
  <c r="AG28" i="16" s="1"/>
  <c r="AH28" i="16" s="1"/>
  <c r="AJ28" i="16" s="1"/>
  <c r="AC28" i="16"/>
  <c r="AB28" i="16"/>
  <c r="AB28" i="4"/>
  <c r="AL15" i="16" l="1"/>
  <c r="AL23" i="16" s="1"/>
  <c r="AK23" i="16"/>
  <c r="AC22" i="16"/>
  <c r="AB22" i="16"/>
  <c r="AD23" i="16"/>
  <c r="AC23" i="16"/>
  <c r="AB23" i="16"/>
  <c r="AM15" i="16" l="1"/>
  <c r="AE23" i="16"/>
  <c r="AM23" i="16" l="1"/>
  <c r="AO15" i="16"/>
  <c r="AD22" i="16"/>
  <c r="AF23" i="16"/>
  <c r="AO23" i="16" l="1"/>
  <c r="AP15" i="16"/>
  <c r="AE22" i="16"/>
  <c r="AG23" i="16"/>
  <c r="AP23" i="16" l="1"/>
  <c r="AQ15" i="16"/>
  <c r="AF22" i="16"/>
  <c r="AH23" i="16"/>
  <c r="AR15" i="16" l="1"/>
  <c r="AQ23" i="16"/>
  <c r="AG22" i="16"/>
  <c r="AJ23" i="16"/>
  <c r="AI23" i="16"/>
  <c r="AS15" i="16" l="1"/>
  <c r="AR23" i="16"/>
  <c r="AH22" i="16"/>
  <c r="AT15" i="16" l="1"/>
  <c r="AS23" i="16"/>
  <c r="AI22" i="16"/>
  <c r="AU15" i="16" l="1"/>
  <c r="AT23" i="16"/>
  <c r="AJ22" i="16"/>
  <c r="AK22" i="16"/>
  <c r="AV15" i="16" l="1"/>
  <c r="AU23" i="16"/>
  <c r="AW15" i="16" l="1"/>
  <c r="AV23" i="16"/>
  <c r="AM22" i="16"/>
  <c r="AL22" i="16"/>
  <c r="AX15" i="16" l="1"/>
  <c r="AW23" i="16"/>
  <c r="AY15" i="16" l="1"/>
  <c r="AX23" i="16"/>
  <c r="P10" i="16"/>
  <c r="Q10" i="16"/>
  <c r="R10" i="16"/>
  <c r="S10" i="16"/>
  <c r="T10" i="16"/>
  <c r="U10" i="16"/>
  <c r="V10" i="16"/>
  <c r="W10" i="16"/>
  <c r="X10" i="16"/>
  <c r="Y10" i="16"/>
  <c r="Z10" i="16"/>
  <c r="AZ15" i="16" l="1"/>
  <c r="AZ23" i="16" s="1"/>
  <c r="AY23" i="16"/>
  <c r="AO14" i="16"/>
  <c r="AO22" i="16" s="1"/>
  <c r="D24" i="21" l="1"/>
  <c r="D23" i="21"/>
  <c r="D22" i="21"/>
  <c r="D21" i="21"/>
  <c r="D16" i="21"/>
  <c r="D15" i="21"/>
  <c r="D14" i="21"/>
  <c r="D13" i="21"/>
  <c r="C28" i="21"/>
  <c r="C27" i="21"/>
  <c r="C24" i="21"/>
  <c r="C23" i="21"/>
  <c r="C22" i="21"/>
  <c r="C21" i="21"/>
  <c r="C16" i="21"/>
  <c r="P16" i="21" s="1"/>
  <c r="C15" i="21"/>
  <c r="C14" i="21"/>
  <c r="C13" i="21"/>
  <c r="V16" i="21"/>
  <c r="U16" i="21"/>
  <c r="T16" i="21"/>
  <c r="S16" i="21"/>
  <c r="R16" i="21"/>
  <c r="Q16" i="21"/>
  <c r="O24" i="21"/>
  <c r="O16" i="21"/>
  <c r="N24" i="21"/>
  <c r="N16" i="21"/>
  <c r="M16" i="21"/>
  <c r="M15" i="21"/>
  <c r="M14" i="21"/>
  <c r="M13" i="21"/>
  <c r="L24" i="21"/>
  <c r="L23" i="21"/>
  <c r="L22" i="21"/>
  <c r="L21" i="21"/>
  <c r="L16" i="21"/>
  <c r="L15" i="21"/>
  <c r="L14" i="21"/>
  <c r="L13" i="21"/>
  <c r="K24" i="21"/>
  <c r="K23" i="21"/>
  <c r="K22" i="21"/>
  <c r="K21" i="21"/>
  <c r="K16" i="21"/>
  <c r="K15" i="21"/>
  <c r="K14" i="21"/>
  <c r="K13" i="21"/>
  <c r="J24" i="21"/>
  <c r="J23" i="21"/>
  <c r="J22" i="21"/>
  <c r="J21" i="21"/>
  <c r="J16" i="21"/>
  <c r="J15" i="21"/>
  <c r="J14" i="21"/>
  <c r="J13" i="21"/>
  <c r="I24" i="21"/>
  <c r="I23" i="21"/>
  <c r="I22" i="21"/>
  <c r="I21" i="21"/>
  <c r="I16" i="21"/>
  <c r="I15" i="21"/>
  <c r="I14" i="21"/>
  <c r="I13" i="21"/>
  <c r="H24" i="21"/>
  <c r="H23" i="21"/>
  <c r="H22" i="21"/>
  <c r="H21" i="21"/>
  <c r="H16" i="21"/>
  <c r="H15" i="21"/>
  <c r="H14" i="21"/>
  <c r="H13" i="21"/>
  <c r="G24" i="21"/>
  <c r="G23" i="21"/>
  <c r="G22" i="21"/>
  <c r="G21" i="21"/>
  <c r="G16" i="21"/>
  <c r="G15" i="21"/>
  <c r="G14" i="21"/>
  <c r="G13" i="21"/>
  <c r="F24" i="21"/>
  <c r="F23" i="21"/>
  <c r="F22" i="21"/>
  <c r="F21" i="21"/>
  <c r="F16" i="21"/>
  <c r="F15" i="21"/>
  <c r="F14" i="21"/>
  <c r="F13" i="21"/>
  <c r="E24" i="21"/>
  <c r="E23" i="21"/>
  <c r="E22" i="21"/>
  <c r="E21" i="21"/>
  <c r="E16" i="21"/>
  <c r="E15" i="21"/>
  <c r="E14" i="21"/>
  <c r="E13" i="21"/>
  <c r="R44" i="19" l="1"/>
  <c r="Z17" i="16"/>
  <c r="H13" i="3" l="1"/>
  <c r="M13" i="3"/>
  <c r="AL28" i="16"/>
  <c r="N9" i="19"/>
  <c r="K67" i="20"/>
  <c r="J9" i="19"/>
  <c r="S57" i="20"/>
  <c r="M9" i="19"/>
  <c r="G67" i="20"/>
  <c r="O67" i="20"/>
  <c r="S62" i="20"/>
  <c r="E50" i="18"/>
  <c r="H9" i="19"/>
  <c r="P9" i="19"/>
  <c r="F67" i="19"/>
  <c r="F32" i="19" s="1"/>
  <c r="N67" i="19"/>
  <c r="N32" i="19" s="1"/>
  <c r="G41" i="20"/>
  <c r="O41" i="20"/>
  <c r="H67" i="20"/>
  <c r="P67" i="20"/>
  <c r="S28" i="20"/>
  <c r="I67" i="20"/>
  <c r="Q67" i="20"/>
  <c r="R15" i="19"/>
  <c r="S25" i="20"/>
  <c r="S27" i="20"/>
  <c r="S58" i="20"/>
  <c r="S66" i="20"/>
  <c r="L67" i="19"/>
  <c r="K41" i="20"/>
  <c r="S39" i="20"/>
  <c r="L67" i="20"/>
  <c r="S59" i="20"/>
  <c r="R13" i="19"/>
  <c r="I67" i="19"/>
  <c r="I32" i="19" s="1"/>
  <c r="Q67" i="19"/>
  <c r="Q32" i="19" s="1"/>
  <c r="L9" i="19"/>
  <c r="K67" i="19"/>
  <c r="K32" i="19" s="1"/>
  <c r="R55" i="19"/>
  <c r="S26" i="20"/>
  <c r="J41" i="20"/>
  <c r="R41" i="20"/>
  <c r="C54" i="18"/>
  <c r="L41" i="20"/>
  <c r="H41" i="20"/>
  <c r="P41" i="20"/>
  <c r="S40" i="20"/>
  <c r="M67" i="20"/>
  <c r="S56" i="20"/>
  <c r="S17" i="20"/>
  <c r="S18" i="20"/>
  <c r="N67" i="20"/>
  <c r="S65" i="20"/>
  <c r="R38" i="19"/>
  <c r="R40" i="19"/>
  <c r="S14" i="20"/>
  <c r="N41" i="20"/>
  <c r="H67" i="19"/>
  <c r="H32" i="19" s="1"/>
  <c r="P67" i="19"/>
  <c r="P32" i="19" s="1"/>
  <c r="R60" i="19"/>
  <c r="R64" i="19"/>
  <c r="S31" i="20"/>
  <c r="S37" i="20"/>
  <c r="S55" i="20"/>
  <c r="S63" i="20"/>
  <c r="S60" i="20"/>
  <c r="S64" i="20"/>
  <c r="R57" i="19"/>
  <c r="R65" i="19"/>
  <c r="E52" i="18"/>
  <c r="J67" i="19"/>
  <c r="J32" i="19" s="1"/>
  <c r="R66" i="19"/>
  <c r="M41" i="20"/>
  <c r="I41" i="20"/>
  <c r="Q41" i="20"/>
  <c r="J67" i="20"/>
  <c r="R67" i="20"/>
  <c r="S61" i="20"/>
  <c r="S13" i="20"/>
  <c r="S15" i="20"/>
  <c r="S12" i="20"/>
  <c r="S7" i="20"/>
  <c r="S16" i="20"/>
  <c r="S48" i="20"/>
  <c r="S54" i="20"/>
  <c r="S38" i="20"/>
  <c r="S19" i="20"/>
  <c r="S30" i="20"/>
  <c r="S36" i="20"/>
  <c r="S35" i="20"/>
  <c r="R31" i="19"/>
  <c r="R37" i="19"/>
  <c r="R12" i="19"/>
  <c r="Q9" i="19"/>
  <c r="F9" i="19"/>
  <c r="R25" i="19"/>
  <c r="R26" i="19"/>
  <c r="R56" i="19"/>
  <c r="R17" i="19"/>
  <c r="R28" i="19"/>
  <c r="R30" i="19"/>
  <c r="R48" i="19"/>
  <c r="M67" i="19"/>
  <c r="R61" i="19"/>
  <c r="R58" i="19"/>
  <c r="R19" i="19"/>
  <c r="R7" i="19"/>
  <c r="R16" i="19"/>
  <c r="R27" i="19"/>
  <c r="O9" i="19"/>
  <c r="R62" i="19"/>
  <c r="I9" i="19"/>
  <c r="G67" i="19"/>
  <c r="G32" i="19" s="1"/>
  <c r="O67" i="19"/>
  <c r="O32" i="19" s="1"/>
  <c r="R59" i="19"/>
  <c r="R63" i="19"/>
  <c r="R14" i="19"/>
  <c r="R39" i="19"/>
  <c r="K9" i="19"/>
  <c r="R54" i="19"/>
  <c r="E48" i="18"/>
  <c r="AM28" i="16" l="1"/>
  <c r="I43" i="20"/>
  <c r="T17" i="19"/>
  <c r="R43" i="20"/>
  <c r="O43" i="20"/>
  <c r="J43" i="20"/>
  <c r="T38" i="19"/>
  <c r="S41" i="20"/>
  <c r="Q43" i="20"/>
  <c r="E54" i="18"/>
  <c r="S67" i="20"/>
  <c r="L43" i="20"/>
  <c r="K43" i="20"/>
  <c r="L32" i="19"/>
  <c r="S9" i="20"/>
  <c r="S8" i="20"/>
  <c r="G9" i="19"/>
  <c r="R9" i="19" s="1"/>
  <c r="R8" i="19"/>
  <c r="R67" i="19"/>
  <c r="Z31" i="16"/>
  <c r="Y31" i="16"/>
  <c r="Y53" i="16" s="1"/>
  <c r="X31" i="16"/>
  <c r="X52" i="16" s="1"/>
  <c r="W31" i="16"/>
  <c r="V31" i="16"/>
  <c r="U31" i="16"/>
  <c r="T31" i="16"/>
  <c r="S31" i="16"/>
  <c r="R31" i="16"/>
  <c r="Q31" i="16"/>
  <c r="Q53" i="16" s="1"/>
  <c r="P31" i="16"/>
  <c r="P52" i="16" s="1"/>
  <c r="O31" i="16"/>
  <c r="N31" i="16"/>
  <c r="M31" i="16"/>
  <c r="L31" i="16"/>
  <c r="K31" i="16"/>
  <c r="J31" i="16"/>
  <c r="I31" i="16"/>
  <c r="I53" i="16" s="1"/>
  <c r="H31" i="16"/>
  <c r="H52" i="16" s="1"/>
  <c r="G31" i="16"/>
  <c r="F31" i="16"/>
  <c r="E31" i="16"/>
  <c r="D31" i="16"/>
  <c r="C31" i="16"/>
  <c r="Z25" i="16"/>
  <c r="AN16" i="16"/>
  <c r="AL13" i="16"/>
  <c r="AL21" i="16" s="1"/>
  <c r="G43" i="20" l="1"/>
  <c r="P43" i="20"/>
  <c r="AD25" i="16"/>
  <c r="AE25" i="16"/>
  <c r="AF25" i="16"/>
  <c r="AG25" i="16"/>
  <c r="AH25" i="16"/>
  <c r="AA25" i="16"/>
  <c r="AI25" i="16"/>
  <c r="AB25" i="16"/>
  <c r="AJ25" i="16"/>
  <c r="AC25" i="16"/>
  <c r="Z53" i="16"/>
  <c r="Z51" i="16"/>
  <c r="Z52" i="16"/>
  <c r="N43" i="20"/>
  <c r="M43" i="20"/>
  <c r="H43" i="20"/>
  <c r="AO24" i="16"/>
  <c r="Q24" i="21" s="1"/>
  <c r="AT24" i="16"/>
  <c r="AS24" i="16"/>
  <c r="U24" i="21" s="1"/>
  <c r="AR24" i="16"/>
  <c r="T24" i="21" s="1"/>
  <c r="AQ24" i="16"/>
  <c r="S24" i="21" s="1"/>
  <c r="AP24" i="16"/>
  <c r="R24" i="21" s="1"/>
  <c r="S29" i="20"/>
  <c r="S32" i="20"/>
  <c r="S11" i="20"/>
  <c r="S20" i="20"/>
  <c r="S22" i="20" s="1"/>
  <c r="M32" i="19"/>
  <c r="R29" i="19"/>
  <c r="R11" i="19"/>
  <c r="BA41" i="16"/>
  <c r="AN41" i="16"/>
  <c r="AU24" i="16"/>
  <c r="J51" i="16"/>
  <c r="L52" i="16"/>
  <c r="T53" i="16"/>
  <c r="K51" i="16"/>
  <c r="S52" i="16"/>
  <c r="U53" i="16"/>
  <c r="R51" i="16"/>
  <c r="T52" i="16"/>
  <c r="S51" i="16"/>
  <c r="D53" i="16"/>
  <c r="C52" i="16"/>
  <c r="E53" i="16"/>
  <c r="D52" i="16"/>
  <c r="L53" i="16"/>
  <c r="C51" i="16"/>
  <c r="K52" i="16"/>
  <c r="M53" i="16"/>
  <c r="AN7" i="16"/>
  <c r="AN46" i="16" s="1"/>
  <c r="AN8" i="16"/>
  <c r="AN47" i="16" s="1"/>
  <c r="AK20" i="16"/>
  <c r="AK12" i="16"/>
  <c r="M12" i="21" s="1"/>
  <c r="M17" i="21" s="1"/>
  <c r="BA7" i="16"/>
  <c r="BA8" i="16"/>
  <c r="BA9" i="16"/>
  <c r="G51" i="16"/>
  <c r="G52" i="16"/>
  <c r="G53" i="16"/>
  <c r="O51" i="16"/>
  <c r="O52" i="16"/>
  <c r="O53" i="16"/>
  <c r="W51" i="16"/>
  <c r="W52" i="16"/>
  <c r="W53" i="16"/>
  <c r="AN9" i="16"/>
  <c r="AN48" i="16" s="1"/>
  <c r="AN4" i="16"/>
  <c r="BA4" i="16"/>
  <c r="AM13" i="16"/>
  <c r="AM21" i="16" s="1"/>
  <c r="H51" i="16"/>
  <c r="P51" i="16"/>
  <c r="X51" i="16"/>
  <c r="I52" i="16"/>
  <c r="Q52" i="16"/>
  <c r="Y52" i="16"/>
  <c r="J53" i="16"/>
  <c r="R53" i="16"/>
  <c r="I51" i="16"/>
  <c r="Q51" i="16"/>
  <c r="Y51" i="16"/>
  <c r="J52" i="16"/>
  <c r="R52" i="16"/>
  <c r="C53" i="16"/>
  <c r="K53" i="16"/>
  <c r="S53" i="16"/>
  <c r="AK24" i="16"/>
  <c r="D51" i="16"/>
  <c r="L51" i="16"/>
  <c r="T51" i="16"/>
  <c r="E52" i="16"/>
  <c r="M52" i="16"/>
  <c r="U52" i="16"/>
  <c r="F53" i="16"/>
  <c r="N53" i="16"/>
  <c r="V53" i="16"/>
  <c r="E51" i="16"/>
  <c r="M51" i="16"/>
  <c r="U51" i="16"/>
  <c r="F52" i="16"/>
  <c r="N52" i="16"/>
  <c r="V52" i="16"/>
  <c r="F51" i="16"/>
  <c r="N51" i="16"/>
  <c r="V51" i="16"/>
  <c r="H53" i="16"/>
  <c r="P53" i="16"/>
  <c r="X53" i="16"/>
  <c r="AL20" i="16" l="1"/>
  <c r="AL25" i="16" s="1"/>
  <c r="AN24" i="16"/>
  <c r="AN21" i="16"/>
  <c r="AN23" i="16"/>
  <c r="S43" i="20"/>
  <c r="R32" i="19"/>
  <c r="AV24" i="16"/>
  <c r="AN15" i="16"/>
  <c r="AN13" i="16"/>
  <c r="W32" i="16"/>
  <c r="AN22" i="16"/>
  <c r="AL12" i="16"/>
  <c r="BA46" i="16"/>
  <c r="Z32" i="16"/>
  <c r="S32" i="16"/>
  <c r="R32" i="16"/>
  <c r="BA48" i="16"/>
  <c r="Q32" i="16"/>
  <c r="P32" i="16"/>
  <c r="BA47" i="16"/>
  <c r="X32" i="16"/>
  <c r="AP14" i="16"/>
  <c r="AP22" i="16" s="1"/>
  <c r="AN43" i="16"/>
  <c r="V32" i="16"/>
  <c r="AP13" i="16"/>
  <c r="AK25" i="16"/>
  <c r="Y32" i="16"/>
  <c r="U32" i="16"/>
  <c r="T32" i="16"/>
  <c r="BA43" i="16"/>
  <c r="AN14" i="16"/>
  <c r="AW24" i="16" l="1"/>
  <c r="AO21" i="16"/>
  <c r="AQ14" i="16"/>
  <c r="AQ22" i="16" s="1"/>
  <c r="AM20" i="16"/>
  <c r="AM25" i="16" s="1"/>
  <c r="AM12" i="16"/>
  <c r="AQ13" i="16"/>
  <c r="AP21" i="16" l="1"/>
  <c r="AR14" i="16"/>
  <c r="AR22" i="16" s="1"/>
  <c r="AO20" i="16"/>
  <c r="AX24" i="16"/>
  <c r="AN12" i="16"/>
  <c r="AN17" i="16" s="1"/>
  <c r="AO12" i="16"/>
  <c r="AP12" i="16" s="1"/>
  <c r="AR13" i="16"/>
  <c r="AN20" i="16"/>
  <c r="AN25" i="16" l="1"/>
  <c r="AP20" i="16"/>
  <c r="Q20" i="21"/>
  <c r="AO25" i="16"/>
  <c r="AY24" i="16"/>
  <c r="BA16" i="16"/>
  <c r="AQ21" i="16"/>
  <c r="AS14" i="16"/>
  <c r="AS22" i="16" s="1"/>
  <c r="R12" i="21"/>
  <c r="Q12" i="21"/>
  <c r="AQ12" i="16"/>
  <c r="S12" i="21" s="1"/>
  <c r="AS13" i="16"/>
  <c r="AR21" i="16" l="1"/>
  <c r="AQ20" i="16"/>
  <c r="R20" i="21"/>
  <c r="AP25" i="16"/>
  <c r="AZ24" i="16"/>
  <c r="BA24" i="16" s="1"/>
  <c r="AT14" i="16"/>
  <c r="AT22" i="16" s="1"/>
  <c r="F35" i="19"/>
  <c r="AR12" i="16"/>
  <c r="AS12" i="16"/>
  <c r="AT13" i="16"/>
  <c r="U12" i="21" l="1"/>
  <c r="AT12" i="16"/>
  <c r="AU12" i="16" s="1"/>
  <c r="W12" i="21" s="1"/>
  <c r="T12" i="21"/>
  <c r="G35" i="19"/>
  <c r="AU14" i="16"/>
  <c r="AU22" i="16" s="1"/>
  <c r="AR20" i="16"/>
  <c r="S20" i="21"/>
  <c r="AQ25" i="16"/>
  <c r="AS21" i="16"/>
  <c r="AU13" i="16"/>
  <c r="V12" i="21" l="1"/>
  <c r="AV12" i="16"/>
  <c r="AW12" i="16" s="1"/>
  <c r="AX12" i="16" s="1"/>
  <c r="AY12" i="16" s="1"/>
  <c r="AZ12" i="16" s="1"/>
  <c r="AV14" i="16"/>
  <c r="AV22" i="16" s="1"/>
  <c r="AS20" i="16"/>
  <c r="AT20" i="16" s="1"/>
  <c r="AU20" i="16" s="1"/>
  <c r="T20" i="21"/>
  <c r="AR25" i="16"/>
  <c r="H35" i="19"/>
  <c r="AT21" i="16"/>
  <c r="AV13" i="16"/>
  <c r="X12" i="21" l="1"/>
  <c r="Y12" i="21"/>
  <c r="I35" i="19"/>
  <c r="U20" i="21"/>
  <c r="AS25" i="16"/>
  <c r="AW14" i="16"/>
  <c r="AW22" i="16" s="1"/>
  <c r="AU21" i="16"/>
  <c r="Z12" i="21"/>
  <c r="AA12" i="21"/>
  <c r="AW13" i="16"/>
  <c r="AV21" i="16" l="1"/>
  <c r="J35" i="19"/>
  <c r="AX14" i="16"/>
  <c r="AX22" i="16" s="1"/>
  <c r="V20" i="21"/>
  <c r="AT25" i="16"/>
  <c r="AB12" i="21"/>
  <c r="AX13" i="16"/>
  <c r="BA12" i="16" l="1"/>
  <c r="K35" i="19"/>
  <c r="AV20" i="16"/>
  <c r="W20" i="21"/>
  <c r="AU25" i="16"/>
  <c r="AY14" i="16"/>
  <c r="AY22" i="16" s="1"/>
  <c r="AW21" i="16"/>
  <c r="AY13" i="16"/>
  <c r="AW20" i="16" l="1"/>
  <c r="X20" i="21"/>
  <c r="AV25" i="16"/>
  <c r="L35" i="19"/>
  <c r="AZ14" i="16"/>
  <c r="AZ22" i="16" s="1"/>
  <c r="AX21" i="16"/>
  <c r="AZ13" i="16"/>
  <c r="BA15" i="16" l="1"/>
  <c r="M35" i="19"/>
  <c r="AX20" i="16"/>
  <c r="Y20" i="21"/>
  <c r="AW25" i="16"/>
  <c r="BA14" i="16"/>
  <c r="AY21" i="16"/>
  <c r="BA13" i="16"/>
  <c r="N35" i="19" l="1"/>
  <c r="AZ21" i="16"/>
  <c r="AY20" i="16"/>
  <c r="Z20" i="21"/>
  <c r="AX25" i="16"/>
  <c r="O35" i="19" l="1"/>
  <c r="BA23" i="16"/>
  <c r="BA21" i="16"/>
  <c r="AZ20" i="16"/>
  <c r="AA20" i="21"/>
  <c r="AY25" i="16"/>
  <c r="BA22" i="16"/>
  <c r="P35" i="19" l="1"/>
  <c r="AB20" i="21"/>
  <c r="BA20" i="16"/>
  <c r="AZ25" i="16"/>
  <c r="AZ28" i="4"/>
  <c r="AB27" i="21" s="1"/>
  <c r="AY28" i="4"/>
  <c r="AA27" i="21" s="1"/>
  <c r="AX28" i="4"/>
  <c r="Z27" i="21" s="1"/>
  <c r="AW28" i="4"/>
  <c r="Y27" i="21" s="1"/>
  <c r="AV28" i="4"/>
  <c r="X27" i="21" s="1"/>
  <c r="AU28" i="4"/>
  <c r="W27" i="21" s="1"/>
  <c r="AT28" i="4"/>
  <c r="V27" i="21" s="1"/>
  <c r="AS28" i="4"/>
  <c r="U27" i="21" s="1"/>
  <c r="AR28" i="4"/>
  <c r="T27" i="21" s="1"/>
  <c r="AQ28" i="4"/>
  <c r="S27" i="21" s="1"/>
  <c r="AP28" i="4"/>
  <c r="R27" i="21" s="1"/>
  <c r="AO28" i="4"/>
  <c r="Q27" i="21" s="1"/>
  <c r="BA20" i="4"/>
  <c r="AK28" i="4"/>
  <c r="M27" i="21" s="1"/>
  <c r="AL28" i="4"/>
  <c r="N27" i="21" s="1"/>
  <c r="AM28" i="4"/>
  <c r="O27" i="21" s="1"/>
  <c r="BA25" i="16" l="1"/>
  <c r="Q35" i="19"/>
  <c r="R35" i="19" s="1"/>
  <c r="AC20" i="21"/>
  <c r="L20" i="21"/>
  <c r="L25" i="21" s="1"/>
  <c r="K20" i="21"/>
  <c r="K25" i="21" s="1"/>
  <c r="J20" i="21"/>
  <c r="J25" i="21" s="1"/>
  <c r="D20" i="21"/>
  <c r="C20" i="21"/>
  <c r="C25" i="21" s="1"/>
  <c r="B20" i="21"/>
  <c r="D25" i="21" l="1"/>
  <c r="E20" i="21"/>
  <c r="E25" i="21" s="1"/>
  <c r="F20" i="21"/>
  <c r="F25" i="21" s="1"/>
  <c r="G20" i="21"/>
  <c r="G25" i="21" s="1"/>
  <c r="H20" i="21"/>
  <c r="H25" i="21" s="1"/>
  <c r="I20" i="21"/>
  <c r="I25" i="21" s="1"/>
  <c r="U35" i="19"/>
  <c r="T35" i="19"/>
  <c r="B21" i="21"/>
  <c r="B22" i="21"/>
  <c r="B23" i="21"/>
  <c r="AU24" i="4"/>
  <c r="AJ25" i="4"/>
  <c r="AI25" i="4"/>
  <c r="AB25" i="4"/>
  <c r="AA25" i="4"/>
  <c r="Z25" i="4"/>
  <c r="AH25" i="4"/>
  <c r="AN16" i="4"/>
  <c r="Z17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K21" i="4" l="1"/>
  <c r="M21" i="21" s="1"/>
  <c r="AK24" i="4"/>
  <c r="B24" i="21"/>
  <c r="AA17" i="4"/>
  <c r="AA5" i="4" s="1"/>
  <c r="C12" i="21"/>
  <c r="AK23" i="4"/>
  <c r="AK22" i="4"/>
  <c r="AA17" i="16"/>
  <c r="AA5" i="16" s="1"/>
  <c r="P52" i="4"/>
  <c r="P51" i="4"/>
  <c r="P53" i="4"/>
  <c r="W51" i="4"/>
  <c r="W52" i="4"/>
  <c r="W53" i="4"/>
  <c r="O51" i="4"/>
  <c r="O52" i="4"/>
  <c r="O53" i="4"/>
  <c r="G51" i="4"/>
  <c r="G52" i="4"/>
  <c r="G53" i="4"/>
  <c r="I51" i="4"/>
  <c r="I52" i="4"/>
  <c r="I53" i="4"/>
  <c r="V51" i="4"/>
  <c r="V52" i="4"/>
  <c r="V53" i="4"/>
  <c r="N51" i="4"/>
  <c r="N52" i="4"/>
  <c r="N53" i="4"/>
  <c r="F51" i="4"/>
  <c r="F52" i="4"/>
  <c r="F53" i="4"/>
  <c r="Y51" i="4"/>
  <c r="Y52" i="4"/>
  <c r="Y53" i="4"/>
  <c r="X51" i="4"/>
  <c r="X53" i="4"/>
  <c r="X52" i="4"/>
  <c r="U52" i="4"/>
  <c r="U53" i="4"/>
  <c r="U51" i="4"/>
  <c r="M51" i="4"/>
  <c r="M52" i="4"/>
  <c r="M53" i="4"/>
  <c r="E51" i="4"/>
  <c r="E52" i="4"/>
  <c r="E53" i="4"/>
  <c r="T51" i="4"/>
  <c r="T52" i="4"/>
  <c r="T53" i="4"/>
  <c r="L51" i="4"/>
  <c r="L52" i="4"/>
  <c r="L53" i="4"/>
  <c r="D51" i="4"/>
  <c r="D52" i="4"/>
  <c r="D53" i="4"/>
  <c r="Q51" i="4"/>
  <c r="Q52" i="4"/>
  <c r="Q53" i="4"/>
  <c r="H51" i="4"/>
  <c r="H53" i="4"/>
  <c r="H52" i="4"/>
  <c r="S51" i="4"/>
  <c r="S52" i="4"/>
  <c r="S53" i="4"/>
  <c r="K51" i="4"/>
  <c r="K52" i="4"/>
  <c r="K53" i="4"/>
  <c r="C51" i="4"/>
  <c r="C52" i="4"/>
  <c r="C53" i="4"/>
  <c r="R52" i="4"/>
  <c r="R53" i="4"/>
  <c r="R51" i="4"/>
  <c r="J52" i="4"/>
  <c r="J53" i="4"/>
  <c r="J51" i="4"/>
  <c r="AU16" i="4"/>
  <c r="W16" i="21" s="1"/>
  <c r="AT24" i="4"/>
  <c r="V24" i="21" s="1"/>
  <c r="AK17" i="4"/>
  <c r="AL21" i="4" l="1"/>
  <c r="N21" i="21" s="1"/>
  <c r="AK5" i="4"/>
  <c r="AK20" i="4" s="1"/>
  <c r="C17" i="21"/>
  <c r="AL22" i="4"/>
  <c r="M22" i="21"/>
  <c r="AL23" i="4"/>
  <c r="M23" i="21"/>
  <c r="C5" i="21"/>
  <c r="AN24" i="4"/>
  <c r="M24" i="21"/>
  <c r="P24" i="21" s="1"/>
  <c r="AV16" i="4"/>
  <c r="X16" i="21" s="1"/>
  <c r="W24" i="21"/>
  <c r="AM21" i="4" l="1"/>
  <c r="AO21" i="4" s="1"/>
  <c r="Q21" i="21" s="1"/>
  <c r="AK25" i="4"/>
  <c r="M20" i="21"/>
  <c r="M25" i="21" s="1"/>
  <c r="N22" i="21"/>
  <c r="AM22" i="4"/>
  <c r="N23" i="21"/>
  <c r="AM23" i="4"/>
  <c r="AN23" i="4" s="1"/>
  <c r="AW16" i="4"/>
  <c r="Y16" i="21" s="1"/>
  <c r="AV24" i="4"/>
  <c r="X24" i="21" s="1"/>
  <c r="AN21" i="4" l="1"/>
  <c r="O21" i="21"/>
  <c r="P21" i="21" s="1"/>
  <c r="AO22" i="4"/>
  <c r="O22" i="21"/>
  <c r="P22" i="21" s="1"/>
  <c r="AN22" i="4"/>
  <c r="AO23" i="4"/>
  <c r="AO25" i="4" s="1"/>
  <c r="O23" i="21"/>
  <c r="P23" i="21" s="1"/>
  <c r="AX16" i="4"/>
  <c r="Z16" i="21" s="1"/>
  <c r="AW24" i="4"/>
  <c r="Y24" i="21" s="1"/>
  <c r="AP21" i="4"/>
  <c r="R21" i="21" s="1"/>
  <c r="Q22" i="21" l="1"/>
  <c r="AP22" i="4"/>
  <c r="Q23" i="21"/>
  <c r="AP23" i="4"/>
  <c r="AY16" i="4"/>
  <c r="AA16" i="21" s="1"/>
  <c r="AX24" i="4"/>
  <c r="Z24" i="21" s="1"/>
  <c r="AQ21" i="4"/>
  <c r="S21" i="21" s="1"/>
  <c r="AQ23" i="4" l="1"/>
  <c r="R23" i="21"/>
  <c r="Q25" i="21"/>
  <c r="AP25" i="4"/>
  <c r="AQ22" i="4"/>
  <c r="R22" i="21"/>
  <c r="AZ16" i="4"/>
  <c r="AY24" i="4"/>
  <c r="AA24" i="21" s="1"/>
  <c r="AR21" i="4"/>
  <c r="T21" i="21" s="1"/>
  <c r="AQ25" i="4" l="1"/>
  <c r="R25" i="21"/>
  <c r="AR22" i="4"/>
  <c r="S22" i="21"/>
  <c r="AZ24" i="4"/>
  <c r="AB24" i="21" s="1"/>
  <c r="AC24" i="21" s="1"/>
  <c r="AB16" i="21"/>
  <c r="AC16" i="21" s="1"/>
  <c r="AR23" i="4"/>
  <c r="S23" i="21"/>
  <c r="AS21" i="4"/>
  <c r="U21" i="21" s="1"/>
  <c r="AS23" i="4" l="1"/>
  <c r="T23" i="21"/>
  <c r="AR25" i="4"/>
  <c r="S25" i="21"/>
  <c r="BA24" i="4"/>
  <c r="AS22" i="4"/>
  <c r="T22" i="21"/>
  <c r="AT21" i="4"/>
  <c r="V21" i="21" s="1"/>
  <c r="AS25" i="4" l="1"/>
  <c r="T25" i="21"/>
  <c r="AT22" i="4"/>
  <c r="U22" i="21"/>
  <c r="AT23" i="4"/>
  <c r="U23" i="21"/>
  <c r="AU21" i="4"/>
  <c r="W21" i="21" s="1"/>
  <c r="AT25" i="4"/>
  <c r="AU23" i="4" l="1"/>
  <c r="V23" i="21"/>
  <c r="U25" i="21"/>
  <c r="AU22" i="4"/>
  <c r="V22" i="21"/>
  <c r="AV21" i="4"/>
  <c r="X21" i="21" s="1"/>
  <c r="V25" i="21" l="1"/>
  <c r="AU25" i="4"/>
  <c r="AV22" i="4"/>
  <c r="W22" i="21"/>
  <c r="AV23" i="4"/>
  <c r="W23" i="21"/>
  <c r="AW21" i="4"/>
  <c r="Y21" i="21" s="1"/>
  <c r="AW23" i="4" l="1"/>
  <c r="X23" i="21"/>
  <c r="AV25" i="4"/>
  <c r="W25" i="21"/>
  <c r="AW22" i="4"/>
  <c r="X22" i="21"/>
  <c r="AX21" i="4"/>
  <c r="Z21" i="21" s="1"/>
  <c r="X25" i="21" l="1"/>
  <c r="AX22" i="4"/>
  <c r="Y22" i="21"/>
  <c r="AW25" i="4"/>
  <c r="AX23" i="4"/>
  <c r="Y23" i="21"/>
  <c r="AY21" i="4"/>
  <c r="AA21" i="21" s="1"/>
  <c r="AY23" i="4" l="1"/>
  <c r="Z23" i="21"/>
  <c r="Y25" i="21"/>
  <c r="AX25" i="4"/>
  <c r="AY22" i="4"/>
  <c r="AY25" i="4" s="1"/>
  <c r="Z22" i="21"/>
  <c r="AZ21" i="4"/>
  <c r="AB21" i="21" s="1"/>
  <c r="BA16" i="4"/>
  <c r="AL12" i="4"/>
  <c r="AL14" i="4"/>
  <c r="N14" i="21" s="1"/>
  <c r="AL15" i="4"/>
  <c r="N15" i="21" s="1"/>
  <c r="AL13" i="4"/>
  <c r="N13" i="21" s="1"/>
  <c r="Z25" i="21" l="1"/>
  <c r="AZ22" i="4"/>
  <c r="AA22" i="21"/>
  <c r="AM12" i="4"/>
  <c r="N12" i="21"/>
  <c r="N17" i="21" s="1"/>
  <c r="AZ23" i="4"/>
  <c r="AA23" i="21"/>
  <c r="AC21" i="21"/>
  <c r="BA21" i="4"/>
  <c r="AM14" i="4"/>
  <c r="AM15" i="4"/>
  <c r="AM13" i="4"/>
  <c r="AL17" i="4"/>
  <c r="AL5" i="4" s="1"/>
  <c r="AL20" i="4" s="1"/>
  <c r="N20" i="21" s="1"/>
  <c r="AC38" i="21"/>
  <c r="AC37" i="21"/>
  <c r="AC36" i="21"/>
  <c r="AC35" i="21"/>
  <c r="AC34" i="21"/>
  <c r="AC33" i="21"/>
  <c r="AB4" i="21"/>
  <c r="R4" i="21"/>
  <c r="S4" i="21"/>
  <c r="T4" i="21"/>
  <c r="U4" i="21"/>
  <c r="V4" i="21"/>
  <c r="W4" i="21"/>
  <c r="X4" i="21"/>
  <c r="Y4" i="21"/>
  <c r="Z4" i="21"/>
  <c r="AA4" i="21"/>
  <c r="AP27" i="4"/>
  <c r="AQ27" i="4"/>
  <c r="AR27" i="4"/>
  <c r="AS27" i="4"/>
  <c r="AT27" i="4"/>
  <c r="AU27" i="4"/>
  <c r="AV27" i="4"/>
  <c r="AW27" i="4"/>
  <c r="AX27" i="4"/>
  <c r="AY27" i="4"/>
  <c r="AZ27" i="4"/>
  <c r="R7" i="21"/>
  <c r="S7" i="21"/>
  <c r="T7" i="21"/>
  <c r="U7" i="21"/>
  <c r="V7" i="21"/>
  <c r="W7" i="21"/>
  <c r="X7" i="21"/>
  <c r="Y7" i="21"/>
  <c r="Z7" i="21"/>
  <c r="AA7" i="21"/>
  <c r="AB7" i="21"/>
  <c r="R8" i="21"/>
  <c r="S8" i="21"/>
  <c r="T8" i="21"/>
  <c r="U8" i="21"/>
  <c r="V8" i="21"/>
  <c r="W8" i="21"/>
  <c r="X8" i="21"/>
  <c r="Y8" i="21"/>
  <c r="Z8" i="21"/>
  <c r="AA8" i="21"/>
  <c r="AB8" i="21"/>
  <c r="R9" i="21"/>
  <c r="S9" i="21"/>
  <c r="T9" i="21"/>
  <c r="U9" i="21"/>
  <c r="V9" i="21"/>
  <c r="W9" i="21"/>
  <c r="X9" i="21"/>
  <c r="Y9" i="21"/>
  <c r="Z9" i="21"/>
  <c r="AA9" i="21"/>
  <c r="AB9" i="21"/>
  <c r="Q8" i="21"/>
  <c r="Q9" i="21"/>
  <c r="Q7" i="21"/>
  <c r="Q4" i="21"/>
  <c r="AO27" i="4" l="1"/>
  <c r="AO29" i="4"/>
  <c r="P58" i="21"/>
  <c r="AC58" i="21"/>
  <c r="N25" i="21"/>
  <c r="AB23" i="21"/>
  <c r="AC23" i="21" s="1"/>
  <c r="BA23" i="4"/>
  <c r="AC39" i="21"/>
  <c r="AO15" i="4"/>
  <c r="O15" i="21"/>
  <c r="P15" i="21" s="1"/>
  <c r="P62" i="21"/>
  <c r="AC62" i="21"/>
  <c r="AO14" i="4"/>
  <c r="O14" i="21"/>
  <c r="P14" i="21" s="1"/>
  <c r="BA12" i="4"/>
  <c r="O12" i="21"/>
  <c r="AC61" i="21"/>
  <c r="P61" i="21"/>
  <c r="AZ25" i="4"/>
  <c r="AA25" i="21"/>
  <c r="AN13" i="4"/>
  <c r="O13" i="21"/>
  <c r="P13" i="21" s="1"/>
  <c r="AB22" i="21"/>
  <c r="BA22" i="4"/>
  <c r="AQ17" i="16"/>
  <c r="AQ5" i="16" s="1"/>
  <c r="AX17" i="16"/>
  <c r="AX5" i="16" s="1"/>
  <c r="AP17" i="16"/>
  <c r="AP5" i="16" s="1"/>
  <c r="AV17" i="16"/>
  <c r="AV5" i="16" s="1"/>
  <c r="AU17" i="16"/>
  <c r="AU5" i="16" s="1"/>
  <c r="AT17" i="16"/>
  <c r="AT5" i="16" s="1"/>
  <c r="AS17" i="16"/>
  <c r="AS5" i="16" s="1"/>
  <c r="AY17" i="16"/>
  <c r="AY5" i="16" s="1"/>
  <c r="AW17" i="16"/>
  <c r="AW5" i="16" s="1"/>
  <c r="AZ17" i="16"/>
  <c r="AZ5" i="16" s="1"/>
  <c r="AR17" i="16"/>
  <c r="AR5" i="16" s="1"/>
  <c r="AX29" i="4"/>
  <c r="AW29" i="4"/>
  <c r="AY29" i="4"/>
  <c r="AQ29" i="4"/>
  <c r="AT29" i="4"/>
  <c r="AL25" i="4"/>
  <c r="AV29" i="4"/>
  <c r="AN15" i="4"/>
  <c r="AZ29" i="4"/>
  <c r="AR29" i="4"/>
  <c r="AS29" i="4"/>
  <c r="AP29" i="4"/>
  <c r="AU29" i="4"/>
  <c r="AN14" i="4"/>
  <c r="AO13" i="4"/>
  <c r="Q13" i="21" s="1"/>
  <c r="AM17" i="4"/>
  <c r="AM5" i="4" s="1"/>
  <c r="AM20" i="4" s="1"/>
  <c r="BA41" i="4"/>
  <c r="BA25" i="4" l="1"/>
  <c r="Q14" i="21"/>
  <c r="AP14" i="4"/>
  <c r="AC22" i="21"/>
  <c r="AC25" i="21" s="1"/>
  <c r="AB25" i="21"/>
  <c r="Q15" i="21"/>
  <c r="AP15" i="4"/>
  <c r="O17" i="21"/>
  <c r="AC12" i="21"/>
  <c r="AM25" i="4"/>
  <c r="O20" i="21"/>
  <c r="AN20" i="4"/>
  <c r="AN25" i="4" s="1"/>
  <c r="AP13" i="4"/>
  <c r="R13" i="21" s="1"/>
  <c r="AO17" i="4"/>
  <c r="AO5" i="4" s="1"/>
  <c r="N8" i="21"/>
  <c r="M8" i="21"/>
  <c r="L8" i="21"/>
  <c r="K8" i="21"/>
  <c r="J8" i="21"/>
  <c r="I8" i="21"/>
  <c r="H8" i="21"/>
  <c r="G8" i="21"/>
  <c r="F8" i="21"/>
  <c r="E8" i="21"/>
  <c r="D8" i="21"/>
  <c r="C8" i="21"/>
  <c r="P34" i="21"/>
  <c r="P35" i="21"/>
  <c r="P36" i="21"/>
  <c r="P37" i="21"/>
  <c r="P38" i="21"/>
  <c r="P33" i="21"/>
  <c r="N9" i="21"/>
  <c r="M9" i="21"/>
  <c r="L9" i="21"/>
  <c r="K9" i="21"/>
  <c r="J9" i="21"/>
  <c r="I9" i="21"/>
  <c r="H9" i="21"/>
  <c r="G9" i="21"/>
  <c r="F9" i="21"/>
  <c r="E9" i="21"/>
  <c r="D9" i="21"/>
  <c r="N7" i="21"/>
  <c r="M7" i="21"/>
  <c r="L7" i="21"/>
  <c r="K7" i="21"/>
  <c r="J7" i="21"/>
  <c r="I7" i="21"/>
  <c r="H7" i="21"/>
  <c r="G7" i="21"/>
  <c r="F7" i="21"/>
  <c r="E7" i="21"/>
  <c r="D7" i="21"/>
  <c r="C9" i="21"/>
  <c r="C7" i="21"/>
  <c r="AM27" i="4"/>
  <c r="BA27" i="4" s="1"/>
  <c r="AL27" i="4"/>
  <c r="AK27" i="4"/>
  <c r="AG27" i="4"/>
  <c r="AF27" i="4"/>
  <c r="AE27" i="4"/>
  <c r="AF29" i="4" s="1"/>
  <c r="AD27" i="4"/>
  <c r="AC27" i="4"/>
  <c r="AD29" i="4" s="1"/>
  <c r="D12" i="21"/>
  <c r="O4" i="21"/>
  <c r="AC4" i="21" s="1"/>
  <c r="AC41" i="21" s="1"/>
  <c r="N4" i="21"/>
  <c r="M4" i="21"/>
  <c r="L4" i="21"/>
  <c r="K4" i="21"/>
  <c r="J4" i="21"/>
  <c r="I4" i="21"/>
  <c r="H4" i="21"/>
  <c r="G4" i="21"/>
  <c r="F4" i="21"/>
  <c r="E4" i="21"/>
  <c r="D4" i="21"/>
  <c r="C4" i="21"/>
  <c r="Q17" i="21" l="1"/>
  <c r="AE29" i="4"/>
  <c r="AG29" i="4"/>
  <c r="AI27" i="4"/>
  <c r="AH27" i="4"/>
  <c r="AB27" i="4"/>
  <c r="AC29" i="4" s="1"/>
  <c r="AJ27" i="4"/>
  <c r="AA27" i="16"/>
  <c r="AA6" i="16" s="1"/>
  <c r="C6" i="21" s="1"/>
  <c r="C30" i="21" s="1"/>
  <c r="AA27" i="4"/>
  <c r="P4" i="21"/>
  <c r="P41" i="21" s="1"/>
  <c r="AF17" i="4"/>
  <c r="AF5" i="4" s="1"/>
  <c r="AF19" i="4" s="1"/>
  <c r="AF25" i="4" s="1"/>
  <c r="H12" i="21"/>
  <c r="H17" i="21" s="1"/>
  <c r="BA8" i="4"/>
  <c r="O8" i="21"/>
  <c r="AC8" i="21" s="1"/>
  <c r="AC45" i="21" s="1"/>
  <c r="AG17" i="4"/>
  <c r="AG5" i="4" s="1"/>
  <c r="AG19" i="4" s="1"/>
  <c r="AG25" i="4" s="1"/>
  <c r="I12" i="21"/>
  <c r="I17" i="21" s="1"/>
  <c r="AQ15" i="4"/>
  <c r="R15" i="21"/>
  <c r="AE17" i="4"/>
  <c r="AE5" i="4" s="1"/>
  <c r="AE19" i="4" s="1"/>
  <c r="AE25" i="4" s="1"/>
  <c r="G12" i="21"/>
  <c r="G17" i="21" s="1"/>
  <c r="AH17" i="4"/>
  <c r="AH5" i="4" s="1"/>
  <c r="AH10" i="4" s="1"/>
  <c r="J12" i="21"/>
  <c r="J17" i="21" s="1"/>
  <c r="BA9" i="4"/>
  <c r="O9" i="21"/>
  <c r="AC9" i="21" s="1"/>
  <c r="AC46" i="21" s="1"/>
  <c r="AI17" i="4"/>
  <c r="AI5" i="4" s="1"/>
  <c r="AI10" i="4" s="1"/>
  <c r="K12" i="21"/>
  <c r="K17" i="21" s="1"/>
  <c r="P39" i="21"/>
  <c r="AQ14" i="4"/>
  <c r="R14" i="21"/>
  <c r="D17" i="21"/>
  <c r="AJ17" i="4"/>
  <c r="AJ5" i="4" s="1"/>
  <c r="AJ31" i="4" s="1"/>
  <c r="L12" i="21"/>
  <c r="L17" i="21" s="1"/>
  <c r="AC17" i="4"/>
  <c r="AC5" i="4" s="1"/>
  <c r="AC19" i="4" s="1"/>
  <c r="AC25" i="4" s="1"/>
  <c r="E12" i="21"/>
  <c r="E17" i="21" s="1"/>
  <c r="AD17" i="4"/>
  <c r="AD5" i="4" s="1"/>
  <c r="AD19" i="4" s="1"/>
  <c r="AD25" i="4" s="1"/>
  <c r="F12" i="21"/>
  <c r="F17" i="21" s="1"/>
  <c r="BA7" i="4"/>
  <c r="BA46" i="4" s="1"/>
  <c r="O7" i="21"/>
  <c r="AC7" i="21" s="1"/>
  <c r="AC44" i="21" s="1"/>
  <c r="O25" i="21"/>
  <c r="P20" i="21"/>
  <c r="P25" i="21" s="1"/>
  <c r="AD17" i="16"/>
  <c r="AD5" i="16" s="1"/>
  <c r="AK17" i="16"/>
  <c r="AK5" i="16" s="1"/>
  <c r="AE17" i="16"/>
  <c r="AE5" i="16" s="1"/>
  <c r="AL17" i="16"/>
  <c r="AL5" i="16" s="1"/>
  <c r="N5" i="21" s="1"/>
  <c r="AJ17" i="16"/>
  <c r="AJ5" i="16" s="1"/>
  <c r="AG17" i="16"/>
  <c r="AG5" i="16" s="1"/>
  <c r="AH17" i="16"/>
  <c r="AH5" i="16" s="1"/>
  <c r="AC17" i="16"/>
  <c r="AC5" i="16" s="1"/>
  <c r="AF17" i="16"/>
  <c r="AI17" i="16"/>
  <c r="AI5" i="16" s="1"/>
  <c r="AI27" i="16"/>
  <c r="AK29" i="4"/>
  <c r="AL29" i="4"/>
  <c r="BA6" i="4"/>
  <c r="AM29" i="4"/>
  <c r="BA29" i="4"/>
  <c r="AN6" i="4"/>
  <c r="AN45" i="4" s="1"/>
  <c r="AN7" i="4"/>
  <c r="AN46" i="4" s="1"/>
  <c r="AN8" i="4"/>
  <c r="AN47" i="4" s="1"/>
  <c r="AN9" i="4"/>
  <c r="AN48" i="4" s="1"/>
  <c r="AO32" i="4"/>
  <c r="AO31" i="4"/>
  <c r="AO51" i="4" s="1"/>
  <c r="AO10" i="4"/>
  <c r="AN12" i="4"/>
  <c r="AB17" i="4"/>
  <c r="AB5" i="4" s="1"/>
  <c r="AQ13" i="4"/>
  <c r="S13" i="21" s="1"/>
  <c r="AP17" i="4"/>
  <c r="AP5" i="4" s="1"/>
  <c r="BA4" i="4"/>
  <c r="BA43" i="4" s="1"/>
  <c r="AM31" i="4"/>
  <c r="AM32" i="4"/>
  <c r="AF32" i="4"/>
  <c r="AA32" i="4"/>
  <c r="AA31" i="4"/>
  <c r="AI32" i="4"/>
  <c r="AI31" i="4"/>
  <c r="AD32" i="4"/>
  <c r="AG32" i="4"/>
  <c r="AB32" i="4"/>
  <c r="AJ32" i="4"/>
  <c r="AL31" i="4"/>
  <c r="AL32" i="4"/>
  <c r="AE32" i="4"/>
  <c r="AH32" i="4"/>
  <c r="AC32" i="4"/>
  <c r="AK31" i="4"/>
  <c r="AK32" i="4"/>
  <c r="AN41" i="4"/>
  <c r="AM10" i="4"/>
  <c r="AN4" i="4"/>
  <c r="AN43" i="4" s="1"/>
  <c r="AL10" i="4"/>
  <c r="AK10" i="4"/>
  <c r="AA10" i="4"/>
  <c r="AJ29" i="4" l="1"/>
  <c r="AI29" i="4"/>
  <c r="C10" i="21"/>
  <c r="AB29" i="4"/>
  <c r="AH29" i="4"/>
  <c r="AA10" i="16"/>
  <c r="AA32" i="16"/>
  <c r="C31" i="21" s="1"/>
  <c r="AA31" i="16"/>
  <c r="AA53" i="16" s="1"/>
  <c r="AI6" i="16"/>
  <c r="K6" i="21" s="1"/>
  <c r="AF27" i="16"/>
  <c r="AF31" i="4"/>
  <c r="AF10" i="4"/>
  <c r="BA48" i="4"/>
  <c r="AN27" i="4"/>
  <c r="AD10" i="4"/>
  <c r="AH31" i="4"/>
  <c r="AD31" i="4"/>
  <c r="AH27" i="16"/>
  <c r="P8" i="21"/>
  <c r="P45" i="21" s="1"/>
  <c r="AL27" i="16"/>
  <c r="AL6" i="16" s="1"/>
  <c r="N6" i="21" s="1"/>
  <c r="N10" i="21" s="1"/>
  <c r="L5" i="21"/>
  <c r="AJ10" i="4"/>
  <c r="BA47" i="4"/>
  <c r="K5" i="21"/>
  <c r="AJ27" i="16"/>
  <c r="AJ6" i="16" s="1"/>
  <c r="AJ10" i="16" s="1"/>
  <c r="AE27" i="16"/>
  <c r="AE10" i="4"/>
  <c r="R17" i="21"/>
  <c r="AF5" i="16"/>
  <c r="H5" i="21" s="1"/>
  <c r="AP27" i="16"/>
  <c r="R5" i="21"/>
  <c r="AR14" i="4"/>
  <c r="S14" i="21"/>
  <c r="P9" i="21"/>
  <c r="P46" i="21" s="1"/>
  <c r="AR15" i="4"/>
  <c r="S15" i="21"/>
  <c r="AG10" i="4"/>
  <c r="AC31" i="4"/>
  <c r="AG31" i="4"/>
  <c r="P7" i="21"/>
  <c r="P44" i="21" s="1"/>
  <c r="P12" i="21"/>
  <c r="P17" i="21" s="1"/>
  <c r="AE31" i="4"/>
  <c r="AC10" i="4"/>
  <c r="AD27" i="16"/>
  <c r="E5" i="21"/>
  <c r="I5" i="21"/>
  <c r="M5" i="21"/>
  <c r="J5" i="21"/>
  <c r="G5" i="21"/>
  <c r="AC27" i="16"/>
  <c r="F5" i="21"/>
  <c r="AK27" i="16"/>
  <c r="AG27" i="16"/>
  <c r="K27" i="21"/>
  <c r="H27" i="21"/>
  <c r="AN5" i="4"/>
  <c r="AN18" i="4" s="1"/>
  <c r="AB17" i="16"/>
  <c r="BA45" i="4"/>
  <c r="AB10" i="4"/>
  <c r="AO53" i="4"/>
  <c r="AO52" i="4"/>
  <c r="AN29" i="4"/>
  <c r="AN28" i="4" s="1"/>
  <c r="AB31" i="4"/>
  <c r="BA28" i="4"/>
  <c r="BA62" i="4" s="1"/>
  <c r="AP31" i="4"/>
  <c r="AP32" i="4"/>
  <c r="AP10" i="4"/>
  <c r="AN17" i="4"/>
  <c r="AR13" i="4"/>
  <c r="T13" i="21" s="1"/>
  <c r="AQ17" i="4"/>
  <c r="AQ5" i="4" s="1"/>
  <c r="AA52" i="16" l="1"/>
  <c r="AK6" i="16"/>
  <c r="M6" i="21" s="1"/>
  <c r="M30" i="21" s="1"/>
  <c r="AI32" i="16"/>
  <c r="K31" i="21" s="1"/>
  <c r="AI31" i="16"/>
  <c r="AI51" i="16" s="1"/>
  <c r="AA51" i="16"/>
  <c r="AI10" i="16"/>
  <c r="AL32" i="16"/>
  <c r="N31" i="21" s="1"/>
  <c r="K10" i="21"/>
  <c r="AC6" i="16"/>
  <c r="AD29" i="16"/>
  <c r="F28" i="21" s="1"/>
  <c r="AE6" i="16"/>
  <c r="AE10" i="16" s="1"/>
  <c r="AF29" i="16"/>
  <c r="AH6" i="16"/>
  <c r="J6" i="21" s="1"/>
  <c r="J10" i="21" s="1"/>
  <c r="AI29" i="16"/>
  <c r="AF6" i="16"/>
  <c r="AF10" i="16" s="1"/>
  <c r="AG29" i="16"/>
  <c r="AG6" i="16"/>
  <c r="I6" i="21" s="1"/>
  <c r="I10" i="21" s="1"/>
  <c r="AH29" i="16"/>
  <c r="AJ29" i="16"/>
  <c r="AD6" i="16"/>
  <c r="F6" i="21" s="1"/>
  <c r="AE29" i="16"/>
  <c r="G28" i="21" s="1"/>
  <c r="J27" i="21"/>
  <c r="AJ31" i="16"/>
  <c r="AJ53" i="16" s="1"/>
  <c r="AH32" i="16"/>
  <c r="J31" i="21" s="1"/>
  <c r="L6" i="21"/>
  <c r="L30" i="21" s="1"/>
  <c r="AJ32" i="16"/>
  <c r="L31" i="21" s="1"/>
  <c r="L27" i="21"/>
  <c r="AL10" i="16"/>
  <c r="I27" i="21"/>
  <c r="G6" i="21"/>
  <c r="G10" i="21" s="1"/>
  <c r="F27" i="21"/>
  <c r="G27" i="21"/>
  <c r="N30" i="21"/>
  <c r="AL31" i="16"/>
  <c r="AL53" i="16" s="1"/>
  <c r="AP6" i="16"/>
  <c r="AP31" i="16" s="1"/>
  <c r="S17" i="21"/>
  <c r="K30" i="21"/>
  <c r="AS15" i="4"/>
  <c r="T15" i="21"/>
  <c r="AI53" i="16"/>
  <c r="AN44" i="4"/>
  <c r="AN50" i="4" s="1"/>
  <c r="AN10" i="4"/>
  <c r="AN32" i="4"/>
  <c r="AN31" i="4"/>
  <c r="AS14" i="4"/>
  <c r="T14" i="21"/>
  <c r="AQ27" i="16"/>
  <c r="S5" i="21"/>
  <c r="AN61" i="4"/>
  <c r="AD10" i="16"/>
  <c r="AK29" i="16"/>
  <c r="F30" i="21"/>
  <c r="F10" i="21"/>
  <c r="AK32" i="16"/>
  <c r="M31" i="21" s="1"/>
  <c r="M10" i="21"/>
  <c r="AK10" i="16"/>
  <c r="AC31" i="16"/>
  <c r="E6" i="21"/>
  <c r="E30" i="21" s="1"/>
  <c r="AG10" i="16"/>
  <c r="AC32" i="16"/>
  <c r="E31" i="21" s="1"/>
  <c r="E27" i="21"/>
  <c r="AK31" i="16"/>
  <c r="AK53" i="16" s="1"/>
  <c r="AC10" i="16"/>
  <c r="AB5" i="16"/>
  <c r="D5" i="21" s="1"/>
  <c r="AB27" i="16"/>
  <c r="AI52" i="16"/>
  <c r="AP53" i="4"/>
  <c r="AP51" i="4"/>
  <c r="AP52" i="4"/>
  <c r="AN62" i="4"/>
  <c r="AQ32" i="4"/>
  <c r="AQ10" i="4"/>
  <c r="AQ31" i="4"/>
  <c r="AQ52" i="4" s="1"/>
  <c r="AS13" i="4"/>
  <c r="U13" i="21" s="1"/>
  <c r="AR17" i="4"/>
  <c r="AR5" i="4" s="1"/>
  <c r="AE32" i="16" l="1"/>
  <c r="G31" i="21" s="1"/>
  <c r="AE31" i="16"/>
  <c r="AE52" i="16" s="1"/>
  <c r="AL29" i="16"/>
  <c r="J30" i="21"/>
  <c r="I30" i="21"/>
  <c r="AD32" i="16"/>
  <c r="F31" i="21" s="1"/>
  <c r="AD31" i="16"/>
  <c r="AD52" i="16" s="1"/>
  <c r="AG32" i="16"/>
  <c r="I31" i="21" s="1"/>
  <c r="AG31" i="16"/>
  <c r="AH31" i="16"/>
  <c r="AH51" i="16" s="1"/>
  <c r="H6" i="21"/>
  <c r="AF32" i="16"/>
  <c r="H31" i="21" s="1"/>
  <c r="I28" i="21"/>
  <c r="K28" i="21"/>
  <c r="AC29" i="16"/>
  <c r="E28" i="21" s="1"/>
  <c r="AB29" i="16"/>
  <c r="D28" i="21" s="1"/>
  <c r="H28" i="21"/>
  <c r="AJ51" i="16"/>
  <c r="L28" i="21"/>
  <c r="J28" i="21"/>
  <c r="AJ52" i="16"/>
  <c r="AF31" i="16"/>
  <c r="AF52" i="16" s="1"/>
  <c r="AH10" i="16"/>
  <c r="AB6" i="16"/>
  <c r="AB32" i="16" s="1"/>
  <c r="D31" i="21" s="1"/>
  <c r="L10" i="21"/>
  <c r="AH52" i="16"/>
  <c r="AE51" i="16"/>
  <c r="G30" i="21"/>
  <c r="R6" i="21"/>
  <c r="R10" i="21" s="1"/>
  <c r="AD51" i="16"/>
  <c r="AD53" i="16"/>
  <c r="AN66" i="4"/>
  <c r="AP10" i="16"/>
  <c r="AP32" i="16"/>
  <c r="R31" i="21" s="1"/>
  <c r="AL51" i="16"/>
  <c r="AL52" i="16"/>
  <c r="AQ6" i="16"/>
  <c r="AQ32" i="16" s="1"/>
  <c r="S31" i="21" s="1"/>
  <c r="T17" i="21"/>
  <c r="AP53" i="16"/>
  <c r="R51" i="21" s="1"/>
  <c r="AP52" i="16"/>
  <c r="R50" i="21" s="1"/>
  <c r="AP51" i="16"/>
  <c r="R49" i="21" s="1"/>
  <c r="T5" i="21"/>
  <c r="AR27" i="16"/>
  <c r="AT14" i="4"/>
  <c r="U14" i="21"/>
  <c r="AT15" i="4"/>
  <c r="U15" i="21"/>
  <c r="AN49" i="4"/>
  <c r="AN55" i="4" s="1"/>
  <c r="AN72" i="4" s="1"/>
  <c r="AG52" i="16"/>
  <c r="AG51" i="16"/>
  <c r="AG53" i="16"/>
  <c r="AC52" i="16"/>
  <c r="AC53" i="16"/>
  <c r="AC51" i="16"/>
  <c r="N28" i="21"/>
  <c r="AK51" i="16"/>
  <c r="AK52" i="16"/>
  <c r="E10" i="21"/>
  <c r="M28" i="21"/>
  <c r="D27" i="21"/>
  <c r="AQ51" i="4"/>
  <c r="AQ53" i="4"/>
  <c r="AR32" i="4"/>
  <c r="AR31" i="4"/>
  <c r="AR10" i="4"/>
  <c r="AT13" i="4"/>
  <c r="V13" i="21" s="1"/>
  <c r="AS17" i="4"/>
  <c r="AS5" i="4" s="1"/>
  <c r="AE53" i="16" l="1"/>
  <c r="AH53" i="16"/>
  <c r="AB31" i="16"/>
  <c r="AB52" i="16" s="1"/>
  <c r="D6" i="21"/>
  <c r="D30" i="21" s="1"/>
  <c r="R30" i="21"/>
  <c r="AF51" i="16"/>
  <c r="AB10" i="16"/>
  <c r="AF53" i="16"/>
  <c r="H30" i="21"/>
  <c r="H10" i="21"/>
  <c r="AQ31" i="16"/>
  <c r="AQ53" i="16" s="1"/>
  <c r="S51" i="21" s="1"/>
  <c r="AQ10" i="16"/>
  <c r="S6" i="21"/>
  <c r="S30" i="21" s="1"/>
  <c r="AQ29" i="16"/>
  <c r="H36" i="19" s="1"/>
  <c r="H41" i="19" s="1"/>
  <c r="H18" i="19" s="1"/>
  <c r="AR6" i="16"/>
  <c r="AR31" i="16" s="1"/>
  <c r="AR53" i="16" s="1"/>
  <c r="AN51" i="4"/>
  <c r="AN68" i="4" s="1"/>
  <c r="AN53" i="4"/>
  <c r="AN70" i="4" s="1"/>
  <c r="AN54" i="4"/>
  <c r="AN71" i="4" s="1"/>
  <c r="AN52" i="4"/>
  <c r="AN69" i="4" s="1"/>
  <c r="AN56" i="4"/>
  <c r="AN73" i="4" s="1"/>
  <c r="U17" i="21"/>
  <c r="AU15" i="4"/>
  <c r="V15" i="21"/>
  <c r="AS27" i="16"/>
  <c r="U5" i="21"/>
  <c r="AU14" i="4"/>
  <c r="V14" i="21"/>
  <c r="D10" i="21"/>
  <c r="AR53" i="4"/>
  <c r="AR51" i="4"/>
  <c r="AR52" i="4"/>
  <c r="AS31" i="4"/>
  <c r="AS10" i="4"/>
  <c r="AS32" i="4"/>
  <c r="AU13" i="4"/>
  <c r="W13" i="21" s="1"/>
  <c r="AT17" i="4"/>
  <c r="AT5" i="4" s="1"/>
  <c r="AB51" i="16" l="1"/>
  <c r="AB53" i="16"/>
  <c r="AR10" i="16"/>
  <c r="AQ51" i="16"/>
  <c r="S49" i="21" s="1"/>
  <c r="S28" i="21"/>
  <c r="AQ52" i="16"/>
  <c r="S50" i="21" s="1"/>
  <c r="T6" i="21"/>
  <c r="T10" i="21" s="1"/>
  <c r="V17" i="21"/>
  <c r="AN74" i="4"/>
  <c r="S10" i="21"/>
  <c r="AR32" i="16"/>
  <c r="T31" i="21" s="1"/>
  <c r="AR29" i="16"/>
  <c r="T28" i="21" s="1"/>
  <c r="AS6" i="16"/>
  <c r="AS32" i="16" s="1"/>
  <c r="U31" i="21" s="1"/>
  <c r="T51" i="21"/>
  <c r="AN57" i="4"/>
  <c r="AR51" i="16"/>
  <c r="T49" i="21" s="1"/>
  <c r="AR52" i="16"/>
  <c r="T50" i="21" s="1"/>
  <c r="AT27" i="16"/>
  <c r="V5" i="21"/>
  <c r="H21" i="19"/>
  <c r="AV14" i="4"/>
  <c r="W14" i="21"/>
  <c r="AV15" i="4"/>
  <c r="W15" i="21"/>
  <c r="AS51" i="4"/>
  <c r="AS53" i="4"/>
  <c r="AS52" i="4"/>
  <c r="AT31" i="4"/>
  <c r="AT32" i="4"/>
  <c r="AT10" i="4"/>
  <c r="AV13" i="4"/>
  <c r="X13" i="21" s="1"/>
  <c r="AU17" i="4"/>
  <c r="AU5" i="4" s="1"/>
  <c r="T30" i="21" l="1"/>
  <c r="W17" i="21"/>
  <c r="I36" i="19"/>
  <c r="I41" i="19" s="1"/>
  <c r="I18" i="19" s="1"/>
  <c r="AS10" i="16"/>
  <c r="AS31" i="16"/>
  <c r="AS53" i="16" s="1"/>
  <c r="U51" i="21" s="1"/>
  <c r="AS29" i="16"/>
  <c r="J36" i="19" s="1"/>
  <c r="J41" i="19" s="1"/>
  <c r="J18" i="19" s="1"/>
  <c r="U6" i="21"/>
  <c r="U10" i="21" s="1"/>
  <c r="AT6" i="16"/>
  <c r="AT32" i="16" s="1"/>
  <c r="V31" i="21" s="1"/>
  <c r="H20" i="19"/>
  <c r="H22" i="19" s="1"/>
  <c r="H43" i="19" s="1"/>
  <c r="H45" i="19" s="1"/>
  <c r="AU27" i="16"/>
  <c r="W5" i="21"/>
  <c r="AW15" i="4"/>
  <c r="X15" i="21"/>
  <c r="AW14" i="4"/>
  <c r="X14" i="21"/>
  <c r="AT51" i="4"/>
  <c r="AT53" i="4"/>
  <c r="AT52" i="4"/>
  <c r="AU31" i="4"/>
  <c r="AU10" i="4"/>
  <c r="AU32" i="4"/>
  <c r="AW13" i="4"/>
  <c r="Y13" i="21" s="1"/>
  <c r="AV17" i="4"/>
  <c r="AV5" i="4" s="1"/>
  <c r="I21" i="19" l="1"/>
  <c r="U28" i="21"/>
  <c r="AS52" i="16"/>
  <c r="U50" i="21" s="1"/>
  <c r="AS51" i="16"/>
  <c r="U49" i="21" s="1"/>
  <c r="U30" i="21"/>
  <c r="AT29" i="16"/>
  <c r="K36" i="19" s="1"/>
  <c r="K41" i="19" s="1"/>
  <c r="K18" i="19" s="1"/>
  <c r="V6" i="21"/>
  <c r="AT10" i="16"/>
  <c r="AT31" i="16"/>
  <c r="AT53" i="16" s="1"/>
  <c r="V51" i="21" s="1"/>
  <c r="AU6" i="16"/>
  <c r="W6" i="21" s="1"/>
  <c r="I20" i="19"/>
  <c r="I22" i="19" s="1"/>
  <c r="I43" i="19" s="1"/>
  <c r="I45" i="19" s="1"/>
  <c r="J21" i="19"/>
  <c r="X5" i="21"/>
  <c r="AV27" i="16"/>
  <c r="AX14" i="4"/>
  <c r="Y14" i="21"/>
  <c r="X17" i="21"/>
  <c r="AX15" i="4"/>
  <c r="Y15" i="21"/>
  <c r="AU51" i="4"/>
  <c r="AU53" i="4"/>
  <c r="AU52" i="4"/>
  <c r="AV31" i="4"/>
  <c r="AV32" i="4"/>
  <c r="AV10" i="4"/>
  <c r="AX13" i="4"/>
  <c r="Z13" i="21" s="1"/>
  <c r="AW17" i="4"/>
  <c r="AW5" i="4" s="1"/>
  <c r="V28" i="21" l="1"/>
  <c r="AT51" i="16"/>
  <c r="V49" i="21" s="1"/>
  <c r="V30" i="21"/>
  <c r="V10" i="21"/>
  <c r="AT52" i="16"/>
  <c r="V50" i="21" s="1"/>
  <c r="W10" i="21"/>
  <c r="W30" i="21"/>
  <c r="AU10" i="16"/>
  <c r="AU29" i="16"/>
  <c r="AU31" i="16"/>
  <c r="AU53" i="16" s="1"/>
  <c r="W51" i="21" s="1"/>
  <c r="AU32" i="16"/>
  <c r="W31" i="21" s="1"/>
  <c r="AV6" i="16"/>
  <c r="X6" i="21" s="1"/>
  <c r="X30" i="21" s="1"/>
  <c r="J20" i="19"/>
  <c r="J22" i="19" s="1"/>
  <c r="J43" i="19" s="1"/>
  <c r="J45" i="19" s="1"/>
  <c r="Y17" i="21"/>
  <c r="AY15" i="4"/>
  <c r="Z15" i="21"/>
  <c r="AY14" i="4"/>
  <c r="Z14" i="21"/>
  <c r="AW27" i="16"/>
  <c r="Y5" i="21"/>
  <c r="K21" i="19"/>
  <c r="AV51" i="4"/>
  <c r="AV53" i="4"/>
  <c r="AV52" i="4"/>
  <c r="AW10" i="4"/>
  <c r="AW32" i="4"/>
  <c r="AW31" i="4"/>
  <c r="AY13" i="4"/>
  <c r="AA13" i="21" s="1"/>
  <c r="AX17" i="4"/>
  <c r="AX5" i="4" s="1"/>
  <c r="AV31" i="16" l="1"/>
  <c r="AV53" i="16" s="1"/>
  <c r="X51" i="21" s="1"/>
  <c r="AV29" i="16"/>
  <c r="X28" i="21" s="1"/>
  <c r="AV32" i="16"/>
  <c r="X31" i="21" s="1"/>
  <c r="AV10" i="16"/>
  <c r="L36" i="19"/>
  <c r="L41" i="19" s="1"/>
  <c r="W28" i="21"/>
  <c r="AU52" i="16"/>
  <c r="W50" i="21" s="1"/>
  <c r="AU51" i="16"/>
  <c r="W49" i="21" s="1"/>
  <c r="Z17" i="21"/>
  <c r="X10" i="21"/>
  <c r="AW6" i="16"/>
  <c r="AW31" i="16" s="1"/>
  <c r="K20" i="19"/>
  <c r="K22" i="19" s="1"/>
  <c r="K43" i="19" s="1"/>
  <c r="K45" i="19" s="1"/>
  <c r="AZ14" i="4"/>
  <c r="AA14" i="21"/>
  <c r="AZ15" i="4"/>
  <c r="AA15" i="21"/>
  <c r="AV51" i="16"/>
  <c r="X49" i="21" s="1"/>
  <c r="AX27" i="16"/>
  <c r="Z5" i="21"/>
  <c r="AW51" i="4"/>
  <c r="AW53" i="4"/>
  <c r="AW52" i="4"/>
  <c r="AX10" i="4"/>
  <c r="AX31" i="4"/>
  <c r="AX52" i="4" s="1"/>
  <c r="AX32" i="4"/>
  <c r="AZ13" i="4"/>
  <c r="AB13" i="21" s="1"/>
  <c r="AY17" i="4"/>
  <c r="AY5" i="4" s="1"/>
  <c r="L21" i="19" l="1"/>
  <c r="L18" i="19"/>
  <c r="L20" i="19"/>
  <c r="L22" i="19" s="1"/>
  <c r="L43" i="19" s="1"/>
  <c r="L45" i="19" s="1"/>
  <c r="M36" i="19"/>
  <c r="M41" i="19" s="1"/>
  <c r="M18" i="19" s="1"/>
  <c r="AV52" i="16"/>
  <c r="X50" i="21" s="1"/>
  <c r="AA17" i="21"/>
  <c r="AW10" i="16"/>
  <c r="Y6" i="21"/>
  <c r="Y10" i="21" s="1"/>
  <c r="AW32" i="16"/>
  <c r="Y31" i="21" s="1"/>
  <c r="AW29" i="16"/>
  <c r="AX6" i="16"/>
  <c r="Z6" i="21" s="1"/>
  <c r="Z30" i="21" s="1"/>
  <c r="AB15" i="21"/>
  <c r="AC15" i="21" s="1"/>
  <c r="BA15" i="4"/>
  <c r="AA5" i="21"/>
  <c r="AY27" i="16"/>
  <c r="AW53" i="16"/>
  <c r="Y51" i="21" s="1"/>
  <c r="AW52" i="16"/>
  <c r="Y50" i="21" s="1"/>
  <c r="AW51" i="16"/>
  <c r="Y49" i="21" s="1"/>
  <c r="AB14" i="21"/>
  <c r="AC14" i="21" s="1"/>
  <c r="BA14" i="4"/>
  <c r="AC13" i="21"/>
  <c r="AX53" i="4"/>
  <c r="AX51" i="4"/>
  <c r="AY32" i="4"/>
  <c r="AY31" i="4"/>
  <c r="AY52" i="4" s="1"/>
  <c r="AY10" i="4"/>
  <c r="AZ17" i="4"/>
  <c r="AZ5" i="4" s="1"/>
  <c r="BA13" i="4"/>
  <c r="M21" i="19" l="1"/>
  <c r="Y30" i="21"/>
  <c r="AX31" i="16"/>
  <c r="AX52" i="16" s="1"/>
  <c r="Z50" i="21" s="1"/>
  <c r="AX32" i="16"/>
  <c r="Z31" i="21" s="1"/>
  <c r="AX29" i="16"/>
  <c r="Z28" i="21" s="1"/>
  <c r="AX10" i="16"/>
  <c r="N36" i="19"/>
  <c r="N41" i="19" s="1"/>
  <c r="Y28" i="21"/>
  <c r="AY6" i="16"/>
  <c r="AA6" i="21" s="1"/>
  <c r="AA10" i="21" s="1"/>
  <c r="M20" i="19"/>
  <c r="M22" i="19" s="1"/>
  <c r="M43" i="19" s="1"/>
  <c r="M45" i="19" s="1"/>
  <c r="AZ27" i="16"/>
  <c r="AB5" i="21"/>
  <c r="Z10" i="21"/>
  <c r="AC17" i="21"/>
  <c r="AB17" i="21"/>
  <c r="BA17" i="4"/>
  <c r="BA5" i="4"/>
  <c r="BA18" i="4" s="1"/>
  <c r="AY53" i="4"/>
  <c r="AY51" i="4"/>
  <c r="AZ32" i="4"/>
  <c r="AZ31" i="4"/>
  <c r="AZ10" i="4"/>
  <c r="N21" i="19" l="1"/>
  <c r="N18" i="19"/>
  <c r="O36" i="19"/>
  <c r="O41" i="19" s="1"/>
  <c r="O18" i="19" s="1"/>
  <c r="AX51" i="16"/>
  <c r="Z49" i="21" s="1"/>
  <c r="AX53" i="16"/>
  <c r="Z51" i="21" s="1"/>
  <c r="AY31" i="16"/>
  <c r="AY53" i="16" s="1"/>
  <c r="AA51" i="21" s="1"/>
  <c r="N20" i="19"/>
  <c r="N22" i="19" s="1"/>
  <c r="N43" i="19" s="1"/>
  <c r="N45" i="19" s="1"/>
  <c r="AY10" i="16"/>
  <c r="AY29" i="16"/>
  <c r="P36" i="19" s="1"/>
  <c r="P41" i="19" s="1"/>
  <c r="P18" i="19" s="1"/>
  <c r="AY32" i="16"/>
  <c r="AA31" i="21" s="1"/>
  <c r="AZ6" i="16"/>
  <c r="BA10" i="4"/>
  <c r="AA30" i="21"/>
  <c r="BA32" i="4"/>
  <c r="AZ53" i="4"/>
  <c r="AZ51" i="4"/>
  <c r="AZ52" i="4"/>
  <c r="BA44" i="4"/>
  <c r="BA65" i="4" s="1"/>
  <c r="O21" i="19" l="1"/>
  <c r="AZ10" i="16"/>
  <c r="AZ32" i="16"/>
  <c r="AB31" i="21" s="1"/>
  <c r="P63" i="21"/>
  <c r="BA66" i="4"/>
  <c r="AY51" i="16"/>
  <c r="AA49" i="21" s="1"/>
  <c r="AA28" i="21"/>
  <c r="AY52" i="16"/>
  <c r="AA50" i="21" s="1"/>
  <c r="AB6" i="21"/>
  <c r="AB10" i="21" s="1"/>
  <c r="AZ31" i="16"/>
  <c r="AZ53" i="16" s="1"/>
  <c r="AB51" i="21" s="1"/>
  <c r="AZ29" i="16"/>
  <c r="O20" i="19"/>
  <c r="O22" i="19" s="1"/>
  <c r="O43" i="19" s="1"/>
  <c r="O45" i="19" s="1"/>
  <c r="P21" i="19"/>
  <c r="BA50" i="4"/>
  <c r="BA49" i="4"/>
  <c r="BA51" i="4" s="1"/>
  <c r="AB28" i="21" l="1"/>
  <c r="AB30" i="21"/>
  <c r="AZ51" i="16"/>
  <c r="AB49" i="21" s="1"/>
  <c r="Q36" i="19"/>
  <c r="Q41" i="19" s="1"/>
  <c r="Q18" i="19" s="1"/>
  <c r="AZ52" i="16"/>
  <c r="AB50" i="21" s="1"/>
  <c r="P20" i="19"/>
  <c r="P22" i="19" s="1"/>
  <c r="P43" i="19" s="1"/>
  <c r="P45" i="19" s="1"/>
  <c r="BA54" i="4"/>
  <c r="BA55" i="4"/>
  <c r="BA56" i="4"/>
  <c r="BA53" i="4"/>
  <c r="BA52" i="4"/>
  <c r="Q21" i="19" l="1"/>
  <c r="Q20" i="19"/>
  <c r="Q22" i="19" s="1"/>
  <c r="Q43" i="19" s="1"/>
  <c r="Q45" i="19" s="1"/>
  <c r="BA72" i="4"/>
  <c r="BA57" i="4"/>
  <c r="BA70" i="4"/>
  <c r="BA69" i="4"/>
  <c r="BA73" i="4"/>
  <c r="BA68" i="4"/>
  <c r="BA71" i="4"/>
  <c r="BA74" i="4" l="1"/>
  <c r="P32" i="4" l="1"/>
  <c r="V32" i="4"/>
  <c r="Q32" i="4"/>
  <c r="T32" i="4"/>
  <c r="X32" i="4"/>
  <c r="U32" i="4"/>
  <c r="W32" i="4"/>
  <c r="R32" i="4"/>
  <c r="Z32" i="4"/>
  <c r="Y32" i="4"/>
  <c r="S32" i="4"/>
  <c r="E59" i="18" l="1"/>
  <c r="E62" i="18" s="1"/>
  <c r="E19" i="18" l="1"/>
  <c r="E17" i="18" l="1"/>
  <c r="E15" i="18"/>
  <c r="E21" i="18" l="1"/>
  <c r="E26" i="18" s="1"/>
  <c r="E29" i="18" s="1"/>
  <c r="C21" i="18"/>
  <c r="AO17" i="16" l="1"/>
  <c r="AO5" i="16" s="1"/>
  <c r="AO27" i="16" l="1"/>
  <c r="AO6" i="16"/>
  <c r="Q6" i="21" s="1"/>
  <c r="Q5" i="21"/>
  <c r="AP29" i="16"/>
  <c r="AO10" i="16"/>
  <c r="AO31" i="16"/>
  <c r="AO51" i="16" s="1"/>
  <c r="Q49" i="21" s="1"/>
  <c r="AO32" i="16"/>
  <c r="Q31" i="21" s="1"/>
  <c r="Q10" i="21" l="1"/>
  <c r="Q30" i="21"/>
  <c r="G36" i="19"/>
  <c r="G41" i="19" s="1"/>
  <c r="G18" i="19" s="1"/>
  <c r="R28" i="21"/>
  <c r="AO52" i="16"/>
  <c r="Q50" i="21" s="1"/>
  <c r="AO53" i="16"/>
  <c r="Q51" i="21" s="1"/>
  <c r="G21" i="19" l="1"/>
  <c r="BA17" i="16"/>
  <c r="AM17" i="16"/>
  <c r="AM5" i="16" s="1"/>
  <c r="O5" i="21" s="1"/>
  <c r="AM27" i="16" l="1"/>
  <c r="AN27" i="16" s="1"/>
  <c r="G20" i="19"/>
  <c r="G22" i="19" s="1"/>
  <c r="G43" i="19" s="1"/>
  <c r="G45" i="19" s="1"/>
  <c r="P5" i="21"/>
  <c r="AC5" i="21"/>
  <c r="AN5" i="16"/>
  <c r="AN18" i="16" s="1"/>
  <c r="BA5" i="16"/>
  <c r="BA27" i="16"/>
  <c r="AM6" i="16"/>
  <c r="O6" i="21" s="1"/>
  <c r="BA18" i="16" l="1"/>
  <c r="AC42" i="21"/>
  <c r="P42" i="21"/>
  <c r="P6" i="21"/>
  <c r="P43" i="21" s="1"/>
  <c r="AC6" i="21"/>
  <c r="AC43" i="21" s="1"/>
  <c r="O10" i="21"/>
  <c r="O30" i="21"/>
  <c r="BA6" i="16"/>
  <c r="AO29" i="16"/>
  <c r="AN6" i="16"/>
  <c r="AN45" i="16" s="1"/>
  <c r="AM29" i="16"/>
  <c r="O28" i="21" s="1"/>
  <c r="P28" i="21" s="1"/>
  <c r="AM31" i="16"/>
  <c r="BA44" i="16"/>
  <c r="AN61" i="16"/>
  <c r="P59" i="21" s="1"/>
  <c r="P18" i="21"/>
  <c r="AN44" i="16"/>
  <c r="AM32" i="16"/>
  <c r="O31" i="21" s="1"/>
  <c r="AM10" i="16"/>
  <c r="BA61" i="16" l="1"/>
  <c r="AC18" i="21"/>
  <c r="BA10" i="16"/>
  <c r="AN31" i="16"/>
  <c r="AN10" i="16"/>
  <c r="AN32" i="16"/>
  <c r="P31" i="21" s="1"/>
  <c r="P30" i="21"/>
  <c r="P10" i="21"/>
  <c r="P47" i="21"/>
  <c r="AC10" i="21"/>
  <c r="AC47" i="21"/>
  <c r="BA32" i="16"/>
  <c r="Q28" i="21"/>
  <c r="AC28" i="21" s="1"/>
  <c r="AM51" i="16"/>
  <c r="AM52" i="16"/>
  <c r="AM53" i="16"/>
  <c r="AN29" i="16"/>
  <c r="BA29" i="16"/>
  <c r="F36" i="19"/>
  <c r="AN49" i="16"/>
  <c r="AN52" i="16" s="1"/>
  <c r="AN50" i="16"/>
  <c r="P48" i="21" s="1"/>
  <c r="BA45" i="16"/>
  <c r="BA28" i="16" l="1"/>
  <c r="BA50" i="16"/>
  <c r="AC48" i="21" s="1"/>
  <c r="AC59" i="21"/>
  <c r="AN69" i="16"/>
  <c r="P50" i="21"/>
  <c r="P67" i="21" s="1"/>
  <c r="AC31" i="21"/>
  <c r="BA49" i="16"/>
  <c r="AN53" i="16"/>
  <c r="P51" i="21" s="1"/>
  <c r="AN28" i="16"/>
  <c r="AN62" i="16"/>
  <c r="R36" i="19"/>
  <c r="U36" i="19" s="1"/>
  <c r="F41" i="19"/>
  <c r="F18" i="19" s="1"/>
  <c r="AN51" i="16"/>
  <c r="AN55" i="16"/>
  <c r="AN54" i="16"/>
  <c r="AN56" i="16"/>
  <c r="BA56" i="16" l="1"/>
  <c r="AC54" i="21" s="1"/>
  <c r="BA53" i="16"/>
  <c r="AC51" i="21" s="1"/>
  <c r="BA51" i="16"/>
  <c r="BA52" i="16"/>
  <c r="P27" i="21"/>
  <c r="P49" i="21"/>
  <c r="P66" i="21" s="1"/>
  <c r="AC27" i="21"/>
  <c r="AN66" i="16"/>
  <c r="P60" i="21"/>
  <c r="AN72" i="16"/>
  <c r="P53" i="21"/>
  <c r="P70" i="21" s="1"/>
  <c r="H3" i="3"/>
  <c r="M3" i="3" s="1"/>
  <c r="BA55" i="16"/>
  <c r="AC53" i="21" s="1"/>
  <c r="AN73" i="16"/>
  <c r="P54" i="21"/>
  <c r="P71" i="21" s="1"/>
  <c r="BA54" i="16"/>
  <c r="AC52" i="21" s="1"/>
  <c r="AN71" i="16"/>
  <c r="P52" i="21"/>
  <c r="P69" i="21" s="1"/>
  <c r="AN70" i="16"/>
  <c r="BA62" i="16"/>
  <c r="R41" i="19"/>
  <c r="F21" i="19"/>
  <c r="AN68" i="16"/>
  <c r="AN57" i="16"/>
  <c r="T36" i="19"/>
  <c r="BA70" i="16" l="1"/>
  <c r="AC60" i="21"/>
  <c r="BA65" i="16"/>
  <c r="BA66" i="16" s="1"/>
  <c r="BA57" i="16"/>
  <c r="AC50" i="21"/>
  <c r="AC49" i="21"/>
  <c r="BA68" i="16"/>
  <c r="AC66" i="21" s="1"/>
  <c r="BA69" i="16"/>
  <c r="AN74" i="16"/>
  <c r="BA71" i="16"/>
  <c r="P55" i="21"/>
  <c r="BA72" i="16"/>
  <c r="AC68" i="21"/>
  <c r="P68" i="21"/>
  <c r="P72" i="21" s="1"/>
  <c r="P64" i="21"/>
  <c r="T41" i="19"/>
  <c r="U41" i="19"/>
  <c r="F20" i="19"/>
  <c r="R18" i="19"/>
  <c r="AC55" i="21" l="1"/>
  <c r="BA73" i="16"/>
  <c r="AC63" i="21"/>
  <c r="AC67" i="21"/>
  <c r="BA74" i="16"/>
  <c r="AC72" i="21" s="1"/>
  <c r="AC69" i="21"/>
  <c r="AC64" i="21"/>
  <c r="AC70" i="21"/>
  <c r="T18" i="19"/>
  <c r="H9" i="3" s="1"/>
  <c r="M9" i="3" s="1"/>
  <c r="R20" i="19"/>
  <c r="F22" i="19"/>
  <c r="F43" i="19" s="1"/>
  <c r="AC71" i="21" l="1"/>
  <c r="H5" i="3"/>
  <c r="U18" i="19"/>
  <c r="T20" i="19"/>
  <c r="R22" i="19"/>
  <c r="F45" i="19"/>
  <c r="H7" i="3" l="1"/>
  <c r="H11" i="3" s="1"/>
  <c r="T22" i="19"/>
  <c r="T23" i="19" s="1"/>
  <c r="R43" i="19"/>
  <c r="R45" i="19"/>
  <c r="H15" i="3" l="1"/>
  <c r="T43" i="19"/>
  <c r="BC4" i="4" l="1"/>
  <c r="BC5" i="4"/>
  <c r="BC6" i="4"/>
  <c r="BC8" i="4"/>
  <c r="BC9" i="4"/>
  <c r="BC7" i="4"/>
  <c r="BC10" i="4" l="1"/>
  <c r="BC49" i="4"/>
  <c r="BC52" i="4" l="1"/>
  <c r="BC56" i="4"/>
  <c r="BC55" i="4"/>
  <c r="BC51" i="4"/>
  <c r="BC53" i="4"/>
  <c r="BC54" i="4"/>
  <c r="BC68" i="4" l="1"/>
  <c r="BC72" i="4" l="1"/>
  <c r="BC71" i="4"/>
  <c r="BC73" i="4"/>
  <c r="BC70" i="4"/>
  <c r="BC69" i="4"/>
  <c r="BC74" i="4" l="1"/>
  <c r="C7" i="3" l="1"/>
  <c r="M5" i="3"/>
  <c r="C11" i="3" l="1"/>
  <c r="M7" i="3"/>
  <c r="C15" i="3" l="1"/>
  <c r="M15" i="3" s="1"/>
  <c r="M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tc={1C3051BA-0A33-45E3-A98C-3C2A3CAC62B3}</author>
  </authors>
  <commentList>
    <comment ref="AT24" authorId="0" shapeId="0" xr:uid="{1C3051BA-0A33-45E3-A98C-3C2A3CAC62B3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Adjusted start of Interest if loan starts in June to match timing of the 2024 Rate Case. </t>
      </text>
    </comment>
  </commentList>
</comments>
</file>

<file path=xl/sharedStrings.xml><?xml version="1.0" encoding="utf-8"?>
<sst xmlns="http://schemas.openxmlformats.org/spreadsheetml/2006/main" count="681" uniqueCount="191">
  <si>
    <t>Budget</t>
  </si>
  <si>
    <t>Jan 2023</t>
  </si>
  <si>
    <t>Feb 2023</t>
  </si>
  <si>
    <t>Mar 2023</t>
  </si>
  <si>
    <t>Apr 2023</t>
  </si>
  <si>
    <t>May 2023</t>
  </si>
  <si>
    <t>Jun 2023</t>
  </si>
  <si>
    <t>Jul 2023</t>
  </si>
  <si>
    <t>Aug 2023</t>
  </si>
  <si>
    <t>Sep 2023</t>
  </si>
  <si>
    <t>Oct 2023</t>
  </si>
  <si>
    <t>Nov 2023</t>
  </si>
  <si>
    <t>Dec 2023</t>
  </si>
  <si>
    <t>Jan 2022</t>
  </si>
  <si>
    <t>Feb 2022</t>
  </si>
  <si>
    <t>Mar 2022</t>
  </si>
  <si>
    <t>Apr 2022</t>
  </si>
  <si>
    <t>May 2022</t>
  </si>
  <si>
    <t>Jun 2022</t>
  </si>
  <si>
    <t>Jul 2022</t>
  </si>
  <si>
    <t>Aug 2022</t>
  </si>
  <si>
    <t>Sep 2022</t>
  </si>
  <si>
    <t>Oct 2022</t>
  </si>
  <si>
    <t>Nov 2022</t>
  </si>
  <si>
    <t>Dec 2022</t>
  </si>
  <si>
    <t>Jan 2024</t>
  </si>
  <si>
    <t>Feb 2024</t>
  </si>
  <si>
    <t>Mar 2024</t>
  </si>
  <si>
    <t>Apr 2024</t>
  </si>
  <si>
    <t>May 2024</t>
  </si>
  <si>
    <t>Jun 2024</t>
  </si>
  <si>
    <t>Jul 2024</t>
  </si>
  <si>
    <t>Aug 2024</t>
  </si>
  <si>
    <t>Sep 2024</t>
  </si>
  <si>
    <t>Oct 2024</t>
  </si>
  <si>
    <t>Nov 2024</t>
  </si>
  <si>
    <t>Dec 2024</t>
  </si>
  <si>
    <t>Jan 2021</t>
  </si>
  <si>
    <t>Feb 2021</t>
  </si>
  <si>
    <t>Mar 2021</t>
  </si>
  <si>
    <t>Apr 2021</t>
  </si>
  <si>
    <t>May 2021</t>
  </si>
  <si>
    <t>Jun 2021</t>
  </si>
  <si>
    <t>Jul 2021</t>
  </si>
  <si>
    <t>Aug 2021</t>
  </si>
  <si>
    <t>Sep 2021</t>
  </si>
  <si>
    <t>Oct 2021</t>
  </si>
  <si>
    <t>Nov 2021</t>
  </si>
  <si>
    <t>Dec 2021</t>
  </si>
  <si>
    <t>Common Equity</t>
  </si>
  <si>
    <t>Long Term Debt</t>
  </si>
  <si>
    <t>Short Term Debt</t>
  </si>
  <si>
    <t>Actual</t>
  </si>
  <si>
    <t>Total</t>
  </si>
  <si>
    <t>Customer Deposits</t>
  </si>
  <si>
    <t>Dec 2020</t>
  </si>
  <si>
    <t>Tax Credits</t>
  </si>
  <si>
    <t>LTD Balances - Legacy</t>
  </si>
  <si>
    <t>Change in Weighted Average Cost of Capital</t>
  </si>
  <si>
    <t>2024 Adj. Rate Base</t>
  </si>
  <si>
    <t>Variance in Weighted Average Cost of Capital</t>
  </si>
  <si>
    <t>Adjustments</t>
  </si>
  <si>
    <t>Deferred Taxes</t>
  </si>
  <si>
    <t>13-mo</t>
  </si>
  <si>
    <t>average</t>
  </si>
  <si>
    <t xml:space="preserve">Per Books Equity Ratio </t>
  </si>
  <si>
    <t>Check</t>
  </si>
  <si>
    <t>$325M (5 Yrs)</t>
  </si>
  <si>
    <t>$300M (10 Yrs)</t>
  </si>
  <si>
    <t>$200M (30 Yrs)</t>
  </si>
  <si>
    <t>100M (30 Yrs 2024)</t>
  </si>
  <si>
    <t>Total LTD Balance</t>
  </si>
  <si>
    <t>LTD Interest Expense</t>
  </si>
  <si>
    <t>Legacy Debt</t>
  </si>
  <si>
    <t>12 Mo. Total</t>
  </si>
  <si>
    <t>Short-term rate</t>
  </si>
  <si>
    <t>Short-term interest expense</t>
  </si>
  <si>
    <t>Check to MFR</t>
  </si>
  <si>
    <t>Rate Case</t>
  </si>
  <si>
    <t>Scenario</t>
  </si>
  <si>
    <t>Change</t>
  </si>
  <si>
    <t>Requested Rate of Return</t>
  </si>
  <si>
    <t>N.O.I. Requirements</t>
  </si>
  <si>
    <t>Less: Adjusted N.O.I.</t>
  </si>
  <si>
    <t>N.O.I. Deficiency</t>
  </si>
  <si>
    <t>Expansion Factor</t>
  </si>
  <si>
    <t>Revenue Deficiency</t>
  </si>
  <si>
    <t>Short Term Loan</t>
  </si>
  <si>
    <t>INTEREST SYNCHRONIZATION</t>
  </si>
  <si>
    <t xml:space="preserve"> WORKSHEET</t>
  </si>
  <si>
    <t>FOR THE MONTH OF:</t>
  </si>
  <si>
    <t>Average</t>
  </si>
  <si>
    <t>CALCULATED INTEREST BASED ON</t>
  </si>
  <si>
    <t>AVERAGE CAPITAL STRUCTURE:</t>
  </si>
  <si>
    <t>Calculated</t>
  </si>
  <si>
    <t>Account</t>
  </si>
  <si>
    <t>Amount</t>
  </si>
  <si>
    <t>Cost Rate</t>
  </si>
  <si>
    <t>Interest</t>
  </si>
  <si>
    <t xml:space="preserve">   LONG TERM DEBT</t>
  </si>
  <si>
    <t xml:space="preserve">   </t>
  </si>
  <si>
    <t xml:space="preserve"> </t>
  </si>
  <si>
    <t xml:space="preserve">   SHORT TERM DEBT</t>
  </si>
  <si>
    <t xml:space="preserve">   CUSTOMER DEPOSITS</t>
  </si>
  <si>
    <t xml:space="preserve">          TOTAL</t>
  </si>
  <si>
    <t xml:space="preserve">  *ACTUAL INTEREST</t>
  </si>
  <si>
    <t xml:space="preserve">    DIFFERENCE</t>
  </si>
  <si>
    <t xml:space="preserve">    TAX EFFECT ON DIFFERENCE</t>
  </si>
  <si>
    <t xml:space="preserve">Year-end </t>
  </si>
  <si>
    <t>YEAR END CAPITAL STRUCTURE:</t>
  </si>
  <si>
    <t>PULL FERC ACTUALS INTO IS</t>
  </si>
  <si>
    <t>12 Months Ended</t>
  </si>
  <si>
    <t>Operating Revenue</t>
  </si>
  <si>
    <t>Cost of Gas</t>
  </si>
  <si>
    <t>Net Revenue</t>
  </si>
  <si>
    <t>Operations &amp; Maintenance Expense</t>
  </si>
  <si>
    <t>Depreciation Expense</t>
  </si>
  <si>
    <t>Amort. - Leasehold Improvements</t>
  </si>
  <si>
    <t>Amort. - Acq. Adjustments</t>
  </si>
  <si>
    <t>Amort. - Other</t>
  </si>
  <si>
    <t>Taxes Other than Income</t>
  </si>
  <si>
    <t>Income taxes ATL - Federal &amp; State</t>
  </si>
  <si>
    <t>Def. Taxes - Federal  &amp; State</t>
  </si>
  <si>
    <t>Investment Tax Credits</t>
  </si>
  <si>
    <t>Total Other Oper. Income Deductions</t>
  </si>
  <si>
    <t>Net Utility Operating Income</t>
  </si>
  <si>
    <t>Other Income &amp; Deductions</t>
  </si>
  <si>
    <t>Mdse &amp; Jobbing Income (Expense)</t>
  </si>
  <si>
    <t>Interest &amp; Dividend Income</t>
  </si>
  <si>
    <t>Misc. Non-operating Income</t>
  </si>
  <si>
    <t>Equity Earnings - Subsidiary</t>
  </si>
  <si>
    <t>Misc. Income Deductions</t>
  </si>
  <si>
    <t>Allowance for Other Funds</t>
  </si>
  <si>
    <t>Income taxes BTL - Federal &amp; State</t>
  </si>
  <si>
    <t>Total Other Income &amp; Deductions</t>
  </si>
  <si>
    <t>Interest Expense</t>
  </si>
  <si>
    <t>Interest - L. T. Debt</t>
  </si>
  <si>
    <t>Interest - S. T. Debt</t>
  </si>
  <si>
    <t>Int. - Amort. - Disc. &amp; Expense</t>
  </si>
  <si>
    <t>Interest - Intercompany</t>
  </si>
  <si>
    <t>Interest - Deposits &amp; Other</t>
  </si>
  <si>
    <t>Allowance for Borrowed Funds</t>
  </si>
  <si>
    <t>Total Interest Expense</t>
  </si>
  <si>
    <t>Net Income</t>
  </si>
  <si>
    <t>PGA CLAUSE</t>
  </si>
  <si>
    <t>FUEL_FLADD_RC</t>
  </si>
  <si>
    <t>PGA O&amp;M Expense</t>
  </si>
  <si>
    <t>Empl Exp - Social/Civic Dues</t>
  </si>
  <si>
    <t>A_6030020</t>
  </si>
  <si>
    <t>Settled Empl Exp - Social/Civic Dues</t>
  </si>
  <si>
    <t>A_S6030020</t>
  </si>
  <si>
    <t>Donations - Charitable (501c)</t>
  </si>
  <si>
    <t>A_6790090</t>
  </si>
  <si>
    <t>Settled Donations - Charitable (501c)</t>
  </si>
  <si>
    <t>A_S6790090</t>
  </si>
  <si>
    <t>Donations - Non deductible</t>
  </si>
  <si>
    <t>A_6790091</t>
  </si>
  <si>
    <t>Settled Donations - Non deductible</t>
  </si>
  <si>
    <t>A_S6790091</t>
  </si>
  <si>
    <t>Donations - Other</t>
  </si>
  <si>
    <t>A_6790092</t>
  </si>
  <si>
    <t>Settled Donations - Other</t>
  </si>
  <si>
    <t>A_S6790092</t>
  </si>
  <si>
    <t>In-Kind Donations</t>
  </si>
  <si>
    <t>A_6790099</t>
  </si>
  <si>
    <t>Penalties</t>
  </si>
  <si>
    <t>A_6790200</t>
  </si>
  <si>
    <t>Political Contributions</t>
  </si>
  <si>
    <t>A_6790220</t>
  </si>
  <si>
    <t>Settled Political Contributions</t>
  </si>
  <si>
    <t>A_S6790220</t>
  </si>
  <si>
    <t xml:space="preserve">Lobbying Exp in Industry Dues </t>
  </si>
  <si>
    <t>ER_IND_DUE_BTL_1</t>
  </si>
  <si>
    <t>Remove from O&amp;M</t>
  </si>
  <si>
    <t>Taxes</t>
  </si>
  <si>
    <t>Total LTD Interest Expense</t>
  </si>
  <si>
    <t>Difference to Rate Case</t>
  </si>
  <si>
    <t>Adjusted Books</t>
  </si>
  <si>
    <t>Ratio %</t>
  </si>
  <si>
    <t>*Excludes impact of Interest sync and dividend timing</t>
  </si>
  <si>
    <t xml:space="preserve">Total LTD Interest Expense </t>
  </si>
  <si>
    <t>Short-term Interest Expense</t>
  </si>
  <si>
    <t>$250M (30 Yrs)</t>
  </si>
  <si>
    <t>$__M (10 Yrs)</t>
  </si>
  <si>
    <t>$___M (5 Yrs)</t>
  </si>
  <si>
    <t>Retirement of Debt</t>
  </si>
  <si>
    <t>Old Monthly Interest</t>
  </si>
  <si>
    <t>100M (10 Yrs 2024)</t>
  </si>
  <si>
    <t>2024 Budget</t>
  </si>
  <si>
    <t>(JAN 2024 - DEC 2024)</t>
  </si>
  <si>
    <t>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</si>
</sst>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mmmm\-yy"/>
    <numFmt numFmtId="168" formatCode="0.000%"/>
    <numFmt numFmtId="169" formatCode="#,##0;\(#,##0\)"/>
    <numFmt numFmtId="170" formatCode="_(* #,##0.0_);_(* \(#,##0.0\);_(* &quot;-&quot;??_);_(@_)"/>
    <numFmt numFmtId="171" formatCode="_(* #,##0.000_);_(* \(#,##0.000\);_(* &quot;-&quot;??_);_(@_)"/>
    <numFmt numFmtId="172" formatCode="_(* #,##0.0000_);_(* \(#,##0.0000\);_(* &quot;-&quot;??_);_(@_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Helv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u/>
      <sz val="11"/>
      <color rgb="FFFF0000"/>
      <name val="Arial"/>
      <family val="2"/>
    </font>
    <font>
      <sz val="8"/>
      <name val="SWISS"/>
    </font>
    <font>
      <u/>
      <sz val="10"/>
      <name val="Arial"/>
      <family val="2"/>
    </font>
    <font>
      <sz val="10"/>
      <color indexed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0000FF"/>
      <name val="Arial"/>
      <family val="2"/>
    </font>
    <font>
      <sz val="12"/>
      <name val="SWISS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/>
    <xf numFmtId="43" fontId="5" fillId="0" borderId="0" applyFont="0" applyFill="0" applyBorder="0" applyAlignment="0" applyProtection="0"/>
  </cellStyleXfs>
  <cellXfs count="346">
    <xf numFmtId="0" fontId="0" fillId="0" borderId="0" xfId="0"/>
    <xf numFmtId="0" fontId="2" fillId="0" borderId="0" xfId="0" applyFont="1" applyAlignment="1">
      <alignment horizontal="center"/>
    </xf>
    <xf numFmtId="17" fontId="2" fillId="0" borderId="0" xfId="0" quotePrefix="1" applyNumberFormat="1" applyFont="1" applyAlignment="1">
      <alignment horizontal="center"/>
    </xf>
    <xf numFmtId="164" fontId="0" fillId="0" borderId="0" xfId="1" applyNumberFormat="1" applyFont="1"/>
    <xf numFmtId="164" fontId="0" fillId="0" borderId="1" xfId="1" applyNumberFormat="1" applyFont="1" applyBorder="1"/>
    <xf numFmtId="10" fontId="0" fillId="0" borderId="0" xfId="2" applyNumberFormat="1" applyFont="1"/>
    <xf numFmtId="10" fontId="0" fillId="0" borderId="1" xfId="2" applyNumberFormat="1" applyFont="1" applyBorder="1"/>
    <xf numFmtId="0" fontId="2" fillId="0" borderId="2" xfId="0" applyFont="1" applyBorder="1" applyAlignment="1">
      <alignment horizontal="center"/>
    </xf>
    <xf numFmtId="17" fontId="2" fillId="0" borderId="2" xfId="0" quotePrefix="1" applyNumberFormat="1" applyFont="1" applyBorder="1" applyAlignment="1">
      <alignment horizontal="center"/>
    </xf>
    <xf numFmtId="0" fontId="0" fillId="0" borderId="2" xfId="0" applyBorder="1"/>
    <xf numFmtId="164" fontId="0" fillId="0" borderId="2" xfId="1" applyNumberFormat="1" applyFont="1" applyBorder="1"/>
    <xf numFmtId="164" fontId="0" fillId="0" borderId="3" xfId="1" applyNumberFormat="1" applyFont="1" applyBorder="1"/>
    <xf numFmtId="10" fontId="0" fillId="0" borderId="2" xfId="2" applyNumberFormat="1" applyFont="1" applyBorder="1"/>
    <xf numFmtId="10" fontId="0" fillId="0" borderId="3" xfId="2" applyNumberFormat="1" applyFont="1" applyBorder="1"/>
    <xf numFmtId="164" fontId="0" fillId="0" borderId="0" xfId="0" applyNumberFormat="1"/>
    <xf numFmtId="164" fontId="0" fillId="0" borderId="1" xfId="1" applyNumberFormat="1" applyFont="1" applyFill="1" applyBorder="1"/>
    <xf numFmtId="43" fontId="0" fillId="0" borderId="0" xfId="1" applyFont="1"/>
    <xf numFmtId="164" fontId="0" fillId="0" borderId="0" xfId="1" applyNumberFormat="1" applyFont="1" applyFill="1" applyBorder="1"/>
    <xf numFmtId="10" fontId="0" fillId="0" borderId="0" xfId="2" applyNumberFormat="1" applyFont="1" applyBorder="1"/>
    <xf numFmtId="10" fontId="0" fillId="0" borderId="0" xfId="0" applyNumberFormat="1"/>
    <xf numFmtId="164" fontId="0" fillId="2" borderId="0" xfId="1" applyNumberFormat="1" applyFont="1" applyFill="1"/>
    <xf numFmtId="164" fontId="0" fillId="0" borderId="0" xfId="1" applyNumberFormat="1" applyFont="1" applyBorder="1"/>
    <xf numFmtId="0" fontId="6" fillId="0" borderId="0" xfId="0" applyFont="1"/>
    <xf numFmtId="0" fontId="0" fillId="0" borderId="0" xfId="0" applyAlignment="1">
      <alignment horizontal="right"/>
    </xf>
    <xf numFmtId="164" fontId="0" fillId="0" borderId="7" xfId="1" applyNumberFormat="1" applyFont="1" applyFill="1" applyBorder="1"/>
    <xf numFmtId="0" fontId="0" fillId="0" borderId="4" xfId="0" applyBorder="1"/>
    <xf numFmtId="0" fontId="0" fillId="0" borderId="7" xfId="0" applyBorder="1" applyAlignment="1">
      <alignment horizontal="right"/>
    </xf>
    <xf numFmtId="0" fontId="0" fillId="0" borderId="7" xfId="0" applyBorder="1"/>
    <xf numFmtId="0" fontId="0" fillId="0" borderId="3" xfId="0" applyBorder="1"/>
    <xf numFmtId="9" fontId="0" fillId="0" borderId="0" xfId="2" applyFont="1"/>
    <xf numFmtId="164" fontId="8" fillId="0" borderId="0" xfId="1" applyNumberFormat="1" applyFont="1" applyFill="1" applyBorder="1"/>
    <xf numFmtId="164" fontId="8" fillId="0" borderId="7" xfId="1" applyNumberFormat="1" applyFont="1" applyFill="1" applyBorder="1"/>
    <xf numFmtId="5" fontId="0" fillId="0" borderId="0" xfId="0" applyNumberFormat="1"/>
    <xf numFmtId="10" fontId="0" fillId="0" borderId="8" xfId="2" applyNumberFormat="1" applyFont="1" applyBorder="1"/>
    <xf numFmtId="10" fontId="0" fillId="0" borderId="7" xfId="2" applyNumberFormat="1" applyFont="1" applyBorder="1"/>
    <xf numFmtId="164" fontId="1" fillId="0" borderId="0" xfId="1" applyNumberFormat="1" applyFont="1" applyFill="1"/>
    <xf numFmtId="164" fontId="1" fillId="0" borderId="0" xfId="2" applyNumberFormat="1" applyFont="1" applyFill="1" applyBorder="1"/>
    <xf numFmtId="0" fontId="4" fillId="0" borderId="0" xfId="0" applyFont="1"/>
    <xf numFmtId="0" fontId="4" fillId="0" borderId="2" xfId="0" applyFont="1" applyBorder="1"/>
    <xf numFmtId="164" fontId="4" fillId="0" borderId="0" xfId="2" applyNumberFormat="1" applyFont="1" applyFill="1" applyBorder="1"/>
    <xf numFmtId="164" fontId="1" fillId="0" borderId="0" xfId="1" applyNumberFormat="1" applyFont="1" applyFill="1" applyBorder="1"/>
    <xf numFmtId="43" fontId="4" fillId="0" borderId="0" xfId="1" applyFont="1" applyFill="1" applyBorder="1"/>
    <xf numFmtId="10" fontId="0" fillId="0" borderId="0" xfId="2" applyNumberFormat="1" applyFont="1" applyFill="1" applyBorder="1"/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3" xfId="0" applyFont="1" applyBorder="1"/>
    <xf numFmtId="164" fontId="1" fillId="0" borderId="7" xfId="1" applyNumberFormat="1" applyFont="1" applyFill="1" applyBorder="1"/>
    <xf numFmtId="43" fontId="4" fillId="0" borderId="7" xfId="1" applyFont="1" applyFill="1" applyBorder="1"/>
    <xf numFmtId="164" fontId="0" fillId="0" borderId="7" xfId="1" applyNumberFormat="1" applyFont="1" applyBorder="1"/>
    <xf numFmtId="164" fontId="4" fillId="0" borderId="7" xfId="1" applyNumberFormat="1" applyFont="1" applyFill="1" applyBorder="1"/>
    <xf numFmtId="164" fontId="0" fillId="0" borderId="9" xfId="1" applyNumberFormat="1" applyFont="1" applyFill="1" applyBorder="1"/>
    <xf numFmtId="43" fontId="1" fillId="0" borderId="0" xfId="1" applyFont="1" applyFill="1" applyBorder="1"/>
    <xf numFmtId="166" fontId="8" fillId="0" borderId="0" xfId="2" applyNumberFormat="1" applyFont="1" applyFill="1" applyBorder="1"/>
    <xf numFmtId="164" fontId="0" fillId="0" borderId="0" xfId="2" applyNumberFormat="1" applyFont="1"/>
    <xf numFmtId="164" fontId="10" fillId="0" borderId="0" xfId="1" applyNumberFormat="1" applyFont="1" applyFill="1" applyBorder="1"/>
    <xf numFmtId="10" fontId="0" fillId="4" borderId="0" xfId="2" applyNumberFormat="1" applyFont="1" applyFill="1" applyBorder="1"/>
    <xf numFmtId="0" fontId="0" fillId="5" borderId="0" xfId="0" applyFill="1"/>
    <xf numFmtId="10" fontId="0" fillId="5" borderId="1" xfId="0" applyNumberFormat="1" applyFill="1" applyBorder="1"/>
    <xf numFmtId="10" fontId="0" fillId="5" borderId="3" xfId="0" applyNumberFormat="1" applyFill="1" applyBorder="1"/>
    <xf numFmtId="10" fontId="9" fillId="6" borderId="0" xfId="2" applyNumberFormat="1" applyFont="1" applyFill="1" applyBorder="1"/>
    <xf numFmtId="10" fontId="9" fillId="6" borderId="0" xfId="2" applyNumberFormat="1" applyFont="1" applyFill="1"/>
    <xf numFmtId="10" fontId="9" fillId="6" borderId="7" xfId="2" applyNumberFormat="1" applyFont="1" applyFill="1" applyBorder="1"/>
    <xf numFmtId="164" fontId="0" fillId="0" borderId="10" xfId="1" applyNumberFormat="1" applyFont="1" applyBorder="1"/>
    <xf numFmtId="164" fontId="5" fillId="0" borderId="7" xfId="1" applyNumberFormat="1" applyFont="1" applyFill="1" applyBorder="1"/>
    <xf numFmtId="0" fontId="0" fillId="0" borderId="0" xfId="0" applyAlignment="1">
      <alignment horizontal="left" wrapText="1"/>
    </xf>
    <xf numFmtId="43" fontId="1" fillId="0" borderId="7" xfId="1" applyFont="1" applyFill="1" applyBorder="1"/>
    <xf numFmtId="164" fontId="1" fillId="3" borderId="7" xfId="1" applyNumberFormat="1" applyFont="1" applyFill="1" applyBorder="1"/>
    <xf numFmtId="0" fontId="0" fillId="5" borderId="7" xfId="0" applyFill="1" applyBorder="1"/>
    <xf numFmtId="10" fontId="0" fillId="0" borderId="2" xfId="0" applyNumberFormat="1" applyBorder="1"/>
    <xf numFmtId="10" fontId="9" fillId="0" borderId="0" xfId="2" applyNumberFormat="1" applyFont="1" applyFill="1" applyBorder="1"/>
    <xf numFmtId="43" fontId="0" fillId="0" borderId="0" xfId="1" applyFont="1" applyBorder="1"/>
    <xf numFmtId="10" fontId="0" fillId="5" borderId="8" xfId="0" applyNumberFormat="1" applyFill="1" applyBorder="1"/>
    <xf numFmtId="164" fontId="9" fillId="6" borderId="0" xfId="1" applyNumberFormat="1" applyFont="1" applyFill="1"/>
    <xf numFmtId="164" fontId="9" fillId="6" borderId="0" xfId="2" applyNumberFormat="1" applyFont="1" applyFill="1" applyBorder="1"/>
    <xf numFmtId="10" fontId="0" fillId="5" borderId="12" xfId="0" applyNumberFormat="1" applyFill="1" applyBorder="1"/>
    <xf numFmtId="0" fontId="2" fillId="0" borderId="13" xfId="0" applyFont="1" applyBorder="1" applyAlignment="1">
      <alignment horizontal="center"/>
    </xf>
    <xf numFmtId="17" fontId="2" fillId="0" borderId="13" xfId="0" quotePrefix="1" applyNumberFormat="1" applyFont="1" applyBorder="1" applyAlignment="1">
      <alignment horizontal="center"/>
    </xf>
    <xf numFmtId="0" fontId="0" fillId="0" borderId="13" xfId="0" applyBorder="1"/>
    <xf numFmtId="164" fontId="0" fillId="0" borderId="13" xfId="1" applyNumberFormat="1" applyFont="1" applyFill="1" applyBorder="1"/>
    <xf numFmtId="164" fontId="0" fillId="0" borderId="11" xfId="1" applyNumberFormat="1" applyFont="1" applyFill="1" applyBorder="1"/>
    <xf numFmtId="164" fontId="1" fillId="0" borderId="13" xfId="2" applyNumberFormat="1" applyFont="1" applyFill="1" applyBorder="1"/>
    <xf numFmtId="164" fontId="9" fillId="6" borderId="13" xfId="2" applyNumberFormat="1" applyFont="1" applyFill="1" applyBorder="1"/>
    <xf numFmtId="164" fontId="1" fillId="0" borderId="13" xfId="1" applyNumberFormat="1" applyFont="1" applyFill="1" applyBorder="1"/>
    <xf numFmtId="164" fontId="4" fillId="0" borderId="13" xfId="2" applyNumberFormat="1" applyFont="1" applyFill="1" applyBorder="1"/>
    <xf numFmtId="43" fontId="1" fillId="0" borderId="11" xfId="1" applyFont="1" applyFill="1" applyBorder="1"/>
    <xf numFmtId="10" fontId="9" fillId="6" borderId="13" xfId="2" applyNumberFormat="1" applyFont="1" applyFill="1" applyBorder="1"/>
    <xf numFmtId="164" fontId="10" fillId="0" borderId="13" xfId="1" applyNumberFormat="1" applyFont="1" applyFill="1" applyBorder="1"/>
    <xf numFmtId="43" fontId="0" fillId="0" borderId="13" xfId="1" applyFont="1" applyBorder="1"/>
    <xf numFmtId="10" fontId="0" fillId="5" borderId="11" xfId="0" applyNumberFormat="1" applyFill="1" applyBorder="1"/>
    <xf numFmtId="164" fontId="4" fillId="0" borderId="0" xfId="1" applyNumberFormat="1" applyFont="1"/>
    <xf numFmtId="164" fontId="4" fillId="0" borderId="7" xfId="1" applyNumberFormat="1" applyFont="1" applyBorder="1"/>
    <xf numFmtId="10" fontId="0" fillId="8" borderId="0" xfId="2" applyNumberFormat="1" applyFont="1" applyFill="1"/>
    <xf numFmtId="164" fontId="9" fillId="0" borderId="0" xfId="2" applyNumberFormat="1" applyFont="1" applyFill="1" applyBorder="1"/>
    <xf numFmtId="43" fontId="0" fillId="0" borderId="0" xfId="1" applyFont="1" applyFill="1"/>
    <xf numFmtId="166" fontId="0" fillId="0" borderId="0" xfId="2" applyNumberFormat="1" applyFont="1" applyFill="1"/>
    <xf numFmtId="10" fontId="0" fillId="0" borderId="0" xfId="2" applyNumberFormat="1" applyFont="1" applyFill="1"/>
    <xf numFmtId="164" fontId="0" fillId="0" borderId="0" xfId="1" applyNumberFormat="1" applyFont="1" applyFill="1"/>
    <xf numFmtId="1" fontId="0" fillId="0" borderId="0" xfId="0" applyNumberFormat="1"/>
    <xf numFmtId="0" fontId="5" fillId="0" borderId="0" xfId="4"/>
    <xf numFmtId="0" fontId="5" fillId="0" borderId="13" xfId="4" applyBorder="1"/>
    <xf numFmtId="0" fontId="5" fillId="0" borderId="17" xfId="4" applyBorder="1"/>
    <xf numFmtId="0" fontId="14" fillId="0" borderId="0" xfId="4" applyFont="1"/>
    <xf numFmtId="167" fontId="5" fillId="0" borderId="17" xfId="4" applyNumberFormat="1" applyBorder="1" applyProtection="1">
      <protection locked="0"/>
    </xf>
    <xf numFmtId="0" fontId="5" fillId="0" borderId="17" xfId="4" applyBorder="1" applyAlignment="1">
      <alignment horizontal="center"/>
    </xf>
    <xf numFmtId="0" fontId="15" fillId="0" borderId="13" xfId="4" applyFont="1" applyBorder="1" applyAlignment="1">
      <alignment horizontal="center"/>
    </xf>
    <xf numFmtId="0" fontId="15" fillId="0" borderId="0" xfId="4" applyFont="1" applyAlignment="1">
      <alignment horizontal="center"/>
    </xf>
    <xf numFmtId="0" fontId="15" fillId="0" borderId="17" xfId="4" applyFont="1" applyBorder="1" applyAlignment="1">
      <alignment horizontal="center"/>
    </xf>
    <xf numFmtId="0" fontId="5" fillId="0" borderId="13" xfId="4" applyBorder="1" applyAlignment="1">
      <alignment horizontal="center"/>
    </xf>
    <xf numFmtId="0" fontId="5" fillId="0" borderId="0" xfId="4" applyAlignment="1">
      <alignment horizontal="center"/>
    </xf>
    <xf numFmtId="37" fontId="5" fillId="0" borderId="0" xfId="4" applyNumberFormat="1"/>
    <xf numFmtId="10" fontId="5" fillId="0" borderId="0" xfId="4" applyNumberFormat="1"/>
    <xf numFmtId="37" fontId="5" fillId="0" borderId="17" xfId="4" applyNumberFormat="1" applyBorder="1"/>
    <xf numFmtId="37" fontId="5" fillId="0" borderId="0" xfId="4" applyNumberFormat="1" applyProtection="1">
      <protection locked="0"/>
    </xf>
    <xf numFmtId="10" fontId="5" fillId="9" borderId="0" xfId="4" applyNumberFormat="1" applyFill="1" applyProtection="1">
      <protection locked="0"/>
    </xf>
    <xf numFmtId="37" fontId="14" fillId="0" borderId="0" xfId="4" applyNumberFormat="1" applyFont="1"/>
    <xf numFmtId="37" fontId="16" fillId="0" borderId="0" xfId="4" applyNumberFormat="1" applyFont="1" applyProtection="1">
      <protection locked="0"/>
    </xf>
    <xf numFmtId="10" fontId="16" fillId="0" borderId="0" xfId="4" applyNumberFormat="1" applyFont="1" applyProtection="1">
      <protection locked="0"/>
    </xf>
    <xf numFmtId="37" fontId="5" fillId="0" borderId="18" xfId="4" applyNumberFormat="1" applyBorder="1" applyAlignment="1">
      <alignment horizontal="right"/>
    </xf>
    <xf numFmtId="37" fontId="5" fillId="0" borderId="19" xfId="4" applyNumberFormat="1" applyBorder="1" applyAlignment="1">
      <alignment horizontal="right"/>
    </xf>
    <xf numFmtId="37" fontId="5" fillId="0" borderId="17" xfId="4" applyNumberFormat="1" applyBorder="1" applyAlignment="1">
      <alignment horizontal="fill"/>
    </xf>
    <xf numFmtId="37" fontId="5" fillId="0" borderId="17" xfId="4" applyNumberFormat="1" applyBorder="1" applyProtection="1">
      <protection locked="0"/>
    </xf>
    <xf numFmtId="37" fontId="5" fillId="0" borderId="20" xfId="4" applyNumberFormat="1" applyBorder="1"/>
    <xf numFmtId="168" fontId="16" fillId="10" borderId="0" xfId="4" applyNumberFormat="1" applyFont="1" applyFill="1"/>
    <xf numFmtId="37" fontId="5" fillId="9" borderId="20" xfId="4" applyNumberFormat="1" applyFill="1" applyBorder="1"/>
    <xf numFmtId="0" fontId="5" fillId="0" borderId="17" xfId="4" applyBorder="1" applyAlignment="1">
      <alignment horizontal="fill"/>
    </xf>
    <xf numFmtId="0" fontId="5" fillId="0" borderId="21" xfId="4" applyBorder="1"/>
    <xf numFmtId="0" fontId="5" fillId="0" borderId="22" xfId="4" applyBorder="1"/>
    <xf numFmtId="0" fontId="5" fillId="0" borderId="23" xfId="4" applyBorder="1"/>
    <xf numFmtId="0" fontId="5" fillId="0" borderId="0" xfId="4" applyAlignment="1">
      <alignment horizontal="right"/>
    </xf>
    <xf numFmtId="167" fontId="5" fillId="0" borderId="17" xfId="4" applyNumberFormat="1" applyBorder="1" applyAlignment="1" applyProtection="1">
      <alignment horizontal="right"/>
      <protection locked="0"/>
    </xf>
    <xf numFmtId="0" fontId="17" fillId="0" borderId="0" xfId="4" applyFont="1" applyAlignment="1">
      <alignment horizontal="left"/>
    </xf>
    <xf numFmtId="0" fontId="5" fillId="0" borderId="0" xfId="4" applyAlignment="1">
      <alignment horizontal="left"/>
    </xf>
    <xf numFmtId="0" fontId="18" fillId="0" borderId="0" xfId="4" applyFont="1" applyAlignment="1">
      <alignment horizontal="left"/>
    </xf>
    <xf numFmtId="43" fontId="0" fillId="0" borderId="0" xfId="5" applyFont="1" applyAlignment="1">
      <alignment horizontal="left"/>
    </xf>
    <xf numFmtId="164" fontId="0" fillId="0" borderId="0" xfId="5" applyNumberFormat="1" applyFont="1" applyAlignment="1">
      <alignment horizontal="centerContinuous"/>
    </xf>
    <xf numFmtId="164" fontId="0" fillId="11" borderId="0" xfId="5" applyNumberFormat="1" applyFont="1" applyFill="1" applyAlignment="1">
      <alignment horizontal="centerContinuous"/>
    </xf>
    <xf numFmtId="0" fontId="5" fillId="0" borderId="0" xfId="4" applyAlignment="1">
      <alignment horizontal="centerContinuous"/>
    </xf>
    <xf numFmtId="167" fontId="19" fillId="0" borderId="0" xfId="4" applyNumberFormat="1" applyFont="1" applyAlignment="1">
      <alignment horizontal="left"/>
    </xf>
    <xf numFmtId="164" fontId="0" fillId="0" borderId="0" xfId="5" applyNumberFormat="1" applyFont="1" applyFill="1" applyAlignment="1">
      <alignment horizontal="centerContinuous"/>
    </xf>
    <xf numFmtId="0" fontId="6" fillId="0" borderId="0" xfId="4" applyFont="1" applyAlignment="1">
      <alignment horizontal="center"/>
    </xf>
    <xf numFmtId="43" fontId="6" fillId="0" borderId="0" xfId="5" applyFont="1" applyAlignment="1">
      <alignment horizontal="center"/>
    </xf>
    <xf numFmtId="0" fontId="5" fillId="11" borderId="0" xfId="4" applyFill="1" applyAlignment="1">
      <alignment horizontal="left"/>
    </xf>
    <xf numFmtId="0" fontId="20" fillId="0" borderId="0" xfId="4" applyFont="1"/>
    <xf numFmtId="43" fontId="5" fillId="12" borderId="24" xfId="5" applyFont="1" applyFill="1" applyBorder="1" applyAlignment="1">
      <alignment horizontal="center"/>
    </xf>
    <xf numFmtId="0" fontId="5" fillId="11" borderId="25" xfId="4" applyFill="1" applyBorder="1" applyAlignment="1">
      <alignment horizontal="center"/>
    </xf>
    <xf numFmtId="17" fontId="5" fillId="12" borderId="26" xfId="4" applyNumberFormat="1" applyFill="1" applyBorder="1" applyAlignment="1">
      <alignment horizontal="center"/>
    </xf>
    <xf numFmtId="0" fontId="5" fillId="11" borderId="27" xfId="4" applyFill="1" applyBorder="1" applyAlignment="1">
      <alignment horizontal="center"/>
    </xf>
    <xf numFmtId="164" fontId="0" fillId="13" borderId="0" xfId="5" applyNumberFormat="1" applyFont="1" applyFill="1"/>
    <xf numFmtId="164" fontId="6" fillId="0" borderId="0" xfId="5" applyNumberFormat="1" applyFont="1" applyAlignment="1">
      <alignment horizontal="center"/>
    </xf>
    <xf numFmtId="169" fontId="22" fillId="0" borderId="0" xfId="4" applyNumberFormat="1" applyFont="1"/>
    <xf numFmtId="169" fontId="5" fillId="11" borderId="0" xfId="4" applyNumberFormat="1" applyFill="1"/>
    <xf numFmtId="164" fontId="0" fillId="0" borderId="0" xfId="5" applyNumberFormat="1" applyFont="1"/>
    <xf numFmtId="169" fontId="21" fillId="0" borderId="0" xfId="4" applyNumberFormat="1" applyFont="1"/>
    <xf numFmtId="169" fontId="5" fillId="0" borderId="0" xfId="4" applyNumberFormat="1"/>
    <xf numFmtId="169" fontId="22" fillId="0" borderId="7" xfId="4" applyNumberFormat="1" applyFont="1" applyBorder="1"/>
    <xf numFmtId="169" fontId="5" fillId="11" borderId="7" xfId="4" applyNumberFormat="1" applyFill="1" applyBorder="1"/>
    <xf numFmtId="164" fontId="0" fillId="13" borderId="18" xfId="5" applyNumberFormat="1" applyFont="1" applyFill="1" applyBorder="1"/>
    <xf numFmtId="164" fontId="23" fillId="0" borderId="0" xfId="5" applyNumberFormat="1" applyFont="1" applyFill="1"/>
    <xf numFmtId="164" fontId="5" fillId="11" borderId="0" xfId="5" applyNumberFormat="1" applyFont="1" applyFill="1"/>
    <xf numFmtId="164" fontId="5" fillId="0" borderId="0" xfId="5" applyNumberFormat="1" applyFill="1"/>
    <xf numFmtId="164" fontId="22" fillId="0" borderId="0" xfId="8" applyNumberFormat="1" applyFont="1" applyFill="1"/>
    <xf numFmtId="164" fontId="5" fillId="11" borderId="0" xfId="8" applyNumberFormat="1" applyFont="1" applyFill="1"/>
    <xf numFmtId="164" fontId="22" fillId="0" borderId="7" xfId="5" applyNumberFormat="1" applyFont="1" applyFill="1" applyBorder="1"/>
    <xf numFmtId="164" fontId="5" fillId="11" borderId="7" xfId="5" applyNumberFormat="1" applyFont="1" applyFill="1" applyBorder="1"/>
    <xf numFmtId="164" fontId="0" fillId="13" borderId="28" xfId="5" applyNumberFormat="1" applyFont="1" applyFill="1" applyBorder="1"/>
    <xf numFmtId="164" fontId="23" fillId="0" borderId="28" xfId="5" applyNumberFormat="1" applyFont="1" applyFill="1" applyBorder="1"/>
    <xf numFmtId="164" fontId="5" fillId="11" borderId="28" xfId="5" applyNumberFormat="1" applyFont="1" applyFill="1" applyBorder="1"/>
    <xf numFmtId="0" fontId="15" fillId="0" borderId="0" xfId="4" applyFont="1"/>
    <xf numFmtId="169" fontId="23" fillId="0" borderId="0" xfId="4" quotePrefix="1" applyNumberFormat="1" applyFont="1"/>
    <xf numFmtId="164" fontId="22" fillId="0" borderId="0" xfId="5" applyNumberFormat="1" applyFont="1" applyFill="1"/>
    <xf numFmtId="164" fontId="6" fillId="0" borderId="28" xfId="5" applyNumberFormat="1" applyFont="1" applyBorder="1" applyAlignment="1">
      <alignment horizontal="center"/>
    </xf>
    <xf numFmtId="43" fontId="23" fillId="0" borderId="28" xfId="5" applyFont="1" applyFill="1" applyBorder="1"/>
    <xf numFmtId="43" fontId="5" fillId="0" borderId="0" xfId="5" applyFill="1"/>
    <xf numFmtId="43" fontId="5" fillId="11" borderId="0" xfId="5" applyFont="1" applyFill="1"/>
    <xf numFmtId="164" fontId="0" fillId="13" borderId="10" xfId="5" applyNumberFormat="1" applyFont="1" applyFill="1" applyBorder="1"/>
    <xf numFmtId="164" fontId="23" fillId="0" borderId="10" xfId="5" applyNumberFormat="1" applyFont="1" applyFill="1" applyBorder="1"/>
    <xf numFmtId="164" fontId="5" fillId="11" borderId="10" xfId="5" applyNumberFormat="1" applyFont="1" applyFill="1" applyBorder="1"/>
    <xf numFmtId="10" fontId="0" fillId="0" borderId="0" xfId="6" applyNumberFormat="1" applyFont="1"/>
    <xf numFmtId="164" fontId="5" fillId="0" borderId="0" xfId="5" applyNumberFormat="1" applyFont="1" applyFill="1" applyAlignment="1">
      <alignment horizontal="center"/>
    </xf>
    <xf numFmtId="43" fontId="5" fillId="0" borderId="0" xfId="5" applyFont="1" applyFill="1" applyAlignment="1">
      <alignment horizontal="center"/>
    </xf>
    <xf numFmtId="164" fontId="5" fillId="11" borderId="0" xfId="5" applyNumberFormat="1" applyFont="1" applyFill="1" applyAlignment="1">
      <alignment horizontal="center"/>
    </xf>
    <xf numFmtId="164" fontId="5" fillId="0" borderId="0" xfId="5" applyNumberFormat="1" applyFont="1"/>
    <xf numFmtId="164" fontId="5" fillId="0" borderId="0" xfId="4" applyNumberFormat="1"/>
    <xf numFmtId="164" fontId="6" fillId="0" borderId="0" xfId="5" applyNumberFormat="1" applyFont="1" applyFill="1" applyAlignment="1">
      <alignment horizontal="center"/>
    </xf>
    <xf numFmtId="43" fontId="5" fillId="0" borderId="0" xfId="5" applyFont="1" applyAlignment="1">
      <alignment horizontal="center"/>
    </xf>
    <xf numFmtId="43" fontId="5" fillId="11" borderId="0" xfId="5" applyFont="1" applyFill="1" applyAlignment="1">
      <alignment horizontal="center"/>
    </xf>
    <xf numFmtId="0" fontId="6" fillId="0" borderId="29" xfId="4" applyFont="1" applyBorder="1"/>
    <xf numFmtId="0" fontId="24" fillId="0" borderId="0" xfId="4" applyFont="1" applyAlignment="1" applyProtection="1">
      <alignment horizontal="left"/>
      <protection locked="0"/>
    </xf>
    <xf numFmtId="43" fontId="22" fillId="11" borderId="0" xfId="8" applyFont="1" applyFill="1" applyAlignment="1">
      <alignment horizontal="center"/>
    </xf>
    <xf numFmtId="0" fontId="5" fillId="11" borderId="0" xfId="4" applyFill="1" applyAlignment="1">
      <alignment horizontal="center"/>
    </xf>
    <xf numFmtId="171" fontId="5" fillId="0" borderId="0" xfId="5" applyNumberFormat="1" applyFont="1" applyAlignment="1">
      <alignment horizontal="center"/>
    </xf>
    <xf numFmtId="171" fontId="5" fillId="11" borderId="0" xfId="5" applyNumberFormat="1" applyFont="1" applyFill="1" applyAlignment="1">
      <alignment horizontal="center"/>
    </xf>
    <xf numFmtId="49" fontId="10" fillId="0" borderId="0" xfId="5" applyNumberFormat="1" applyFont="1"/>
    <xf numFmtId="43" fontId="22" fillId="0" borderId="0" xfId="5" applyFont="1" applyAlignment="1">
      <alignment horizontal="center"/>
    </xf>
    <xf numFmtId="0" fontId="5" fillId="0" borderId="7" xfId="4" applyBorder="1"/>
    <xf numFmtId="0" fontId="6" fillId="0" borderId="7" xfId="4" applyFont="1" applyBorder="1" applyAlignment="1">
      <alignment horizontal="center"/>
    </xf>
    <xf numFmtId="43" fontId="22" fillId="0" borderId="7" xfId="5" applyFont="1" applyFill="1" applyBorder="1" applyAlignment="1">
      <alignment horizontal="center"/>
    </xf>
    <xf numFmtId="0" fontId="5" fillId="11" borderId="0" xfId="4" applyFill="1"/>
    <xf numFmtId="43" fontId="0" fillId="0" borderId="0" xfId="5" applyFont="1"/>
    <xf numFmtId="0" fontId="5" fillId="14" borderId="0" xfId="4" applyFill="1"/>
    <xf numFmtId="0" fontId="6" fillId="14" borderId="0" xfId="4" applyFont="1" applyFill="1" applyAlignment="1">
      <alignment horizontal="center"/>
    </xf>
    <xf numFmtId="164" fontId="0" fillId="14" borderId="0" xfId="5" applyNumberFormat="1" applyFont="1" applyFill="1"/>
    <xf numFmtId="164" fontId="6" fillId="14" borderId="0" xfId="5" applyNumberFormat="1" applyFont="1" applyFill="1" applyAlignment="1">
      <alignment horizontal="center"/>
    </xf>
    <xf numFmtId="169" fontId="21" fillId="14" borderId="0" xfId="4" applyNumberFormat="1" applyFont="1" applyFill="1"/>
    <xf numFmtId="169" fontId="22" fillId="14" borderId="0" xfId="4" applyNumberFormat="1" applyFont="1" applyFill="1"/>
    <xf numFmtId="169" fontId="5" fillId="14" borderId="0" xfId="4" applyNumberFormat="1" applyFill="1"/>
    <xf numFmtId="164" fontId="0" fillId="0" borderId="0" xfId="5" applyNumberFormat="1" applyFont="1" applyFill="1"/>
    <xf numFmtId="166" fontId="0" fillId="7" borderId="8" xfId="2" applyNumberFormat="1" applyFont="1" applyFill="1" applyBorder="1"/>
    <xf numFmtId="0" fontId="5" fillId="4" borderId="0" xfId="4" applyFill="1"/>
    <xf numFmtId="0" fontId="6" fillId="4" borderId="0" xfId="4" applyFont="1" applyFill="1" applyAlignment="1">
      <alignment horizontal="center"/>
    </xf>
    <xf numFmtId="164" fontId="5" fillId="4" borderId="0" xfId="5" applyNumberFormat="1" applyFont="1" applyFill="1" applyAlignment="1">
      <alignment horizontal="center"/>
    </xf>
    <xf numFmtId="169" fontId="5" fillId="4" borderId="0" xfId="4" applyNumberFormat="1" applyFill="1"/>
    <xf numFmtId="0" fontId="2" fillId="0" borderId="0" xfId="0" applyFont="1"/>
    <xf numFmtId="164" fontId="2" fillId="0" borderId="0" xfId="1" applyNumberFormat="1" applyFont="1" applyFill="1" applyBorder="1"/>
    <xf numFmtId="0" fontId="0" fillId="0" borderId="30" xfId="0" applyBorder="1"/>
    <xf numFmtId="0" fontId="0" fillId="0" borderId="28" xfId="0" applyBorder="1"/>
    <xf numFmtId="0" fontId="0" fillId="0" borderId="31" xfId="0" applyBorder="1"/>
    <xf numFmtId="164" fontId="1" fillId="0" borderId="28" xfId="1" applyNumberFormat="1" applyFont="1" applyFill="1" applyBorder="1"/>
    <xf numFmtId="164" fontId="1" fillId="0" borderId="32" xfId="1" applyNumberFormat="1" applyFont="1" applyFill="1" applyBorder="1"/>
    <xf numFmtId="164" fontId="1" fillId="0" borderId="33" xfId="1" applyNumberFormat="1" applyFont="1" applyFill="1" applyBorder="1"/>
    <xf numFmtId="0" fontId="4" fillId="0" borderId="30" xfId="0" applyFont="1" applyBorder="1"/>
    <xf numFmtId="164" fontId="0" fillId="0" borderId="28" xfId="1" applyNumberFormat="1" applyFont="1" applyBorder="1"/>
    <xf numFmtId="164" fontId="0" fillId="0" borderId="31" xfId="1" applyNumberFormat="1" applyFont="1" applyBorder="1"/>
    <xf numFmtId="164" fontId="8" fillId="0" borderId="28" xfId="1" applyNumberFormat="1" applyFont="1" applyFill="1" applyBorder="1"/>
    <xf numFmtId="164" fontId="10" fillId="0" borderId="28" xfId="1" applyNumberFormat="1" applyFont="1" applyFill="1" applyBorder="1"/>
    <xf numFmtId="164" fontId="0" fillId="0" borderId="28" xfId="1" applyNumberFormat="1" applyFont="1" applyFill="1" applyBorder="1"/>
    <xf numFmtId="164" fontId="10" fillId="0" borderId="32" xfId="1" applyNumberFormat="1" applyFont="1" applyFill="1" applyBorder="1"/>
    <xf numFmtId="164" fontId="0" fillId="0" borderId="33" xfId="1" applyNumberFormat="1" applyFont="1" applyFill="1" applyBorder="1"/>
    <xf numFmtId="10" fontId="0" fillId="7" borderId="8" xfId="2" applyNumberFormat="1" applyFont="1" applyFill="1" applyBorder="1"/>
    <xf numFmtId="10" fontId="5" fillId="0" borderId="0" xfId="2" applyNumberFormat="1" applyFont="1" applyFill="1"/>
    <xf numFmtId="164" fontId="22" fillId="14" borderId="0" xfId="8" applyNumberFormat="1" applyFont="1" applyFill="1"/>
    <xf numFmtId="164" fontId="5" fillId="14" borderId="0" xfId="8" applyNumberFormat="1" applyFont="1" applyFill="1"/>
    <xf numFmtId="10" fontId="21" fillId="0" borderId="0" xfId="2" applyNumberFormat="1" applyFont="1"/>
    <xf numFmtId="164" fontId="5" fillId="0" borderId="0" xfId="1" applyNumberFormat="1" applyFont="1" applyFill="1" applyBorder="1"/>
    <xf numFmtId="165" fontId="5" fillId="0" borderId="0" xfId="2" applyNumberFormat="1" applyFont="1" applyBorder="1"/>
    <xf numFmtId="164" fontId="10" fillId="0" borderId="0" xfId="1" quotePrefix="1" applyNumberFormat="1" applyFont="1" applyFill="1" applyBorder="1"/>
    <xf numFmtId="164" fontId="10" fillId="0" borderId="13" xfId="1" quotePrefix="1" applyNumberFormat="1" applyFont="1" applyFill="1" applyBorder="1"/>
    <xf numFmtId="164" fontId="9" fillId="6" borderId="7" xfId="2" applyNumberFormat="1" applyFont="1" applyFill="1" applyBorder="1"/>
    <xf numFmtId="164" fontId="9" fillId="6" borderId="11" xfId="2" applyNumberFormat="1" applyFont="1" applyFill="1" applyBorder="1"/>
    <xf numFmtId="10" fontId="0" fillId="5" borderId="0" xfId="2" applyNumberFormat="1" applyFont="1" applyFill="1" applyBorder="1"/>
    <xf numFmtId="43" fontId="0" fillId="0" borderId="0" xfId="0" applyNumberFormat="1"/>
    <xf numFmtId="0" fontId="2" fillId="0" borderId="34" xfId="0" applyFont="1" applyBorder="1" applyAlignment="1">
      <alignment horizontal="center"/>
    </xf>
    <xf numFmtId="0" fontId="0" fillId="0" borderId="34" xfId="0" applyBorder="1"/>
    <xf numFmtId="164" fontId="0" fillId="0" borderId="34" xfId="1" applyNumberFormat="1" applyFont="1" applyFill="1" applyBorder="1"/>
    <xf numFmtId="164" fontId="0" fillId="0" borderId="7" xfId="0" applyNumberFormat="1" applyBorder="1"/>
    <xf numFmtId="164" fontId="0" fillId="0" borderId="35" xfId="1" applyNumberFormat="1" applyFont="1" applyBorder="1"/>
    <xf numFmtId="164" fontId="0" fillId="0" borderId="18" xfId="1" applyNumberFormat="1" applyFont="1" applyBorder="1"/>
    <xf numFmtId="166" fontId="0" fillId="7" borderId="37" xfId="2" applyNumberFormat="1" applyFont="1" applyFill="1" applyBorder="1"/>
    <xf numFmtId="166" fontId="0" fillId="7" borderId="38" xfId="2" applyNumberFormat="1" applyFont="1" applyFill="1" applyBorder="1"/>
    <xf numFmtId="10" fontId="0" fillId="0" borderId="34" xfId="2" applyNumberFormat="1" applyFont="1" applyBorder="1"/>
    <xf numFmtId="10" fontId="0" fillId="0" borderId="9" xfId="2" applyNumberFormat="1" applyFont="1" applyBorder="1"/>
    <xf numFmtId="10" fontId="0" fillId="0" borderId="7" xfId="0" applyNumberFormat="1" applyBorder="1"/>
    <xf numFmtId="10" fontId="0" fillId="0" borderId="39" xfId="2" applyNumberFormat="1" applyFont="1" applyBorder="1"/>
    <xf numFmtId="10" fontId="0" fillId="0" borderId="34" xfId="0" applyNumberFormat="1" applyBorder="1"/>
    <xf numFmtId="10" fontId="0" fillId="0" borderId="37" xfId="2" applyNumberFormat="1" applyFont="1" applyBorder="1"/>
    <xf numFmtId="10" fontId="10" fillId="0" borderId="0" xfId="2" applyNumberFormat="1" applyFont="1" applyFill="1" applyBorder="1"/>
    <xf numFmtId="10" fontId="0" fillId="15" borderId="8" xfId="2" applyNumberFormat="1" applyFont="1" applyFill="1" applyBorder="1"/>
    <xf numFmtId="166" fontId="0" fillId="7" borderId="12" xfId="2" applyNumberFormat="1" applyFont="1" applyFill="1" applyBorder="1"/>
    <xf numFmtId="10" fontId="0" fillId="15" borderId="12" xfId="2" applyNumberFormat="1" applyFont="1" applyFill="1" applyBorder="1"/>
    <xf numFmtId="43" fontId="4" fillId="0" borderId="11" xfId="1" applyFont="1" applyFill="1" applyBorder="1"/>
    <xf numFmtId="10" fontId="9" fillId="0" borderId="13" xfId="2" applyNumberFormat="1" applyFont="1" applyFill="1" applyBorder="1"/>
    <xf numFmtId="0" fontId="0" fillId="0" borderId="11" xfId="0" applyBorder="1"/>
    <xf numFmtId="10" fontId="0" fillId="0" borderId="13" xfId="2" applyNumberFormat="1" applyFont="1" applyBorder="1"/>
    <xf numFmtId="10" fontId="0" fillId="0" borderId="11" xfId="2" applyNumberFormat="1" applyFont="1" applyBorder="1"/>
    <xf numFmtId="10" fontId="0" fillId="7" borderId="12" xfId="2" applyNumberFormat="1" applyFont="1" applyFill="1" applyBorder="1"/>
    <xf numFmtId="10" fontId="0" fillId="0" borderId="13" xfId="0" applyNumberFormat="1" applyBorder="1"/>
    <xf numFmtId="0" fontId="0" fillId="5" borderId="13" xfId="0" applyFill="1" applyBorder="1"/>
    <xf numFmtId="0" fontId="0" fillId="5" borderId="11" xfId="0" applyFill="1" applyBorder="1"/>
    <xf numFmtId="10" fontId="0" fillId="5" borderId="13" xfId="2" applyNumberFormat="1" applyFont="1" applyFill="1" applyBorder="1"/>
    <xf numFmtId="164" fontId="0" fillId="0" borderId="13" xfId="1" applyNumberFormat="1" applyFont="1" applyBorder="1"/>
    <xf numFmtId="168" fontId="0" fillId="0" borderId="0" xfId="0" applyNumberFormat="1"/>
    <xf numFmtId="171" fontId="0" fillId="0" borderId="0" xfId="1" applyNumberFormat="1" applyFont="1"/>
    <xf numFmtId="172" fontId="0" fillId="0" borderId="0" xfId="1" applyNumberFormat="1" applyFont="1"/>
    <xf numFmtId="10" fontId="0" fillId="16" borderId="0" xfId="0" applyNumberFormat="1" applyFill="1"/>
    <xf numFmtId="168" fontId="1" fillId="0" borderId="0" xfId="2" applyNumberFormat="1" applyFont="1" applyFill="1" applyBorder="1"/>
    <xf numFmtId="164" fontId="1" fillId="6" borderId="0" xfId="2" applyNumberFormat="1" applyFont="1" applyFill="1" applyBorder="1"/>
    <xf numFmtId="7" fontId="0" fillId="0" borderId="0" xfId="0" applyNumberFormat="1"/>
    <xf numFmtId="0" fontId="0" fillId="0" borderId="0" xfId="0" applyAlignment="1">
      <alignment horizontal="center"/>
    </xf>
    <xf numFmtId="43" fontId="4" fillId="6" borderId="0" xfId="1" applyFont="1" applyFill="1" applyBorder="1"/>
    <xf numFmtId="166" fontId="8" fillId="14" borderId="0" xfId="2" applyNumberFormat="1" applyFont="1" applyFill="1" applyBorder="1"/>
    <xf numFmtId="170" fontId="8" fillId="0" borderId="28" xfId="1" applyNumberFormat="1" applyFont="1" applyFill="1" applyBorder="1"/>
    <xf numFmtId="171" fontId="0" fillId="0" borderId="0" xfId="0" applyNumberFormat="1"/>
    <xf numFmtId="10" fontId="1" fillId="0" borderId="0" xfId="2" applyNumberFormat="1" applyFont="1" applyFill="1" applyBorder="1"/>
    <xf numFmtId="43" fontId="4" fillId="6" borderId="7" xfId="1" applyFont="1" applyFill="1" applyBorder="1"/>
    <xf numFmtId="43" fontId="0" fillId="0" borderId="7" xfId="1" applyFont="1" applyBorder="1"/>
    <xf numFmtId="164" fontId="4" fillId="0" borderId="0" xfId="1" applyNumberFormat="1" applyFont="1" applyBorder="1"/>
    <xf numFmtId="0" fontId="10" fillId="0" borderId="4" xfId="0" applyFont="1" applyBorder="1"/>
    <xf numFmtId="0" fontId="10" fillId="0" borderId="0" xfId="0" applyFont="1"/>
    <xf numFmtId="164" fontId="10" fillId="0" borderId="34" xfId="1" applyNumberFormat="1" applyFont="1" applyFill="1" applyBorder="1"/>
    <xf numFmtId="164" fontId="10" fillId="0" borderId="18" xfId="1" applyNumberFormat="1" applyFont="1" applyFill="1" applyBorder="1"/>
    <xf numFmtId="0" fontId="25" fillId="0" borderId="4" xfId="0" applyFont="1" applyBorder="1"/>
    <xf numFmtId="0" fontId="25" fillId="0" borderId="0" xfId="0" applyFont="1"/>
    <xf numFmtId="164" fontId="25" fillId="0" borderId="0" xfId="2" applyNumberFormat="1" applyFont="1" applyFill="1" applyBorder="1"/>
    <xf numFmtId="0" fontId="25" fillId="0" borderId="6" xfId="0" applyFont="1" applyBorder="1"/>
    <xf numFmtId="0" fontId="25" fillId="0" borderId="7" xfId="0" applyFont="1" applyBorder="1"/>
    <xf numFmtId="164" fontId="10" fillId="0" borderId="7" xfId="1" applyNumberFormat="1" applyFont="1" applyFill="1" applyBorder="1"/>
    <xf numFmtId="164" fontId="10" fillId="0" borderId="9" xfId="1" applyNumberFormat="1" applyFont="1" applyFill="1" applyBorder="1"/>
    <xf numFmtId="164" fontId="25" fillId="0" borderId="7" xfId="2" applyNumberFormat="1" applyFont="1" applyFill="1" applyBorder="1"/>
    <xf numFmtId="0" fontId="24" fillId="0" borderId="0" xfId="0" applyFont="1"/>
    <xf numFmtId="10" fontId="10" fillId="4" borderId="34" xfId="2" applyNumberFormat="1" applyFont="1" applyFill="1" applyBorder="1"/>
    <xf numFmtId="164" fontId="10" fillId="0" borderId="0" xfId="1" applyNumberFormat="1" applyFont="1"/>
    <xf numFmtId="164" fontId="10" fillId="0" borderId="0" xfId="2" applyNumberFormat="1" applyFont="1" applyFill="1" applyBorder="1"/>
    <xf numFmtId="43" fontId="10" fillId="0" borderId="0" xfId="1" applyFont="1" applyFill="1" applyBorder="1"/>
    <xf numFmtId="10" fontId="10" fillId="0" borderId="0" xfId="0" applyNumberFormat="1" applyFont="1"/>
    <xf numFmtId="10" fontId="10" fillId="0" borderId="7" xfId="0" applyNumberFormat="1" applyFont="1" applyBorder="1"/>
    <xf numFmtId="10" fontId="10" fillId="0" borderId="34" xfId="2" applyNumberFormat="1" applyFont="1" applyFill="1" applyBorder="1"/>
    <xf numFmtId="10" fontId="10" fillId="0" borderId="0" xfId="1" applyNumberFormat="1" applyFont="1" applyFill="1" applyBorder="1"/>
    <xf numFmtId="43" fontId="10" fillId="0" borderId="0" xfId="1" applyFont="1"/>
    <xf numFmtId="164" fontId="10" fillId="0" borderId="0" xfId="2" applyNumberFormat="1" applyFont="1"/>
    <xf numFmtId="164" fontId="10" fillId="0" borderId="34" xfId="2" applyNumberFormat="1" applyFont="1" applyBorder="1"/>
    <xf numFmtId="43" fontId="10" fillId="0" borderId="0" xfId="1" applyFont="1" applyBorder="1"/>
    <xf numFmtId="43" fontId="10" fillId="0" borderId="34" xfId="1" applyFont="1" applyBorder="1"/>
    <xf numFmtId="164" fontId="10" fillId="0" borderId="7" xfId="1" applyNumberFormat="1" applyFont="1" applyBorder="1"/>
    <xf numFmtId="0" fontId="10" fillId="5" borderId="0" xfId="0" applyFont="1" applyFill="1"/>
    <xf numFmtId="10" fontId="10" fillId="5" borderId="7" xfId="0" applyNumberFormat="1" applyFont="1" applyFill="1" applyBorder="1"/>
    <xf numFmtId="10" fontId="10" fillId="5" borderId="28" xfId="0" applyNumberFormat="1" applyFont="1" applyFill="1" applyBorder="1"/>
    <xf numFmtId="10" fontId="10" fillId="5" borderId="36" xfId="0" applyNumberFormat="1" applyFont="1" applyFill="1" applyBorder="1"/>
    <xf numFmtId="0" fontId="10" fillId="0" borderId="34" xfId="0" applyFont="1" applyBorder="1"/>
    <xf numFmtId="164" fontId="10" fillId="0" borderId="0" xfId="0" applyNumberFormat="1" applyFont="1"/>
    <xf numFmtId="164" fontId="10" fillId="2" borderId="0" xfId="1" applyNumberFormat="1" applyFont="1" applyFill="1"/>
    <xf numFmtId="164" fontId="10" fillId="0" borderId="2" xfId="1" applyNumberFormat="1" applyFont="1" applyBorder="1"/>
    <xf numFmtId="164" fontId="10" fillId="0" borderId="13" xfId="0" applyNumberFormat="1" applyFont="1" applyBorder="1"/>
    <xf numFmtId="164" fontId="10" fillId="0" borderId="0" xfId="1" applyNumberFormat="1" applyFont="1" applyBorder="1"/>
    <xf numFmtId="164" fontId="10" fillId="0" borderId="3" xfId="1" applyNumberFormat="1" applyFont="1" applyBorder="1"/>
    <xf numFmtId="164" fontId="10" fillId="0" borderId="11" xfId="1" applyNumberFormat="1" applyFont="1" applyFill="1" applyBorder="1"/>
    <xf numFmtId="0" fontId="10" fillId="0" borderId="2" xfId="0" applyFont="1" applyBorder="1"/>
    <xf numFmtId="164" fontId="10" fillId="0" borderId="0" xfId="1" applyNumberFormat="1" applyFont="1" applyFill="1"/>
    <xf numFmtId="164" fontId="25" fillId="0" borderId="13" xfId="2" applyNumberFormat="1" applyFont="1" applyFill="1" applyBorder="1"/>
    <xf numFmtId="43" fontId="10" fillId="0" borderId="5" xfId="1" applyFont="1" applyFill="1" applyBorder="1"/>
    <xf numFmtId="0" fontId="25" fillId="0" borderId="2" xfId="0" applyFont="1" applyBorder="1"/>
    <xf numFmtId="43" fontId="25" fillId="0" borderId="0" xfId="1" applyFont="1" applyFill="1" applyBorder="1"/>
    <xf numFmtId="164" fontId="10" fillId="0" borderId="13" xfId="2" applyNumberFormat="1" applyFont="1" applyFill="1" applyBorder="1"/>
    <xf numFmtId="10" fontId="10" fillId="0" borderId="0" xfId="2" applyNumberFormat="1" applyFont="1" applyFill="1"/>
    <xf numFmtId="10" fontId="10" fillId="0" borderId="7" xfId="2" applyNumberFormat="1" applyFont="1" applyFill="1" applyBorder="1"/>
    <xf numFmtId="0" fontId="10" fillId="0" borderId="28" xfId="0" applyFont="1" applyBorder="1"/>
    <xf numFmtId="164" fontId="5" fillId="0" borderId="0" xfId="1" applyNumberFormat="1" applyFont="1" applyBorder="1"/>
    <xf numFmtId="0" fontId="10" fillId="0" borderId="7" xfId="0" applyFont="1" applyBorder="1"/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14" xfId="4" applyFont="1" applyBorder="1" applyAlignment="1">
      <alignment horizontal="center"/>
    </xf>
    <xf numFmtId="0" fontId="12" fillId="0" borderId="15" xfId="4" applyFont="1" applyBorder="1" applyAlignment="1">
      <alignment horizontal="center"/>
    </xf>
    <xf numFmtId="0" fontId="12" fillId="0" borderId="16" xfId="4" applyFont="1" applyBorder="1" applyAlignment="1">
      <alignment horizontal="center"/>
    </xf>
    <xf numFmtId="0" fontId="13" fillId="0" borderId="13" xfId="4" applyFont="1" applyBorder="1" applyAlignment="1">
      <alignment horizontal="center"/>
    </xf>
    <xf numFmtId="0" fontId="13" fillId="0" borderId="0" xfId="4" applyFont="1" applyAlignment="1">
      <alignment horizontal="center"/>
    </xf>
    <xf numFmtId="0" fontId="13" fillId="0" borderId="17" xfId="4" applyFont="1" applyBorder="1" applyAlignment="1">
      <alignment horizontal="center"/>
    </xf>
  </cellXfs>
  <cellStyles count="9">
    <cellStyle name="Comma" xfId="1" builtinId="3"/>
    <cellStyle name="Comma 2" xfId="5" xr:uid="{4AED7FD1-1CF7-4D29-A0A1-4BFC04B15D6E}"/>
    <cellStyle name="Comma 2 2" xfId="8" xr:uid="{EDB0DD69-AD0E-43FD-88BA-D24C3AE54921}"/>
    <cellStyle name="Normal" xfId="0" builtinId="0"/>
    <cellStyle name="Normal 11 2" xfId="3" xr:uid="{7564CFFE-A1DA-449A-B152-D8CD82788C26}"/>
    <cellStyle name="Normal 2" xfId="4" xr:uid="{789307F6-D5B1-438B-9099-9B97EB3596B6}"/>
    <cellStyle name="Normal 3" xfId="7" xr:uid="{72DE4975-1CE7-40D7-BFBD-1F843E0291A5}"/>
    <cellStyle name="Percent" xfId="2" builtinId="5"/>
    <cellStyle name="Percent 2" xfId="6" xr:uid="{CD03D982-95E2-4950-A62D-3FEEFDC577E7}"/>
  </cellStyles>
  <dxfs count="2">
    <dxf>
      <font>
        <color theme="1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BUDGET_FIN\Regulatory\Rate%20Case%202023\Discovery\OPC%201st%20Set%20IRRS\IRR%20100\PGS%20SR%202024%20Rate%20Case%20Budget_v_02.08.2023%20without%20rates.xlsm" TargetMode="External"/><Relationship Id="rId1" Type="http://schemas.openxmlformats.org/officeDocument/2006/relationships/externalLinkPath" Target="/BUDGET_FIN/Regulatory/Rate%20Case%202023/Discovery/OPC%201st%20Set%20IRRS/IRR%20100/PGS%20SR%202024%20Rate%20Case%20Budget_v_02.08.2023%20without%20rat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.SR"/>
      <sheetName val="Cover"/>
      <sheetName val="Drivers Tabs-&gt;"/>
      <sheetName val="Input"/>
      <sheetName val="Input Plant"/>
      <sheetName val="Input Seg of CWIP"/>
      <sheetName val="Input Tax Rate"/>
      <sheetName val="Input WFNG"/>
      <sheetName val="Model Tabs-&gt;"/>
      <sheetName val="IncomeStmt"/>
      <sheetName val="Bal Sheet"/>
      <sheetName val="Debt &amp; Cust Dep"/>
      <sheetName val="Cap Str 54.7%"/>
      <sheetName val="Int Synch"/>
      <sheetName val="Output Tabs-&gt;"/>
      <sheetName val="Report"/>
      <sheetName val="Reconcil"/>
      <sheetName val="Report YE"/>
      <sheetName val="Reconcil YE"/>
      <sheetName val="MSEA"/>
      <sheetName val="AFUDC Sch A "/>
      <sheetName val="AFUDC Sch B"/>
      <sheetName val="AFUDC Sch C"/>
      <sheetName val="Comparison Report Tabs-&gt;"/>
      <sheetName val="COMP Act to Prior"/>
      <sheetName val="COMP to Budget Q2"/>
      <sheetName val="COMP to 23 SR Bud"/>
      <sheetName val="Market ROE Working Tab"/>
      <sheetName val="NOT UPDATED -------&gt;"/>
      <sheetName val="Quarterly"/>
      <sheetName val="COMP to Final Bud"/>
      <sheetName val="COMP to 2+10F"/>
      <sheetName val="COMP to 5+7F"/>
      <sheetName val="COMP to 6+6F"/>
      <sheetName val="COMP to 7+5F"/>
      <sheetName val="COMP to Prior 8+4F"/>
      <sheetName val="COMP to Orig Bud"/>
      <sheetName val="COMP to LTF"/>
      <sheetName val="COMP to 2020 Strat"/>
      <sheetName val="COMP to Q3F"/>
      <sheetName val="Quarterly vs 0+12 vs Q1F"/>
      <sheetName val="Monthly"/>
      <sheetName val="Market ROE Recon - Bud"/>
      <sheetName val="Summary of Mark to Reg"/>
    </sheetNames>
    <sheetDataSet>
      <sheetData sheetId="0">
        <row r="3">
          <cell r="F3">
            <v>1</v>
          </cell>
        </row>
      </sheetData>
      <sheetData sheetId="1"/>
      <sheetData sheetId="2"/>
      <sheetData sheetId="3">
        <row r="4">
          <cell r="A4" t="str">
            <v>December 2024</v>
          </cell>
        </row>
      </sheetData>
      <sheetData sheetId="4"/>
      <sheetData sheetId="5"/>
      <sheetData sheetId="6">
        <row r="36">
          <cell r="B36">
            <v>0.25345000000000001</v>
          </cell>
        </row>
      </sheetData>
      <sheetData sheetId="7"/>
      <sheetData sheetId="8"/>
      <sheetData sheetId="9">
        <row r="41">
          <cell r="F41">
            <v>52917.240700252165</v>
          </cell>
        </row>
      </sheetData>
      <sheetData sheetId="10">
        <row r="1">
          <cell r="A1">
            <v>12</v>
          </cell>
        </row>
      </sheetData>
      <sheetData sheetId="11">
        <row r="34">
          <cell r="C34">
            <v>5.5399999999999998E-2</v>
          </cell>
        </row>
      </sheetData>
      <sheetData sheetId="12"/>
      <sheetData sheetId="13"/>
      <sheetData sheetId="14"/>
      <sheetData sheetId="15">
        <row r="160">
          <cell r="H160">
            <v>832185.47550413886</v>
          </cell>
        </row>
      </sheetData>
      <sheetData sheetId="16">
        <row r="172">
          <cell r="A172" t="str">
            <v>WORKING CAPITAL WORKSHEET</v>
          </cell>
          <cell r="B172" t="str">
            <v xml:space="preserve">       FOR THE MONTH OF:</v>
          </cell>
          <cell r="C172"/>
          <cell r="D172"/>
          <cell r="E172" t="str">
            <v>2024 Budget</v>
          </cell>
          <cell r="F172"/>
          <cell r="G172"/>
          <cell r="H172"/>
        </row>
        <row r="173">
          <cell r="A173"/>
          <cell r="B173"/>
          <cell r="C173"/>
          <cell r="D173"/>
          <cell r="E173"/>
          <cell r="F173"/>
          <cell r="G173"/>
          <cell r="H173"/>
        </row>
        <row r="174">
          <cell r="A174"/>
          <cell r="B174" t="str">
            <v>AVERAGE</v>
          </cell>
          <cell r="C174" t="str">
            <v>YEAR END</v>
          </cell>
          <cell r="D174"/>
          <cell r="E174"/>
          <cell r="G174" t="str">
            <v>AVERAGE</v>
          </cell>
          <cell r="H174" t="str">
            <v>YEAR END</v>
          </cell>
        </row>
        <row r="175">
          <cell r="A175" t="str">
            <v>DESCRIPTION</v>
          </cell>
          <cell r="B175" t="str">
            <v>ASSETS</v>
          </cell>
          <cell r="C175" t="str">
            <v>ASSETS</v>
          </cell>
          <cell r="D175"/>
          <cell r="E175" t="str">
            <v>DESCRIPTION</v>
          </cell>
          <cell r="G175" t="str">
            <v>LIABILITIES</v>
          </cell>
          <cell r="H175" t="str">
            <v>LIABILITIES</v>
          </cell>
        </row>
        <row r="176">
          <cell r="A176" t="str">
            <v xml:space="preserve">   INVESTMENT IN SUBSIDIARIES</v>
          </cell>
          <cell r="B176">
            <v>1248.8846153846155</v>
          </cell>
          <cell r="C176">
            <v>1524.7</v>
          </cell>
          <cell r="D176"/>
          <cell r="E176"/>
          <cell r="G176"/>
          <cell r="H176"/>
        </row>
        <row r="177">
          <cell r="A177" t="str">
            <v xml:space="preserve">   SINKING FUNDS</v>
          </cell>
          <cell r="B177">
            <v>0</v>
          </cell>
          <cell r="C177">
            <v>0</v>
          </cell>
          <cell r="D177"/>
          <cell r="E177" t="str">
            <v>ACCOUNTS PAYABLE</v>
          </cell>
          <cell r="G177">
            <v>63069.823076923072</v>
          </cell>
          <cell r="H177">
            <v>67977.7</v>
          </cell>
        </row>
        <row r="178">
          <cell r="A178" t="str">
            <v xml:space="preserve">   OTHER INVESTMENTS</v>
          </cell>
          <cell r="B178">
            <v>0</v>
          </cell>
          <cell r="C178">
            <v>0</v>
          </cell>
          <cell r="D178"/>
          <cell r="E178" t="str">
            <v>ACCOUNTS PAY. ASSOC. CO.</v>
          </cell>
          <cell r="G178">
            <v>0</v>
          </cell>
          <cell r="H178">
            <v>0</v>
          </cell>
        </row>
        <row r="179">
          <cell r="A179" t="str">
            <v xml:space="preserve">   CASH</v>
          </cell>
          <cell r="B179">
            <v>1000</v>
          </cell>
          <cell r="C179">
            <v>1000</v>
          </cell>
          <cell r="D179"/>
          <cell r="E179" t="str">
            <v>ACCTS PAY ASSOC CO- SVCS</v>
          </cell>
          <cell r="G179">
            <v>17337.430769230767</v>
          </cell>
          <cell r="H179">
            <v>18916.099999999999</v>
          </cell>
        </row>
        <row r="180">
          <cell r="A180" t="str">
            <v xml:space="preserve">   SPECIAL DEPOSITS</v>
          </cell>
          <cell r="B180">
            <v>0</v>
          </cell>
          <cell r="C180">
            <v>0</v>
          </cell>
          <cell r="D180"/>
          <cell r="E180" t="str">
            <v>TAXES ACCRUED-GENERAL</v>
          </cell>
          <cell r="G180">
            <v>13130.130769230771</v>
          </cell>
          <cell r="H180">
            <v>4769.8</v>
          </cell>
        </row>
        <row r="181">
          <cell r="A181" t="str">
            <v xml:space="preserve">   WORKING FUNDS</v>
          </cell>
          <cell r="B181">
            <v>25</v>
          </cell>
          <cell r="C181">
            <v>25</v>
          </cell>
          <cell r="D181"/>
          <cell r="E181" t="str">
            <v>TAXES ACCRUED-INCOME</v>
          </cell>
          <cell r="G181">
            <v>-845.94615384615383</v>
          </cell>
          <cell r="H181">
            <v>0</v>
          </cell>
        </row>
        <row r="182">
          <cell r="A182" t="str">
            <v xml:space="preserve">   TEMP. CASH INVESTMENTS</v>
          </cell>
          <cell r="B182">
            <v>3</v>
          </cell>
          <cell r="C182">
            <v>3</v>
          </cell>
          <cell r="D182"/>
          <cell r="E182" t="str">
            <v>INTEREST ACCRUED</v>
          </cell>
          <cell r="G182">
            <v>13347.043014687441</v>
          </cell>
          <cell r="H182">
            <v>12423.605820532588</v>
          </cell>
        </row>
        <row r="183">
          <cell r="A183" t="str">
            <v xml:space="preserve">   NOTES RECEIVABLE</v>
          </cell>
          <cell r="B183">
            <v>0</v>
          </cell>
          <cell r="C183">
            <v>0</v>
          </cell>
          <cell r="D183"/>
          <cell r="E183" t="str">
            <v>DIVIDENDS DECLARED</v>
          </cell>
          <cell r="G183">
            <v>0</v>
          </cell>
          <cell r="H183">
            <v>0</v>
          </cell>
        </row>
        <row r="184">
          <cell r="A184" t="str">
            <v xml:space="preserve">   CUST. ACCOUNTS REC.-GAS</v>
          </cell>
          <cell r="B184">
            <v>38620</v>
          </cell>
          <cell r="C184">
            <v>38920</v>
          </cell>
          <cell r="D184"/>
          <cell r="E184" t="str">
            <v>TAX COLLECTIONS PAYABLE</v>
          </cell>
          <cell r="G184">
            <v>922.33076923076908</v>
          </cell>
          <cell r="H184">
            <v>962</v>
          </cell>
        </row>
        <row r="185">
          <cell r="A185" t="str">
            <v xml:space="preserve">   MDSE, JOBBING &amp; OTHER</v>
          </cell>
          <cell r="B185">
            <v>737.36153846153843</v>
          </cell>
          <cell r="C185">
            <v>582.39999999999964</v>
          </cell>
          <cell r="D185"/>
          <cell r="E185" t="str">
            <v>CONSERVATION COST TRUE-UP (2540040)</v>
          </cell>
          <cell r="F185"/>
          <cell r="G185">
            <v>39.376923076923077</v>
          </cell>
          <cell r="H185">
            <v>0</v>
          </cell>
        </row>
        <row r="186">
          <cell r="A186" t="str">
            <v xml:space="preserve">   ACCUM. PROV. UNCOLLECT. ACCTS.</v>
          </cell>
          <cell r="B186">
            <v>-560.08461538461552</v>
          </cell>
          <cell r="C186">
            <v>-529.29999999999995</v>
          </cell>
          <cell r="D186"/>
          <cell r="E186" t="str">
            <v>CIBSR COST TRUE-UP (2540071)</v>
          </cell>
          <cell r="F186"/>
          <cell r="G186">
            <v>333.6307692307692</v>
          </cell>
          <cell r="H186">
            <v>15.2</v>
          </cell>
        </row>
        <row r="187">
          <cell r="A187" t="str">
            <v xml:space="preserve">   RECEIVABLE ACCOC. COMPANIES</v>
          </cell>
          <cell r="B187">
            <v>10135.300000000001</v>
          </cell>
          <cell r="C187">
            <v>10135.299999999999</v>
          </cell>
          <cell r="D187"/>
          <cell r="E187" t="str">
            <v>NON-UTILITY CURR. LIABILITY</v>
          </cell>
          <cell r="G187">
            <v>0</v>
          </cell>
          <cell r="H187">
            <v>0</v>
          </cell>
        </row>
        <row r="188">
          <cell r="A188" t="str">
            <v xml:space="preserve">   REC.- ASSOC. CO. - SERVICES</v>
          </cell>
          <cell r="B188">
            <v>3816.900000000001</v>
          </cell>
          <cell r="C188">
            <v>3816.8999999999996</v>
          </cell>
          <cell r="D188"/>
          <cell r="E188" t="str">
            <v>MISC. CURRENT LIABILITIES</v>
          </cell>
          <cell r="G188">
            <v>5427.5076923076904</v>
          </cell>
          <cell r="H188">
            <v>2026.0999999999985</v>
          </cell>
        </row>
        <row r="189">
          <cell r="A189" t="str">
            <v xml:space="preserve">   PLANT &amp; OPER.MATERIAL &amp; SUPPL.</v>
          </cell>
          <cell r="B189">
            <v>4513.7</v>
          </cell>
          <cell r="C189">
            <v>4513.7</v>
          </cell>
          <cell r="D189"/>
          <cell r="E189" t="str">
            <v>OTHER DEFERRED CREDITS</v>
          </cell>
          <cell r="G189">
            <v>3849.2846153846158</v>
          </cell>
          <cell r="H189">
            <v>3843.9</v>
          </cell>
        </row>
        <row r="190">
          <cell r="A190" t="str">
            <v xml:space="preserve">   STORES EXPENSE</v>
          </cell>
          <cell r="B190">
            <v>0</v>
          </cell>
          <cell r="C190">
            <v>0</v>
          </cell>
          <cell r="D190"/>
          <cell r="E190" t="str">
            <v>OPERATING RESERVES</v>
          </cell>
          <cell r="G190">
            <v>35604.892307692309</v>
          </cell>
          <cell r="H190">
            <v>35877.9</v>
          </cell>
        </row>
        <row r="191">
          <cell r="A191" t="str">
            <v xml:space="preserve">   PREPAYMENTS</v>
          </cell>
          <cell r="B191">
            <v>5165.084615384616</v>
          </cell>
          <cell r="C191">
            <v>4436.1000000000004</v>
          </cell>
          <cell r="D191"/>
          <cell r="E191" t="str">
            <v>DERIVATIVE LIABILITY</v>
          </cell>
          <cell r="G191">
            <v>0</v>
          </cell>
          <cell r="H191">
            <v>0</v>
          </cell>
        </row>
        <row r="192">
          <cell r="A192" t="str">
            <v xml:space="preserve">   UNBILLED REVENUE &amp; MISC.</v>
          </cell>
          <cell r="B192">
            <v>19784.615384615383</v>
          </cell>
          <cell r="C192">
            <v>21250</v>
          </cell>
          <cell r="D192"/>
          <cell r="E192"/>
          <cell r="F192"/>
          <cell r="G192"/>
          <cell r="H192"/>
        </row>
        <row r="193">
          <cell r="A193" t="str">
            <v xml:space="preserve">   DERIVATIVE</v>
          </cell>
          <cell r="B193">
            <v>0</v>
          </cell>
          <cell r="C193">
            <v>0</v>
          </cell>
          <cell r="D193"/>
          <cell r="E193"/>
          <cell r="F193"/>
          <cell r="G193"/>
          <cell r="H193"/>
        </row>
        <row r="194">
          <cell r="A194" t="str">
            <v xml:space="preserve">   UNAMORT DD &amp; E</v>
          </cell>
          <cell r="B194">
            <v>0</v>
          </cell>
          <cell r="C194">
            <v>0</v>
          </cell>
          <cell r="D194"/>
          <cell r="E194"/>
          <cell r="F194"/>
          <cell r="G194"/>
          <cell r="H194"/>
        </row>
        <row r="195">
          <cell r="A195" t="str">
            <v xml:space="preserve">    DEFERRED TAX ASSET</v>
          </cell>
          <cell r="B195">
            <v>0</v>
          </cell>
          <cell r="C195">
            <v>0</v>
          </cell>
          <cell r="D195"/>
          <cell r="E195"/>
          <cell r="F195"/>
          <cell r="G195"/>
          <cell r="H195"/>
        </row>
        <row r="196">
          <cell r="A196" t="str">
            <v xml:space="preserve">   CLEARING ACCTS.</v>
          </cell>
          <cell r="B196">
            <v>0</v>
          </cell>
          <cell r="C196">
            <v>0</v>
          </cell>
          <cell r="D196"/>
          <cell r="E196"/>
          <cell r="F196"/>
          <cell r="G196"/>
          <cell r="H196"/>
        </row>
        <row r="197">
          <cell r="A197" t="str">
            <v xml:space="preserve">   OTHER WIP</v>
          </cell>
          <cell r="B197">
            <v>55171.230769230766</v>
          </cell>
          <cell r="C197">
            <v>58754.799999999996</v>
          </cell>
          <cell r="D197"/>
          <cell r="E197"/>
          <cell r="F197"/>
          <cell r="G197"/>
          <cell r="H197"/>
        </row>
        <row r="198">
          <cell r="A198" t="str">
            <v xml:space="preserve">   CONSERVATION COST TRUE-UP (1823040)</v>
          </cell>
          <cell r="B198">
            <v>799.33076923076919</v>
          </cell>
          <cell r="C198">
            <v>1348.8</v>
          </cell>
          <cell r="D198"/>
          <cell r="E198"/>
          <cell r="F198"/>
          <cell r="G198"/>
          <cell r="H198"/>
        </row>
        <row r="199">
          <cell r="A199" t="str">
            <v xml:space="preserve">   CIBSR COST TRUE-UP (1823071)</v>
          </cell>
          <cell r="B199">
            <v>0</v>
          </cell>
          <cell r="C199">
            <v>0</v>
          </cell>
          <cell r="D199"/>
          <cell r="E199"/>
          <cell r="F199"/>
          <cell r="G199"/>
          <cell r="H199"/>
        </row>
        <row r="200">
          <cell r="A200" t="str">
            <v xml:space="preserve">   UNBUNDLING TRANSITION CHARGES</v>
          </cell>
          <cell r="B200">
            <v>0</v>
          </cell>
          <cell r="C200">
            <v>0</v>
          </cell>
          <cell r="D200"/>
          <cell r="E200"/>
          <cell r="F200"/>
          <cell r="G200"/>
          <cell r="H200"/>
        </row>
        <row r="201">
          <cell r="A201" t="str">
            <v xml:space="preserve">   UNAMORTIZED RATE CASE EXP.</v>
          </cell>
          <cell r="B201">
            <v>2653.8076923076924</v>
          </cell>
          <cell r="C201">
            <v>2165.1999999999998</v>
          </cell>
          <cell r="D201"/>
          <cell r="F201"/>
          <cell r="G201"/>
          <cell r="H201"/>
        </row>
        <row r="202">
          <cell r="A202" t="str">
            <v xml:space="preserve">   UNRECOVERED GAS COSTS</v>
          </cell>
          <cell r="B202">
            <v>0.10769230768626305</v>
          </cell>
          <cell r="C202">
            <v>0</v>
          </cell>
          <cell r="D202"/>
          <cell r="E202"/>
          <cell r="F202"/>
          <cell r="G202"/>
          <cell r="H202"/>
        </row>
        <row r="203">
          <cell r="A203" t="str">
            <v xml:space="preserve">   REGULATORY DERIVATIVE</v>
          </cell>
          <cell r="B203">
            <v>0</v>
          </cell>
          <cell r="C203">
            <v>0</v>
          </cell>
          <cell r="D203"/>
          <cell r="E203"/>
          <cell r="F203"/>
          <cell r="G203"/>
          <cell r="H203"/>
        </row>
        <row r="204">
          <cell r="A204"/>
          <cell r="B204"/>
          <cell r="C204"/>
          <cell r="D204"/>
          <cell r="F204"/>
          <cell r="G204"/>
          <cell r="H204"/>
        </row>
        <row r="205">
          <cell r="A205"/>
          <cell r="B205"/>
          <cell r="C205"/>
          <cell r="D205"/>
          <cell r="F205"/>
          <cell r="G205"/>
          <cell r="H205"/>
        </row>
        <row r="206">
          <cell r="A206" t="str">
            <v>TOTAL</v>
          </cell>
          <cell r="B206">
            <v>143114.23846153842</v>
          </cell>
          <cell r="C206">
            <v>147946.59999999998</v>
          </cell>
          <cell r="D206"/>
          <cell r="F206"/>
          <cell r="G206"/>
          <cell r="H206"/>
        </row>
        <row r="207">
          <cell r="A207"/>
          <cell r="B207"/>
          <cell r="C207"/>
          <cell r="D207"/>
          <cell r="F207" t="str">
            <v>TOTAL</v>
          </cell>
          <cell r="G207">
            <v>152215.50455314899</v>
          </cell>
          <cell r="H207">
            <v>146812.30582053255</v>
          </cell>
        </row>
        <row r="208">
          <cell r="A208"/>
          <cell r="B208"/>
          <cell r="C208"/>
          <cell r="D208"/>
          <cell r="F208"/>
          <cell r="G208"/>
          <cell r="H208"/>
        </row>
        <row r="209">
          <cell r="B209"/>
          <cell r="C209"/>
          <cell r="D209"/>
          <cell r="F209"/>
          <cell r="G209"/>
          <cell r="H209"/>
        </row>
        <row r="210">
          <cell r="A210" t="str">
            <v xml:space="preserve">     AVERAGE WORKING CAPITAL</v>
          </cell>
          <cell r="B210"/>
          <cell r="C210"/>
          <cell r="D210"/>
          <cell r="F210"/>
          <cell r="G210"/>
          <cell r="H210"/>
        </row>
        <row r="211">
          <cell r="A211"/>
          <cell r="B211"/>
          <cell r="C211"/>
          <cell r="D211"/>
          <cell r="F211"/>
          <cell r="G211"/>
          <cell r="H211"/>
        </row>
        <row r="212">
          <cell r="A212" t="str">
            <v xml:space="preserve">     YEAR-END WORKING CAPITAL</v>
          </cell>
          <cell r="B212"/>
          <cell r="C212"/>
          <cell r="D212"/>
          <cell r="F212"/>
          <cell r="G212"/>
          <cell r="H212"/>
        </row>
      </sheetData>
      <sheetData sheetId="17">
        <row r="156">
          <cell r="H156">
            <v>847120.93356210203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Kelley, Amanda M." id="{09E14D7F-6217-4399-AF16-2DFCC8601D20}" userId="S::AMKelley@tecoenergy.com::bb1a89fb-8deb-4e7d-b35b-dfed6f0282f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T24" dT="2023-04-28T19:39:35.67" personId="{09E14D7F-6217-4399-AF16-2DFCC8601D20}" id="{1C3051BA-0A33-45E3-A98C-3C2A3CAC62B3}">
    <text xml:space="preserve">Adjusted start of Interest if loan starts in June to match timing of the 2024 Rate Case. 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customProperty" Target="../customProperty3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7D492-484B-4E5D-8EC5-A20C0C189A88}">
  <dimension ref="A1:R20"/>
  <sheetViews>
    <sheetView tabSelected="1" workbookViewId="0">
      <selection activeCell="E6" sqref="E6"/>
    </sheetView>
  </sheetViews>
  <sheetFormatPr defaultRowHeight="15"/>
  <cols>
    <col min="1" max="1" width="3.7109375" customWidth="1"/>
    <col min="2" max="2" width="26.5703125" customWidth="1"/>
    <col min="3" max="3" width="12.5703125" bestFit="1" customWidth="1"/>
    <col min="4" max="5" width="10.5703125" bestFit="1" customWidth="1"/>
    <col min="6" max="6" width="3.7109375" customWidth="1"/>
    <col min="7" max="7" width="26.5703125" customWidth="1"/>
    <col min="8" max="8" width="11.7109375" bestFit="1" customWidth="1"/>
    <col min="11" max="11" width="3.7109375" customWidth="1"/>
    <col min="12" max="12" width="26.5703125" customWidth="1"/>
    <col min="13" max="13" width="12.5703125" bestFit="1" customWidth="1"/>
    <col min="15" max="15" width="10.28515625" bestFit="1" customWidth="1"/>
    <col min="18" max="18" width="9.5703125" bestFit="1" customWidth="1"/>
  </cols>
  <sheetData>
    <row r="1" spans="1:18" ht="15.75">
      <c r="A1" s="338" t="s">
        <v>78</v>
      </c>
      <c r="B1" s="338"/>
      <c r="C1" s="338"/>
      <c r="D1" s="338"/>
      <c r="F1" s="338" t="s">
        <v>79</v>
      </c>
      <c r="G1" s="338"/>
      <c r="H1" s="338"/>
      <c r="I1" s="338"/>
      <c r="K1" s="338" t="s">
        <v>80</v>
      </c>
      <c r="L1" s="338"/>
      <c r="M1" s="338"/>
      <c r="N1" s="338"/>
    </row>
    <row r="2" spans="1:18">
      <c r="A2" s="22" t="s">
        <v>58</v>
      </c>
      <c r="F2" s="339" t="s">
        <v>58</v>
      </c>
      <c r="G2" s="339"/>
      <c r="H2" s="339"/>
      <c r="I2" s="339"/>
      <c r="K2" s="22" t="s">
        <v>60</v>
      </c>
    </row>
    <row r="3" spans="1:18">
      <c r="A3" s="23"/>
      <c r="B3" s="65" t="s">
        <v>59</v>
      </c>
      <c r="C3" s="336">
        <v>2366788.4518541279</v>
      </c>
      <c r="F3" s="23"/>
      <c r="G3" s="65" t="s">
        <v>59</v>
      </c>
      <c r="H3" s="235">
        <f>Scenario!BA49</f>
        <v>2366788.4521232038</v>
      </c>
      <c r="K3" s="23"/>
      <c r="L3" s="65" t="s">
        <v>59</v>
      </c>
      <c r="M3" s="235">
        <f>C3-H3</f>
        <v>-2.6907585561275482E-4</v>
      </c>
    </row>
    <row r="4" spans="1:18">
      <c r="C4" s="288"/>
    </row>
    <row r="5" spans="1:18">
      <c r="B5" s="65" t="s">
        <v>81</v>
      </c>
      <c r="C5" s="304">
        <v>7.4151777813719497E-2</v>
      </c>
      <c r="G5" s="65" t="s">
        <v>81</v>
      </c>
      <c r="H5" s="19">
        <f>Scenario!BA74</f>
        <v>7.1089265680280234E-2</v>
      </c>
      <c r="L5" s="65" t="s">
        <v>81</v>
      </c>
      <c r="M5" s="19">
        <f>C5-H5</f>
        <v>3.062512133439263E-3</v>
      </c>
    </row>
    <row r="6" spans="1:18">
      <c r="C6" s="288"/>
    </row>
    <row r="7" spans="1:18">
      <c r="B7" t="s">
        <v>82</v>
      </c>
      <c r="C7" s="301">
        <f>ROUND(+C3*C5,0)</f>
        <v>175502</v>
      </c>
      <c r="G7" t="s">
        <v>82</v>
      </c>
      <c r="H7" s="3">
        <f>ROUND(+H3*H5,0)</f>
        <v>168253</v>
      </c>
      <c r="L7" t="s">
        <v>82</v>
      </c>
      <c r="M7" s="3">
        <f>C7-H7</f>
        <v>7249</v>
      </c>
      <c r="O7" s="3"/>
    </row>
    <row r="8" spans="1:18">
      <c r="C8" s="288"/>
    </row>
    <row r="9" spans="1:18">
      <c r="B9" t="s">
        <v>83</v>
      </c>
      <c r="C9" s="64">
        <v>72337.24043783301</v>
      </c>
      <c r="G9" t="s">
        <v>83</v>
      </c>
      <c r="H9" s="64">
        <f>C9-'IncomeStmt Scenario'!T18/1000</f>
        <v>70538.829124105221</v>
      </c>
      <c r="L9" t="s">
        <v>83</v>
      </c>
      <c r="M9" s="64">
        <f>C9-H9</f>
        <v>1798.4113137277891</v>
      </c>
    </row>
    <row r="10" spans="1:18">
      <c r="C10" s="288"/>
    </row>
    <row r="11" spans="1:18">
      <c r="B11" t="s">
        <v>84</v>
      </c>
      <c r="C11" s="234">
        <f>C7-C9</f>
        <v>103164.75956216699</v>
      </c>
      <c r="G11" t="s">
        <v>84</v>
      </c>
      <c r="H11" s="234">
        <f>H7-H9</f>
        <v>97714.170875894779</v>
      </c>
      <c r="L11" t="s">
        <v>84</v>
      </c>
      <c r="M11" s="21">
        <f>C11-H11</f>
        <v>5450.5886862722109</v>
      </c>
      <c r="R11" s="241"/>
    </row>
    <row r="12" spans="1:18">
      <c r="C12" s="288"/>
    </row>
    <row r="13" spans="1:18">
      <c r="B13" t="s">
        <v>85</v>
      </c>
      <c r="C13" s="337">
        <v>1.35</v>
      </c>
      <c r="G13" t="s">
        <v>85</v>
      </c>
      <c r="H13" s="27">
        <f>C13</f>
        <v>1.35</v>
      </c>
      <c r="L13" t="s">
        <v>85</v>
      </c>
      <c r="M13" s="285">
        <f>C13</f>
        <v>1.35</v>
      </c>
    </row>
    <row r="15" spans="1:18" ht="15.75" thickBot="1">
      <c r="B15" t="s">
        <v>86</v>
      </c>
      <c r="C15" s="63">
        <f>ROUND(+C11*C13,0)</f>
        <v>139272</v>
      </c>
      <c r="G15" t="s">
        <v>86</v>
      </c>
      <c r="H15" s="63">
        <f>ROUND(+H11*H13,0)</f>
        <v>131914</v>
      </c>
      <c r="L15" t="s">
        <v>86</v>
      </c>
      <c r="M15" s="63">
        <f>C15-H15</f>
        <v>7358</v>
      </c>
      <c r="N15" s="14"/>
    </row>
    <row r="16" spans="1:18" ht="15.75" thickTop="1"/>
    <row r="20" spans="2:2">
      <c r="B20" t="s">
        <v>179</v>
      </c>
    </row>
  </sheetData>
  <mergeCells count="4">
    <mergeCell ref="F1:I1"/>
    <mergeCell ref="F2:I2"/>
    <mergeCell ref="A1:D1"/>
    <mergeCell ref="K1:N1"/>
  </mergeCells>
  <pageMargins left="0.7" right="0.7" top="0.75" bottom="0.75" header="0.3" footer="0.3"/>
  <customProperties>
    <customPr name="EpmWorksheetKeyString_GUID" r:id="rId1"/>
    <customPr name="FPMExcelClientCellBasedFunctionStatus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050FF-20A8-4892-983A-7D2B28704D42}">
  <sheetPr>
    <tabColor theme="4" tint="-0.249977111117893"/>
  </sheetPr>
  <dimension ref="A1:BH84"/>
  <sheetViews>
    <sheetView zoomScale="115" zoomScaleNormal="115" workbookViewId="0">
      <pane xSplit="2" ySplit="2" topLeftCell="AS3" activePane="bottomRight" state="frozen"/>
      <selection pane="topRight" activeCell="C1" sqref="C1"/>
      <selection pane="bottomLeft" activeCell="A3" sqref="A3"/>
      <selection pane="bottomRight" activeCell="AZ9" sqref="AB4:AZ9"/>
    </sheetView>
  </sheetViews>
  <sheetFormatPr defaultRowHeight="15" outlineLevelCol="1"/>
  <cols>
    <col min="1" max="1" width="31.28515625" customWidth="1"/>
    <col min="2" max="2" width="6.42578125" customWidth="1"/>
    <col min="3" max="3" width="9" hidden="1" customWidth="1" outlineLevel="1"/>
    <col min="4" max="15" width="11.85546875" hidden="1" customWidth="1" outlineLevel="1"/>
    <col min="16" max="16" width="11.7109375" style="9" hidden="1" customWidth="1" outlineLevel="1"/>
    <col min="17" max="25" width="11.7109375" hidden="1" customWidth="1" outlineLevel="1"/>
    <col min="26" max="26" width="12.5703125" hidden="1" customWidth="1" outlineLevel="1"/>
    <col min="27" max="27" width="12.5703125" bestFit="1" customWidth="1" collapsed="1"/>
    <col min="28" max="32" width="12.5703125" bestFit="1" customWidth="1"/>
    <col min="33" max="33" width="14.28515625" bestFit="1" customWidth="1"/>
    <col min="34" max="36" width="12.5703125" bestFit="1" customWidth="1"/>
    <col min="37" max="37" width="12.85546875" bestFit="1" customWidth="1"/>
    <col min="38" max="38" width="12.5703125" bestFit="1" customWidth="1"/>
    <col min="39" max="39" width="13.28515625" bestFit="1" customWidth="1"/>
    <col min="40" max="40" width="13.42578125" bestFit="1" customWidth="1"/>
    <col min="41" max="41" width="16" style="78" bestFit="1" customWidth="1"/>
    <col min="42" max="52" width="13.28515625" bestFit="1" customWidth="1"/>
    <col min="53" max="53" width="14.5703125" bestFit="1" customWidth="1"/>
    <col min="54" max="54" width="2.140625" customWidth="1"/>
    <col min="55" max="55" width="1.42578125" customWidth="1"/>
    <col min="56" max="56" width="0.42578125" customWidth="1"/>
    <col min="57" max="57" width="23.28515625" bestFit="1" customWidth="1"/>
    <col min="58" max="58" width="11" bestFit="1" customWidth="1"/>
  </cols>
  <sheetData>
    <row r="1" spans="1:57" s="1" customFormat="1">
      <c r="C1" s="1" t="s">
        <v>52</v>
      </c>
      <c r="D1" s="1" t="s">
        <v>52</v>
      </c>
      <c r="E1" s="1" t="s">
        <v>52</v>
      </c>
      <c r="F1" s="1" t="s">
        <v>52</v>
      </c>
      <c r="G1" s="1" t="s">
        <v>52</v>
      </c>
      <c r="H1" s="1" t="s">
        <v>52</v>
      </c>
      <c r="I1" s="1" t="s">
        <v>52</v>
      </c>
      <c r="J1" s="1" t="s">
        <v>52</v>
      </c>
      <c r="K1" s="1" t="s">
        <v>52</v>
      </c>
      <c r="L1" s="1" t="s">
        <v>52</v>
      </c>
      <c r="M1" s="1" t="s">
        <v>52</v>
      </c>
      <c r="N1" s="1" t="s">
        <v>52</v>
      </c>
      <c r="O1" s="1" t="s">
        <v>52</v>
      </c>
      <c r="P1" s="7" t="s">
        <v>52</v>
      </c>
      <c r="Q1" s="1" t="s">
        <v>52</v>
      </c>
      <c r="R1" s="1" t="s">
        <v>52</v>
      </c>
      <c r="S1" s="1" t="s">
        <v>52</v>
      </c>
      <c r="T1" s="1" t="s">
        <v>52</v>
      </c>
      <c r="U1" s="1" t="s">
        <v>52</v>
      </c>
      <c r="V1" s="1" t="s">
        <v>52</v>
      </c>
      <c r="W1" s="1" t="s">
        <v>52</v>
      </c>
      <c r="X1" s="1" t="s">
        <v>52</v>
      </c>
      <c r="Y1" s="1" t="s">
        <v>52</v>
      </c>
      <c r="Z1" s="1" t="s">
        <v>52</v>
      </c>
      <c r="AA1" s="1" t="s">
        <v>52</v>
      </c>
      <c r="AB1" s="1" t="s">
        <v>0</v>
      </c>
      <c r="AC1" s="1" t="s">
        <v>0</v>
      </c>
      <c r="AD1" s="1" t="s">
        <v>0</v>
      </c>
      <c r="AE1" s="1" t="s">
        <v>0</v>
      </c>
      <c r="AF1" s="1" t="s">
        <v>0</v>
      </c>
      <c r="AG1" s="1" t="s">
        <v>0</v>
      </c>
      <c r="AH1" s="1" t="s">
        <v>0</v>
      </c>
      <c r="AI1" s="1" t="s">
        <v>0</v>
      </c>
      <c r="AJ1" s="1" t="s">
        <v>0</v>
      </c>
      <c r="AK1" s="1" t="s">
        <v>0</v>
      </c>
      <c r="AL1" s="1" t="s">
        <v>0</v>
      </c>
      <c r="AM1" s="1" t="s">
        <v>0</v>
      </c>
      <c r="AN1" s="1" t="s">
        <v>63</v>
      </c>
      <c r="AO1" s="76" t="s">
        <v>0</v>
      </c>
      <c r="AP1" s="1" t="s">
        <v>0</v>
      </c>
      <c r="AQ1" s="1" t="s">
        <v>0</v>
      </c>
      <c r="AR1" s="1" t="s">
        <v>0</v>
      </c>
      <c r="AS1" s="1" t="s">
        <v>0</v>
      </c>
      <c r="AT1" s="1" t="s">
        <v>0</v>
      </c>
      <c r="AU1" s="1" t="s">
        <v>0</v>
      </c>
      <c r="AV1" s="1" t="s">
        <v>0</v>
      </c>
      <c r="AW1" s="1" t="s">
        <v>0</v>
      </c>
      <c r="AX1" s="1" t="s">
        <v>0</v>
      </c>
      <c r="AY1" s="1" t="s">
        <v>0</v>
      </c>
      <c r="AZ1" s="1" t="s">
        <v>0</v>
      </c>
      <c r="BA1" s="1" t="s">
        <v>63</v>
      </c>
    </row>
    <row r="2" spans="1:57" s="1" customFormat="1">
      <c r="C2" s="2" t="s">
        <v>55</v>
      </c>
      <c r="D2" s="2" t="s">
        <v>37</v>
      </c>
      <c r="E2" s="2" t="s">
        <v>38</v>
      </c>
      <c r="F2" s="2" t="s">
        <v>39</v>
      </c>
      <c r="G2" s="2" t="s">
        <v>40</v>
      </c>
      <c r="H2" s="2" t="s">
        <v>41</v>
      </c>
      <c r="I2" s="2" t="s">
        <v>42</v>
      </c>
      <c r="J2" s="2" t="s">
        <v>43</v>
      </c>
      <c r="K2" s="2" t="s">
        <v>44</v>
      </c>
      <c r="L2" s="2" t="s">
        <v>45</v>
      </c>
      <c r="M2" s="2" t="s">
        <v>46</v>
      </c>
      <c r="N2" s="2" t="s">
        <v>47</v>
      </c>
      <c r="O2" s="2" t="s">
        <v>48</v>
      </c>
      <c r="P2" s="8" t="s">
        <v>13</v>
      </c>
      <c r="Q2" s="1" t="s">
        <v>14</v>
      </c>
      <c r="R2" s="1" t="s">
        <v>15</v>
      </c>
      <c r="S2" s="1" t="s">
        <v>16</v>
      </c>
      <c r="T2" s="1" t="s">
        <v>17</v>
      </c>
      <c r="U2" s="1" t="s">
        <v>18</v>
      </c>
      <c r="V2" s="1" t="s">
        <v>19</v>
      </c>
      <c r="W2" s="1" t="s">
        <v>20</v>
      </c>
      <c r="X2" s="1" t="s">
        <v>21</v>
      </c>
      <c r="Y2" s="1" t="s">
        <v>22</v>
      </c>
      <c r="Z2" s="1" t="s">
        <v>23</v>
      </c>
      <c r="AA2" s="1" t="s">
        <v>24</v>
      </c>
      <c r="AB2" s="1" t="s">
        <v>1</v>
      </c>
      <c r="AC2" s="1" t="s">
        <v>2</v>
      </c>
      <c r="AD2" s="1" t="s">
        <v>3</v>
      </c>
      <c r="AE2" s="1" t="s">
        <v>4</v>
      </c>
      <c r="AF2" s="1" t="s">
        <v>5</v>
      </c>
      <c r="AG2" s="1" t="s">
        <v>6</v>
      </c>
      <c r="AH2" s="1" t="s">
        <v>7</v>
      </c>
      <c r="AI2" s="1" t="s">
        <v>8</v>
      </c>
      <c r="AJ2" s="1" t="s">
        <v>9</v>
      </c>
      <c r="AK2" s="1" t="s">
        <v>10</v>
      </c>
      <c r="AL2" s="1" t="s">
        <v>11</v>
      </c>
      <c r="AM2" s="1" t="s">
        <v>12</v>
      </c>
      <c r="AN2" s="1" t="s">
        <v>64</v>
      </c>
      <c r="AO2" s="77" t="s">
        <v>25</v>
      </c>
      <c r="AP2" s="2" t="s">
        <v>26</v>
      </c>
      <c r="AQ2" s="2" t="s">
        <v>27</v>
      </c>
      <c r="AR2" s="2" t="s">
        <v>28</v>
      </c>
      <c r="AS2" s="2" t="s">
        <v>29</v>
      </c>
      <c r="AT2" s="2" t="s">
        <v>30</v>
      </c>
      <c r="AU2" s="2" t="s">
        <v>31</v>
      </c>
      <c r="AV2" s="2" t="s">
        <v>32</v>
      </c>
      <c r="AW2" s="2" t="s">
        <v>33</v>
      </c>
      <c r="AX2" s="2" t="s">
        <v>34</v>
      </c>
      <c r="AY2" s="2" t="s">
        <v>35</v>
      </c>
      <c r="AZ2" s="2" t="s">
        <v>36</v>
      </c>
      <c r="BA2" s="1" t="s">
        <v>64</v>
      </c>
    </row>
    <row r="3" spans="1:57">
      <c r="AK3" s="14"/>
    </row>
    <row r="4" spans="1:57">
      <c r="A4" t="s">
        <v>49</v>
      </c>
      <c r="C4" s="20"/>
      <c r="D4" s="3">
        <v>673494.60000000009</v>
      </c>
      <c r="E4" s="3">
        <v>708850</v>
      </c>
      <c r="F4" s="3">
        <v>716542.8</v>
      </c>
      <c r="G4" s="3">
        <v>697142.80000000016</v>
      </c>
      <c r="H4" s="3">
        <v>722668.20000000019</v>
      </c>
      <c r="I4" s="3">
        <v>728112.90000000014</v>
      </c>
      <c r="J4" s="3">
        <v>732549.50000000012</v>
      </c>
      <c r="K4" s="3">
        <v>753659.40000000014</v>
      </c>
      <c r="L4" s="3">
        <v>759217.3</v>
      </c>
      <c r="M4" s="3">
        <v>764325.00000000012</v>
      </c>
      <c r="N4" s="3">
        <v>780369.8</v>
      </c>
      <c r="O4" s="3">
        <v>786234.60000000009</v>
      </c>
      <c r="P4" s="10">
        <v>796024.5</v>
      </c>
      <c r="Q4" s="3">
        <v>863105.90000000014</v>
      </c>
      <c r="R4" s="3">
        <v>874014.50000000012</v>
      </c>
      <c r="S4" s="3">
        <v>851182.70000000019</v>
      </c>
      <c r="T4" s="3">
        <v>887440.10000000009</v>
      </c>
      <c r="U4" s="3">
        <v>894100.60000000009</v>
      </c>
      <c r="V4" s="3">
        <v>898498.00000000012</v>
      </c>
      <c r="W4" s="3">
        <v>923439.10000000009</v>
      </c>
      <c r="X4" s="3">
        <v>930711.10000000009</v>
      </c>
      <c r="Y4" s="3">
        <v>919289.9</v>
      </c>
      <c r="Z4" s="30">
        <v>950225</v>
      </c>
      <c r="AA4" s="30">
        <v>991334.23845000006</v>
      </c>
      <c r="AB4" s="55">
        <v>1001178.6000000001</v>
      </c>
      <c r="AC4" s="55">
        <v>1015494.8000000002</v>
      </c>
      <c r="AD4" s="55">
        <v>1026295.2000000001</v>
      </c>
      <c r="AE4" s="55">
        <v>1033299.3</v>
      </c>
      <c r="AF4" s="55">
        <v>1034579.4000000001</v>
      </c>
      <c r="AG4" s="55">
        <v>1041457.3000000002</v>
      </c>
      <c r="AH4" s="55">
        <v>1045880.3000000002</v>
      </c>
      <c r="AI4" s="55">
        <v>1060904.6000000001</v>
      </c>
      <c r="AJ4" s="55">
        <v>1067166.9000000001</v>
      </c>
      <c r="AK4" s="55">
        <v>1070360.491691543</v>
      </c>
      <c r="AL4" s="55">
        <v>1118759.3281333565</v>
      </c>
      <c r="AM4" s="55">
        <v>1131344.2504286449</v>
      </c>
      <c r="AN4" s="55">
        <f>AVERAGE(AA4:AM4)</f>
        <v>1049081.1314387342</v>
      </c>
      <c r="AO4" s="87">
        <v>1136822.2200582824</v>
      </c>
      <c r="AP4" s="55">
        <v>1160078.2488628456</v>
      </c>
      <c r="AQ4" s="55">
        <v>1163517.8457402145</v>
      </c>
      <c r="AR4" s="55">
        <v>1166377.543891673</v>
      </c>
      <c r="AS4" s="55">
        <v>1188993.4067053772</v>
      </c>
      <c r="AT4" s="55">
        <v>1189406.7854399902</v>
      </c>
      <c r="AU4" s="55">
        <v>1189785.9540922099</v>
      </c>
      <c r="AV4" s="55">
        <v>1215651.1537748084</v>
      </c>
      <c r="AW4" s="55">
        <v>1215985.1551906161</v>
      </c>
      <c r="AX4" s="55">
        <v>1216617.1102458611</v>
      </c>
      <c r="AY4" s="55">
        <v>1252437.5507855485</v>
      </c>
      <c r="AZ4" s="55">
        <v>1256101.5729289269</v>
      </c>
      <c r="BA4" s="17">
        <f>AVERAGE(AO4:AZ4,AM4)</f>
        <v>1191009.1383188462</v>
      </c>
      <c r="BB4" s="17"/>
      <c r="BC4" s="3"/>
      <c r="BD4" s="3"/>
      <c r="BE4" s="14"/>
    </row>
    <row r="5" spans="1:57">
      <c r="A5" t="s">
        <v>50</v>
      </c>
      <c r="C5" s="3">
        <v>335661.13394999999</v>
      </c>
      <c r="D5" s="3">
        <v>335665.10000000003</v>
      </c>
      <c r="E5" s="3">
        <v>335669.10000000003</v>
      </c>
      <c r="F5" s="3">
        <v>565045.6</v>
      </c>
      <c r="G5" s="3">
        <v>565053.29999999993</v>
      </c>
      <c r="H5" s="3">
        <v>518296.4</v>
      </c>
      <c r="I5" s="3">
        <v>518304.2</v>
      </c>
      <c r="J5" s="3">
        <v>518312.1</v>
      </c>
      <c r="K5" s="3">
        <v>518319.9</v>
      </c>
      <c r="L5" s="3">
        <v>518327.7</v>
      </c>
      <c r="M5" s="3">
        <v>518335.6</v>
      </c>
      <c r="N5" s="3">
        <v>518343.4</v>
      </c>
      <c r="O5" s="3">
        <v>518351.2</v>
      </c>
      <c r="P5" s="10">
        <v>518359.1</v>
      </c>
      <c r="Q5" s="3">
        <v>518366.9</v>
      </c>
      <c r="R5" s="3">
        <v>518374.7</v>
      </c>
      <c r="S5" s="3">
        <v>518382.5</v>
      </c>
      <c r="T5" s="3">
        <v>518390.4</v>
      </c>
      <c r="U5" s="3">
        <v>518398.2</v>
      </c>
      <c r="V5" s="3">
        <v>593346</v>
      </c>
      <c r="W5" s="3">
        <v>593354.5</v>
      </c>
      <c r="X5" s="3">
        <v>568363.1</v>
      </c>
      <c r="Y5" s="3">
        <v>568371.4</v>
      </c>
      <c r="Z5" s="14">
        <v>568379.69999999995</v>
      </c>
      <c r="AA5" s="14">
        <f>+AA17</f>
        <v>568387.96913999994</v>
      </c>
      <c r="AB5" s="319">
        <f t="shared" ref="AB5:AM5" si="0">+AB17</f>
        <v>568395.96913999994</v>
      </c>
      <c r="AC5" s="319">
        <f t="shared" si="0"/>
        <v>568403.96913999994</v>
      </c>
      <c r="AD5" s="319">
        <f t="shared" si="0"/>
        <v>568411.96913999994</v>
      </c>
      <c r="AE5" s="319">
        <f t="shared" si="0"/>
        <v>568419.96913999994</v>
      </c>
      <c r="AF5" s="319">
        <f t="shared" si="0"/>
        <v>568427.96913999994</v>
      </c>
      <c r="AG5" s="319">
        <f t="shared" si="0"/>
        <v>568435.96913999994</v>
      </c>
      <c r="AH5" s="319">
        <f t="shared" si="0"/>
        <v>568443.96913999994</v>
      </c>
      <c r="AI5" s="319">
        <f t="shared" si="0"/>
        <v>568451.96913999994</v>
      </c>
      <c r="AJ5" s="319">
        <f t="shared" si="0"/>
        <v>568459.96913999994</v>
      </c>
      <c r="AK5" s="319">
        <f t="shared" si="0"/>
        <v>824999.96913999994</v>
      </c>
      <c r="AL5" s="319">
        <f t="shared" si="0"/>
        <v>824999.96913999994</v>
      </c>
      <c r="AM5" s="319">
        <f t="shared" si="0"/>
        <v>824999.96913999994</v>
      </c>
      <c r="AN5" s="55">
        <f t="shared" ref="AN5:AN9" si="1">AVERAGE(AA5:AM5)</f>
        <v>627633.81529384595</v>
      </c>
      <c r="AO5" s="322">
        <f>+AO17</f>
        <v>824999.96913999994</v>
      </c>
      <c r="AP5" s="319">
        <f>+AP17</f>
        <v>824999.96913999994</v>
      </c>
      <c r="AQ5" s="319">
        <f t="shared" ref="AQ5:AZ5" si="2">+AQ17</f>
        <v>824999.96913999994</v>
      </c>
      <c r="AR5" s="319">
        <f t="shared" si="2"/>
        <v>824999.96913999994</v>
      </c>
      <c r="AS5" s="319">
        <f t="shared" si="2"/>
        <v>824999.96913999994</v>
      </c>
      <c r="AT5" s="319">
        <f t="shared" si="2"/>
        <v>924999.96913999994</v>
      </c>
      <c r="AU5" s="319">
        <f t="shared" si="2"/>
        <v>924999.96913999994</v>
      </c>
      <c r="AV5" s="319">
        <f t="shared" si="2"/>
        <v>924999.96913999994</v>
      </c>
      <c r="AW5" s="319">
        <f t="shared" si="2"/>
        <v>924999.96913999994</v>
      </c>
      <c r="AX5" s="319">
        <f t="shared" si="2"/>
        <v>924999.96913999994</v>
      </c>
      <c r="AY5" s="319">
        <f t="shared" si="2"/>
        <v>924999.96913999994</v>
      </c>
      <c r="AZ5" s="319">
        <f t="shared" si="2"/>
        <v>924999.96913999994</v>
      </c>
      <c r="BA5" s="17">
        <f>AVERAGE(AO5:AZ5,AM5)</f>
        <v>878846.12298615393</v>
      </c>
      <c r="BB5" s="17"/>
      <c r="BC5" s="3"/>
      <c r="BD5" s="3"/>
      <c r="BE5" s="14"/>
    </row>
    <row r="6" spans="1:57" ht="15.75" customHeight="1">
      <c r="A6" t="s">
        <v>51</v>
      </c>
      <c r="C6" s="21">
        <v>214352.13493999999</v>
      </c>
      <c r="D6" s="21">
        <v>236511.4</v>
      </c>
      <c r="E6" s="21">
        <v>221147.7</v>
      </c>
      <c r="F6" s="21">
        <v>14181.1</v>
      </c>
      <c r="G6" s="21">
        <v>17122.400000000001</v>
      </c>
      <c r="H6" s="21">
        <v>87741.5</v>
      </c>
      <c r="I6" s="21">
        <v>99244.3</v>
      </c>
      <c r="J6" s="21">
        <v>111939.3</v>
      </c>
      <c r="K6" s="21">
        <v>101333.5</v>
      </c>
      <c r="L6" s="21">
        <v>115219</v>
      </c>
      <c r="M6" s="21">
        <v>136200.9</v>
      </c>
      <c r="N6" s="21">
        <v>144763.5</v>
      </c>
      <c r="O6" s="21">
        <v>189522.1</v>
      </c>
      <c r="P6" s="10">
        <v>210398.8</v>
      </c>
      <c r="Q6" s="21">
        <v>158200.1</v>
      </c>
      <c r="R6" s="21">
        <v>166329.5</v>
      </c>
      <c r="S6" s="21">
        <v>174484</v>
      </c>
      <c r="T6" s="21">
        <v>177717.8</v>
      </c>
      <c r="U6" s="21">
        <v>198344.9</v>
      </c>
      <c r="V6" s="21">
        <v>136571.20000000001</v>
      </c>
      <c r="W6" s="21">
        <v>124775.7</v>
      </c>
      <c r="X6" s="21">
        <v>156383.70000000001</v>
      </c>
      <c r="Y6" s="21">
        <v>159112.9</v>
      </c>
      <c r="Z6" s="30">
        <v>161937.4</v>
      </c>
      <c r="AA6" s="55">
        <f>AA27</f>
        <v>166097.15009999997</v>
      </c>
      <c r="AB6" s="55">
        <f t="shared" ref="AB6:AM6" si="3">AB27</f>
        <v>200760.12118052703</v>
      </c>
      <c r="AC6" s="55">
        <f t="shared" si="3"/>
        <v>249611.30169351317</v>
      </c>
      <c r="AD6" s="55">
        <f t="shared" si="3"/>
        <v>267160.4853479017</v>
      </c>
      <c r="AE6" s="55">
        <f t="shared" si="3"/>
        <v>288943.20600232389</v>
      </c>
      <c r="AF6" s="55">
        <f t="shared" si="3"/>
        <v>294595.72464084509</v>
      </c>
      <c r="AG6" s="55">
        <f t="shared" si="3"/>
        <v>312955.13522041368</v>
      </c>
      <c r="AH6" s="55">
        <f t="shared" si="3"/>
        <v>332059.66013961285</v>
      </c>
      <c r="AI6" s="55">
        <f t="shared" si="3"/>
        <v>328865.65297220205</v>
      </c>
      <c r="AJ6" s="55">
        <f t="shared" si="3"/>
        <v>338687.53725913074</v>
      </c>
      <c r="AK6" s="55">
        <f t="shared" si="3"/>
        <v>112693.73916845699</v>
      </c>
      <c r="AL6" s="55">
        <f t="shared" si="3"/>
        <v>91589.802726643509</v>
      </c>
      <c r="AM6" s="55">
        <f t="shared" si="3"/>
        <v>107765.5804313554</v>
      </c>
      <c r="AN6" s="55">
        <f t="shared" si="1"/>
        <v>237829.62283714817</v>
      </c>
      <c r="AO6" s="87">
        <f>AO27</f>
        <v>113573.89219633059</v>
      </c>
      <c r="AP6" s="55">
        <f t="shared" ref="AP6:AZ6" si="4">AP27</f>
        <v>108081.6911519384</v>
      </c>
      <c r="AQ6" s="55">
        <f t="shared" si="4"/>
        <v>118845.58901136951</v>
      </c>
      <c r="AR6" s="55">
        <f t="shared" si="4"/>
        <v>145010.33242472843</v>
      </c>
      <c r="AS6" s="55">
        <f t="shared" si="4"/>
        <v>137421.30846443586</v>
      </c>
      <c r="AT6" s="55">
        <f t="shared" si="4"/>
        <v>59815.092007584753</v>
      </c>
      <c r="AU6" s="55">
        <f t="shared" si="4"/>
        <v>79909.196557083749</v>
      </c>
      <c r="AV6" s="55">
        <f t="shared" si="4"/>
        <v>67611.738280851976</v>
      </c>
      <c r="AW6" s="55">
        <f t="shared" si="4"/>
        <v>77202.510427692207</v>
      </c>
      <c r="AX6" s="55">
        <f t="shared" si="4"/>
        <v>115175.23176690796</v>
      </c>
      <c r="AY6" s="55">
        <f t="shared" si="4"/>
        <v>114279.5290132449</v>
      </c>
      <c r="AZ6" s="55">
        <f t="shared" si="4"/>
        <v>133569.85211054003</v>
      </c>
      <c r="BA6" s="17">
        <f t="shared" ref="BA6:BA9" si="5">AVERAGE(AO6:AZ6,AM6)</f>
        <v>106020.11875723567</v>
      </c>
      <c r="BB6" s="17"/>
      <c r="BC6" s="3"/>
      <c r="BD6" s="3"/>
      <c r="BE6" s="14"/>
    </row>
    <row r="7" spans="1:57" ht="15.75" customHeight="1">
      <c r="A7" t="s">
        <v>54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10"/>
      <c r="Q7" s="21"/>
      <c r="R7" s="21"/>
      <c r="S7" s="21"/>
      <c r="T7" s="21"/>
      <c r="U7" s="21"/>
      <c r="V7" s="21"/>
      <c r="W7" s="21"/>
      <c r="X7" s="21"/>
      <c r="Y7" s="21"/>
      <c r="Z7" s="30"/>
      <c r="AA7" s="30">
        <v>29952.665430000001</v>
      </c>
      <c r="AB7" s="55">
        <v>28739.1</v>
      </c>
      <c r="AC7" s="55">
        <v>28762.500199999999</v>
      </c>
      <c r="AD7" s="55">
        <v>28785.9</v>
      </c>
      <c r="AE7" s="55">
        <v>28809.4002</v>
      </c>
      <c r="AF7" s="55">
        <v>28832.799999999999</v>
      </c>
      <c r="AG7" s="55">
        <v>28856.3</v>
      </c>
      <c r="AH7" s="55">
        <v>28879.800299999999</v>
      </c>
      <c r="AI7" s="55">
        <v>28903.300299999999</v>
      </c>
      <c r="AJ7" s="55">
        <v>28926.900300000001</v>
      </c>
      <c r="AK7" s="55">
        <v>28950.5003</v>
      </c>
      <c r="AL7" s="55">
        <v>28974.100300000002</v>
      </c>
      <c r="AM7" s="55">
        <v>28997.7003</v>
      </c>
      <c r="AN7" s="55">
        <f t="shared" si="1"/>
        <v>28951.612894615388</v>
      </c>
      <c r="AO7" s="87">
        <v>28772.5</v>
      </c>
      <c r="AP7" s="55">
        <v>28795.3</v>
      </c>
      <c r="AQ7" s="55">
        <v>28818</v>
      </c>
      <c r="AR7" s="55">
        <v>28836.400000000001</v>
      </c>
      <c r="AS7" s="55">
        <v>28854.7</v>
      </c>
      <c r="AT7" s="55">
        <v>28873.1</v>
      </c>
      <c r="AU7" s="55">
        <v>28891</v>
      </c>
      <c r="AV7" s="55">
        <v>28908.899999999998</v>
      </c>
      <c r="AW7" s="55">
        <v>28926.9</v>
      </c>
      <c r="AX7" s="55">
        <v>28950.5</v>
      </c>
      <c r="AY7" s="55">
        <v>28974.1</v>
      </c>
      <c r="AZ7" s="55">
        <v>28997.7</v>
      </c>
      <c r="BA7" s="17">
        <f t="shared" si="5"/>
        <v>28892.061561538467</v>
      </c>
      <c r="BB7" s="17"/>
      <c r="BC7" s="3"/>
      <c r="BD7" s="3"/>
      <c r="BE7" s="14"/>
    </row>
    <row r="8" spans="1:57" ht="15.75" customHeight="1">
      <c r="A8" t="s">
        <v>62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>
        <v>263381.33253000001</v>
      </c>
      <c r="AB8" s="55">
        <v>263137.50000000006</v>
      </c>
      <c r="AC8" s="55">
        <v>265052.89999999997</v>
      </c>
      <c r="AD8" s="55">
        <v>268939</v>
      </c>
      <c r="AE8" s="55">
        <v>270890.99999999994</v>
      </c>
      <c r="AF8" s="55">
        <v>273061</v>
      </c>
      <c r="AG8" s="55">
        <v>275218.7</v>
      </c>
      <c r="AH8" s="55">
        <v>277465.3003</v>
      </c>
      <c r="AI8" s="55">
        <v>279788.7</v>
      </c>
      <c r="AJ8" s="55">
        <v>282175.80029999994</v>
      </c>
      <c r="AK8" s="55">
        <v>284586.50000000006</v>
      </c>
      <c r="AL8" s="55">
        <v>286769</v>
      </c>
      <c r="AM8" s="55">
        <v>289117.19999999995</v>
      </c>
      <c r="AN8" s="55">
        <f t="shared" si="1"/>
        <v>275352.61024076922</v>
      </c>
      <c r="AO8" s="87">
        <v>290995.99999999994</v>
      </c>
      <c r="AP8" s="55">
        <v>292482.59999999998</v>
      </c>
      <c r="AQ8" s="55">
        <v>295758.60000000003</v>
      </c>
      <c r="AR8" s="55">
        <v>297424.69999999995</v>
      </c>
      <c r="AS8" s="55">
        <v>299222.2</v>
      </c>
      <c r="AT8" s="55">
        <v>301196.39999999997</v>
      </c>
      <c r="AU8" s="55">
        <v>303067.2</v>
      </c>
      <c r="AV8" s="55">
        <v>304999.49999999994</v>
      </c>
      <c r="AW8" s="55">
        <v>307339.39999999997</v>
      </c>
      <c r="AX8" s="55">
        <v>309378.59999999998</v>
      </c>
      <c r="AY8" s="55">
        <v>311250.19999999995</v>
      </c>
      <c r="AZ8" s="55">
        <v>313204.09999999998</v>
      </c>
      <c r="BA8" s="17">
        <f t="shared" si="5"/>
        <v>301187.4384615384</v>
      </c>
      <c r="BB8" s="17"/>
      <c r="BC8" s="3"/>
      <c r="BD8" s="3"/>
      <c r="BE8" s="14"/>
    </row>
    <row r="9" spans="1:57" ht="15.75" customHeight="1">
      <c r="A9" t="s">
        <v>56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11"/>
      <c r="Q9" s="49"/>
      <c r="R9" s="49"/>
      <c r="S9" s="49"/>
      <c r="T9" s="49"/>
      <c r="U9" s="49"/>
      <c r="V9" s="49"/>
      <c r="W9" s="49"/>
      <c r="X9" s="49"/>
      <c r="Y9" s="49"/>
      <c r="Z9" s="31"/>
      <c r="AA9" s="31">
        <v>0</v>
      </c>
      <c r="AB9" s="296">
        <v>3313.3</v>
      </c>
      <c r="AC9" s="296">
        <v>3313.3</v>
      </c>
      <c r="AD9" s="296">
        <v>3313.3</v>
      </c>
      <c r="AE9" s="296">
        <v>3313.3</v>
      </c>
      <c r="AF9" s="296">
        <v>3313.3</v>
      </c>
      <c r="AG9" s="296">
        <v>3313.3</v>
      </c>
      <c r="AH9" s="296">
        <v>3313.3</v>
      </c>
      <c r="AI9" s="296">
        <v>3313.3</v>
      </c>
      <c r="AJ9" s="296">
        <v>3313.3</v>
      </c>
      <c r="AK9" s="296">
        <v>3313.3</v>
      </c>
      <c r="AL9" s="296">
        <v>3313.3</v>
      </c>
      <c r="AM9" s="296">
        <v>3313.3</v>
      </c>
      <c r="AN9" s="296">
        <f t="shared" si="1"/>
        <v>3058.4307692307698</v>
      </c>
      <c r="AO9" s="325">
        <v>3313.3</v>
      </c>
      <c r="AP9" s="296">
        <v>3313.3</v>
      </c>
      <c r="AQ9" s="296">
        <v>3313.3</v>
      </c>
      <c r="AR9" s="296">
        <v>3313.3</v>
      </c>
      <c r="AS9" s="296">
        <v>3313.3</v>
      </c>
      <c r="AT9" s="296">
        <v>3313.3</v>
      </c>
      <c r="AU9" s="296">
        <v>3313.3</v>
      </c>
      <c r="AV9" s="296">
        <v>3313.3</v>
      </c>
      <c r="AW9" s="296">
        <v>3313.3</v>
      </c>
      <c r="AX9" s="296">
        <v>3313.3</v>
      </c>
      <c r="AY9" s="296">
        <v>3313.3</v>
      </c>
      <c r="AZ9" s="296">
        <v>3313.3</v>
      </c>
      <c r="BA9" s="24">
        <f t="shared" si="5"/>
        <v>3313.3000000000006</v>
      </c>
      <c r="BB9" s="17"/>
      <c r="BC9" s="21"/>
      <c r="BD9" s="3"/>
      <c r="BE9" s="14"/>
    </row>
    <row r="10" spans="1:57" ht="15.75" customHeight="1">
      <c r="A10" t="s">
        <v>53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17">
        <f t="shared" ref="P10:Z10" si="6">SUM(P4:P9)</f>
        <v>1524782.4000000001</v>
      </c>
      <c r="Q10" s="17">
        <f t="shared" si="6"/>
        <v>1539672.9000000004</v>
      </c>
      <c r="R10" s="17">
        <f t="shared" si="6"/>
        <v>1558718.7000000002</v>
      </c>
      <c r="S10" s="17">
        <f t="shared" si="6"/>
        <v>1544049.2000000002</v>
      </c>
      <c r="T10" s="17">
        <f t="shared" si="6"/>
        <v>1583548.3</v>
      </c>
      <c r="U10" s="17">
        <f t="shared" si="6"/>
        <v>1610843.7</v>
      </c>
      <c r="V10" s="17">
        <f t="shared" si="6"/>
        <v>1628415.2</v>
      </c>
      <c r="W10" s="17">
        <f t="shared" si="6"/>
        <v>1641569.3</v>
      </c>
      <c r="X10" s="17">
        <f t="shared" si="6"/>
        <v>1655457.9000000001</v>
      </c>
      <c r="Y10" s="17">
        <f t="shared" si="6"/>
        <v>1646774.2</v>
      </c>
      <c r="Z10" s="17">
        <f t="shared" si="6"/>
        <v>1680542.0999999999</v>
      </c>
      <c r="AA10" s="17">
        <f>SUM(AA4:AA9)</f>
        <v>2019153.35565</v>
      </c>
      <c r="AB10" s="17">
        <f t="shared" ref="AB10:AN10" si="7">SUM(AB4:AB9)</f>
        <v>2065524.5903205273</v>
      </c>
      <c r="AC10" s="17">
        <f t="shared" si="7"/>
        <v>2130638.7710335129</v>
      </c>
      <c r="AD10" s="17">
        <f t="shared" si="7"/>
        <v>2162905.8544879016</v>
      </c>
      <c r="AE10" s="17">
        <f t="shared" si="7"/>
        <v>2193676.1753423237</v>
      </c>
      <c r="AF10" s="17">
        <f t="shared" si="7"/>
        <v>2202810.193780845</v>
      </c>
      <c r="AG10" s="17">
        <f t="shared" si="7"/>
        <v>2230236.7043604134</v>
      </c>
      <c r="AH10" s="17">
        <f t="shared" si="7"/>
        <v>2256042.3298796127</v>
      </c>
      <c r="AI10" s="17">
        <f t="shared" si="7"/>
        <v>2270227.5224122019</v>
      </c>
      <c r="AJ10" s="17">
        <f t="shared" si="7"/>
        <v>2288730.4069991307</v>
      </c>
      <c r="AK10" s="17">
        <f t="shared" si="7"/>
        <v>2324904.5003</v>
      </c>
      <c r="AL10" s="17">
        <f t="shared" si="7"/>
        <v>2354405.5003</v>
      </c>
      <c r="AM10" s="17">
        <f t="shared" si="7"/>
        <v>2385538.0003</v>
      </c>
      <c r="AN10" s="17">
        <f t="shared" si="7"/>
        <v>2221907.2234743438</v>
      </c>
      <c r="AO10" s="79">
        <f>SUM(AO4:AO9)</f>
        <v>2398477.8813946126</v>
      </c>
      <c r="AP10" s="17">
        <f t="shared" ref="AP10:BA10" si="8">SUM(AP4:AP9)</f>
        <v>2417751.1091547837</v>
      </c>
      <c r="AQ10" s="17">
        <f t="shared" si="8"/>
        <v>2435253.3038915838</v>
      </c>
      <c r="AR10" s="17">
        <f t="shared" si="8"/>
        <v>2465962.2454564013</v>
      </c>
      <c r="AS10" s="17">
        <f t="shared" si="8"/>
        <v>2482804.8843098134</v>
      </c>
      <c r="AT10" s="17">
        <f t="shared" si="8"/>
        <v>2507604.6465875749</v>
      </c>
      <c r="AU10" s="17">
        <f t="shared" si="8"/>
        <v>2529966.6197892935</v>
      </c>
      <c r="AV10" s="17">
        <f t="shared" si="8"/>
        <v>2545484.5611956599</v>
      </c>
      <c r="AW10" s="17">
        <f t="shared" si="8"/>
        <v>2557767.2347583082</v>
      </c>
      <c r="AX10" s="17">
        <f t="shared" si="8"/>
        <v>2598434.7111527687</v>
      </c>
      <c r="AY10" s="17">
        <f t="shared" si="8"/>
        <v>2635254.6489387937</v>
      </c>
      <c r="AZ10" s="17">
        <f t="shared" si="8"/>
        <v>2660186.4941794667</v>
      </c>
      <c r="BA10" s="17">
        <f t="shared" si="8"/>
        <v>2509268.1800853126</v>
      </c>
      <c r="BB10" s="17"/>
      <c r="BC10" s="21"/>
      <c r="BD10" s="3"/>
      <c r="BE10" s="14"/>
    </row>
    <row r="11" spans="1:57" ht="15.75" customHeight="1"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10"/>
      <c r="Q11" s="21"/>
      <c r="R11" s="21"/>
      <c r="S11" s="21"/>
      <c r="T11" s="21"/>
      <c r="U11" s="21"/>
      <c r="V11" s="21"/>
      <c r="W11" s="21"/>
      <c r="X11" s="21"/>
      <c r="Y11" s="21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79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21"/>
      <c r="BD11" s="21"/>
    </row>
    <row r="12" spans="1:57">
      <c r="A12" s="25" t="s">
        <v>57</v>
      </c>
      <c r="Z12" s="30"/>
      <c r="AA12" s="30">
        <v>568387.96913999994</v>
      </c>
      <c r="AB12" s="30">
        <v>568395.96913999994</v>
      </c>
      <c r="AC12" s="30">
        <v>568403.96913999994</v>
      </c>
      <c r="AD12" s="30">
        <v>568411.96913999994</v>
      </c>
      <c r="AE12" s="30">
        <v>568419.96913999994</v>
      </c>
      <c r="AF12" s="30">
        <v>568427.96913999994</v>
      </c>
      <c r="AG12" s="30">
        <v>568435.96913999994</v>
      </c>
      <c r="AH12" s="30">
        <v>568443.96913999994</v>
      </c>
      <c r="AI12" s="30">
        <v>568451.96913999994</v>
      </c>
      <c r="AJ12" s="30">
        <v>568459.96913999994</v>
      </c>
      <c r="AK12" s="35">
        <f>+AJ12</f>
        <v>568459.96913999994</v>
      </c>
      <c r="AL12" s="36">
        <f t="shared" ref="AL12:AM12" si="9">AK12</f>
        <v>568459.96913999994</v>
      </c>
      <c r="AM12" s="36">
        <f t="shared" si="9"/>
        <v>568459.96913999994</v>
      </c>
      <c r="AN12" s="17">
        <f>AVERAGE(AA12:AM12)</f>
        <v>568432.27683230746</v>
      </c>
      <c r="AO12" s="81">
        <f>+AM12</f>
        <v>568459.96913999994</v>
      </c>
      <c r="AP12" s="36">
        <f>+AO12</f>
        <v>568459.96913999994</v>
      </c>
      <c r="AQ12" s="36">
        <f t="shared" ref="AQ12:AS12" si="10">+AO12</f>
        <v>568459.96913999994</v>
      </c>
      <c r="AR12" s="36">
        <f t="shared" si="10"/>
        <v>568459.96913999994</v>
      </c>
      <c r="AS12" s="36">
        <f t="shared" si="10"/>
        <v>568459.96913999994</v>
      </c>
      <c r="AT12" s="276">
        <f>+AS12-BE19</f>
        <v>530959.96913999994</v>
      </c>
      <c r="AU12" s="276">
        <f>AT12</f>
        <v>530959.96913999994</v>
      </c>
      <c r="AV12" s="276">
        <f t="shared" ref="AV12:AZ12" si="11">AU12</f>
        <v>530959.96913999994</v>
      </c>
      <c r="AW12" s="276">
        <f t="shared" si="11"/>
        <v>530959.96913999994</v>
      </c>
      <c r="AX12" s="276">
        <f t="shared" si="11"/>
        <v>530959.96913999994</v>
      </c>
      <c r="AY12" s="276">
        <f t="shared" si="11"/>
        <v>530959.96913999994</v>
      </c>
      <c r="AZ12" s="276">
        <f t="shared" si="11"/>
        <v>530959.96913999994</v>
      </c>
      <c r="BA12" s="40">
        <f t="shared" ref="BA12:BA16" si="12">AVERAGE(AO12:AZ12,AM12)</f>
        <v>548267.66144769208</v>
      </c>
      <c r="BB12" s="40"/>
      <c r="BC12" s="21"/>
    </row>
    <row r="13" spans="1:57" s="37" customFormat="1">
      <c r="A13" s="43" t="s">
        <v>184</v>
      </c>
      <c r="P13" s="38"/>
      <c r="Z13" s="41"/>
      <c r="AA13" s="41">
        <v>0</v>
      </c>
      <c r="AB13" s="73">
        <v>0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4">
        <f t="shared" ref="AL13:AM15" si="13">AK13</f>
        <v>0</v>
      </c>
      <c r="AM13" s="74">
        <f t="shared" si="13"/>
        <v>0</v>
      </c>
      <c r="AN13" s="55">
        <f t="shared" ref="AN13:AN16" si="14">AVERAGE(AA13:AM13)</f>
        <v>0</v>
      </c>
      <c r="AO13" s="82">
        <v>0</v>
      </c>
      <c r="AP13" s="74">
        <f>AO13</f>
        <v>0</v>
      </c>
      <c r="AQ13" s="74">
        <f t="shared" ref="AQ13:AZ13" si="15">AP13</f>
        <v>0</v>
      </c>
      <c r="AR13" s="74">
        <f t="shared" si="15"/>
        <v>0</v>
      </c>
      <c r="AS13" s="74">
        <f t="shared" si="15"/>
        <v>0</v>
      </c>
      <c r="AT13" s="74">
        <f t="shared" si="15"/>
        <v>0</v>
      </c>
      <c r="AU13" s="74">
        <f t="shared" si="15"/>
        <v>0</v>
      </c>
      <c r="AV13" s="74">
        <f t="shared" si="15"/>
        <v>0</v>
      </c>
      <c r="AW13" s="74">
        <f t="shared" si="15"/>
        <v>0</v>
      </c>
      <c r="AX13" s="74">
        <f t="shared" si="15"/>
        <v>0</v>
      </c>
      <c r="AY13" s="74">
        <f t="shared" si="15"/>
        <v>0</v>
      </c>
      <c r="AZ13" s="74">
        <f t="shared" si="15"/>
        <v>0</v>
      </c>
      <c r="BA13" s="74">
        <f t="shared" si="12"/>
        <v>0</v>
      </c>
      <c r="BB13" s="93"/>
      <c r="BC13" s="286"/>
    </row>
    <row r="14" spans="1:57" s="37" customFormat="1">
      <c r="A14" s="43" t="s">
        <v>183</v>
      </c>
      <c r="P14" s="38"/>
      <c r="Z14" s="41"/>
      <c r="AA14" s="41">
        <v>0</v>
      </c>
      <c r="AB14" s="73"/>
      <c r="AC14" s="73"/>
      <c r="AD14" s="73"/>
      <c r="AE14" s="73"/>
      <c r="AF14" s="73"/>
      <c r="AG14" s="73"/>
      <c r="AH14" s="73"/>
      <c r="AI14" s="73"/>
      <c r="AJ14" s="73"/>
      <c r="AK14" s="73">
        <v>56540</v>
      </c>
      <c r="AL14" s="73">
        <f t="shared" si="13"/>
        <v>56540</v>
      </c>
      <c r="AM14" s="73">
        <f t="shared" si="13"/>
        <v>56540</v>
      </c>
      <c r="AN14" s="55">
        <f t="shared" si="14"/>
        <v>42405</v>
      </c>
      <c r="AO14" s="82">
        <f>AM14</f>
        <v>56540</v>
      </c>
      <c r="AP14" s="74">
        <f t="shared" ref="AP14:AZ15" si="16">AO14</f>
        <v>56540</v>
      </c>
      <c r="AQ14" s="74">
        <f t="shared" si="16"/>
        <v>56540</v>
      </c>
      <c r="AR14" s="74">
        <f t="shared" si="16"/>
        <v>56540</v>
      </c>
      <c r="AS14" s="74">
        <f t="shared" si="16"/>
        <v>56540</v>
      </c>
      <c r="AT14" s="74">
        <f t="shared" si="16"/>
        <v>56540</v>
      </c>
      <c r="AU14" s="74">
        <f t="shared" si="16"/>
        <v>56540</v>
      </c>
      <c r="AV14" s="74">
        <f t="shared" si="16"/>
        <v>56540</v>
      </c>
      <c r="AW14" s="74">
        <f t="shared" si="16"/>
        <v>56540</v>
      </c>
      <c r="AX14" s="74">
        <f t="shared" si="16"/>
        <v>56540</v>
      </c>
      <c r="AY14" s="74">
        <f t="shared" si="16"/>
        <v>56540</v>
      </c>
      <c r="AZ14" s="74">
        <f t="shared" si="16"/>
        <v>56540</v>
      </c>
      <c r="BA14" s="74">
        <f t="shared" si="12"/>
        <v>56540</v>
      </c>
      <c r="BB14" s="93"/>
      <c r="BC14" s="286"/>
    </row>
    <row r="15" spans="1:57" s="37" customFormat="1" ht="15.75" customHeight="1">
      <c r="A15" s="43" t="s">
        <v>182</v>
      </c>
      <c r="P15" s="38"/>
      <c r="Z15" s="41"/>
      <c r="AA15" s="41">
        <v>0</v>
      </c>
      <c r="AB15" s="279"/>
      <c r="AC15" s="279"/>
      <c r="AD15" s="279"/>
      <c r="AE15" s="279"/>
      <c r="AF15" s="279"/>
      <c r="AG15" s="279"/>
      <c r="AH15" s="279"/>
      <c r="AI15" s="279"/>
      <c r="AJ15" s="279"/>
      <c r="AK15" s="73">
        <v>200000</v>
      </c>
      <c r="AL15" s="74">
        <f t="shared" si="13"/>
        <v>200000</v>
      </c>
      <c r="AM15" s="74">
        <f t="shared" si="13"/>
        <v>200000</v>
      </c>
      <c r="AN15" s="55">
        <f t="shared" si="14"/>
        <v>150000</v>
      </c>
      <c r="AO15" s="82">
        <f>AM15</f>
        <v>200000</v>
      </c>
      <c r="AP15" s="74">
        <f>AO15</f>
        <v>200000</v>
      </c>
      <c r="AQ15" s="74">
        <f t="shared" si="16"/>
        <v>200000</v>
      </c>
      <c r="AR15" s="74">
        <f t="shared" si="16"/>
        <v>200000</v>
      </c>
      <c r="AS15" s="74">
        <f t="shared" si="16"/>
        <v>200000</v>
      </c>
      <c r="AT15" s="74">
        <f t="shared" si="16"/>
        <v>200000</v>
      </c>
      <c r="AU15" s="74">
        <f t="shared" si="16"/>
        <v>200000</v>
      </c>
      <c r="AV15" s="74">
        <f t="shared" si="16"/>
        <v>200000</v>
      </c>
      <c r="AW15" s="74">
        <f t="shared" si="16"/>
        <v>200000</v>
      </c>
      <c r="AX15" s="74">
        <f t="shared" si="16"/>
        <v>200000</v>
      </c>
      <c r="AY15" s="74">
        <f t="shared" si="16"/>
        <v>200000</v>
      </c>
      <c r="AZ15" s="74">
        <f t="shared" si="16"/>
        <v>200000</v>
      </c>
      <c r="BA15" s="74">
        <f t="shared" si="12"/>
        <v>200000</v>
      </c>
      <c r="BB15" s="93"/>
      <c r="BC15" s="286"/>
    </row>
    <row r="16" spans="1:57" s="37" customFormat="1">
      <c r="A16" s="43" t="s">
        <v>70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/>
      <c r="Q16" s="45"/>
      <c r="R16" s="45"/>
      <c r="S16" s="45"/>
      <c r="T16" s="45"/>
      <c r="U16" s="45"/>
      <c r="V16" s="45"/>
      <c r="W16" s="45"/>
      <c r="X16" s="45"/>
      <c r="Y16" s="45"/>
      <c r="Z16" s="48"/>
      <c r="AA16" s="48">
        <v>0</v>
      </c>
      <c r="AB16" s="284">
        <v>0</v>
      </c>
      <c r="AC16" s="284">
        <v>0</v>
      </c>
      <c r="AD16" s="284">
        <v>0</v>
      </c>
      <c r="AE16" s="284">
        <v>0</v>
      </c>
      <c r="AF16" s="284">
        <v>0</v>
      </c>
      <c r="AG16" s="284">
        <v>0</v>
      </c>
      <c r="AH16" s="284">
        <v>0</v>
      </c>
      <c r="AI16" s="284">
        <v>0</v>
      </c>
      <c r="AJ16" s="284">
        <v>0</v>
      </c>
      <c r="AK16" s="238">
        <v>0</v>
      </c>
      <c r="AL16" s="238">
        <v>0</v>
      </c>
      <c r="AM16" s="238">
        <v>0</v>
      </c>
      <c r="AN16" s="24">
        <f t="shared" si="14"/>
        <v>0</v>
      </c>
      <c r="AO16" s="239">
        <v>0</v>
      </c>
      <c r="AP16" s="238">
        <v>0</v>
      </c>
      <c r="AQ16" s="238">
        <v>0</v>
      </c>
      <c r="AR16" s="238">
        <v>0</v>
      </c>
      <c r="AS16" s="238">
        <v>0</v>
      </c>
      <c r="AT16" s="238">
        <v>137500</v>
      </c>
      <c r="AU16" s="238">
        <f t="shared" ref="AU16:AZ16" si="17">+AT16</f>
        <v>137500</v>
      </c>
      <c r="AV16" s="238">
        <f t="shared" si="17"/>
        <v>137500</v>
      </c>
      <c r="AW16" s="238">
        <f t="shared" si="17"/>
        <v>137500</v>
      </c>
      <c r="AX16" s="238">
        <f t="shared" si="17"/>
        <v>137500</v>
      </c>
      <c r="AY16" s="238">
        <f t="shared" si="17"/>
        <v>137500</v>
      </c>
      <c r="AZ16" s="238">
        <f t="shared" si="17"/>
        <v>137500</v>
      </c>
      <c r="BA16" s="238">
        <f t="shared" si="12"/>
        <v>74038.461538461532</v>
      </c>
      <c r="BB16" s="93"/>
      <c r="BC16" s="286"/>
    </row>
    <row r="17" spans="1:58" ht="12.75" customHeight="1">
      <c r="A17" t="s">
        <v>71</v>
      </c>
      <c r="Z17" s="40">
        <f t="shared" ref="Z17:BA17" si="18">SUM(Z12:Z16)</f>
        <v>0</v>
      </c>
      <c r="AA17" s="40">
        <f t="shared" si="18"/>
        <v>568387.96913999994</v>
      </c>
      <c r="AB17" s="40">
        <f t="shared" si="18"/>
        <v>568395.96913999994</v>
      </c>
      <c r="AC17" s="40">
        <f t="shared" si="18"/>
        <v>568403.96913999994</v>
      </c>
      <c r="AD17" s="40">
        <f t="shared" si="18"/>
        <v>568411.96913999994</v>
      </c>
      <c r="AE17" s="40">
        <f t="shared" si="18"/>
        <v>568419.96913999994</v>
      </c>
      <c r="AF17" s="40">
        <f t="shared" si="18"/>
        <v>568427.96913999994</v>
      </c>
      <c r="AG17" s="40">
        <f t="shared" si="18"/>
        <v>568435.96913999994</v>
      </c>
      <c r="AH17" s="40">
        <f t="shared" si="18"/>
        <v>568443.96913999994</v>
      </c>
      <c r="AI17" s="40">
        <f t="shared" si="18"/>
        <v>568451.96913999994</v>
      </c>
      <c r="AJ17" s="40">
        <f t="shared" si="18"/>
        <v>568459.96913999994</v>
      </c>
      <c r="AK17" s="40">
        <f t="shared" si="18"/>
        <v>824999.96913999994</v>
      </c>
      <c r="AL17" s="40">
        <f t="shared" si="18"/>
        <v>824999.96913999994</v>
      </c>
      <c r="AM17" s="40">
        <f t="shared" si="18"/>
        <v>824999.96913999994</v>
      </c>
      <c r="AN17" s="40">
        <f t="shared" si="18"/>
        <v>760837.27683230746</v>
      </c>
      <c r="AO17" s="83">
        <f t="shared" si="18"/>
        <v>824999.96913999994</v>
      </c>
      <c r="AP17" s="40">
        <f t="shared" si="18"/>
        <v>824999.96913999994</v>
      </c>
      <c r="AQ17" s="40">
        <f t="shared" si="18"/>
        <v>824999.96913999994</v>
      </c>
      <c r="AR17" s="40">
        <f t="shared" si="18"/>
        <v>824999.96913999994</v>
      </c>
      <c r="AS17" s="40">
        <f t="shared" si="18"/>
        <v>824999.96913999994</v>
      </c>
      <c r="AT17" s="40">
        <f t="shared" si="18"/>
        <v>924999.96913999994</v>
      </c>
      <c r="AU17" s="40">
        <f t="shared" si="18"/>
        <v>924999.96913999994</v>
      </c>
      <c r="AV17" s="40">
        <f t="shared" si="18"/>
        <v>924999.96913999994</v>
      </c>
      <c r="AW17" s="40">
        <f t="shared" si="18"/>
        <v>924999.96913999994</v>
      </c>
      <c r="AX17" s="40">
        <f t="shared" si="18"/>
        <v>924999.96913999994</v>
      </c>
      <c r="AY17" s="40">
        <f t="shared" si="18"/>
        <v>924999.96913999994</v>
      </c>
      <c r="AZ17" s="40">
        <f t="shared" si="18"/>
        <v>924999.96913999994</v>
      </c>
      <c r="BA17" s="40">
        <f t="shared" si="18"/>
        <v>878846.12298615358</v>
      </c>
      <c r="BB17" s="40"/>
      <c r="BC17" s="21"/>
    </row>
    <row r="18" spans="1:58" ht="15.75" customHeight="1"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10"/>
      <c r="Q18" s="21"/>
      <c r="R18" s="21"/>
      <c r="S18" s="21"/>
      <c r="T18" s="21"/>
      <c r="U18" s="21"/>
      <c r="V18" s="21"/>
      <c r="W18" s="21"/>
      <c r="X18" s="21"/>
      <c r="Y18" s="21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56">
        <f>+AN25/AN5</f>
        <v>4.2665617829184176E-2</v>
      </c>
      <c r="AO18" s="79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56">
        <f>+BA25/BA5</f>
        <v>4.6656739631222514E-2</v>
      </c>
      <c r="BB18" s="42"/>
      <c r="BC18" s="18"/>
      <c r="BD18" s="3"/>
      <c r="BE18" t="s">
        <v>185</v>
      </c>
      <c r="BF18" t="s">
        <v>186</v>
      </c>
    </row>
    <row r="19" spans="1:58">
      <c r="A19" s="25" t="s">
        <v>72</v>
      </c>
      <c r="P19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40"/>
      <c r="AL19" s="36"/>
      <c r="AM19" s="283"/>
      <c r="AN19" s="17" t="s">
        <v>74</v>
      </c>
      <c r="AO19" s="84"/>
      <c r="AP19" s="52"/>
      <c r="AQ19" s="52"/>
      <c r="AR19" s="52"/>
      <c r="AS19" s="275"/>
      <c r="AT19" s="52"/>
      <c r="AU19" s="52"/>
      <c r="AV19" s="52"/>
      <c r="AW19" s="52"/>
      <c r="AX19" s="52"/>
      <c r="AY19" s="52"/>
      <c r="AZ19" s="52"/>
      <c r="BA19" s="17" t="s">
        <v>74</v>
      </c>
      <c r="BB19" s="17"/>
      <c r="BE19" s="3">
        <v>37500</v>
      </c>
      <c r="BF19" s="277">
        <v>130.55304398760967</v>
      </c>
    </row>
    <row r="20" spans="1:58">
      <c r="A20" s="25" t="s">
        <v>73</v>
      </c>
      <c r="B20" s="19">
        <v>4.0399999999999998E-2</v>
      </c>
      <c r="P20"/>
      <c r="Z20" s="30"/>
      <c r="AA20" s="30">
        <v>1897.9189200000001</v>
      </c>
      <c r="AB20" s="30">
        <v>1917.7</v>
      </c>
      <c r="AC20" s="30">
        <v>1917.7</v>
      </c>
      <c r="AD20" s="30">
        <v>1917.7</v>
      </c>
      <c r="AE20" s="30">
        <v>1916.9</v>
      </c>
      <c r="AF20" s="30">
        <v>1916.9</v>
      </c>
      <c r="AG20" s="30">
        <v>1916.9</v>
      </c>
      <c r="AH20" s="30">
        <v>1916.9</v>
      </c>
      <c r="AI20" s="30">
        <v>1916.9</v>
      </c>
      <c r="AJ20" s="30">
        <v>1916.9</v>
      </c>
      <c r="AK20" s="55">
        <f>+AJ20</f>
        <v>1916.9</v>
      </c>
      <c r="AL20" s="55">
        <f>+AK20</f>
        <v>1916.9</v>
      </c>
      <c r="AM20" s="55">
        <f>+AL20</f>
        <v>1916.9</v>
      </c>
      <c r="AN20" s="17">
        <f>SUM(AB20:AM20)</f>
        <v>23005.200000000004</v>
      </c>
      <c r="AO20" s="81">
        <f>+AM20</f>
        <v>1916.9</v>
      </c>
      <c r="AP20" s="36">
        <f>+AO20</f>
        <v>1916.9</v>
      </c>
      <c r="AQ20" s="36">
        <f t="shared" ref="AQ20:AZ20" si="19">+AP20</f>
        <v>1916.9</v>
      </c>
      <c r="AR20" s="36">
        <f t="shared" si="19"/>
        <v>1916.9</v>
      </c>
      <c r="AS20" s="36">
        <f t="shared" si="19"/>
        <v>1916.9</v>
      </c>
      <c r="AT20" s="36">
        <f>+AS20</f>
        <v>1916.9</v>
      </c>
      <c r="AU20" s="276">
        <f>AT20-BF19</f>
        <v>1786.3469560123904</v>
      </c>
      <c r="AV20" s="276">
        <f t="shared" si="19"/>
        <v>1786.3469560123904</v>
      </c>
      <c r="AW20" s="276">
        <f t="shared" si="19"/>
        <v>1786.3469560123904</v>
      </c>
      <c r="AX20" s="276">
        <f t="shared" si="19"/>
        <v>1786.3469560123904</v>
      </c>
      <c r="AY20" s="276">
        <f t="shared" si="19"/>
        <v>1786.3469560123904</v>
      </c>
      <c r="AZ20" s="276">
        <f t="shared" si="19"/>
        <v>1786.3469560123904</v>
      </c>
      <c r="BA20" s="17">
        <f>SUM(AO20:AZ20)</f>
        <v>22219.481736074347</v>
      </c>
      <c r="BB20" s="17"/>
      <c r="BC20" s="3"/>
    </row>
    <row r="21" spans="1:58" s="37" customFormat="1">
      <c r="A21" s="43" t="s">
        <v>184</v>
      </c>
      <c r="B21" s="61">
        <v>5.3999999999999999E-2</v>
      </c>
      <c r="P21" s="38"/>
      <c r="Z21" s="41"/>
      <c r="AA21" s="41">
        <v>0</v>
      </c>
      <c r="AB21" s="35">
        <f>+AB13*$B21/12</f>
        <v>0</v>
      </c>
      <c r="AC21" s="35">
        <f t="shared" ref="AC21:AM21" si="20">+AC13*$B21/12</f>
        <v>0</v>
      </c>
      <c r="AD21" s="35">
        <f t="shared" si="20"/>
        <v>0</v>
      </c>
      <c r="AE21" s="35">
        <f t="shared" si="20"/>
        <v>0</v>
      </c>
      <c r="AF21" s="35">
        <f t="shared" si="20"/>
        <v>0</v>
      </c>
      <c r="AG21" s="35">
        <f t="shared" si="20"/>
        <v>0</v>
      </c>
      <c r="AH21" s="35">
        <f t="shared" si="20"/>
        <v>0</v>
      </c>
      <c r="AI21" s="35">
        <f t="shared" si="20"/>
        <v>0</v>
      </c>
      <c r="AJ21" s="35">
        <f t="shared" si="20"/>
        <v>0</v>
      </c>
      <c r="AK21" s="35">
        <f t="shared" si="20"/>
        <v>0</v>
      </c>
      <c r="AL21" s="35">
        <f t="shared" si="20"/>
        <v>0</v>
      </c>
      <c r="AM21" s="35">
        <f t="shared" si="20"/>
        <v>0</v>
      </c>
      <c r="AN21" s="17">
        <f t="shared" ref="AN21:AN24" si="21">SUM(AB21:AM21)</f>
        <v>0</v>
      </c>
      <c r="AO21" s="81">
        <f>AM21</f>
        <v>0</v>
      </c>
      <c r="AP21" s="36">
        <f>AO21</f>
        <v>0</v>
      </c>
      <c r="AQ21" s="36">
        <f t="shared" ref="AQ21:AZ21" si="22">AP21</f>
        <v>0</v>
      </c>
      <c r="AR21" s="36">
        <f t="shared" si="22"/>
        <v>0</v>
      </c>
      <c r="AS21" s="36">
        <f t="shared" si="22"/>
        <v>0</v>
      </c>
      <c r="AT21" s="36">
        <f t="shared" si="22"/>
        <v>0</v>
      </c>
      <c r="AU21" s="36">
        <f t="shared" si="22"/>
        <v>0</v>
      </c>
      <c r="AV21" s="36">
        <f t="shared" si="22"/>
        <v>0</v>
      </c>
      <c r="AW21" s="36">
        <f t="shared" si="22"/>
        <v>0</v>
      </c>
      <c r="AX21" s="36">
        <f t="shared" si="22"/>
        <v>0</v>
      </c>
      <c r="AY21" s="36">
        <f t="shared" si="22"/>
        <v>0</v>
      </c>
      <c r="AZ21" s="36">
        <f t="shared" si="22"/>
        <v>0</v>
      </c>
      <c r="BA21" s="17">
        <f t="shared" ref="BA21:BA24" si="23">SUM(AO21:AZ21)</f>
        <v>0</v>
      </c>
      <c r="BB21" s="17"/>
      <c r="BC21" s="90"/>
    </row>
    <row r="22" spans="1:58" s="37" customFormat="1">
      <c r="A22" s="43" t="s">
        <v>183</v>
      </c>
      <c r="B22" s="61">
        <v>5.4699999999999999E-2</v>
      </c>
      <c r="P22" s="38"/>
      <c r="Z22" s="41"/>
      <c r="AA22" s="41">
        <v>0</v>
      </c>
      <c r="AB22" s="35">
        <f t="shared" ref="AB22:AM22" si="24">+AB14*$B22/12</f>
        <v>0</v>
      </c>
      <c r="AC22" s="35">
        <f t="shared" si="24"/>
        <v>0</v>
      </c>
      <c r="AD22" s="35">
        <f t="shared" si="24"/>
        <v>0</v>
      </c>
      <c r="AE22" s="35">
        <f t="shared" si="24"/>
        <v>0</v>
      </c>
      <c r="AF22" s="35">
        <f t="shared" si="24"/>
        <v>0</v>
      </c>
      <c r="AG22" s="35">
        <f t="shared" si="24"/>
        <v>0</v>
      </c>
      <c r="AH22" s="35">
        <f t="shared" si="24"/>
        <v>0</v>
      </c>
      <c r="AI22" s="35">
        <f t="shared" si="24"/>
        <v>0</v>
      </c>
      <c r="AJ22" s="35">
        <f t="shared" si="24"/>
        <v>0</v>
      </c>
      <c r="AK22" s="35">
        <f t="shared" si="24"/>
        <v>257.72816666666665</v>
      </c>
      <c r="AL22" s="35">
        <f t="shared" si="24"/>
        <v>257.72816666666665</v>
      </c>
      <c r="AM22" s="35">
        <f t="shared" si="24"/>
        <v>257.72816666666665</v>
      </c>
      <c r="AN22" s="17">
        <f t="shared" si="21"/>
        <v>773.18449999999996</v>
      </c>
      <c r="AO22" s="81">
        <f t="shared" ref="AO22:AZ22" si="25">+AO14*$B22/12</f>
        <v>257.72816666666665</v>
      </c>
      <c r="AP22" s="36">
        <f t="shared" si="25"/>
        <v>257.72816666666665</v>
      </c>
      <c r="AQ22" s="36">
        <f t="shared" si="25"/>
        <v>257.72816666666665</v>
      </c>
      <c r="AR22" s="36">
        <f t="shared" si="25"/>
        <v>257.72816666666665</v>
      </c>
      <c r="AS22" s="36">
        <f t="shared" si="25"/>
        <v>257.72816666666665</v>
      </c>
      <c r="AT22" s="36">
        <f t="shared" si="25"/>
        <v>257.72816666666665</v>
      </c>
      <c r="AU22" s="36">
        <f t="shared" si="25"/>
        <v>257.72816666666665</v>
      </c>
      <c r="AV22" s="36">
        <f t="shared" si="25"/>
        <v>257.72816666666665</v>
      </c>
      <c r="AW22" s="36">
        <f t="shared" si="25"/>
        <v>257.72816666666665</v>
      </c>
      <c r="AX22" s="36">
        <f t="shared" si="25"/>
        <v>257.72816666666665</v>
      </c>
      <c r="AY22" s="36">
        <f t="shared" si="25"/>
        <v>257.72816666666665</v>
      </c>
      <c r="AZ22" s="36">
        <f t="shared" si="25"/>
        <v>257.72816666666665</v>
      </c>
      <c r="BA22" s="17">
        <f t="shared" si="23"/>
        <v>3092.7380000000007</v>
      </c>
      <c r="BB22" s="17"/>
      <c r="BC22" s="90"/>
    </row>
    <row r="23" spans="1:58" s="37" customFormat="1" ht="15.75" customHeight="1">
      <c r="A23" s="43" t="str">
        <f>A15</f>
        <v>$250M (30 Yrs)</v>
      </c>
      <c r="B23" s="61">
        <v>0.06</v>
      </c>
      <c r="P23" s="38"/>
      <c r="Z23" s="41"/>
      <c r="AA23" s="41">
        <v>0</v>
      </c>
      <c r="AB23" s="35">
        <f t="shared" ref="AB23:AJ23" si="26">+AB15*$B23/12</f>
        <v>0</v>
      </c>
      <c r="AC23" s="35">
        <f t="shared" si="26"/>
        <v>0</v>
      </c>
      <c r="AD23" s="35">
        <f t="shared" si="26"/>
        <v>0</v>
      </c>
      <c r="AE23" s="35">
        <f t="shared" si="26"/>
        <v>0</v>
      </c>
      <c r="AF23" s="35">
        <f t="shared" si="26"/>
        <v>0</v>
      </c>
      <c r="AG23" s="35">
        <f t="shared" si="26"/>
        <v>0</v>
      </c>
      <c r="AH23" s="35">
        <f t="shared" si="26"/>
        <v>0</v>
      </c>
      <c r="AI23" s="35">
        <f t="shared" si="26"/>
        <v>0</v>
      </c>
      <c r="AJ23" s="35">
        <f t="shared" si="26"/>
        <v>0</v>
      </c>
      <c r="AK23" s="35">
        <f>+AK15*$B23/12</f>
        <v>1000</v>
      </c>
      <c r="AL23" s="35">
        <f t="shared" ref="AL23:AM23" si="27">+AL15*$B23/12</f>
        <v>1000</v>
      </c>
      <c r="AM23" s="35">
        <f t="shared" si="27"/>
        <v>1000</v>
      </c>
      <c r="AN23" s="17">
        <f t="shared" si="21"/>
        <v>3000</v>
      </c>
      <c r="AO23" s="81">
        <f t="shared" ref="AO23:AZ23" si="28">+AO15*$B23/12</f>
        <v>1000</v>
      </c>
      <c r="AP23" s="36">
        <f t="shared" si="28"/>
        <v>1000</v>
      </c>
      <c r="AQ23" s="36">
        <f t="shared" si="28"/>
        <v>1000</v>
      </c>
      <c r="AR23" s="36">
        <f t="shared" si="28"/>
        <v>1000</v>
      </c>
      <c r="AS23" s="36">
        <f t="shared" si="28"/>
        <v>1000</v>
      </c>
      <c r="AT23" s="36">
        <f t="shared" si="28"/>
        <v>1000</v>
      </c>
      <c r="AU23" s="36">
        <f t="shared" si="28"/>
        <v>1000</v>
      </c>
      <c r="AV23" s="36">
        <f t="shared" si="28"/>
        <v>1000</v>
      </c>
      <c r="AW23" s="36">
        <f t="shared" si="28"/>
        <v>1000</v>
      </c>
      <c r="AX23" s="36">
        <f t="shared" si="28"/>
        <v>1000</v>
      </c>
      <c r="AY23" s="36">
        <f t="shared" si="28"/>
        <v>1000</v>
      </c>
      <c r="AZ23" s="36">
        <f t="shared" si="28"/>
        <v>1000</v>
      </c>
      <c r="BA23" s="17">
        <f t="shared" si="23"/>
        <v>12000</v>
      </c>
      <c r="BB23" s="17"/>
      <c r="BC23" s="90"/>
    </row>
    <row r="24" spans="1:58" s="45" customFormat="1">
      <c r="A24" s="44" t="s">
        <v>70</v>
      </c>
      <c r="B24" s="62">
        <v>5.3699999999999998E-2</v>
      </c>
      <c r="P24" s="46"/>
      <c r="Z24" s="48"/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0</v>
      </c>
      <c r="AJ24" s="48">
        <v>0</v>
      </c>
      <c r="AK24" s="47">
        <f>+AK16*B24/12</f>
        <v>0</v>
      </c>
      <c r="AL24" s="48">
        <v>0</v>
      </c>
      <c r="AM24" s="48">
        <v>0</v>
      </c>
      <c r="AN24" s="24">
        <f t="shared" si="21"/>
        <v>0</v>
      </c>
      <c r="AO24" s="85">
        <f>+AO16*$B24/12</f>
        <v>0</v>
      </c>
      <c r="AP24" s="66">
        <f>+AP16*$B24/12</f>
        <v>0</v>
      </c>
      <c r="AQ24" s="66">
        <f>+AQ16*$B24/12</f>
        <v>0</v>
      </c>
      <c r="AR24" s="66">
        <f>+AR16*$B24/12</f>
        <v>0</v>
      </c>
      <c r="AS24" s="66">
        <f>+AS16*$B24/12</f>
        <v>0</v>
      </c>
      <c r="AT24" s="67">
        <f>IF(AT16&gt;AS16,+AT16*$B24/12*0,+AT16*$B24/12)</f>
        <v>0</v>
      </c>
      <c r="AU24" s="47">
        <f t="shared" ref="AU24:AZ24" si="29">+AU16*$B24/12</f>
        <v>615.3125</v>
      </c>
      <c r="AV24" s="47">
        <f t="shared" si="29"/>
        <v>615.3125</v>
      </c>
      <c r="AW24" s="47">
        <f t="shared" si="29"/>
        <v>615.3125</v>
      </c>
      <c r="AX24" s="47">
        <f t="shared" si="29"/>
        <v>615.3125</v>
      </c>
      <c r="AY24" s="47">
        <f t="shared" si="29"/>
        <v>615.3125</v>
      </c>
      <c r="AZ24" s="47">
        <f t="shared" si="29"/>
        <v>615.3125</v>
      </c>
      <c r="BA24" s="24">
        <f t="shared" si="23"/>
        <v>3691.875</v>
      </c>
      <c r="BB24" s="17"/>
      <c r="BC24" s="91"/>
    </row>
    <row r="25" spans="1:58" ht="12.75" customHeight="1">
      <c r="A25" s="215" t="s">
        <v>175</v>
      </c>
      <c r="B25" s="216"/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7"/>
      <c r="Q25" s="216"/>
      <c r="R25" s="216"/>
      <c r="S25" s="216"/>
      <c r="T25" s="216"/>
      <c r="U25" s="216"/>
      <c r="V25" s="216"/>
      <c r="W25" s="216"/>
      <c r="X25" s="216"/>
      <c r="Y25" s="216"/>
      <c r="Z25" s="218">
        <f t="shared" ref="Z25:AJ25" si="30">SUM(Z19:Z24)</f>
        <v>0</v>
      </c>
      <c r="AA25" s="218">
        <f t="shared" si="30"/>
        <v>1897.9189200000001</v>
      </c>
      <c r="AB25" s="218">
        <f t="shared" si="30"/>
        <v>1917.7</v>
      </c>
      <c r="AC25" s="218">
        <f t="shared" si="30"/>
        <v>1917.7</v>
      </c>
      <c r="AD25" s="218">
        <f t="shared" si="30"/>
        <v>1917.7</v>
      </c>
      <c r="AE25" s="218">
        <f t="shared" si="30"/>
        <v>1916.9</v>
      </c>
      <c r="AF25" s="218">
        <f t="shared" si="30"/>
        <v>1916.9</v>
      </c>
      <c r="AG25" s="218">
        <f t="shared" si="30"/>
        <v>1916.9</v>
      </c>
      <c r="AH25" s="218">
        <f t="shared" si="30"/>
        <v>1916.9</v>
      </c>
      <c r="AI25" s="218">
        <f t="shared" si="30"/>
        <v>1916.9</v>
      </c>
      <c r="AJ25" s="218">
        <f t="shared" si="30"/>
        <v>1916.9</v>
      </c>
      <c r="AK25" s="218">
        <f t="shared" ref="AK25:BA25" si="31">SUM(AK19:AK24)</f>
        <v>3174.6281666666669</v>
      </c>
      <c r="AL25" s="218">
        <f t="shared" si="31"/>
        <v>3174.6281666666669</v>
      </c>
      <c r="AM25" s="218">
        <f>SUM(AM19:AM24)</f>
        <v>3174.6281666666669</v>
      </c>
      <c r="AN25" s="218">
        <f t="shared" si="31"/>
        <v>26778.384500000004</v>
      </c>
      <c r="AO25" s="219">
        <f t="shared" si="31"/>
        <v>3174.6281666666669</v>
      </c>
      <c r="AP25" s="218">
        <f t="shared" si="31"/>
        <v>3174.6281666666669</v>
      </c>
      <c r="AQ25" s="218">
        <f t="shared" si="31"/>
        <v>3174.6281666666669</v>
      </c>
      <c r="AR25" s="218">
        <f t="shared" si="31"/>
        <v>3174.6281666666669</v>
      </c>
      <c r="AS25" s="218">
        <f t="shared" si="31"/>
        <v>3174.6281666666669</v>
      </c>
      <c r="AT25" s="218">
        <f t="shared" si="31"/>
        <v>3174.6281666666669</v>
      </c>
      <c r="AU25" s="218">
        <f t="shared" si="31"/>
        <v>3659.3876226790571</v>
      </c>
      <c r="AV25" s="218">
        <f t="shared" si="31"/>
        <v>3659.3876226790571</v>
      </c>
      <c r="AW25" s="218">
        <f t="shared" si="31"/>
        <v>3659.3876226790571</v>
      </c>
      <c r="AX25" s="218">
        <f t="shared" si="31"/>
        <v>3659.3876226790571</v>
      </c>
      <c r="AY25" s="218">
        <f t="shared" si="31"/>
        <v>3659.3876226790571</v>
      </c>
      <c r="AZ25" s="218">
        <f t="shared" si="31"/>
        <v>3659.3876226790571</v>
      </c>
      <c r="BA25" s="220">
        <f t="shared" si="31"/>
        <v>41004.094736074345</v>
      </c>
      <c r="BB25" s="40"/>
      <c r="BC25" s="3"/>
    </row>
    <row r="26" spans="1:58" ht="15.75" customHeight="1"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10"/>
      <c r="Q26" s="21"/>
      <c r="R26" s="21"/>
      <c r="S26" s="21"/>
      <c r="T26" s="21"/>
      <c r="U26" s="21"/>
      <c r="V26" s="21"/>
      <c r="W26" s="21"/>
      <c r="X26" s="21"/>
      <c r="Y26" s="21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42"/>
      <c r="AN26" s="42"/>
      <c r="AO26" s="79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3"/>
      <c r="BD26" s="3"/>
    </row>
    <row r="27" spans="1:58" ht="15.75" customHeight="1">
      <c r="A27" s="37" t="s">
        <v>87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10"/>
      <c r="Q27" s="21"/>
      <c r="R27" s="21"/>
      <c r="S27" s="21"/>
      <c r="T27" s="21"/>
      <c r="U27" s="21"/>
      <c r="V27" s="21"/>
      <c r="W27" s="21"/>
      <c r="X27" s="21"/>
      <c r="Y27" s="21"/>
      <c r="Z27" s="17"/>
      <c r="AA27" s="30">
        <f>'Rate Case'!AA5+'Rate Case'!AA6-AA17</f>
        <v>166097.15009999997</v>
      </c>
      <c r="AB27" s="30">
        <f>'Rate Case'!AB5+'Rate Case'!AB6-AB17</f>
        <v>200760.12118052703</v>
      </c>
      <c r="AC27" s="30">
        <f>'Rate Case'!AC5+'Rate Case'!AC6-AC17</f>
        <v>249611.30169351317</v>
      </c>
      <c r="AD27" s="30">
        <f>'Rate Case'!AD5+'Rate Case'!AD6-AD17</f>
        <v>267160.4853479017</v>
      </c>
      <c r="AE27" s="30">
        <f>'Rate Case'!AE5+'Rate Case'!AE6-AE17</f>
        <v>288943.20600232389</v>
      </c>
      <c r="AF27" s="30">
        <f>'Rate Case'!AF5+'Rate Case'!AF6-AF17</f>
        <v>294595.72464084509</v>
      </c>
      <c r="AG27" s="30">
        <f>'Rate Case'!AG5+'Rate Case'!AG6-AG17</f>
        <v>312955.13522041368</v>
      </c>
      <c r="AH27" s="30">
        <f>'Rate Case'!AH5+'Rate Case'!AH6-AH17</f>
        <v>332059.66013961285</v>
      </c>
      <c r="AI27" s="30">
        <f>'Rate Case'!AI5+'Rate Case'!AI6-AI17</f>
        <v>328865.65297220205</v>
      </c>
      <c r="AJ27" s="30">
        <f>'Rate Case'!AJ5+'Rate Case'!AJ6-AJ17</f>
        <v>338687.53725913074</v>
      </c>
      <c r="AK27" s="55">
        <f>'Rate Case'!AK5+'Rate Case'!AK6-AK17</f>
        <v>112693.73916845699</v>
      </c>
      <c r="AL27" s="55">
        <f>'Rate Case'!AL5+'Rate Case'!AL6-AL17</f>
        <v>91589.802726643509</v>
      </c>
      <c r="AM27" s="236">
        <f>'Rate Case'!AM5+'Rate Case'!AM6-AM17</f>
        <v>107765.5804313554</v>
      </c>
      <c r="AN27" s="17">
        <f t="shared" ref="AN27" si="32">AVERAGE(AA27:AM27)</f>
        <v>237829.62283714817</v>
      </c>
      <c r="AO27" s="237">
        <f>'Rate Case'!AO5+'Rate Case'!AO6-AO17</f>
        <v>113573.89219633059</v>
      </c>
      <c r="AP27" s="55">
        <f>'Rate Case'!AP5+'Rate Case'!AP6-AP17</f>
        <v>108081.6911519384</v>
      </c>
      <c r="AQ27" s="55">
        <f>'Rate Case'!AQ5+'Rate Case'!AQ6-AQ17</f>
        <v>118845.58901136951</v>
      </c>
      <c r="AR27" s="55">
        <f>'Rate Case'!AR5+'Rate Case'!AR6-AR17</f>
        <v>145010.33242472843</v>
      </c>
      <c r="AS27" s="55">
        <f>'Rate Case'!AS5+'Rate Case'!AS6-AS17</f>
        <v>137421.30846443586</v>
      </c>
      <c r="AT27" s="55">
        <f>'Rate Case'!AT5+'Rate Case'!AT6-AT17</f>
        <v>59815.092007584753</v>
      </c>
      <c r="AU27" s="55">
        <f>'Rate Case'!AU5+'Rate Case'!AU6-AU17</f>
        <v>79909.196557083749</v>
      </c>
      <c r="AV27" s="55">
        <f>'Rate Case'!AV5+'Rate Case'!AV6-AV17</f>
        <v>67611.738280851976</v>
      </c>
      <c r="AW27" s="55">
        <f>'Rate Case'!AW5+'Rate Case'!AW6-AW17</f>
        <v>77202.510427692207</v>
      </c>
      <c r="AX27" s="55">
        <f>'Rate Case'!AX5+'Rate Case'!AX6-AX17</f>
        <v>115175.23176690796</v>
      </c>
      <c r="AY27" s="55">
        <f>'Rate Case'!AY5+'Rate Case'!AY6-AY17</f>
        <v>114279.5290132449</v>
      </c>
      <c r="AZ27" s="55">
        <f>'Rate Case'!AZ5+'Rate Case'!AZ6-AZ17</f>
        <v>133569.85211054003</v>
      </c>
      <c r="BA27" s="17">
        <f t="shared" ref="BA27" si="33">AVERAGE(AO27:AZ27,AM27)</f>
        <v>106020.11875723567</v>
      </c>
      <c r="BB27" s="17"/>
      <c r="BC27" s="3"/>
      <c r="BD27" s="3"/>
    </row>
    <row r="28" spans="1:58" ht="15.75" customHeight="1">
      <c r="A28" s="37" t="s">
        <v>75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10"/>
      <c r="Q28" s="21"/>
      <c r="R28" s="21"/>
      <c r="S28" s="21"/>
      <c r="T28" s="21"/>
      <c r="U28" s="21"/>
      <c r="V28" s="21"/>
      <c r="W28" s="21"/>
      <c r="X28" s="21"/>
      <c r="Y28" s="21"/>
      <c r="Z28" s="53"/>
      <c r="AA28" s="53"/>
      <c r="AB28" s="280">
        <f>0.038/12</f>
        <v>3.1666666666666666E-3</v>
      </c>
      <c r="AC28" s="53">
        <f>AB28</f>
        <v>3.1666666666666666E-3</v>
      </c>
      <c r="AD28" s="53">
        <f t="shared" ref="AD28:AJ28" si="34">AC28</f>
        <v>3.1666666666666666E-3</v>
      </c>
      <c r="AE28" s="280">
        <f t="shared" si="34"/>
        <v>3.1666666666666666E-3</v>
      </c>
      <c r="AF28" s="53">
        <f>AE28</f>
        <v>3.1666666666666666E-3</v>
      </c>
      <c r="AG28" s="53">
        <f t="shared" si="34"/>
        <v>3.1666666666666666E-3</v>
      </c>
      <c r="AH28" s="280">
        <f t="shared" si="34"/>
        <v>3.1666666666666666E-3</v>
      </c>
      <c r="AI28" s="53">
        <f>AH28</f>
        <v>3.1666666666666666E-3</v>
      </c>
      <c r="AJ28" s="53">
        <f t="shared" si="34"/>
        <v>3.1666666666666666E-3</v>
      </c>
      <c r="AK28" s="60">
        <v>3.1666666666666666E-3</v>
      </c>
      <c r="AL28" s="256">
        <f>AK28</f>
        <v>3.1666666666666666E-3</v>
      </c>
      <c r="AM28" s="256">
        <f>AL28</f>
        <v>3.1666666666666666E-3</v>
      </c>
      <c r="AN28" s="56">
        <f>+AN29/AN6</f>
        <v>3.9343445552176254E-2</v>
      </c>
      <c r="AO28" s="86">
        <f>'Rate Case'!AO28</f>
        <v>4.3749999999999995E-3</v>
      </c>
      <c r="AP28" s="256">
        <f>'Rate Case'!AP28</f>
        <v>4.3749999999999995E-3</v>
      </c>
      <c r="AQ28" s="256">
        <f>'Rate Case'!AQ28</f>
        <v>4.3749999999999995E-3</v>
      </c>
      <c r="AR28" s="256">
        <f>'Rate Case'!AR28</f>
        <v>4.1333333333333335E-3</v>
      </c>
      <c r="AS28" s="256">
        <f>'Rate Case'!AS28</f>
        <v>4.1333333333333335E-3</v>
      </c>
      <c r="AT28" s="256">
        <f>'Rate Case'!AT28</f>
        <v>4.1333333333333335E-3</v>
      </c>
      <c r="AU28" s="256">
        <f>'Rate Case'!AU28</f>
        <v>3.9416666666666671E-3</v>
      </c>
      <c r="AV28" s="256">
        <f>'Rate Case'!AV28</f>
        <v>3.9416666666666671E-3</v>
      </c>
      <c r="AW28" s="256">
        <f>'Rate Case'!AW28</f>
        <v>3.9416666666666671E-3</v>
      </c>
      <c r="AX28" s="256">
        <f>'Rate Case'!AX28</f>
        <v>3.8416666666666668E-3</v>
      </c>
      <c r="AY28" s="256">
        <f>'Rate Case'!AY28</f>
        <v>3.8416666666666668E-3</v>
      </c>
      <c r="AZ28" s="256">
        <f>'Rate Case'!AZ28</f>
        <v>3.8416666666666668E-3</v>
      </c>
      <c r="BA28" s="56">
        <f>+BA29/BA6</f>
        <v>4.848075870561968E-2</v>
      </c>
      <c r="BB28" s="42"/>
      <c r="BC28" s="5"/>
      <c r="BD28" s="3"/>
    </row>
    <row r="29" spans="1:58" ht="15.75" customHeight="1">
      <c r="A29" s="221" t="s">
        <v>181</v>
      </c>
      <c r="B29" s="216"/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3"/>
      <c r="Q29" s="222"/>
      <c r="R29" s="222"/>
      <c r="S29" s="222"/>
      <c r="T29" s="222"/>
      <c r="U29" s="222"/>
      <c r="V29" s="222"/>
      <c r="W29" s="222"/>
      <c r="X29" s="222"/>
      <c r="Y29" s="222"/>
      <c r="Z29" s="224"/>
      <c r="AA29" s="224"/>
      <c r="AB29" s="224">
        <f t="shared" ref="AB29" si="35">AVERAGE(AA27:AB27)*AB28</f>
        <v>580.85734619416769</v>
      </c>
      <c r="AC29" s="224">
        <f>AVERAGE(AB27:AC27)*AC28</f>
        <v>713.08808621723028</v>
      </c>
      <c r="AD29" s="224">
        <f t="shared" ref="AD29:AJ29" si="36">AVERAGE(AC27:AD27)*AD28</f>
        <v>818.2219961489069</v>
      </c>
      <c r="AE29" s="224">
        <f t="shared" si="36"/>
        <v>880.49751130452387</v>
      </c>
      <c r="AF29" s="224">
        <f t="shared" si="36"/>
        <v>923.9366401850175</v>
      </c>
      <c r="AG29" s="224">
        <f t="shared" si="36"/>
        <v>961.95552811365974</v>
      </c>
      <c r="AH29" s="224">
        <f t="shared" si="36"/>
        <v>1021.2734259867086</v>
      </c>
      <c r="AI29" s="224">
        <f t="shared" si="36"/>
        <v>1046.4650790937069</v>
      </c>
      <c r="AJ29" s="224">
        <f t="shared" si="36"/>
        <v>1056.959217866277</v>
      </c>
      <c r="AK29" s="225">
        <f>(AK6+AJ6)/2*AK28</f>
        <v>714.68702101034717</v>
      </c>
      <c r="AL29" s="225">
        <f>(AL6+AK6)/2*AL28</f>
        <v>323.44894133390909</v>
      </c>
      <c r="AM29" s="225">
        <f>(AM6+AL6)/2*AM28</f>
        <v>315.64602333349825</v>
      </c>
      <c r="AN29" s="226">
        <f t="shared" ref="AN29" si="37">SUM(AB29:AM29)</f>
        <v>9357.0368167879533</v>
      </c>
      <c r="AO29" s="227">
        <f>(AO6+AM6)/2*AO28</f>
        <v>484.18009637306307</v>
      </c>
      <c r="AP29" s="225">
        <f t="shared" ref="AP29:AZ29" si="38">(AP6+AO6)/2*AP28</f>
        <v>484.87158857433838</v>
      </c>
      <c r="AQ29" s="225">
        <f t="shared" si="38"/>
        <v>496.40342535723602</v>
      </c>
      <c r="AR29" s="225">
        <f t="shared" si="38"/>
        <v>545.30223763460242</v>
      </c>
      <c r="AS29" s="225">
        <f t="shared" si="38"/>
        <v>583.69205783760617</v>
      </c>
      <c r="AT29" s="225">
        <f t="shared" si="38"/>
        <v>407.62189430884263</v>
      </c>
      <c r="AU29" s="225">
        <f t="shared" si="38"/>
        <v>275.3732853795342</v>
      </c>
      <c r="AV29" s="225">
        <f t="shared" si="38"/>
        <v>290.73917574309837</v>
      </c>
      <c r="AW29" s="225">
        <f t="shared" si="38"/>
        <v>285.40474849642254</v>
      </c>
      <c r="AX29" s="225">
        <f t="shared" si="38"/>
        <v>369.52557979879452</v>
      </c>
      <c r="AY29" s="225">
        <f t="shared" si="38"/>
        <v>440.74435299854366</v>
      </c>
      <c r="AZ29" s="225">
        <f t="shared" si="38"/>
        <v>476.07735290860359</v>
      </c>
      <c r="BA29" s="228">
        <f t="shared" ref="BA29" si="39">SUM(AO29:AZ29)</f>
        <v>5139.9357954106854</v>
      </c>
      <c r="BB29" s="17"/>
      <c r="BC29" s="3"/>
      <c r="BD29" s="3"/>
    </row>
    <row r="30" spans="1:58">
      <c r="AC30" s="241"/>
      <c r="AI30" s="16"/>
      <c r="AJ30" s="16"/>
      <c r="AK30" s="16"/>
      <c r="AL30" s="16"/>
      <c r="AM30" s="54"/>
      <c r="AN30" s="54"/>
      <c r="AO30" s="88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94"/>
    </row>
    <row r="31" spans="1:58" ht="15.75" thickBot="1">
      <c r="C31" s="4">
        <f t="shared" ref="C31:AH31" si="40">SUM(C4:C6)</f>
        <v>550013.26888999995</v>
      </c>
      <c r="D31" s="4">
        <f t="shared" si="40"/>
        <v>1245671.1000000001</v>
      </c>
      <c r="E31" s="4">
        <f t="shared" si="40"/>
        <v>1265666.8</v>
      </c>
      <c r="F31" s="4">
        <f t="shared" si="40"/>
        <v>1295769.5</v>
      </c>
      <c r="G31" s="4">
        <f t="shared" si="40"/>
        <v>1279318.5</v>
      </c>
      <c r="H31" s="4">
        <f t="shared" si="40"/>
        <v>1328706.1000000001</v>
      </c>
      <c r="I31" s="4">
        <f t="shared" si="40"/>
        <v>1345661.4000000001</v>
      </c>
      <c r="J31" s="4">
        <f t="shared" si="40"/>
        <v>1362800.9000000001</v>
      </c>
      <c r="K31" s="4">
        <f t="shared" si="40"/>
        <v>1373312.8000000003</v>
      </c>
      <c r="L31" s="4">
        <f t="shared" si="40"/>
        <v>1392764</v>
      </c>
      <c r="M31" s="4">
        <f t="shared" si="40"/>
        <v>1418861.5</v>
      </c>
      <c r="N31" s="4">
        <f t="shared" si="40"/>
        <v>1443476.7000000002</v>
      </c>
      <c r="O31" s="4">
        <f t="shared" si="40"/>
        <v>1494107.9000000001</v>
      </c>
      <c r="P31" s="11">
        <f t="shared" si="40"/>
        <v>1524782.4000000001</v>
      </c>
      <c r="Q31" s="4">
        <f t="shared" si="40"/>
        <v>1539672.9000000004</v>
      </c>
      <c r="R31" s="4">
        <f t="shared" si="40"/>
        <v>1558718.7000000002</v>
      </c>
      <c r="S31" s="4">
        <f t="shared" si="40"/>
        <v>1544049.2000000002</v>
      </c>
      <c r="T31" s="4">
        <f t="shared" si="40"/>
        <v>1583548.3</v>
      </c>
      <c r="U31" s="4">
        <f t="shared" si="40"/>
        <v>1610843.7</v>
      </c>
      <c r="V31" s="4">
        <f t="shared" si="40"/>
        <v>1628415.2</v>
      </c>
      <c r="W31" s="4">
        <f t="shared" si="40"/>
        <v>1641569.3</v>
      </c>
      <c r="X31" s="4">
        <f t="shared" si="40"/>
        <v>1655457.9000000001</v>
      </c>
      <c r="Y31" s="4">
        <f t="shared" si="40"/>
        <v>1646774.2</v>
      </c>
      <c r="Z31" s="4">
        <f t="shared" si="40"/>
        <v>1680542.0999999999</v>
      </c>
      <c r="AA31" s="4">
        <f t="shared" si="40"/>
        <v>1725819.35769</v>
      </c>
      <c r="AB31" s="4">
        <f t="shared" si="40"/>
        <v>1770334.6903205272</v>
      </c>
      <c r="AC31" s="4">
        <f t="shared" si="40"/>
        <v>1833510.070833513</v>
      </c>
      <c r="AD31" s="4">
        <f t="shared" si="40"/>
        <v>1861867.6544879016</v>
      </c>
      <c r="AE31" s="4">
        <f t="shared" si="40"/>
        <v>1890662.4751423239</v>
      </c>
      <c r="AF31" s="4">
        <f t="shared" si="40"/>
        <v>1897603.0937808452</v>
      </c>
      <c r="AG31" s="15">
        <f t="shared" si="40"/>
        <v>1922848.4043604136</v>
      </c>
      <c r="AH31" s="15">
        <f t="shared" si="40"/>
        <v>1946383.9292796128</v>
      </c>
      <c r="AI31" s="15">
        <f t="shared" ref="AI31:AZ31" si="41">SUM(AI4:AI6)</f>
        <v>1958222.2221122021</v>
      </c>
      <c r="AJ31" s="15">
        <f t="shared" si="41"/>
        <v>1974314.4063991308</v>
      </c>
      <c r="AK31" s="15">
        <f t="shared" si="41"/>
        <v>2008054.2</v>
      </c>
      <c r="AL31" s="15">
        <f t="shared" si="41"/>
        <v>2035349.1</v>
      </c>
      <c r="AM31" s="15">
        <f t="shared" si="41"/>
        <v>2064109.8000000003</v>
      </c>
      <c r="AN31" s="17">
        <f t="shared" si="41"/>
        <v>1914544.5695697283</v>
      </c>
      <c r="AO31" s="80">
        <f t="shared" si="41"/>
        <v>2075396.0813946128</v>
      </c>
      <c r="AP31" s="15">
        <f t="shared" si="41"/>
        <v>2093159.9091547839</v>
      </c>
      <c r="AQ31" s="15">
        <f t="shared" si="41"/>
        <v>2107363.4038915839</v>
      </c>
      <c r="AR31" s="15">
        <f t="shared" si="41"/>
        <v>2136387.8454564014</v>
      </c>
      <c r="AS31" s="15">
        <f t="shared" si="41"/>
        <v>2151414.6843098132</v>
      </c>
      <c r="AT31" s="15">
        <f t="shared" si="41"/>
        <v>2174221.846587575</v>
      </c>
      <c r="AU31" s="15">
        <f t="shared" si="41"/>
        <v>2194695.1197892935</v>
      </c>
      <c r="AV31" s="15">
        <f t="shared" si="41"/>
        <v>2208262.8611956602</v>
      </c>
      <c r="AW31" s="15">
        <f t="shared" si="41"/>
        <v>2218187.6347583085</v>
      </c>
      <c r="AX31" s="15">
        <f t="shared" si="41"/>
        <v>2256792.3111527688</v>
      </c>
      <c r="AY31" s="15">
        <f t="shared" si="41"/>
        <v>2291717.0489387936</v>
      </c>
      <c r="AZ31" s="15">
        <f t="shared" si="41"/>
        <v>2314671.3941794666</v>
      </c>
      <c r="BA31" s="17"/>
      <c r="BB31" s="17"/>
    </row>
    <row r="32" spans="1:58" s="57" customFormat="1" ht="15.75" thickBot="1">
      <c r="A32" s="57" t="s">
        <v>65</v>
      </c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9">
        <f t="shared" ref="P32:Z32" si="42">AVERAGE(D51:P51)</f>
        <v>0.54174183578121504</v>
      </c>
      <c r="Q32" s="58">
        <f t="shared" si="42"/>
        <v>0.54327332549605267</v>
      </c>
      <c r="R32" s="58">
        <f t="shared" si="42"/>
        <v>0.54332453629177158</v>
      </c>
      <c r="S32" s="58">
        <f t="shared" si="42"/>
        <v>0.54319224794933896</v>
      </c>
      <c r="T32" s="58">
        <f t="shared" si="42"/>
        <v>0.54438297496340671</v>
      </c>
      <c r="U32" s="58">
        <f t="shared" si="42"/>
        <v>0.54524162459810954</v>
      </c>
      <c r="V32" s="58">
        <f t="shared" si="42"/>
        <v>0.54606319560794181</v>
      </c>
      <c r="W32" s="58">
        <f t="shared" si="42"/>
        <v>0.54798642945096687</v>
      </c>
      <c r="X32" s="58">
        <f t="shared" si="42"/>
        <v>0.54901860875354835</v>
      </c>
      <c r="Y32" s="58">
        <f t="shared" si="42"/>
        <v>0.55002793365313962</v>
      </c>
      <c r="Z32" s="58">
        <f t="shared" si="42"/>
        <v>0.55208475871872331</v>
      </c>
      <c r="AA32" s="58">
        <f t="shared" ref="AA32:AJ32" si="43">+AA4/(AA4+AA12+AA6)</f>
        <v>0.57441367431229629</v>
      </c>
      <c r="AB32" s="58">
        <f t="shared" si="43"/>
        <v>0.56553069059429217</v>
      </c>
      <c r="AC32" s="58">
        <f t="shared" si="43"/>
        <v>0.55385286187075955</v>
      </c>
      <c r="AD32" s="58">
        <f t="shared" si="43"/>
        <v>0.55121812634006895</v>
      </c>
      <c r="AE32" s="58">
        <f t="shared" si="43"/>
        <v>0.54652763969529572</v>
      </c>
      <c r="AF32" s="58">
        <f t="shared" si="43"/>
        <v>0.54520326373344541</v>
      </c>
      <c r="AG32" s="58">
        <f t="shared" si="43"/>
        <v>0.54162215681605663</v>
      </c>
      <c r="AH32" s="58">
        <f t="shared" si="43"/>
        <v>0.5373453224036312</v>
      </c>
      <c r="AI32" s="58">
        <f t="shared" si="43"/>
        <v>0.54176925786067009</v>
      </c>
      <c r="AJ32" s="58">
        <f t="shared" si="43"/>
        <v>0.54052530667917331</v>
      </c>
      <c r="AK32" s="58">
        <f t="shared" ref="AK32:BA32" si="44">+AK4/(AK4+AK5+AK6)</f>
        <v>0.5330336659695456</v>
      </c>
      <c r="AL32" s="58">
        <f t="shared" si="44"/>
        <v>0.54966458979118449</v>
      </c>
      <c r="AM32" s="58">
        <f t="shared" si="44"/>
        <v>0.54810274648598867</v>
      </c>
      <c r="AN32" s="75">
        <f t="shared" si="44"/>
        <v>0.54795336087396651</v>
      </c>
      <c r="AO32" s="89">
        <f t="shared" si="44"/>
        <v>0.54776157199562947</v>
      </c>
      <c r="AP32" s="58">
        <f t="shared" si="44"/>
        <v>0.55422342258183421</v>
      </c>
      <c r="AQ32" s="58">
        <f t="shared" si="44"/>
        <v>0.55212017234027722</v>
      </c>
      <c r="AR32" s="58">
        <f t="shared" si="44"/>
        <v>0.54595776996779211</v>
      </c>
      <c r="AS32" s="58">
        <f t="shared" si="44"/>
        <v>0.55265654519171115</v>
      </c>
      <c r="AT32" s="58">
        <f t="shared" si="44"/>
        <v>0.54704941324490663</v>
      </c>
      <c r="AU32" s="58">
        <f t="shared" si="44"/>
        <v>0.54211901387306949</v>
      </c>
      <c r="AV32" s="58">
        <f t="shared" si="44"/>
        <v>0.55050110887460024</v>
      </c>
      <c r="AW32" s="58">
        <f t="shared" si="44"/>
        <v>0.54818859150439214</v>
      </c>
      <c r="AX32" s="58">
        <f t="shared" si="44"/>
        <v>0.53909130416365758</v>
      </c>
      <c r="AY32" s="58">
        <f t="shared" si="44"/>
        <v>0.54650618904524206</v>
      </c>
      <c r="AZ32" s="58">
        <f t="shared" si="44"/>
        <v>0.54266950206735731</v>
      </c>
      <c r="BA32" s="72">
        <f t="shared" si="44"/>
        <v>0.54737010640966954</v>
      </c>
      <c r="BB32" s="19"/>
      <c r="BC32" s="92"/>
    </row>
    <row r="33" spans="1:57"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6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266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</row>
    <row r="34" spans="1:57">
      <c r="A34" s="1" t="s">
        <v>61</v>
      </c>
      <c r="BE34" s="278"/>
    </row>
    <row r="35" spans="1:57">
      <c r="A35" s="23" t="s">
        <v>49</v>
      </c>
      <c r="B35" s="23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17">
        <v>-86051.128324447534</v>
      </c>
      <c r="AO35" s="26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17">
        <v>-67002.951722974045</v>
      </c>
      <c r="BB35" s="17"/>
      <c r="BC35" s="14"/>
      <c r="BE35" s="14"/>
    </row>
    <row r="36" spans="1:57">
      <c r="A36" s="23" t="s">
        <v>50</v>
      </c>
      <c r="B36" s="23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17">
        <v>-49721.841684891719</v>
      </c>
      <c r="AO36" s="26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17">
        <v>-46660.623342015009</v>
      </c>
      <c r="BB36" s="17"/>
      <c r="BE36" s="14"/>
    </row>
    <row r="37" spans="1:57">
      <c r="A37" s="23" t="s">
        <v>51</v>
      </c>
      <c r="B37" s="23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17">
        <v>-19314.247707706691</v>
      </c>
      <c r="AO37" s="26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17">
        <v>-6348.6370346175327</v>
      </c>
      <c r="BB37" s="17"/>
      <c r="BE37" s="14"/>
    </row>
    <row r="38" spans="1:57">
      <c r="A38" s="23" t="s">
        <v>54</v>
      </c>
      <c r="B38" s="23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17">
        <v>-2069.600908508</v>
      </c>
      <c r="AO38" s="26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17">
        <v>-1363.8783116930001</v>
      </c>
      <c r="BB38" s="17"/>
      <c r="BE38" s="14"/>
    </row>
    <row r="39" spans="1:57">
      <c r="A39" s="23" t="s">
        <v>62</v>
      </c>
      <c r="B39" s="23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17">
        <v>-40199.33638852759</v>
      </c>
      <c r="AO39" s="26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17">
        <v>-20947.229721249565</v>
      </c>
      <c r="BB39" s="17"/>
      <c r="BE39" s="14"/>
    </row>
    <row r="40" spans="1:57">
      <c r="A40" s="26" t="s">
        <v>56</v>
      </c>
      <c r="B40" s="26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24">
        <v>-218.63138190800001</v>
      </c>
      <c r="AO40" s="2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24">
        <v>-156.40782956000001</v>
      </c>
      <c r="BB40" s="17"/>
      <c r="BE40" s="14"/>
    </row>
    <row r="41" spans="1:57">
      <c r="A41" s="23" t="s">
        <v>53</v>
      </c>
      <c r="B41" s="23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17">
        <f t="shared" ref="AN41" si="45">SUM(AN35:AN40)</f>
        <v>-197574.78639598953</v>
      </c>
      <c r="AO41" s="26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214">
        <f>SUM(BA35:BA40)</f>
        <v>-142479.72796210914</v>
      </c>
      <c r="BB41" s="17"/>
    </row>
    <row r="42" spans="1:57">
      <c r="A42" s="1" t="s">
        <v>177</v>
      </c>
      <c r="P42"/>
      <c r="AN42" s="17"/>
      <c r="BA42" s="17"/>
      <c r="BB42" s="17"/>
    </row>
    <row r="43" spans="1:57">
      <c r="A43" t="s">
        <v>49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17">
        <f t="shared" ref="AN43:AN48" si="46">+AN4+AN35</f>
        <v>963030.00311428669</v>
      </c>
      <c r="AO43" s="26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17">
        <f t="shared" ref="BA43:BA48" si="47">+BA4+BA35</f>
        <v>1124006.1865958723</v>
      </c>
      <c r="BB43" s="17"/>
      <c r="BE43" s="14"/>
    </row>
    <row r="44" spans="1:57">
      <c r="A44" t="s">
        <v>50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17">
        <f t="shared" si="46"/>
        <v>577911.97360895423</v>
      </c>
      <c r="AO44" s="26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17">
        <f t="shared" si="47"/>
        <v>832185.49964413897</v>
      </c>
      <c r="BB44" s="17"/>
      <c r="BC44" s="98"/>
    </row>
    <row r="45" spans="1:57">
      <c r="A45" t="s">
        <v>51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17">
        <f t="shared" si="46"/>
        <v>218515.37512944147</v>
      </c>
      <c r="AO45" s="26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17">
        <f t="shared" si="47"/>
        <v>99671.481722618133</v>
      </c>
      <c r="BB45" s="17"/>
      <c r="BC45" s="98"/>
    </row>
    <row r="46" spans="1:57">
      <c r="A46" t="s">
        <v>54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17">
        <f t="shared" si="46"/>
        <v>26882.011986107387</v>
      </c>
      <c r="AO46" s="26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17">
        <f t="shared" si="47"/>
        <v>27528.183249845468</v>
      </c>
      <c r="BB46" s="17"/>
    </row>
    <row r="47" spans="1:57">
      <c r="A47" t="s">
        <v>62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17">
        <f t="shared" si="46"/>
        <v>235153.27385224163</v>
      </c>
      <c r="AO47" s="26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17">
        <f t="shared" si="47"/>
        <v>280240.20874028886</v>
      </c>
      <c r="BB47" s="17"/>
    </row>
    <row r="48" spans="1:57">
      <c r="A48" s="27" t="s">
        <v>56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24">
        <f t="shared" si="46"/>
        <v>2839.7993873227697</v>
      </c>
      <c r="AO48" s="2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24">
        <f t="shared" si="47"/>
        <v>3156.8921704400004</v>
      </c>
      <c r="BB48" s="17"/>
    </row>
    <row r="49" spans="1:57" ht="15.75" thickBot="1">
      <c r="A49" s="213" t="s">
        <v>53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17">
        <f t="shared" ref="AN49" si="48">SUM(AN43:AN48)</f>
        <v>2024332.4370783542</v>
      </c>
      <c r="AO49" s="26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214">
        <f t="shared" ref="BA49" si="49">SUM(BA43:BA48)</f>
        <v>2366788.4521232038</v>
      </c>
      <c r="BB49" s="17"/>
      <c r="BC49" s="32"/>
      <c r="BE49" s="241"/>
    </row>
    <row r="50" spans="1:57" ht="15.75" thickBot="1">
      <c r="A50" s="1" t="s">
        <v>178</v>
      </c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265">
        <f>+AN43/(AN43+AN44+AN45)</f>
        <v>0.54734489705034928</v>
      </c>
      <c r="AO50" s="26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229">
        <f>+BA43/(BA43+BA44+BA45)</f>
        <v>0.54673200245606224</v>
      </c>
      <c r="BB50" s="95"/>
    </row>
    <row r="51" spans="1:57">
      <c r="A51" t="s">
        <v>49</v>
      </c>
      <c r="C51" s="5">
        <f t="shared" ref="C51:AM51" si="50">C4/C$31</f>
        <v>0</v>
      </c>
      <c r="D51" s="5">
        <f t="shared" si="50"/>
        <v>0.54066807843579257</v>
      </c>
      <c r="E51" s="5">
        <f t="shared" si="50"/>
        <v>0.56006051513715926</v>
      </c>
      <c r="F51" s="5">
        <f t="shared" si="50"/>
        <v>0.55298631430975964</v>
      </c>
      <c r="G51" s="5">
        <f t="shared" si="50"/>
        <v>0.54493294672124271</v>
      </c>
      <c r="H51" s="5">
        <f t="shared" si="50"/>
        <v>0.54388867485443182</v>
      </c>
      <c r="I51" s="5">
        <f t="shared" si="50"/>
        <v>0.5410818055715948</v>
      </c>
      <c r="J51" s="5">
        <f t="shared" si="50"/>
        <v>0.53753229837168437</v>
      </c>
      <c r="K51" s="5">
        <f t="shared" si="50"/>
        <v>0.54878932170442163</v>
      </c>
      <c r="L51" s="5">
        <f t="shared" si="50"/>
        <v>0.54511554003406182</v>
      </c>
      <c r="M51" s="5">
        <f t="shared" si="50"/>
        <v>0.53868894180298788</v>
      </c>
      <c r="N51" s="5">
        <f t="shared" si="50"/>
        <v>0.54061821711427693</v>
      </c>
      <c r="O51" s="5">
        <f t="shared" si="50"/>
        <v>0.52622344075685568</v>
      </c>
      <c r="P51" s="5">
        <f t="shared" si="50"/>
        <v>0.52205777034152545</v>
      </c>
      <c r="Q51" s="5">
        <f t="shared" si="50"/>
        <v>0.56057744472868232</v>
      </c>
      <c r="R51" s="5">
        <f t="shared" si="50"/>
        <v>0.56072625548150545</v>
      </c>
      <c r="S51" s="5">
        <f t="shared" si="50"/>
        <v>0.55126656585813461</v>
      </c>
      <c r="T51" s="5">
        <f t="shared" si="50"/>
        <v>0.56041239790412456</v>
      </c>
      <c r="U51" s="5">
        <f t="shared" si="50"/>
        <v>0.55505112010556956</v>
      </c>
      <c r="V51" s="5">
        <f t="shared" si="50"/>
        <v>0.55176222869941283</v>
      </c>
      <c r="W51" s="5">
        <f t="shared" si="50"/>
        <v>0.56253433833101052</v>
      </c>
      <c r="X51" s="5">
        <f t="shared" si="50"/>
        <v>0.56220765263798012</v>
      </c>
      <c r="Y51" s="5">
        <f t="shared" si="50"/>
        <v>0.5582367637287492</v>
      </c>
      <c r="Z51" s="5">
        <f t="shared" si="50"/>
        <v>0.56542766765557384</v>
      </c>
      <c r="AA51" s="5">
        <f t="shared" si="50"/>
        <v>0.57441367431229629</v>
      </c>
      <c r="AB51" s="5">
        <f t="shared" si="50"/>
        <v>0.56553069059429217</v>
      </c>
      <c r="AC51" s="5">
        <f t="shared" si="50"/>
        <v>0.55385286187075955</v>
      </c>
      <c r="AD51" s="5">
        <f t="shared" si="50"/>
        <v>0.55121812634006895</v>
      </c>
      <c r="AE51" s="5">
        <f t="shared" si="50"/>
        <v>0.54652763969529572</v>
      </c>
      <c r="AF51" s="5">
        <f t="shared" si="50"/>
        <v>0.54520326373344541</v>
      </c>
      <c r="AG51" s="5">
        <f t="shared" si="50"/>
        <v>0.54162215681605663</v>
      </c>
      <c r="AH51" s="5">
        <f t="shared" si="50"/>
        <v>0.5373453224036312</v>
      </c>
      <c r="AI51" s="5">
        <f t="shared" si="50"/>
        <v>0.54176925786067009</v>
      </c>
      <c r="AJ51" s="5">
        <f t="shared" si="50"/>
        <v>0.54052530667917331</v>
      </c>
      <c r="AK51" s="5">
        <f t="shared" si="50"/>
        <v>0.5330336659695456</v>
      </c>
      <c r="AL51" s="5">
        <f t="shared" si="50"/>
        <v>0.54966458979118449</v>
      </c>
      <c r="AM51" s="5">
        <f t="shared" si="50"/>
        <v>0.54810274648598867</v>
      </c>
      <c r="AN51" s="5">
        <f>+AN43/AN$49</f>
        <v>0.47572720047118006</v>
      </c>
      <c r="AO51" s="263">
        <f t="shared" ref="AO51:AZ51" si="51">AO4/AO$31</f>
        <v>0.54776157199562947</v>
      </c>
      <c r="AP51" s="5">
        <f t="shared" si="51"/>
        <v>0.55422342258183421</v>
      </c>
      <c r="AQ51" s="5">
        <f t="shared" si="51"/>
        <v>0.55212017234027722</v>
      </c>
      <c r="AR51" s="5">
        <f t="shared" si="51"/>
        <v>0.54595776996779211</v>
      </c>
      <c r="AS51" s="5">
        <f t="shared" si="51"/>
        <v>0.55265654519171115</v>
      </c>
      <c r="AT51" s="5">
        <f t="shared" si="51"/>
        <v>0.54704941324490663</v>
      </c>
      <c r="AU51" s="5">
        <f t="shared" si="51"/>
        <v>0.54211901387306949</v>
      </c>
      <c r="AV51" s="5">
        <f t="shared" si="51"/>
        <v>0.55050110887460024</v>
      </c>
      <c r="AW51" s="5">
        <f t="shared" si="51"/>
        <v>0.54818859150439214</v>
      </c>
      <c r="AX51" s="5">
        <f t="shared" si="51"/>
        <v>0.53909130416365758</v>
      </c>
      <c r="AY51" s="5">
        <f t="shared" si="51"/>
        <v>0.54650618904524206</v>
      </c>
      <c r="AZ51" s="5">
        <f t="shared" si="51"/>
        <v>0.54266950206735731</v>
      </c>
      <c r="BA51" s="5">
        <f>+BA43/BA$49</f>
        <v>0.47490775341055358</v>
      </c>
      <c r="BB51" s="96"/>
      <c r="BC51" s="19"/>
      <c r="BE51" s="271"/>
    </row>
    <row r="52" spans="1:57">
      <c r="A52" t="s">
        <v>50</v>
      </c>
      <c r="C52" s="5">
        <f t="shared" ref="C52:AM52" si="52">C5/C$31</f>
        <v>0.61027824770011252</v>
      </c>
      <c r="D52" s="5">
        <f t="shared" si="52"/>
        <v>0.26946527056780878</v>
      </c>
      <c r="E52" s="5">
        <f t="shared" si="52"/>
        <v>0.2652112704544356</v>
      </c>
      <c r="F52" s="5">
        <f t="shared" si="52"/>
        <v>0.43606953242841412</v>
      </c>
      <c r="G52" s="5">
        <f t="shared" si="52"/>
        <v>0.44168305234388461</v>
      </c>
      <c r="H52" s="5">
        <f t="shared" si="52"/>
        <v>0.39007602960504206</v>
      </c>
      <c r="I52" s="5">
        <f t="shared" si="52"/>
        <v>0.38516687778961334</v>
      </c>
      <c r="J52" s="5">
        <f t="shared" si="52"/>
        <v>0.38032855716488001</v>
      </c>
      <c r="K52" s="5">
        <f t="shared" si="52"/>
        <v>0.37742304593680326</v>
      </c>
      <c r="L52" s="5">
        <f t="shared" si="52"/>
        <v>0.37215759453862968</v>
      </c>
      <c r="M52" s="5">
        <f t="shared" si="52"/>
        <v>0.36531796796234162</v>
      </c>
      <c r="N52" s="5">
        <f t="shared" si="52"/>
        <v>0.35909370757421993</v>
      </c>
      <c r="O52" s="5">
        <f t="shared" si="52"/>
        <v>0.34693023174564563</v>
      </c>
      <c r="P52" s="5">
        <f t="shared" si="52"/>
        <v>0.33995611439376527</v>
      </c>
      <c r="Q52" s="5">
        <f t="shared" si="52"/>
        <v>0.33667339342012181</v>
      </c>
      <c r="R52" s="5">
        <f t="shared" si="52"/>
        <v>0.33256462503465184</v>
      </c>
      <c r="S52" s="5">
        <f t="shared" si="52"/>
        <v>0.33572926303125572</v>
      </c>
      <c r="T52" s="5">
        <f t="shared" si="52"/>
        <v>0.32736001800513442</v>
      </c>
      <c r="U52" s="5">
        <f t="shared" si="52"/>
        <v>0.32181781509900681</v>
      </c>
      <c r="V52" s="5">
        <f t="shared" si="52"/>
        <v>0.36437021712889933</v>
      </c>
      <c r="W52" s="5">
        <f t="shared" si="52"/>
        <v>0.36145565100419458</v>
      </c>
      <c r="X52" s="5">
        <f t="shared" si="52"/>
        <v>0.34332682214389137</v>
      </c>
      <c r="Y52" s="5">
        <f t="shared" si="52"/>
        <v>0.34514227876535836</v>
      </c>
      <c r="Z52" s="5">
        <f t="shared" si="52"/>
        <v>0.33821211619750557</v>
      </c>
      <c r="AA52" s="5">
        <f t="shared" si="52"/>
        <v>0.32934383694756109</v>
      </c>
      <c r="AB52" s="5">
        <f t="shared" si="52"/>
        <v>0.32106695544506858</v>
      </c>
      <c r="AC52" s="5">
        <f t="shared" si="52"/>
        <v>0.31000864308402937</v>
      </c>
      <c r="AD52" s="5">
        <f t="shared" si="52"/>
        <v>0.30529128521561816</v>
      </c>
      <c r="AE52" s="5">
        <f t="shared" si="52"/>
        <v>0.30064592523168943</v>
      </c>
      <c r="AF52" s="5">
        <f t="shared" si="52"/>
        <v>0.29955050716503939</v>
      </c>
      <c r="AG52" s="5">
        <f t="shared" si="52"/>
        <v>0.29562183261611602</v>
      </c>
      <c r="AH52" s="5">
        <f t="shared" si="52"/>
        <v>0.2920513063167296</v>
      </c>
      <c r="AI52" s="5">
        <f t="shared" si="52"/>
        <v>0.29028981630432588</v>
      </c>
      <c r="AJ52" s="5">
        <f t="shared" si="52"/>
        <v>0.28792778257480794</v>
      </c>
      <c r="AK52" s="5">
        <f t="shared" si="52"/>
        <v>0.41084546878266531</v>
      </c>
      <c r="AL52" s="5">
        <f t="shared" si="52"/>
        <v>0.40533585572126174</v>
      </c>
      <c r="AM52" s="5">
        <f t="shared" si="52"/>
        <v>0.39968802490061323</v>
      </c>
      <c r="AN52" s="5">
        <f t="shared" ref="AN52:AN56" si="53">+AN44/AN$49</f>
        <v>0.28548274138364038</v>
      </c>
      <c r="AO52" s="263">
        <f t="shared" ref="AO52:AZ52" si="54">AO5/AO$31</f>
        <v>0.3975144679783828</v>
      </c>
      <c r="AP52" s="5">
        <f t="shared" si="54"/>
        <v>0.39414091848966004</v>
      </c>
      <c r="AQ52" s="5">
        <f t="shared" si="54"/>
        <v>0.39148443387434051</v>
      </c>
      <c r="AR52" s="5">
        <f t="shared" si="54"/>
        <v>0.38616582232228219</v>
      </c>
      <c r="AS52" s="5">
        <f t="shared" si="54"/>
        <v>0.38346859634113956</v>
      </c>
      <c r="AT52" s="5">
        <f t="shared" si="54"/>
        <v>0.42543955235836695</v>
      </c>
      <c r="AU52" s="5">
        <f t="shared" si="54"/>
        <v>0.42147082790652335</v>
      </c>
      <c r="AV52" s="5">
        <f t="shared" si="54"/>
        <v>0.41888127785618795</v>
      </c>
      <c r="AW52" s="5">
        <f t="shared" si="54"/>
        <v>0.4170070893217232</v>
      </c>
      <c r="AX52" s="5">
        <f t="shared" si="54"/>
        <v>0.40987376843175716</v>
      </c>
      <c r="AY52" s="5">
        <f t="shared" si="54"/>
        <v>0.40362747642355412</v>
      </c>
      <c r="AZ52" s="5">
        <f t="shared" si="54"/>
        <v>0.3996247465044192</v>
      </c>
      <c r="BA52" s="5">
        <f>+BA44/BA$49</f>
        <v>0.35160958255377667</v>
      </c>
      <c r="BB52" s="96"/>
      <c r="BC52" s="19"/>
      <c r="BE52" s="271"/>
    </row>
    <row r="53" spans="1:57">
      <c r="A53" t="s">
        <v>51</v>
      </c>
      <c r="C53" s="18">
        <f t="shared" ref="C53:AM53" si="55">C6/C$31</f>
        <v>0.38972175229988754</v>
      </c>
      <c r="D53" s="18">
        <f t="shared" si="55"/>
        <v>0.18986665099639863</v>
      </c>
      <c r="E53" s="18">
        <f t="shared" si="55"/>
        <v>0.17472821440840511</v>
      </c>
      <c r="F53" s="18">
        <f t="shared" si="55"/>
        <v>1.0944153261826274E-2</v>
      </c>
      <c r="G53" s="18">
        <f t="shared" si="55"/>
        <v>1.3384000934872747E-2</v>
      </c>
      <c r="H53" s="18">
        <f t="shared" si="55"/>
        <v>6.6035295540526229E-2</v>
      </c>
      <c r="I53" s="18">
        <f t="shared" si="55"/>
        <v>7.3751316638791892E-2</v>
      </c>
      <c r="J53" s="18">
        <f t="shared" si="55"/>
        <v>8.2139144463435551E-2</v>
      </c>
      <c r="K53" s="18">
        <f t="shared" si="55"/>
        <v>7.3787632358775057E-2</v>
      </c>
      <c r="L53" s="18">
        <f t="shared" si="55"/>
        <v>8.2726865427308574E-2</v>
      </c>
      <c r="M53" s="18">
        <f t="shared" si="55"/>
        <v>9.5993090234670536E-2</v>
      </c>
      <c r="N53" s="18">
        <f t="shared" si="55"/>
        <v>0.10028807531150311</v>
      </c>
      <c r="O53" s="18">
        <f t="shared" si="55"/>
        <v>0.12684632749749866</v>
      </c>
      <c r="P53" s="18">
        <f t="shared" si="55"/>
        <v>0.13798611526470922</v>
      </c>
      <c r="Q53" s="18">
        <f t="shared" si="55"/>
        <v>0.10274916185119577</v>
      </c>
      <c r="R53" s="18">
        <f t="shared" si="55"/>
        <v>0.10670911948384271</v>
      </c>
      <c r="S53" s="18">
        <f t="shared" si="55"/>
        <v>0.11300417111060967</v>
      </c>
      <c r="T53" s="18">
        <f t="shared" si="55"/>
        <v>0.11222758409074102</v>
      </c>
      <c r="U53" s="18">
        <f t="shared" si="55"/>
        <v>0.12313106479542367</v>
      </c>
      <c r="V53" s="18">
        <f t="shared" si="55"/>
        <v>8.3867554171687925E-2</v>
      </c>
      <c r="W53" s="18">
        <f t="shared" si="55"/>
        <v>7.6010010664794958E-2</v>
      </c>
      <c r="X53" s="18">
        <f t="shared" si="55"/>
        <v>9.4465525218128468E-2</v>
      </c>
      <c r="Y53" s="18">
        <f t="shared" si="55"/>
        <v>9.6620957505892432E-2</v>
      </c>
      <c r="Z53" s="18">
        <f t="shared" si="55"/>
        <v>9.6360216146920696E-2</v>
      </c>
      <c r="AA53" s="18">
        <f t="shared" si="55"/>
        <v>9.6242488740142601E-2</v>
      </c>
      <c r="AB53" s="18">
        <f t="shared" si="55"/>
        <v>0.11340235396063922</v>
      </c>
      <c r="AC53" s="18">
        <f t="shared" si="55"/>
        <v>0.13613849504521128</v>
      </c>
      <c r="AD53" s="18">
        <f t="shared" si="55"/>
        <v>0.14349058844431292</v>
      </c>
      <c r="AE53" s="18">
        <f t="shared" si="55"/>
        <v>0.15282643507301483</v>
      </c>
      <c r="AF53" s="18">
        <f t="shared" si="55"/>
        <v>0.15524622910151517</v>
      </c>
      <c r="AG53" s="18">
        <f t="shared" si="55"/>
        <v>0.16275601056782749</v>
      </c>
      <c r="AH53" s="18">
        <f t="shared" si="55"/>
        <v>0.17060337127963923</v>
      </c>
      <c r="AI53" s="18">
        <f t="shared" si="55"/>
        <v>0.167940925835004</v>
      </c>
      <c r="AJ53" s="18">
        <f t="shared" si="55"/>
        <v>0.17154691074601877</v>
      </c>
      <c r="AK53" s="18">
        <f t="shared" si="55"/>
        <v>5.6120865247789121E-2</v>
      </c>
      <c r="AL53" s="18">
        <f t="shared" si="55"/>
        <v>4.4999554487553758E-2</v>
      </c>
      <c r="AM53" s="18">
        <f t="shared" si="55"/>
        <v>5.2209228613398079E-2</v>
      </c>
      <c r="AN53" s="5">
        <f t="shared" si="53"/>
        <v>0.10794441225514166</v>
      </c>
      <c r="AO53" s="263">
        <f t="shared" ref="AO53:AZ53" si="56">AO6/AO$31</f>
        <v>5.4723960025987839E-2</v>
      </c>
      <c r="AP53" s="18">
        <f t="shared" si="56"/>
        <v>5.1635658928505704E-2</v>
      </c>
      <c r="AQ53" s="18">
        <f t="shared" si="56"/>
        <v>5.6395393785382296E-2</v>
      </c>
      <c r="AR53" s="18">
        <f t="shared" si="56"/>
        <v>6.7876407709925701E-2</v>
      </c>
      <c r="AS53" s="18">
        <f t="shared" si="56"/>
        <v>6.3874858467149229E-2</v>
      </c>
      <c r="AT53" s="18">
        <f t="shared" si="56"/>
        <v>2.7511034396726395E-2</v>
      </c>
      <c r="AU53" s="18">
        <f t="shared" si="56"/>
        <v>3.6410158220407218E-2</v>
      </c>
      <c r="AV53" s="18">
        <f t="shared" si="56"/>
        <v>3.0617613269211853E-2</v>
      </c>
      <c r="AW53" s="18">
        <f t="shared" si="56"/>
        <v>3.4804319173884546E-2</v>
      </c>
      <c r="AX53" s="18">
        <f t="shared" si="56"/>
        <v>5.1034927404585359E-2</v>
      </c>
      <c r="AY53" s="18">
        <f t="shared" si="56"/>
        <v>4.9866334531203746E-2</v>
      </c>
      <c r="AZ53" s="18">
        <f t="shared" si="56"/>
        <v>5.7705751428223581E-2</v>
      </c>
      <c r="BA53" s="5">
        <f t="shared" ref="BA53:BA56" si="57">+BA45/BA$49</f>
        <v>4.2112543532652709E-2</v>
      </c>
      <c r="BB53" s="96"/>
      <c r="BC53" s="19"/>
      <c r="BE53" s="271"/>
    </row>
    <row r="54" spans="1:57">
      <c r="A54" t="s">
        <v>54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">
        <f t="shared" si="53"/>
        <v>1.32794453587402E-2</v>
      </c>
      <c r="AO54" s="269"/>
      <c r="AP54" s="240"/>
      <c r="AQ54" s="240"/>
      <c r="AR54" s="240"/>
      <c r="AS54" s="240"/>
      <c r="AT54" s="240"/>
      <c r="AU54" s="240"/>
      <c r="AV54" s="240"/>
      <c r="AW54" s="240"/>
      <c r="AX54" s="240"/>
      <c r="AY54" s="240"/>
      <c r="AZ54" s="240"/>
      <c r="BA54" s="5">
        <f t="shared" si="57"/>
        <v>1.1631028208351457E-2</v>
      </c>
      <c r="BB54" s="96"/>
      <c r="BC54" s="19"/>
      <c r="BE54" s="271"/>
    </row>
    <row r="55" spans="1:57">
      <c r="A55" t="s">
        <v>62</v>
      </c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">
        <f t="shared" si="53"/>
        <v>0.11616336800472844</v>
      </c>
      <c r="AO55" s="269"/>
      <c r="AP55" s="240"/>
      <c r="AQ55" s="240"/>
      <c r="AR55" s="240"/>
      <c r="AS55" s="240"/>
      <c r="AT55" s="240"/>
      <c r="AU55" s="240"/>
      <c r="AV55" s="240"/>
      <c r="AW55" s="240"/>
      <c r="AX55" s="240"/>
      <c r="AY55" s="240"/>
      <c r="AZ55" s="240"/>
      <c r="BA55" s="5">
        <f t="shared" si="57"/>
        <v>0.11840526283153459</v>
      </c>
      <c r="BB55" s="96"/>
      <c r="BC55" s="19"/>
      <c r="BE55" s="271"/>
    </row>
    <row r="56" spans="1:57">
      <c r="A56" s="27" t="s">
        <v>56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34">
        <f t="shared" si="53"/>
        <v>1.402832526569277E-3</v>
      </c>
      <c r="AO56" s="269"/>
      <c r="AP56" s="240"/>
      <c r="AQ56" s="240"/>
      <c r="AR56" s="240"/>
      <c r="AS56" s="240"/>
      <c r="AT56" s="240"/>
      <c r="AU56" s="240"/>
      <c r="AV56" s="240"/>
      <c r="AW56" s="240"/>
      <c r="AX56" s="240"/>
      <c r="AY56" s="240"/>
      <c r="AZ56" s="240"/>
      <c r="BA56" s="34">
        <f t="shared" si="57"/>
        <v>1.3338294631309395E-3</v>
      </c>
      <c r="BB56" s="42"/>
      <c r="BC56" s="19"/>
      <c r="BE56" s="271"/>
    </row>
    <row r="57" spans="1:57">
      <c r="A57" s="213" t="s">
        <v>53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">
        <f>SUM(AN51:AN56)</f>
        <v>0.99999999999999989</v>
      </c>
      <c r="AO57" s="269"/>
      <c r="AP57" s="240"/>
      <c r="AQ57" s="240"/>
      <c r="AR57" s="240"/>
      <c r="AS57" s="240"/>
      <c r="AT57" s="240"/>
      <c r="AU57" s="240"/>
      <c r="AV57" s="240"/>
      <c r="AW57" s="240"/>
      <c r="AX57" s="240"/>
      <c r="AY57" s="240"/>
      <c r="AZ57" s="240"/>
      <c r="BA57" s="5">
        <f>SUM(BA51:BA56)</f>
        <v>1</v>
      </c>
      <c r="BB57" s="96"/>
      <c r="BC57" s="19"/>
      <c r="BE57" s="19"/>
    </row>
    <row r="58" spans="1:57"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O58" s="26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</row>
    <row r="59" spans="1:57"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O59" s="26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</row>
    <row r="60" spans="1:57">
      <c r="A60" t="s">
        <v>49</v>
      </c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19">
        <v>9.9000000000000005E-2</v>
      </c>
      <c r="AO60" s="26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19">
        <v>0.11</v>
      </c>
      <c r="BB60" s="19"/>
      <c r="BC60" s="5"/>
      <c r="BE60" s="19"/>
    </row>
    <row r="61" spans="1:57">
      <c r="A61" t="s">
        <v>50</v>
      </c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19">
        <f>+AN25/AN5</f>
        <v>4.2665617829184176E-2</v>
      </c>
      <c r="AO61" s="26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19">
        <f>BA18</f>
        <v>4.6656739631222514E-2</v>
      </c>
      <c r="BB61" s="19"/>
      <c r="BC61" s="5"/>
      <c r="BE61" s="19"/>
    </row>
    <row r="62" spans="1:57">
      <c r="A62" t="s">
        <v>51</v>
      </c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19">
        <f>+AN29/AN6</f>
        <v>3.9343445552176254E-2</v>
      </c>
      <c r="AO62" s="26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19">
        <f>BA28</f>
        <v>4.848075870561968E-2</v>
      </c>
      <c r="BB62" s="19"/>
      <c r="BC62" s="5"/>
      <c r="BE62" s="5"/>
    </row>
    <row r="63" spans="1:57">
      <c r="A63" t="s">
        <v>54</v>
      </c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19">
        <v>2.52E-2</v>
      </c>
      <c r="AO63" s="26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19">
        <v>2.53E-2</v>
      </c>
      <c r="BB63" s="19"/>
      <c r="BC63" s="5"/>
      <c r="BE63" s="19"/>
    </row>
    <row r="64" spans="1:57">
      <c r="A64" t="s">
        <v>62</v>
      </c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19">
        <v>0</v>
      </c>
      <c r="AO64" s="267"/>
      <c r="AP64" s="57"/>
      <c r="AQ64" s="57"/>
      <c r="AR64" s="57"/>
      <c r="AS64" s="57"/>
      <c r="AT64" s="57"/>
      <c r="AU64" s="57"/>
      <c r="AV64" s="57"/>
      <c r="AW64" s="57"/>
      <c r="AX64" s="57"/>
      <c r="AY64" s="57"/>
      <c r="AZ64" s="57"/>
      <c r="BA64" s="19">
        <v>0</v>
      </c>
      <c r="BB64" s="19"/>
      <c r="BC64" s="5"/>
      <c r="BE64" s="19"/>
    </row>
    <row r="65" spans="1:60">
      <c r="A65" t="s">
        <v>56</v>
      </c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19">
        <v>7.445295823056329E-2</v>
      </c>
      <c r="AO65" s="267"/>
      <c r="AP65" s="57"/>
      <c r="AQ65" s="57"/>
      <c r="AR65" s="57"/>
      <c r="AS65" s="57"/>
      <c r="AT65" s="57"/>
      <c r="AU65" s="57"/>
      <c r="AV65" s="57"/>
      <c r="AW65" s="57"/>
      <c r="AX65" s="57"/>
      <c r="AY65" s="57"/>
      <c r="AZ65" s="57"/>
      <c r="BA65" s="274">
        <f>(BA44/(BA44+BA45+BA43))*BA61+BA45/(BA43+BA44+BA45)*BA62+BA43/(BA43+BA44+BA45)*BA60</f>
        <v>8.1376958529950319E-2</v>
      </c>
      <c r="BB65" s="19"/>
      <c r="BC65" s="5"/>
      <c r="BD65" s="273"/>
      <c r="BE65" s="16"/>
    </row>
    <row r="66" spans="1:60">
      <c r="A66" t="s">
        <v>53</v>
      </c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">
        <f>SUM(AN60:AN65)</f>
        <v>0.28066202161192372</v>
      </c>
      <c r="AO66" s="267"/>
      <c r="AP66" s="57"/>
      <c r="AQ66" s="57"/>
      <c r="AR66" s="57"/>
      <c r="AS66" s="57"/>
      <c r="AT66" s="57"/>
      <c r="AU66" s="57"/>
      <c r="AV66" s="57"/>
      <c r="AW66" s="57"/>
      <c r="AX66" s="57"/>
      <c r="AY66" s="57"/>
      <c r="AZ66" s="57"/>
      <c r="BA66" s="5">
        <f>SUM(BA60:BA65)</f>
        <v>0.31181445686679249</v>
      </c>
      <c r="BB66" s="96"/>
      <c r="BC66" s="5"/>
      <c r="BD66" s="273"/>
    </row>
    <row r="67" spans="1:60"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O67" s="267"/>
      <c r="AP67" s="57"/>
      <c r="AQ67" s="57"/>
      <c r="AR67" s="57"/>
      <c r="AS67" s="57"/>
      <c r="AT67" s="57"/>
      <c r="AU67" s="57"/>
      <c r="AV67" s="57"/>
      <c r="AW67" s="57"/>
      <c r="AX67" s="57"/>
      <c r="AY67" s="57"/>
      <c r="AZ67" s="57"/>
      <c r="BD67" s="273"/>
    </row>
    <row r="68" spans="1:60">
      <c r="A68" t="s">
        <v>49</v>
      </c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19">
        <f t="shared" ref="AN68:AN73" si="58">+AN51*AN60</f>
        <v>4.7096992846646826E-2</v>
      </c>
      <c r="AO68" s="26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19">
        <f t="shared" ref="BA68:BA73" si="59">+BA51*BA60</f>
        <v>5.2239852875160891E-2</v>
      </c>
      <c r="BB68" s="19"/>
      <c r="BC68" s="19"/>
      <c r="BE68" s="272"/>
    </row>
    <row r="69" spans="1:60">
      <c r="A69" t="s">
        <v>50</v>
      </c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19">
        <f t="shared" si="58"/>
        <v>1.2180297540702222E-2</v>
      </c>
      <c r="AO69" s="267"/>
      <c r="AP69" s="57"/>
      <c r="AQ69" s="57"/>
      <c r="AR69" s="57"/>
      <c r="AS69" s="57"/>
      <c r="AT69" s="57"/>
      <c r="AU69" s="57"/>
      <c r="AV69" s="57"/>
      <c r="AW69" s="57"/>
      <c r="AX69" s="57"/>
      <c r="AY69" s="57"/>
      <c r="AZ69" s="57"/>
      <c r="BA69" s="19">
        <f t="shared" si="59"/>
        <v>1.6404956745054395E-2</v>
      </c>
      <c r="BB69" s="19"/>
      <c r="BC69" s="19"/>
      <c r="BE69" s="272"/>
    </row>
    <row r="70" spans="1:60">
      <c r="A70" t="s">
        <v>51</v>
      </c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19">
        <f t="shared" si="58"/>
        <v>4.246905106221833E-3</v>
      </c>
      <c r="AO70" s="267"/>
      <c r="AP70" s="57"/>
      <c r="AQ70" s="57"/>
      <c r="AR70" s="57"/>
      <c r="AS70" s="57"/>
      <c r="AT70" s="57"/>
      <c r="AU70" s="57"/>
      <c r="AV70" s="57"/>
      <c r="AW70" s="57"/>
      <c r="AX70" s="57"/>
      <c r="AY70" s="57"/>
      <c r="AZ70" s="57"/>
      <c r="BA70" s="19">
        <f t="shared" si="59"/>
        <v>2.0416480614864406E-3</v>
      </c>
      <c r="BB70" s="19"/>
      <c r="BC70" s="19"/>
      <c r="BE70" s="272"/>
    </row>
    <row r="71" spans="1:60">
      <c r="A71" t="s">
        <v>54</v>
      </c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19">
        <f t="shared" si="58"/>
        <v>3.3464202304025304E-4</v>
      </c>
      <c r="AO71" s="267"/>
      <c r="AP71" s="57"/>
      <c r="AQ71" s="57"/>
      <c r="AR71" s="57"/>
      <c r="AS71" s="57"/>
      <c r="AT71" s="57"/>
      <c r="AU71" s="57"/>
      <c r="AV71" s="57"/>
      <c r="AW71" s="57"/>
      <c r="AX71" s="57"/>
      <c r="AY71" s="57"/>
      <c r="AZ71" s="57"/>
      <c r="BA71" s="19">
        <f t="shared" si="59"/>
        <v>2.9426501367129184E-4</v>
      </c>
      <c r="BB71" s="19"/>
      <c r="BC71" s="19"/>
      <c r="BE71" s="272"/>
    </row>
    <row r="72" spans="1:60">
      <c r="A72" t="s">
        <v>62</v>
      </c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19">
        <f t="shared" si="58"/>
        <v>0</v>
      </c>
      <c r="AO72" s="267"/>
      <c r="AP72" s="57"/>
      <c r="AQ72" s="57"/>
      <c r="AR72" s="57"/>
      <c r="AS72" s="57"/>
      <c r="AT72" s="57"/>
      <c r="AU72" s="57"/>
      <c r="AV72" s="57"/>
      <c r="AW72" s="57"/>
      <c r="AX72" s="57"/>
      <c r="AY72" s="57"/>
      <c r="AZ72" s="57"/>
      <c r="BA72" s="19">
        <f t="shared" si="59"/>
        <v>0</v>
      </c>
      <c r="BB72" s="19"/>
      <c r="BC72" s="19"/>
      <c r="BE72" s="272"/>
    </row>
    <row r="73" spans="1:60" ht="15.75" thickBot="1">
      <c r="A73" t="s">
        <v>56</v>
      </c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19">
        <f t="shared" si="58"/>
        <v>1.0444503150513796E-4</v>
      </c>
      <c r="AO73" s="267"/>
      <c r="AP73" s="57"/>
      <c r="AQ73" s="57"/>
      <c r="AR73" s="57"/>
      <c r="AS73" s="57"/>
      <c r="AT73" s="57"/>
      <c r="AU73" s="57"/>
      <c r="AV73" s="57"/>
      <c r="AW73" s="57"/>
      <c r="AX73" s="57"/>
      <c r="AY73" s="57"/>
      <c r="AZ73" s="57"/>
      <c r="BA73" s="19">
        <f t="shared" si="59"/>
        <v>1.0854298490723237E-4</v>
      </c>
      <c r="BB73" s="19"/>
      <c r="BC73" s="19"/>
      <c r="BE73" s="272"/>
    </row>
    <row r="74" spans="1:60" ht="15.75" thickBot="1">
      <c r="A74" t="s">
        <v>53</v>
      </c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">
        <f>SUM(AN68:AN73)</f>
        <v>6.3963282548116271E-2</v>
      </c>
      <c r="AO74" s="267"/>
      <c r="AP74" s="57"/>
      <c r="AQ74" s="57"/>
      <c r="AR74" s="57"/>
      <c r="AS74" s="57"/>
      <c r="AT74" s="57"/>
      <c r="AU74" s="57"/>
      <c r="AV74" s="57"/>
      <c r="AW74" s="57"/>
      <c r="AX74" s="57"/>
      <c r="AY74" s="57"/>
      <c r="AZ74" s="57"/>
      <c r="BA74" s="33">
        <f>SUM(BA68:BA73)</f>
        <v>7.1089265680280234E-2</v>
      </c>
      <c r="BB74" s="42"/>
      <c r="BC74" s="19"/>
      <c r="BE74" s="272"/>
    </row>
    <row r="77" spans="1:60"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270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97"/>
      <c r="BC77" s="3"/>
      <c r="BD77" s="3"/>
      <c r="BE77" s="3"/>
      <c r="BF77" s="3"/>
      <c r="BG77" s="3"/>
      <c r="BH77" s="3"/>
    </row>
    <row r="78" spans="1:60"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270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97"/>
      <c r="BC78" s="3"/>
      <c r="BD78" s="3"/>
      <c r="BE78" s="3"/>
      <c r="BF78" s="3"/>
      <c r="BG78" s="3"/>
      <c r="BH78" s="3"/>
    </row>
    <row r="79" spans="1:60"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270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97"/>
      <c r="BC79" s="3"/>
      <c r="BD79" s="3"/>
      <c r="BE79" s="3"/>
      <c r="BF79" s="3"/>
      <c r="BG79" s="3"/>
      <c r="BH79" s="3"/>
    </row>
    <row r="80" spans="1:60"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270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97"/>
      <c r="BC80" s="3"/>
      <c r="BD80" s="3"/>
      <c r="BE80" s="3"/>
      <c r="BF80" s="3"/>
      <c r="BG80" s="3"/>
      <c r="BH80" s="3"/>
    </row>
    <row r="81" spans="26:60"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270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97"/>
      <c r="BC81" s="3"/>
      <c r="BD81" s="3"/>
      <c r="BE81" s="3"/>
      <c r="BF81" s="3"/>
      <c r="BG81" s="3"/>
      <c r="BH81" s="3"/>
    </row>
    <row r="82" spans="26:60"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270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97"/>
      <c r="BC82" s="3"/>
      <c r="BD82" s="3"/>
      <c r="BE82" s="3"/>
      <c r="BF82" s="3"/>
      <c r="BG82" s="3"/>
      <c r="BH82" s="3"/>
    </row>
    <row r="83" spans="26:60"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270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97"/>
      <c r="BC83" s="3"/>
      <c r="BD83" s="3"/>
      <c r="BE83" s="3"/>
      <c r="BF83" s="3"/>
      <c r="BG83" s="3"/>
      <c r="BH83" s="3"/>
    </row>
    <row r="84" spans="26:60"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270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97"/>
      <c r="BC84" s="3"/>
      <c r="BD84" s="3"/>
      <c r="BE84" s="3"/>
      <c r="BF84" s="3"/>
      <c r="BG84" s="3"/>
      <c r="BH84" s="3"/>
    </row>
  </sheetData>
  <pageMargins left="0.7" right="0.7" top="0.75" bottom="0.75" header="0.3" footer="0.3"/>
  <customProperties>
    <customPr name="EpmWorksheetKeyString_GUID" r:id="rId1"/>
  </customPropertie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E5268-773C-4B13-AD68-BE8005BBD2CE}">
  <dimension ref="A1:AJ472"/>
  <sheetViews>
    <sheetView zoomScaleNormal="100" workbookViewId="0">
      <pane xSplit="1" ySplit="2" topLeftCell="M3" activePane="bottomRight" state="frozen"/>
      <selection pane="topRight" activeCell="B1" sqref="B1"/>
      <selection pane="bottomLeft" activeCell="A3" sqref="A3"/>
      <selection pane="bottomRight" activeCell="A6" sqref="A6:XFD6"/>
    </sheetView>
  </sheetViews>
  <sheetFormatPr defaultRowHeight="15"/>
  <cols>
    <col min="1" max="1" width="31.28515625" customWidth="1"/>
    <col min="2" max="2" width="6.85546875" bestFit="1" customWidth="1"/>
    <col min="3" max="4" width="12.5703125" style="9" bestFit="1" customWidth="1"/>
    <col min="5" max="8" width="12.5703125" bestFit="1" customWidth="1"/>
    <col min="9" max="9" width="14.28515625" bestFit="1" customWidth="1"/>
    <col min="10" max="15" width="12.5703125" bestFit="1" customWidth="1"/>
    <col min="16" max="16" width="13.42578125" bestFit="1" customWidth="1"/>
    <col min="17" max="17" width="16" style="9" bestFit="1" customWidth="1"/>
    <col min="18" max="28" width="13.28515625" bestFit="1" customWidth="1"/>
    <col min="29" max="29" width="12.5703125" bestFit="1" customWidth="1"/>
    <col min="30" max="30" width="12.28515625" bestFit="1" customWidth="1"/>
    <col min="31" max="31" width="10.42578125" bestFit="1" customWidth="1"/>
  </cols>
  <sheetData>
    <row r="1" spans="1:32" s="1" customFormat="1">
      <c r="C1" s="1" t="s">
        <v>52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  <c r="P1" s="242" t="s">
        <v>63</v>
      </c>
      <c r="Q1" s="1" t="s">
        <v>0</v>
      </c>
      <c r="R1" s="1" t="s">
        <v>0</v>
      </c>
      <c r="S1" s="1" t="s">
        <v>0</v>
      </c>
      <c r="T1" s="1" t="s">
        <v>0</v>
      </c>
      <c r="U1" s="1" t="s">
        <v>0</v>
      </c>
      <c r="V1" s="1" t="s">
        <v>0</v>
      </c>
      <c r="W1" s="1" t="s">
        <v>0</v>
      </c>
      <c r="X1" s="1" t="s">
        <v>0</v>
      </c>
      <c r="Y1" s="1" t="s">
        <v>0</v>
      </c>
      <c r="Z1" s="1" t="s">
        <v>0</v>
      </c>
      <c r="AA1" s="1" t="s">
        <v>0</v>
      </c>
      <c r="AB1" s="1" t="s">
        <v>0</v>
      </c>
      <c r="AC1" s="242" t="s">
        <v>63</v>
      </c>
    </row>
    <row r="2" spans="1:32" s="1" customFormat="1">
      <c r="C2" s="2" t="s">
        <v>24</v>
      </c>
      <c r="D2" s="2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  <c r="O2" s="1" t="s">
        <v>12</v>
      </c>
      <c r="P2" s="242" t="s">
        <v>64</v>
      </c>
      <c r="Q2" s="2" t="s">
        <v>25</v>
      </c>
      <c r="R2" s="2" t="s">
        <v>26</v>
      </c>
      <c r="S2" s="2" t="s">
        <v>27</v>
      </c>
      <c r="T2" s="2" t="s">
        <v>28</v>
      </c>
      <c r="U2" s="2" t="s">
        <v>29</v>
      </c>
      <c r="V2" s="2" t="s">
        <v>30</v>
      </c>
      <c r="W2" s="2" t="s">
        <v>31</v>
      </c>
      <c r="X2" s="2" t="s">
        <v>32</v>
      </c>
      <c r="Y2" s="2" t="s">
        <v>33</v>
      </c>
      <c r="Z2" s="2" t="s">
        <v>34</v>
      </c>
      <c r="AA2" s="2" t="s">
        <v>35</v>
      </c>
      <c r="AB2" s="2" t="s">
        <v>36</v>
      </c>
      <c r="AC2" s="242" t="s">
        <v>64</v>
      </c>
    </row>
    <row r="3" spans="1:32">
      <c r="C3"/>
      <c r="D3"/>
      <c r="M3" s="14"/>
      <c r="P3" s="243"/>
      <c r="Q3"/>
      <c r="AC3" s="243"/>
    </row>
    <row r="4" spans="1:32">
      <c r="A4" t="s">
        <v>49</v>
      </c>
      <c r="C4" s="30">
        <f>Scenario!AA4-'Rate Case'!AA4</f>
        <v>0</v>
      </c>
      <c r="D4" s="30">
        <f>Scenario!AB4-'Rate Case'!AB4</f>
        <v>0</v>
      </c>
      <c r="E4" s="30">
        <f>Scenario!AC4-'Rate Case'!AC4</f>
        <v>0</v>
      </c>
      <c r="F4" s="30">
        <f>Scenario!AD4-'Rate Case'!AD4</f>
        <v>0</v>
      </c>
      <c r="G4" s="30">
        <f>Scenario!AE4-'Rate Case'!AE4</f>
        <v>0</v>
      </c>
      <c r="H4" s="30">
        <f>Scenario!AF4-'Rate Case'!AF4</f>
        <v>0</v>
      </c>
      <c r="I4" s="30">
        <f>Scenario!AG4-'Rate Case'!AG4</f>
        <v>0</v>
      </c>
      <c r="J4" s="30">
        <f>Scenario!AH4-'Rate Case'!AH4</f>
        <v>0</v>
      </c>
      <c r="K4" s="30">
        <f>Scenario!AI4-'Rate Case'!AI4</f>
        <v>0</v>
      </c>
      <c r="L4" s="30">
        <f>Scenario!AJ4-'Rate Case'!AJ4</f>
        <v>0</v>
      </c>
      <c r="M4" s="30">
        <f>Scenario!AK4-'Rate Case'!AK4</f>
        <v>0</v>
      </c>
      <c r="N4" s="30">
        <f>Scenario!AL4-'Rate Case'!AL4</f>
        <v>0</v>
      </c>
      <c r="O4" s="30">
        <f>Scenario!AM4-'Rate Case'!AM4</f>
        <v>0</v>
      </c>
      <c r="P4" s="244">
        <f>AVERAGE(C4:O4)</f>
        <v>0</v>
      </c>
      <c r="Q4" s="30">
        <f>Scenario!AO4-'Rate Case'!AO4</f>
        <v>0</v>
      </c>
      <c r="R4" s="30">
        <f>Scenario!AP4-'Rate Case'!AP4</f>
        <v>0</v>
      </c>
      <c r="S4" s="30">
        <f>Scenario!AQ4-'Rate Case'!AQ4</f>
        <v>0</v>
      </c>
      <c r="T4" s="30">
        <f>Scenario!AR4-'Rate Case'!AR4</f>
        <v>0</v>
      </c>
      <c r="U4" s="30">
        <f>Scenario!AS4-'Rate Case'!AS4</f>
        <v>0</v>
      </c>
      <c r="V4" s="30">
        <f>Scenario!AT4-'Rate Case'!AT4</f>
        <v>0</v>
      </c>
      <c r="W4" s="30">
        <f>Scenario!AU4-'Rate Case'!AU4</f>
        <v>0</v>
      </c>
      <c r="X4" s="30">
        <f>Scenario!AV4-'Rate Case'!AV4</f>
        <v>0</v>
      </c>
      <c r="Y4" s="30">
        <f>Scenario!AW4-'Rate Case'!AW4</f>
        <v>0</v>
      </c>
      <c r="Z4" s="30">
        <f>Scenario!AX4-'Rate Case'!AX4</f>
        <v>0</v>
      </c>
      <c r="AA4" s="30">
        <f>Scenario!AY4-'Rate Case'!AY4</f>
        <v>0</v>
      </c>
      <c r="AB4" s="30">
        <f>Scenario!AZ4-'Rate Case'!AZ4</f>
        <v>0</v>
      </c>
      <c r="AC4" s="244">
        <f>AVERAGE(Q4:AB4,O4)</f>
        <v>0</v>
      </c>
      <c r="AD4" s="3"/>
      <c r="AE4" s="3"/>
      <c r="AF4" s="3"/>
    </row>
    <row r="5" spans="1:32">
      <c r="A5" t="s">
        <v>50</v>
      </c>
      <c r="C5" s="14">
        <f>Scenario!AA5-'Rate Case'!AA5</f>
        <v>0</v>
      </c>
      <c r="D5" s="14">
        <f>Scenario!AB5-'Rate Case'!AB5</f>
        <v>0</v>
      </c>
      <c r="E5" s="14">
        <f>Scenario!AC5-'Rate Case'!AC5</f>
        <v>0</v>
      </c>
      <c r="F5" s="14">
        <f>Scenario!AD5-'Rate Case'!AD5</f>
        <v>0</v>
      </c>
      <c r="G5" s="14">
        <f>Scenario!AE5-'Rate Case'!AE5</f>
        <v>0</v>
      </c>
      <c r="H5" s="14">
        <f>Scenario!AF5-'Rate Case'!AF5</f>
        <v>0</v>
      </c>
      <c r="I5" s="14">
        <f>Scenario!AG5-'Rate Case'!AG5</f>
        <v>0</v>
      </c>
      <c r="J5" s="14">
        <f>Scenario!AH5-'Rate Case'!AH5</f>
        <v>0</v>
      </c>
      <c r="K5" s="14">
        <f>Scenario!AI5-'Rate Case'!AI5</f>
        <v>0</v>
      </c>
      <c r="L5" s="14">
        <f>Scenario!AJ5-'Rate Case'!AJ5</f>
        <v>0</v>
      </c>
      <c r="M5" s="14">
        <f>Scenario!AK5-'Rate Case'!AK5</f>
        <v>-3.0860000057145953E-2</v>
      </c>
      <c r="N5" s="14">
        <f>Scenario!AL5-'Rate Case'!AL5</f>
        <v>-3.0860000057145953E-2</v>
      </c>
      <c r="O5" s="14">
        <f>Scenario!AM5-'Rate Case'!AM5</f>
        <v>-3.0860000057145953E-2</v>
      </c>
      <c r="P5" s="244">
        <f t="shared" ref="P5:P9" si="0">AVERAGE(C5:O5)</f>
        <v>-7.1215384747259896E-3</v>
      </c>
      <c r="Q5" s="14">
        <f>Scenario!AO5-'Rate Case'!AO5</f>
        <v>-3.0860000057145953E-2</v>
      </c>
      <c r="R5" s="14">
        <f>Scenario!AP5-'Rate Case'!AP5</f>
        <v>-3.0860000057145953E-2</v>
      </c>
      <c r="S5" s="14">
        <f>Scenario!AQ5-'Rate Case'!AQ5</f>
        <v>-3.0860000057145953E-2</v>
      </c>
      <c r="T5" s="14">
        <f>Scenario!AR5-'Rate Case'!AR5</f>
        <v>-3.0860000057145953E-2</v>
      </c>
      <c r="U5" s="14">
        <f>Scenario!AS5-'Rate Case'!AS5</f>
        <v>-3.0860000057145953E-2</v>
      </c>
      <c r="V5" s="14">
        <f>Scenario!AT5-'Rate Case'!AT5</f>
        <v>-3.0860000057145953E-2</v>
      </c>
      <c r="W5" s="14">
        <f>Scenario!AU5-'Rate Case'!AU5</f>
        <v>-3.0860000057145953E-2</v>
      </c>
      <c r="X5" s="14">
        <f>Scenario!AV5-'Rate Case'!AV5</f>
        <v>-3.0860000057145953E-2</v>
      </c>
      <c r="Y5" s="14">
        <f>Scenario!AW5-'Rate Case'!AW5</f>
        <v>-3.0860000057145953E-2</v>
      </c>
      <c r="Z5" s="14">
        <f>Scenario!AX5-'Rate Case'!AX5</f>
        <v>-3.0860000057145953E-2</v>
      </c>
      <c r="AA5" s="14">
        <f>Scenario!AY5-'Rate Case'!AY5</f>
        <v>-3.0860000057145953E-2</v>
      </c>
      <c r="AB5" s="14">
        <f>Scenario!AZ5-'Rate Case'!AZ5</f>
        <v>-3.0860000057145953E-2</v>
      </c>
      <c r="AC5" s="244">
        <f>AVERAGE(Q5:AB5,O5)</f>
        <v>-3.0860000057145953E-2</v>
      </c>
      <c r="AD5" s="3"/>
      <c r="AE5" s="3"/>
      <c r="AF5" s="3"/>
    </row>
    <row r="6" spans="1:32" s="288" customFormat="1" ht="15.75" customHeight="1">
      <c r="A6" s="288" t="s">
        <v>51</v>
      </c>
      <c r="C6" s="319">
        <f>Scenario!AA6-'Rate Case'!AA6</f>
        <v>0</v>
      </c>
      <c r="D6" s="319">
        <f>Scenario!AB6-'Rate Case'!AB6</f>
        <v>0</v>
      </c>
      <c r="E6" s="319">
        <f>Scenario!AC6-'Rate Case'!AC6</f>
        <v>0</v>
      </c>
      <c r="F6" s="319">
        <f>Scenario!AD6-'Rate Case'!AD6</f>
        <v>0</v>
      </c>
      <c r="G6" s="319">
        <f>Scenario!AE6-'Rate Case'!AE6</f>
        <v>0</v>
      </c>
      <c r="H6" s="319">
        <f>Scenario!AF6-'Rate Case'!AF6</f>
        <v>0</v>
      </c>
      <c r="I6" s="319">
        <f>Scenario!AG6-'Rate Case'!AG6</f>
        <v>0</v>
      </c>
      <c r="J6" s="319">
        <f>Scenario!AH6-'Rate Case'!AH6</f>
        <v>0</v>
      </c>
      <c r="K6" s="319">
        <f>Scenario!AI6-'Rate Case'!AI6</f>
        <v>0</v>
      </c>
      <c r="L6" s="319">
        <f>Scenario!AJ6-'Rate Case'!AJ6</f>
        <v>0</v>
      </c>
      <c r="M6" s="319">
        <f>Scenario!AK6-'Rate Case'!AK6</f>
        <v>3.0860000057145953E-2</v>
      </c>
      <c r="N6" s="319">
        <f>Scenario!AL6-'Rate Case'!AL6</f>
        <v>3.0860000100801699E-2</v>
      </c>
      <c r="O6" s="319">
        <f>Scenario!AM6-'Rate Case'!AM6</f>
        <v>3.0860000071697868E-2</v>
      </c>
      <c r="P6" s="289">
        <f t="shared" si="0"/>
        <v>7.1215384792035017E-3</v>
      </c>
      <c r="Q6" s="55">
        <f>Scenario!AO6-'Rate Case'!AO6</f>
        <v>3.0860000028042123E-2</v>
      </c>
      <c r="R6" s="55">
        <f>Scenario!AP6-'Rate Case'!AP6</f>
        <v>3.0859999998938292E-2</v>
      </c>
      <c r="S6" s="55">
        <f>Scenario!AQ6-'Rate Case'!AQ6</f>
        <v>3.0860000028042123E-2</v>
      </c>
      <c r="T6" s="55">
        <f>Scenario!AR6-'Rate Case'!AR6</f>
        <v>3.0860000115353614E-2</v>
      </c>
      <c r="U6" s="55">
        <f>Scenario!AS6-'Rate Case'!AS6</f>
        <v>3.0859999998938292E-2</v>
      </c>
      <c r="V6" s="55">
        <f>Scenario!AT6-'Rate Case'!AT6</f>
        <v>3.0860000028042123E-2</v>
      </c>
      <c r="W6" s="55">
        <f>Scenario!AU6-'Rate Case'!AU6</f>
        <v>3.0860000086249784E-2</v>
      </c>
      <c r="X6" s="55">
        <f>Scenario!AV6-'Rate Case'!AV6</f>
        <v>3.0860000057145953E-2</v>
      </c>
      <c r="Y6" s="55">
        <f>Scenario!AW6-'Rate Case'!AW6</f>
        <v>3.0860000028042123E-2</v>
      </c>
      <c r="Z6" s="55">
        <f>Scenario!AX6-'Rate Case'!AX6</f>
        <v>3.0859999998938292E-2</v>
      </c>
      <c r="AA6" s="55">
        <f>Scenario!AY6-'Rate Case'!AY6</f>
        <v>3.0859999998938292E-2</v>
      </c>
      <c r="AB6" s="55">
        <f>Scenario!AZ6-'Rate Case'!AZ6</f>
        <v>3.0859999969834462E-2</v>
      </c>
      <c r="AC6" s="289">
        <f t="shared" ref="AC6:AC9" si="1">AVERAGE(Q6:AB6,O6)</f>
        <v>3.0860000031400256E-2</v>
      </c>
      <c r="AD6" s="301"/>
      <c r="AE6" s="301"/>
      <c r="AF6" s="301"/>
    </row>
    <row r="7" spans="1:32" ht="15.75" customHeight="1">
      <c r="A7" t="s">
        <v>54</v>
      </c>
      <c r="C7" s="14">
        <f>Scenario!AA7-'Rate Case'!AA7</f>
        <v>0</v>
      </c>
      <c r="D7" s="14">
        <f>Scenario!AB7-'Rate Case'!AB7</f>
        <v>0</v>
      </c>
      <c r="E7" s="14">
        <f>Scenario!AC7-'Rate Case'!AC7</f>
        <v>0</v>
      </c>
      <c r="F7" s="14">
        <f>Scenario!AD7-'Rate Case'!AD7</f>
        <v>0</v>
      </c>
      <c r="G7" s="14">
        <f>Scenario!AE7-'Rate Case'!AE7</f>
        <v>0</v>
      </c>
      <c r="H7" s="14">
        <f>Scenario!AF7-'Rate Case'!AF7</f>
        <v>0</v>
      </c>
      <c r="I7" s="14">
        <f>Scenario!AG7-'Rate Case'!AG7</f>
        <v>0</v>
      </c>
      <c r="J7" s="14">
        <f>Scenario!AH7-'Rate Case'!AH7</f>
        <v>0</v>
      </c>
      <c r="K7" s="14">
        <f>Scenario!AI7-'Rate Case'!AI7</f>
        <v>0</v>
      </c>
      <c r="L7" s="14">
        <f>Scenario!AJ7-'Rate Case'!AJ7</f>
        <v>0</v>
      </c>
      <c r="M7" s="14">
        <f>Scenario!AK7-'Rate Case'!AK7</f>
        <v>0</v>
      </c>
      <c r="N7" s="14">
        <f>Scenario!AL7-'Rate Case'!AL7</f>
        <v>0</v>
      </c>
      <c r="O7" s="14">
        <f>Scenario!AM7-'Rate Case'!AM7</f>
        <v>0</v>
      </c>
      <c r="P7" s="244">
        <f t="shared" si="0"/>
        <v>0</v>
      </c>
      <c r="Q7" s="30">
        <f>Scenario!AO7-'Rate Case'!AO7</f>
        <v>0</v>
      </c>
      <c r="R7" s="30">
        <f>Scenario!AP7-'Rate Case'!AP7</f>
        <v>0</v>
      </c>
      <c r="S7" s="30">
        <f>Scenario!AQ7-'Rate Case'!AQ7</f>
        <v>0</v>
      </c>
      <c r="T7" s="30">
        <f>Scenario!AR7-'Rate Case'!AR7</f>
        <v>0</v>
      </c>
      <c r="U7" s="30">
        <f>Scenario!AS7-'Rate Case'!AS7</f>
        <v>0</v>
      </c>
      <c r="V7" s="30">
        <f>Scenario!AT7-'Rate Case'!AT7</f>
        <v>0</v>
      </c>
      <c r="W7" s="30">
        <f>Scenario!AU7-'Rate Case'!AU7</f>
        <v>0</v>
      </c>
      <c r="X7" s="30">
        <f>Scenario!AV7-'Rate Case'!AV7</f>
        <v>0</v>
      </c>
      <c r="Y7" s="30">
        <f>Scenario!AW7-'Rate Case'!AW7</f>
        <v>0</v>
      </c>
      <c r="Z7" s="30">
        <f>Scenario!AX7-'Rate Case'!AX7</f>
        <v>0</v>
      </c>
      <c r="AA7" s="30">
        <f>Scenario!AY7-'Rate Case'!AY7</f>
        <v>0</v>
      </c>
      <c r="AB7" s="30">
        <f>Scenario!AZ7-'Rate Case'!AZ7</f>
        <v>0</v>
      </c>
      <c r="AC7" s="244">
        <f t="shared" si="1"/>
        <v>0</v>
      </c>
      <c r="AD7" s="3"/>
      <c r="AE7" s="3"/>
      <c r="AF7" s="3"/>
    </row>
    <row r="8" spans="1:32" ht="15.75" customHeight="1">
      <c r="A8" t="s">
        <v>62</v>
      </c>
      <c r="C8" s="14">
        <f>Scenario!AA8-'Rate Case'!AA8</f>
        <v>0</v>
      </c>
      <c r="D8" s="14">
        <f>Scenario!AB8-'Rate Case'!AB8</f>
        <v>0</v>
      </c>
      <c r="E8" s="14">
        <f>Scenario!AC8-'Rate Case'!AC8</f>
        <v>0</v>
      </c>
      <c r="F8" s="14">
        <f>Scenario!AD8-'Rate Case'!AD8</f>
        <v>0</v>
      </c>
      <c r="G8" s="14">
        <f>Scenario!AE8-'Rate Case'!AE8</f>
        <v>0</v>
      </c>
      <c r="H8" s="14">
        <f>Scenario!AF8-'Rate Case'!AF8</f>
        <v>0</v>
      </c>
      <c r="I8" s="14">
        <f>Scenario!AG8-'Rate Case'!AG8</f>
        <v>0</v>
      </c>
      <c r="J8" s="14">
        <f>Scenario!AH8-'Rate Case'!AH8</f>
        <v>0</v>
      </c>
      <c r="K8" s="14">
        <f>Scenario!AI8-'Rate Case'!AI8</f>
        <v>0</v>
      </c>
      <c r="L8" s="14">
        <f>Scenario!AJ8-'Rate Case'!AJ8</f>
        <v>0</v>
      </c>
      <c r="M8" s="14">
        <f>Scenario!AK8-'Rate Case'!AK8</f>
        <v>0</v>
      </c>
      <c r="N8" s="14">
        <f>Scenario!AL8-'Rate Case'!AL8</f>
        <v>0</v>
      </c>
      <c r="O8" s="14">
        <f>Scenario!AM8-'Rate Case'!AM8</f>
        <v>0</v>
      </c>
      <c r="P8" s="244">
        <f t="shared" si="0"/>
        <v>0</v>
      </c>
      <c r="Q8" s="30">
        <f>Scenario!AO8-'Rate Case'!AO8</f>
        <v>0</v>
      </c>
      <c r="R8" s="30">
        <f>Scenario!AP8-'Rate Case'!AP8</f>
        <v>0</v>
      </c>
      <c r="S8" s="30">
        <f>Scenario!AQ8-'Rate Case'!AQ8</f>
        <v>0</v>
      </c>
      <c r="T8" s="30">
        <f>Scenario!AR8-'Rate Case'!AR8</f>
        <v>0</v>
      </c>
      <c r="U8" s="30">
        <f>Scenario!AS8-'Rate Case'!AS8</f>
        <v>0</v>
      </c>
      <c r="V8" s="30">
        <f>Scenario!AT8-'Rate Case'!AT8</f>
        <v>0</v>
      </c>
      <c r="W8" s="30">
        <f>Scenario!AU8-'Rate Case'!AU8</f>
        <v>0</v>
      </c>
      <c r="X8" s="30">
        <f>Scenario!AV8-'Rate Case'!AV8</f>
        <v>0</v>
      </c>
      <c r="Y8" s="30">
        <f>Scenario!AW8-'Rate Case'!AW8</f>
        <v>0</v>
      </c>
      <c r="Z8" s="30">
        <f>Scenario!AX8-'Rate Case'!AX8</f>
        <v>0</v>
      </c>
      <c r="AA8" s="30">
        <f>Scenario!AY8-'Rate Case'!AY8</f>
        <v>0</v>
      </c>
      <c r="AB8" s="30">
        <f>Scenario!AZ8-'Rate Case'!AZ8</f>
        <v>0</v>
      </c>
      <c r="AC8" s="244">
        <f t="shared" si="1"/>
        <v>0</v>
      </c>
      <c r="AD8" s="3"/>
      <c r="AE8" s="3"/>
      <c r="AF8" s="3"/>
    </row>
    <row r="9" spans="1:32" ht="15.75" customHeight="1">
      <c r="A9" t="s">
        <v>56</v>
      </c>
      <c r="C9" s="245">
        <f>Scenario!AA9-'Rate Case'!AA9</f>
        <v>0</v>
      </c>
      <c r="D9" s="245">
        <f>Scenario!AB9-'Rate Case'!AB9</f>
        <v>0</v>
      </c>
      <c r="E9" s="245">
        <f>Scenario!AC9-'Rate Case'!AC9</f>
        <v>0</v>
      </c>
      <c r="F9" s="245">
        <f>Scenario!AD9-'Rate Case'!AD9</f>
        <v>0</v>
      </c>
      <c r="G9" s="245">
        <f>Scenario!AE9-'Rate Case'!AE9</f>
        <v>0</v>
      </c>
      <c r="H9" s="245">
        <f>Scenario!AF9-'Rate Case'!AF9</f>
        <v>0</v>
      </c>
      <c r="I9" s="245">
        <f>Scenario!AG9-'Rate Case'!AG9</f>
        <v>0</v>
      </c>
      <c r="J9" s="245">
        <f>Scenario!AH9-'Rate Case'!AH9</f>
        <v>0</v>
      </c>
      <c r="K9" s="245">
        <f>Scenario!AI9-'Rate Case'!AI9</f>
        <v>0</v>
      </c>
      <c r="L9" s="245">
        <f>Scenario!AJ9-'Rate Case'!AJ9</f>
        <v>0</v>
      </c>
      <c r="M9" s="245">
        <f>Scenario!AK9-'Rate Case'!AK9</f>
        <v>0</v>
      </c>
      <c r="N9" s="245">
        <f>Scenario!AL9-'Rate Case'!AL9</f>
        <v>0</v>
      </c>
      <c r="O9" s="245">
        <f>Scenario!AM9-'Rate Case'!AM9</f>
        <v>0</v>
      </c>
      <c r="P9" s="51">
        <f t="shared" si="0"/>
        <v>0</v>
      </c>
      <c r="Q9" s="31">
        <f>Scenario!AO9-'Rate Case'!AO9</f>
        <v>0</v>
      </c>
      <c r="R9" s="31">
        <f>Scenario!AP9-'Rate Case'!AP9</f>
        <v>0</v>
      </c>
      <c r="S9" s="31">
        <f>Scenario!AQ9-'Rate Case'!AQ9</f>
        <v>0</v>
      </c>
      <c r="T9" s="31">
        <f>Scenario!AR9-'Rate Case'!AR9</f>
        <v>0</v>
      </c>
      <c r="U9" s="31">
        <f>Scenario!AS9-'Rate Case'!AS9</f>
        <v>0</v>
      </c>
      <c r="V9" s="31">
        <f>Scenario!AT9-'Rate Case'!AT9</f>
        <v>0</v>
      </c>
      <c r="W9" s="31">
        <f>Scenario!AU9-'Rate Case'!AU9</f>
        <v>0</v>
      </c>
      <c r="X9" s="31">
        <f>Scenario!AV9-'Rate Case'!AV9</f>
        <v>0</v>
      </c>
      <c r="Y9" s="31">
        <f>Scenario!AW9-'Rate Case'!AW9</f>
        <v>0</v>
      </c>
      <c r="Z9" s="31">
        <f>Scenario!AX9-'Rate Case'!AX9</f>
        <v>0</v>
      </c>
      <c r="AA9" s="31">
        <f>Scenario!AY9-'Rate Case'!AY9</f>
        <v>0</v>
      </c>
      <c r="AB9" s="31">
        <f>Scenario!AZ9-'Rate Case'!AZ9</f>
        <v>0</v>
      </c>
      <c r="AC9" s="51">
        <f t="shared" si="1"/>
        <v>0</v>
      </c>
      <c r="AD9" s="3"/>
      <c r="AE9" s="3"/>
      <c r="AF9" s="3"/>
    </row>
    <row r="10" spans="1:32" ht="15.75" customHeight="1">
      <c r="A10" s="213" t="s">
        <v>53</v>
      </c>
      <c r="C10" s="17">
        <f>SUM(C4:C9)</f>
        <v>0</v>
      </c>
      <c r="D10" s="17">
        <f t="shared" ref="D10:P10" si="2">SUM(D4:D9)</f>
        <v>0</v>
      </c>
      <c r="E10" s="17">
        <f t="shared" si="2"/>
        <v>0</v>
      </c>
      <c r="F10" s="17">
        <f t="shared" si="2"/>
        <v>0</v>
      </c>
      <c r="G10" s="17">
        <f t="shared" si="2"/>
        <v>0</v>
      </c>
      <c r="H10" s="17">
        <f t="shared" si="2"/>
        <v>0</v>
      </c>
      <c r="I10" s="17">
        <f t="shared" si="2"/>
        <v>0</v>
      </c>
      <c r="J10" s="17">
        <f t="shared" si="2"/>
        <v>0</v>
      </c>
      <c r="K10" s="17">
        <f t="shared" si="2"/>
        <v>0</v>
      </c>
      <c r="L10" s="17">
        <f t="shared" si="2"/>
        <v>0</v>
      </c>
      <c r="M10" s="17">
        <f t="shared" si="2"/>
        <v>0</v>
      </c>
      <c r="N10" s="17">
        <f t="shared" si="2"/>
        <v>4.3655745685100555E-11</v>
      </c>
      <c r="O10" s="17">
        <f t="shared" si="2"/>
        <v>1.4551915228366852E-11</v>
      </c>
      <c r="P10" s="244">
        <f t="shared" si="2"/>
        <v>4.4775121110784966E-12</v>
      </c>
      <c r="Q10" s="17">
        <f>SUM(Q4:Q9)</f>
        <v>-2.9103830456733704E-11</v>
      </c>
      <c r="R10" s="17">
        <f t="shared" ref="R10:AC10" si="3">SUM(R4:R9)</f>
        <v>-5.8207660913467407E-11</v>
      </c>
      <c r="S10" s="17">
        <f t="shared" si="3"/>
        <v>-2.9103830456733704E-11</v>
      </c>
      <c r="T10" s="17">
        <f t="shared" si="3"/>
        <v>5.8207660913467407E-11</v>
      </c>
      <c r="U10" s="17">
        <f t="shared" si="3"/>
        <v>-5.8207660913467407E-11</v>
      </c>
      <c r="V10" s="17">
        <f t="shared" si="3"/>
        <v>-2.9103830456733704E-11</v>
      </c>
      <c r="W10" s="17">
        <f t="shared" si="3"/>
        <v>2.9103830456733704E-11</v>
      </c>
      <c r="X10" s="17">
        <f t="shared" si="3"/>
        <v>0</v>
      </c>
      <c r="Y10" s="17">
        <f t="shared" si="3"/>
        <v>-2.9103830456733704E-11</v>
      </c>
      <c r="Z10" s="17">
        <f t="shared" si="3"/>
        <v>-5.8207660913467407E-11</v>
      </c>
      <c r="AA10" s="17">
        <f t="shared" si="3"/>
        <v>-5.8207660913467407E-11</v>
      </c>
      <c r="AB10" s="17">
        <f t="shared" si="3"/>
        <v>-8.7311491370201111E-11</v>
      </c>
      <c r="AC10" s="244">
        <f t="shared" si="3"/>
        <v>-2.5745697240786569E-11</v>
      </c>
      <c r="AD10" s="246"/>
      <c r="AE10" s="247"/>
      <c r="AF10" s="3"/>
    </row>
    <row r="11" spans="1:32" s="27" customFormat="1" ht="15.75" customHeight="1"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51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51"/>
      <c r="AD11" s="49"/>
      <c r="AE11" s="49"/>
      <c r="AF11" s="49"/>
    </row>
    <row r="12" spans="1:32" s="288" customFormat="1">
      <c r="A12" s="287" t="s">
        <v>57</v>
      </c>
      <c r="C12" s="55">
        <f>Scenario!AA12-'Rate Case'!AA12</f>
        <v>0</v>
      </c>
      <c r="D12" s="55">
        <f>Scenario!AB12-'Rate Case'!AB12</f>
        <v>0</v>
      </c>
      <c r="E12" s="55">
        <f>Scenario!AC12-'Rate Case'!AC12</f>
        <v>0</v>
      </c>
      <c r="F12" s="55">
        <f>Scenario!AD12-'Rate Case'!AD12</f>
        <v>0</v>
      </c>
      <c r="G12" s="55">
        <f>Scenario!AE12-'Rate Case'!AE12</f>
        <v>0</v>
      </c>
      <c r="H12" s="55">
        <f>Scenario!AF12-'Rate Case'!AF12</f>
        <v>0</v>
      </c>
      <c r="I12" s="55">
        <f>Scenario!AG12-'Rate Case'!AG12</f>
        <v>0</v>
      </c>
      <c r="J12" s="55">
        <f>Scenario!AH12-'Rate Case'!AH12</f>
        <v>0</v>
      </c>
      <c r="K12" s="55">
        <f>Scenario!AI12-'Rate Case'!AI12</f>
        <v>0</v>
      </c>
      <c r="L12" s="55">
        <f>Scenario!AJ12-'Rate Case'!AJ12</f>
        <v>0</v>
      </c>
      <c r="M12" s="55">
        <f>Scenario!AK12-'Rate Case'!AK12</f>
        <v>568459.96913999994</v>
      </c>
      <c r="N12" s="55">
        <f>Scenario!AL12-'Rate Case'!AL12</f>
        <v>568459.96913999994</v>
      </c>
      <c r="O12" s="55">
        <f>Scenario!AM12-'Rate Case'!AM12</f>
        <v>568459.96913999994</v>
      </c>
      <c r="P12" s="289">
        <f>AVERAGE(C12:O12)</f>
        <v>131183.06980153846</v>
      </c>
      <c r="Q12" s="290">
        <f>Scenario!AO12-'Rate Case'!AO12</f>
        <v>568459.96913999994</v>
      </c>
      <c r="R12" s="290">
        <f>Scenario!AP12-'Rate Case'!AP12</f>
        <v>568459.96913999994</v>
      </c>
      <c r="S12" s="290">
        <f>Scenario!AQ12-'Rate Case'!AQ12</f>
        <v>568459.96913999994</v>
      </c>
      <c r="T12" s="290">
        <f>Scenario!AR12-'Rate Case'!AR12</f>
        <v>568459.96913999994</v>
      </c>
      <c r="U12" s="290">
        <f>Scenario!AS12-'Rate Case'!AS12</f>
        <v>568459.96913999994</v>
      </c>
      <c r="V12" s="290">
        <f>Scenario!AT12-'Rate Case'!AT12</f>
        <v>530959.96913999994</v>
      </c>
      <c r="W12" s="290">
        <f>Scenario!AU12-'Rate Case'!AU12</f>
        <v>530959.96913999994</v>
      </c>
      <c r="X12" s="290">
        <f>Scenario!AV12-'Rate Case'!AV12</f>
        <v>530959.96913999994</v>
      </c>
      <c r="Y12" s="290">
        <f>Scenario!AW12-'Rate Case'!AW12</f>
        <v>530959.96913999994</v>
      </c>
      <c r="Z12" s="290">
        <f>Scenario!AX12-'Rate Case'!AX12</f>
        <v>530959.96913999994</v>
      </c>
      <c r="AA12" s="290">
        <f>Scenario!AY12-'Rate Case'!AY12</f>
        <v>530959.96913999994</v>
      </c>
      <c r="AB12" s="290">
        <f>Scenario!AZ12-'Rate Case'!AZ12</f>
        <v>530959.96913999994</v>
      </c>
      <c r="AC12" s="289">
        <f>AVERAGE(Q12:AB12,O12)</f>
        <v>548267.66144769208</v>
      </c>
    </row>
    <row r="13" spans="1:32" s="292" customFormat="1">
      <c r="A13" s="291" t="s">
        <v>67</v>
      </c>
      <c r="C13" s="55">
        <f>Scenario!AA13-'Rate Case'!AA13</f>
        <v>0</v>
      </c>
      <c r="D13" s="55">
        <f>Scenario!AB13-'Rate Case'!AB13</f>
        <v>0</v>
      </c>
      <c r="E13" s="55">
        <f>Scenario!AC13-'Rate Case'!AC13</f>
        <v>0</v>
      </c>
      <c r="F13" s="55">
        <f>Scenario!AD13-'Rate Case'!AD13</f>
        <v>0</v>
      </c>
      <c r="G13" s="55">
        <f>Scenario!AE13-'Rate Case'!AE13</f>
        <v>0</v>
      </c>
      <c r="H13" s="55">
        <f>Scenario!AF13-'Rate Case'!AF13</f>
        <v>0</v>
      </c>
      <c r="I13" s="55">
        <f>Scenario!AG13-'Rate Case'!AG13</f>
        <v>0</v>
      </c>
      <c r="J13" s="55">
        <f>Scenario!AH13-'Rate Case'!AH13</f>
        <v>0</v>
      </c>
      <c r="K13" s="55">
        <f>Scenario!AI13-'Rate Case'!AI13</f>
        <v>0</v>
      </c>
      <c r="L13" s="55">
        <f>Scenario!AJ13-'Rate Case'!AJ13</f>
        <v>0</v>
      </c>
      <c r="M13" s="55">
        <f>Scenario!AK13-'Rate Case'!AK13</f>
        <v>-325000</v>
      </c>
      <c r="N13" s="55">
        <f>Scenario!AL13-'Rate Case'!AL13</f>
        <v>-325000</v>
      </c>
      <c r="O13" s="55">
        <f>Scenario!AM13-'Rate Case'!AM13</f>
        <v>-325000</v>
      </c>
      <c r="P13" s="289">
        <f t="shared" ref="P13:P16" si="4">AVERAGE(C13:O13)</f>
        <v>-75000</v>
      </c>
      <c r="Q13" s="55">
        <f>Scenario!AO13-'Rate Case'!AO13</f>
        <v>-325000</v>
      </c>
      <c r="R13" s="55">
        <f>Scenario!AP13-'Rate Case'!AP13</f>
        <v>-325000</v>
      </c>
      <c r="S13" s="55">
        <f>Scenario!AQ13-'Rate Case'!AQ13</f>
        <v>-325000</v>
      </c>
      <c r="T13" s="55">
        <f>Scenario!AR13-'Rate Case'!AR13</f>
        <v>-325000</v>
      </c>
      <c r="U13" s="55">
        <f>Scenario!AS13-'Rate Case'!AS13</f>
        <v>-325000</v>
      </c>
      <c r="V13" s="55">
        <f>Scenario!AT13-'Rate Case'!AT13</f>
        <v>-325000</v>
      </c>
      <c r="W13" s="55">
        <f>Scenario!AU13-'Rate Case'!AU13</f>
        <v>-325000</v>
      </c>
      <c r="X13" s="55">
        <f>Scenario!AV13-'Rate Case'!AV13</f>
        <v>-325000</v>
      </c>
      <c r="Y13" s="55">
        <f>Scenario!AW13-'Rate Case'!AW13</f>
        <v>-325000</v>
      </c>
      <c r="Z13" s="55">
        <f>Scenario!AX13-'Rate Case'!AX13</f>
        <v>-325000</v>
      </c>
      <c r="AA13" s="55">
        <f>Scenario!AY13-'Rate Case'!AY13</f>
        <v>-325000</v>
      </c>
      <c r="AB13" s="55">
        <f>Scenario!AZ13-'Rate Case'!AZ13</f>
        <v>-325000</v>
      </c>
      <c r="AC13" s="289">
        <f t="shared" ref="AC13:AC15" si="5">AVERAGE(Q13:AB13,O13)</f>
        <v>-325000</v>
      </c>
    </row>
    <row r="14" spans="1:32" s="292" customFormat="1">
      <c r="A14" s="291" t="s">
        <v>68</v>
      </c>
      <c r="C14" s="55">
        <f>Scenario!AA14-'Rate Case'!AA14</f>
        <v>0</v>
      </c>
      <c r="D14" s="55">
        <f>Scenario!AB14-'Rate Case'!AB14</f>
        <v>0</v>
      </c>
      <c r="E14" s="55">
        <f>Scenario!AC14-'Rate Case'!AC14</f>
        <v>0</v>
      </c>
      <c r="F14" s="55">
        <f>Scenario!AD14-'Rate Case'!AD14</f>
        <v>0</v>
      </c>
      <c r="G14" s="55">
        <f>Scenario!AE14-'Rate Case'!AE14</f>
        <v>0</v>
      </c>
      <c r="H14" s="55">
        <f>Scenario!AF14-'Rate Case'!AF14</f>
        <v>0</v>
      </c>
      <c r="I14" s="55">
        <f>Scenario!AG14-'Rate Case'!AG14</f>
        <v>0</v>
      </c>
      <c r="J14" s="55">
        <f>Scenario!AH14-'Rate Case'!AH14</f>
        <v>0</v>
      </c>
      <c r="K14" s="55">
        <f>Scenario!AI14-'Rate Case'!AI14</f>
        <v>0</v>
      </c>
      <c r="L14" s="55">
        <f>Scenario!AJ14-'Rate Case'!AJ14</f>
        <v>0</v>
      </c>
      <c r="M14" s="55">
        <f>Scenario!AK14-'Rate Case'!AK14</f>
        <v>-243460</v>
      </c>
      <c r="N14" s="55">
        <f>Scenario!AL14-'Rate Case'!AL14</f>
        <v>-243460</v>
      </c>
      <c r="O14" s="55">
        <f>Scenario!AM14-'Rate Case'!AM14</f>
        <v>-243460</v>
      </c>
      <c r="P14" s="289">
        <f t="shared" si="4"/>
        <v>-56183.076923076922</v>
      </c>
      <c r="Q14" s="55">
        <f>Scenario!AO14-'Rate Case'!AO14</f>
        <v>-243460</v>
      </c>
      <c r="R14" s="55">
        <f>Scenario!AP14-'Rate Case'!AP14</f>
        <v>-243460</v>
      </c>
      <c r="S14" s="55">
        <f>Scenario!AQ14-'Rate Case'!AQ14</f>
        <v>-243460</v>
      </c>
      <c r="T14" s="55">
        <f>Scenario!AR14-'Rate Case'!AR14</f>
        <v>-243460</v>
      </c>
      <c r="U14" s="55">
        <f>Scenario!AS14-'Rate Case'!AS14</f>
        <v>-243460</v>
      </c>
      <c r="V14" s="55">
        <f>Scenario!AT14-'Rate Case'!AT14</f>
        <v>-243460</v>
      </c>
      <c r="W14" s="55">
        <f>Scenario!AU14-'Rate Case'!AU14</f>
        <v>-243460</v>
      </c>
      <c r="X14" s="55">
        <f>Scenario!AV14-'Rate Case'!AV14</f>
        <v>-243460</v>
      </c>
      <c r="Y14" s="55">
        <f>Scenario!AW14-'Rate Case'!AW14</f>
        <v>-243460</v>
      </c>
      <c r="Z14" s="55">
        <f>Scenario!AX14-'Rate Case'!AX14</f>
        <v>-243460</v>
      </c>
      <c r="AA14" s="55">
        <f>Scenario!AY14-'Rate Case'!AY14</f>
        <v>-243460</v>
      </c>
      <c r="AB14" s="55">
        <f>Scenario!AZ14-'Rate Case'!AZ14</f>
        <v>-243460</v>
      </c>
      <c r="AC14" s="289">
        <f t="shared" si="5"/>
        <v>-243460</v>
      </c>
    </row>
    <row r="15" spans="1:32" s="292" customFormat="1" ht="15.75" customHeight="1">
      <c r="A15" s="291" t="s">
        <v>69</v>
      </c>
      <c r="C15" s="55">
        <f>Scenario!AA15-'Rate Case'!AA15</f>
        <v>0</v>
      </c>
      <c r="D15" s="55">
        <f>Scenario!AB15-'Rate Case'!AB15</f>
        <v>0</v>
      </c>
      <c r="E15" s="55">
        <f>Scenario!AC15-'Rate Case'!AC15</f>
        <v>0</v>
      </c>
      <c r="F15" s="55">
        <f>Scenario!AD15-'Rate Case'!AD15</f>
        <v>0</v>
      </c>
      <c r="G15" s="55">
        <f>Scenario!AE15-'Rate Case'!AE15</f>
        <v>0</v>
      </c>
      <c r="H15" s="55">
        <f>Scenario!AF15-'Rate Case'!AF15</f>
        <v>0</v>
      </c>
      <c r="I15" s="55">
        <f>Scenario!AG15-'Rate Case'!AG15</f>
        <v>0</v>
      </c>
      <c r="J15" s="55">
        <f>Scenario!AH15-'Rate Case'!AH15</f>
        <v>0</v>
      </c>
      <c r="K15" s="55">
        <f>Scenario!AI15-'Rate Case'!AI15</f>
        <v>0</v>
      </c>
      <c r="L15" s="55">
        <f>Scenario!AJ15-'Rate Case'!AJ15</f>
        <v>0</v>
      </c>
      <c r="M15" s="55">
        <f>Scenario!AK15-'Rate Case'!AK15</f>
        <v>0</v>
      </c>
      <c r="N15" s="55">
        <f>Scenario!AL15-'Rate Case'!AL15</f>
        <v>0</v>
      </c>
      <c r="O15" s="55">
        <f>Scenario!AM15-'Rate Case'!AM15</f>
        <v>0</v>
      </c>
      <c r="P15" s="289">
        <f t="shared" si="4"/>
        <v>0</v>
      </c>
      <c r="Q15" s="293">
        <f>Scenario!AO15-'Rate Case'!AO15</f>
        <v>0</v>
      </c>
      <c r="R15" s="293">
        <f>Scenario!AP15-'Rate Case'!AP15</f>
        <v>0</v>
      </c>
      <c r="S15" s="293">
        <f>Scenario!AQ15-'Rate Case'!AQ15</f>
        <v>0</v>
      </c>
      <c r="T15" s="293">
        <f>Scenario!AR15-'Rate Case'!AR15</f>
        <v>0</v>
      </c>
      <c r="U15" s="293">
        <f>Scenario!AS15-'Rate Case'!AS15</f>
        <v>0</v>
      </c>
      <c r="V15" s="293">
        <f>Scenario!AT15-'Rate Case'!AT15</f>
        <v>0</v>
      </c>
      <c r="W15" s="293">
        <f>Scenario!AU15-'Rate Case'!AU15</f>
        <v>0</v>
      </c>
      <c r="X15" s="293">
        <f>Scenario!AV15-'Rate Case'!AV15</f>
        <v>0</v>
      </c>
      <c r="Y15" s="293">
        <f>Scenario!AW15-'Rate Case'!AW15</f>
        <v>0</v>
      </c>
      <c r="Z15" s="293">
        <f>Scenario!AX15-'Rate Case'!AX15</f>
        <v>0</v>
      </c>
      <c r="AA15" s="293">
        <f>Scenario!AY15-'Rate Case'!AY15</f>
        <v>0</v>
      </c>
      <c r="AB15" s="293">
        <f>Scenario!AZ15-'Rate Case'!AZ15</f>
        <v>0</v>
      </c>
      <c r="AC15" s="289">
        <f t="shared" si="5"/>
        <v>0</v>
      </c>
    </row>
    <row r="16" spans="1:32" s="295" customFormat="1">
      <c r="A16" s="294" t="s">
        <v>70</v>
      </c>
      <c r="C16" s="296">
        <f>Scenario!AA16-'Rate Case'!AA16</f>
        <v>0</v>
      </c>
      <c r="D16" s="296">
        <f>Scenario!AB16-'Rate Case'!AB16</f>
        <v>0</v>
      </c>
      <c r="E16" s="296">
        <f>Scenario!AC16-'Rate Case'!AC16</f>
        <v>0</v>
      </c>
      <c r="F16" s="296">
        <f>Scenario!AD16-'Rate Case'!AD16</f>
        <v>0</v>
      </c>
      <c r="G16" s="296">
        <f>Scenario!AE16-'Rate Case'!AE16</f>
        <v>0</v>
      </c>
      <c r="H16" s="296">
        <f>Scenario!AF16-'Rate Case'!AF16</f>
        <v>0</v>
      </c>
      <c r="I16" s="296">
        <f>Scenario!AG16-'Rate Case'!AG16</f>
        <v>0</v>
      </c>
      <c r="J16" s="296">
        <f>Scenario!AH16-'Rate Case'!AH16</f>
        <v>0</v>
      </c>
      <c r="K16" s="296">
        <f>Scenario!AI16-'Rate Case'!AI16</f>
        <v>0</v>
      </c>
      <c r="L16" s="296">
        <f>Scenario!AJ16-'Rate Case'!AJ16</f>
        <v>0</v>
      </c>
      <c r="M16" s="296">
        <f>Scenario!AK16-'Rate Case'!AK16</f>
        <v>0</v>
      </c>
      <c r="N16" s="296">
        <f>Scenario!AL16-'Rate Case'!AL16</f>
        <v>0</v>
      </c>
      <c r="O16" s="296">
        <f>Scenario!AM16-'Rate Case'!AM16</f>
        <v>0</v>
      </c>
      <c r="P16" s="297">
        <f t="shared" si="4"/>
        <v>0</v>
      </c>
      <c r="Q16" s="298">
        <f>Scenario!AO16-'Rate Case'!AO16</f>
        <v>0</v>
      </c>
      <c r="R16" s="298">
        <f>Scenario!AP16-'Rate Case'!AP16</f>
        <v>0</v>
      </c>
      <c r="S16" s="298">
        <f>Scenario!AQ16-'Rate Case'!AQ16</f>
        <v>0</v>
      </c>
      <c r="T16" s="298">
        <f>Scenario!AR16-'Rate Case'!AR16</f>
        <v>0</v>
      </c>
      <c r="U16" s="298">
        <f>Scenario!AS16-'Rate Case'!AS16</f>
        <v>0</v>
      </c>
      <c r="V16" s="298">
        <f>Scenario!AT16-'Rate Case'!AT16</f>
        <v>37500</v>
      </c>
      <c r="W16" s="298">
        <f>Scenario!AU16-'Rate Case'!AU16</f>
        <v>37500</v>
      </c>
      <c r="X16" s="298">
        <f>Scenario!AV16-'Rate Case'!AV16</f>
        <v>37500</v>
      </c>
      <c r="Y16" s="298">
        <f>Scenario!AW16-'Rate Case'!AW16</f>
        <v>37500</v>
      </c>
      <c r="Z16" s="298">
        <f>Scenario!AX16-'Rate Case'!AX16</f>
        <v>37500</v>
      </c>
      <c r="AA16" s="298">
        <f>Scenario!AY16-'Rate Case'!AY16</f>
        <v>37500</v>
      </c>
      <c r="AB16" s="298">
        <f>Scenario!AZ16-'Rate Case'!AZ16</f>
        <v>37500</v>
      </c>
      <c r="AC16" s="297">
        <f>AVERAGE(Q16:AB16,O16)</f>
        <v>20192.307692307691</v>
      </c>
    </row>
    <row r="17" spans="1:32" s="288" customFormat="1" ht="12.75" customHeight="1">
      <c r="A17" s="299" t="s">
        <v>71</v>
      </c>
      <c r="C17" s="55">
        <f t="shared" ref="C17:AC17" si="6">SUM(C12:C16)</f>
        <v>0</v>
      </c>
      <c r="D17" s="55">
        <f t="shared" si="6"/>
        <v>0</v>
      </c>
      <c r="E17" s="55">
        <f t="shared" si="6"/>
        <v>0</v>
      </c>
      <c r="F17" s="55">
        <f t="shared" si="6"/>
        <v>0</v>
      </c>
      <c r="G17" s="55">
        <f t="shared" si="6"/>
        <v>0</v>
      </c>
      <c r="H17" s="55">
        <f t="shared" si="6"/>
        <v>0</v>
      </c>
      <c r="I17" s="55">
        <f t="shared" si="6"/>
        <v>0</v>
      </c>
      <c r="J17" s="55">
        <f t="shared" si="6"/>
        <v>0</v>
      </c>
      <c r="K17" s="55">
        <f t="shared" si="6"/>
        <v>0</v>
      </c>
      <c r="L17" s="55">
        <f t="shared" si="6"/>
        <v>0</v>
      </c>
      <c r="M17" s="55">
        <f t="shared" si="6"/>
        <v>-3.0860000057145953E-2</v>
      </c>
      <c r="N17" s="55">
        <f t="shared" si="6"/>
        <v>-3.0860000057145953E-2</v>
      </c>
      <c r="O17" s="55">
        <f t="shared" si="6"/>
        <v>-3.0860000057145953E-2</v>
      </c>
      <c r="P17" s="289">
        <f t="shared" si="6"/>
        <v>-7.1215384668903425E-3</v>
      </c>
      <c r="Q17" s="55">
        <f t="shared" si="6"/>
        <v>-3.0860000057145953E-2</v>
      </c>
      <c r="R17" s="55">
        <f t="shared" si="6"/>
        <v>-3.0860000057145953E-2</v>
      </c>
      <c r="S17" s="55">
        <f t="shared" si="6"/>
        <v>-3.0860000057145953E-2</v>
      </c>
      <c r="T17" s="55">
        <f t="shared" si="6"/>
        <v>-3.0860000057145953E-2</v>
      </c>
      <c r="U17" s="55">
        <f t="shared" si="6"/>
        <v>-3.0860000057145953E-2</v>
      </c>
      <c r="V17" s="55">
        <f t="shared" si="6"/>
        <v>-3.0860000057145953E-2</v>
      </c>
      <c r="W17" s="55">
        <f t="shared" si="6"/>
        <v>-3.0860000057145953E-2</v>
      </c>
      <c r="X17" s="55">
        <f t="shared" si="6"/>
        <v>-3.0860000057145953E-2</v>
      </c>
      <c r="Y17" s="55">
        <f t="shared" si="6"/>
        <v>-3.0860000057145953E-2</v>
      </c>
      <c r="Z17" s="55">
        <f t="shared" si="6"/>
        <v>-3.0860000057145953E-2</v>
      </c>
      <c r="AA17" s="55">
        <f t="shared" si="6"/>
        <v>-3.0860000057145953E-2</v>
      </c>
      <c r="AB17" s="55">
        <f t="shared" si="6"/>
        <v>-3.0860000057145953E-2</v>
      </c>
      <c r="AC17" s="289">
        <f t="shared" si="6"/>
        <v>-3.0860000228130957E-2</v>
      </c>
    </row>
    <row r="18" spans="1:32" s="288" customFormat="1" ht="15.75" customHeight="1"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300">
        <f>Scenario!AN18-'Rate Case'!AN18</f>
        <v>-3.13258324509786E-3</v>
      </c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300">
        <f>Scenario!BA18-'Rate Case'!BA18</f>
        <v>-8.6942450514908287E-3</v>
      </c>
      <c r="AE18" s="301"/>
      <c r="AF18" s="301"/>
    </row>
    <row r="19" spans="1:32" s="288" customFormat="1">
      <c r="A19" s="287" t="s">
        <v>72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302"/>
      <c r="O19" s="302"/>
      <c r="P19" s="289" t="s">
        <v>74</v>
      </c>
      <c r="Q19" s="293"/>
      <c r="R19" s="303"/>
      <c r="S19" s="303"/>
      <c r="T19" s="303"/>
      <c r="U19" s="303"/>
      <c r="V19" s="303"/>
      <c r="W19" s="303"/>
      <c r="X19" s="303"/>
      <c r="Y19" s="303"/>
      <c r="Z19" s="303"/>
      <c r="AA19" s="303"/>
      <c r="AB19" s="303"/>
      <c r="AC19" s="289" t="s">
        <v>74</v>
      </c>
    </row>
    <row r="20" spans="1:32" s="288" customFormat="1">
      <c r="A20" s="287" t="s">
        <v>73</v>
      </c>
      <c r="B20" s="304">
        <f>Scenario!B20-'Rate Case'!B20</f>
        <v>0</v>
      </c>
      <c r="C20" s="55">
        <f>Scenario!AA20-'Rate Case'!AA20</f>
        <v>0</v>
      </c>
      <c r="D20" s="55">
        <f>Scenario!AB20-'Rate Case'!AB20</f>
        <v>0</v>
      </c>
      <c r="E20" s="55">
        <f>Scenario!AC20-'Rate Case'!AC20</f>
        <v>0</v>
      </c>
      <c r="F20" s="55">
        <f>Scenario!AD20-'Rate Case'!AD20</f>
        <v>0</v>
      </c>
      <c r="G20" s="55">
        <f>Scenario!AE20-'Rate Case'!AE20</f>
        <v>0</v>
      </c>
      <c r="H20" s="55">
        <f>Scenario!AF20-'Rate Case'!AF20</f>
        <v>0</v>
      </c>
      <c r="I20" s="55">
        <f>Scenario!AG20-'Rate Case'!AG20</f>
        <v>0</v>
      </c>
      <c r="J20" s="55">
        <f>Scenario!AH20-'Rate Case'!AH20</f>
        <v>0</v>
      </c>
      <c r="K20" s="55">
        <f>Scenario!AI20-'Rate Case'!AI20</f>
        <v>0</v>
      </c>
      <c r="L20" s="55">
        <f>Scenario!AJ20-'Rate Case'!AJ20</f>
        <v>0</v>
      </c>
      <c r="M20" s="55">
        <f>Scenario!AK20-'Rate Case'!AK20</f>
        <v>1916.9</v>
      </c>
      <c r="N20" s="55">
        <f>Scenario!AL20-'Rate Case'!AL20</f>
        <v>1916.9</v>
      </c>
      <c r="O20" s="55">
        <f>Scenario!AM20-'Rate Case'!AM20</f>
        <v>1916.9</v>
      </c>
      <c r="P20" s="289">
        <f>SUM(D20:O20)</f>
        <v>5750.7000000000007</v>
      </c>
      <c r="Q20" s="55">
        <f>Scenario!AO20-'Rate Case'!AO20</f>
        <v>1916.9</v>
      </c>
      <c r="R20" s="55">
        <f>Scenario!AP20-'Rate Case'!AP20</f>
        <v>1916.9</v>
      </c>
      <c r="S20" s="55">
        <f>Scenario!AQ20-'Rate Case'!AQ20</f>
        <v>1916.9</v>
      </c>
      <c r="T20" s="55">
        <f>Scenario!AR20-'Rate Case'!AR20</f>
        <v>1916.9</v>
      </c>
      <c r="U20" s="55">
        <f>Scenario!AS20-'Rate Case'!AS20</f>
        <v>1916.9</v>
      </c>
      <c r="V20" s="55">
        <f>Scenario!AT20-'Rate Case'!AT20</f>
        <v>1916.9</v>
      </c>
      <c r="W20" s="55">
        <f>Scenario!AU20-'Rate Case'!AU20</f>
        <v>1786.3469560123904</v>
      </c>
      <c r="X20" s="55">
        <f>Scenario!AV20-'Rate Case'!AV20</f>
        <v>1786.3469560123904</v>
      </c>
      <c r="Y20" s="55">
        <f>Scenario!AW20-'Rate Case'!AW20</f>
        <v>1786.3469560123904</v>
      </c>
      <c r="Z20" s="55">
        <f>Scenario!AX20-'Rate Case'!AX20</f>
        <v>1786.3469560123904</v>
      </c>
      <c r="AA20" s="55">
        <f>Scenario!AY20-'Rate Case'!AY20</f>
        <v>1786.3469560123904</v>
      </c>
      <c r="AB20" s="55">
        <f>Scenario!AZ20-'Rate Case'!AZ20</f>
        <v>1786.3469560123904</v>
      </c>
      <c r="AC20" s="289">
        <f>SUM(Q20:AB20)</f>
        <v>22219.481736074347</v>
      </c>
    </row>
    <row r="21" spans="1:32" s="292" customFormat="1">
      <c r="A21" s="291" t="s">
        <v>67</v>
      </c>
      <c r="B21" s="304">
        <f>Scenario!B21-'Rate Case'!B21</f>
        <v>0</v>
      </c>
      <c r="C21" s="55">
        <f>Scenario!AA21-'Rate Case'!AA21</f>
        <v>0</v>
      </c>
      <c r="D21" s="55">
        <f>Scenario!AB21-'Rate Case'!AB21</f>
        <v>0</v>
      </c>
      <c r="E21" s="55">
        <f>Scenario!AC21-'Rate Case'!AC21</f>
        <v>0</v>
      </c>
      <c r="F21" s="55">
        <f>Scenario!AD21-'Rate Case'!AD21</f>
        <v>0</v>
      </c>
      <c r="G21" s="55">
        <f>Scenario!AE21-'Rate Case'!AE21</f>
        <v>0</v>
      </c>
      <c r="H21" s="55">
        <f>Scenario!AF21-'Rate Case'!AF21</f>
        <v>0</v>
      </c>
      <c r="I21" s="55">
        <f>Scenario!AG21-'Rate Case'!AG21</f>
        <v>0</v>
      </c>
      <c r="J21" s="55">
        <f>Scenario!AH21-'Rate Case'!AH21</f>
        <v>0</v>
      </c>
      <c r="K21" s="55">
        <f>Scenario!AI21-'Rate Case'!AI21</f>
        <v>0</v>
      </c>
      <c r="L21" s="55">
        <f>Scenario!AJ21-'Rate Case'!AJ21</f>
        <v>0</v>
      </c>
      <c r="M21" s="55">
        <f>Scenario!AK21-'Rate Case'!AK21</f>
        <v>-1462.5</v>
      </c>
      <c r="N21" s="55">
        <f>Scenario!AL21-'Rate Case'!AL21</f>
        <v>-1462.5</v>
      </c>
      <c r="O21" s="55">
        <f>Scenario!AM21-'Rate Case'!AM21</f>
        <v>-1462.5</v>
      </c>
      <c r="P21" s="289">
        <f t="shared" ref="P21:P24" si="7">SUM(D21:O21)</f>
        <v>-4387.5</v>
      </c>
      <c r="Q21" s="55">
        <f>Scenario!AO21-'Rate Case'!AO21</f>
        <v>-1462.5</v>
      </c>
      <c r="R21" s="55">
        <f>Scenario!AP21-'Rate Case'!AP21</f>
        <v>-1462.5</v>
      </c>
      <c r="S21" s="55">
        <f>Scenario!AQ21-'Rate Case'!AQ21</f>
        <v>-1462.5</v>
      </c>
      <c r="T21" s="55">
        <f>Scenario!AR21-'Rate Case'!AR21</f>
        <v>-1462.5</v>
      </c>
      <c r="U21" s="55">
        <f>Scenario!AS21-'Rate Case'!AS21</f>
        <v>-1462.5</v>
      </c>
      <c r="V21" s="55">
        <f>Scenario!AT21-'Rate Case'!AT21</f>
        <v>-1462.5</v>
      </c>
      <c r="W21" s="55">
        <f>Scenario!AU21-'Rate Case'!AU21</f>
        <v>-1462.5</v>
      </c>
      <c r="X21" s="55">
        <f>Scenario!AV21-'Rate Case'!AV21</f>
        <v>-1462.5</v>
      </c>
      <c r="Y21" s="55">
        <f>Scenario!AW21-'Rate Case'!AW21</f>
        <v>-1462.5</v>
      </c>
      <c r="Z21" s="55">
        <f>Scenario!AX21-'Rate Case'!AX21</f>
        <v>-1462.5</v>
      </c>
      <c r="AA21" s="55">
        <f>Scenario!AY21-'Rate Case'!AY21</f>
        <v>-1462.5</v>
      </c>
      <c r="AB21" s="55">
        <f>Scenario!AZ21-'Rate Case'!AZ21</f>
        <v>-1462.5</v>
      </c>
      <c r="AC21" s="289">
        <f t="shared" ref="AC21:AC24" si="8">SUM(Q21:AB21)</f>
        <v>-17550</v>
      </c>
    </row>
    <row r="22" spans="1:32" s="292" customFormat="1">
      <c r="A22" s="291" t="s">
        <v>68</v>
      </c>
      <c r="B22" s="304">
        <f>Scenario!B22-'Rate Case'!B22</f>
        <v>0</v>
      </c>
      <c r="C22" s="55">
        <f>Scenario!AA22-'Rate Case'!AA22</f>
        <v>0</v>
      </c>
      <c r="D22" s="55">
        <f>Scenario!AB22-'Rate Case'!AB22</f>
        <v>0</v>
      </c>
      <c r="E22" s="55">
        <f>Scenario!AC22-'Rate Case'!AC22</f>
        <v>0</v>
      </c>
      <c r="F22" s="55">
        <f>Scenario!AD22-'Rate Case'!AD22</f>
        <v>0</v>
      </c>
      <c r="G22" s="55">
        <f>Scenario!AE22-'Rate Case'!AE22</f>
        <v>0</v>
      </c>
      <c r="H22" s="55">
        <f>Scenario!AF22-'Rate Case'!AF22</f>
        <v>0</v>
      </c>
      <c r="I22" s="55">
        <f>Scenario!AG22-'Rate Case'!AG22</f>
        <v>0</v>
      </c>
      <c r="J22" s="55">
        <f>Scenario!AH22-'Rate Case'!AH22</f>
        <v>0</v>
      </c>
      <c r="K22" s="55">
        <f>Scenario!AI22-'Rate Case'!AI22</f>
        <v>0</v>
      </c>
      <c r="L22" s="55">
        <f>Scenario!AJ22-'Rate Case'!AJ22</f>
        <v>0</v>
      </c>
      <c r="M22" s="55">
        <f>Scenario!AK22-'Rate Case'!AK22</f>
        <v>-1109.7718333333332</v>
      </c>
      <c r="N22" s="55">
        <f>Scenario!AL22-'Rate Case'!AL22</f>
        <v>-1109.7718333333332</v>
      </c>
      <c r="O22" s="55">
        <f>Scenario!AM22-'Rate Case'!AM22</f>
        <v>-1109.7718333333332</v>
      </c>
      <c r="P22" s="289">
        <f t="shared" si="7"/>
        <v>-3329.3154999999997</v>
      </c>
      <c r="Q22" s="55">
        <f>Scenario!AO22-'Rate Case'!AO22</f>
        <v>-1109.7718333333332</v>
      </c>
      <c r="R22" s="55">
        <f>Scenario!AP22-'Rate Case'!AP22</f>
        <v>-1109.7718333333332</v>
      </c>
      <c r="S22" s="55">
        <f>Scenario!AQ22-'Rate Case'!AQ22</f>
        <v>-1109.7718333333332</v>
      </c>
      <c r="T22" s="55">
        <f>Scenario!AR22-'Rate Case'!AR22</f>
        <v>-1109.7718333333332</v>
      </c>
      <c r="U22" s="55">
        <f>Scenario!AS22-'Rate Case'!AS22</f>
        <v>-1109.7718333333332</v>
      </c>
      <c r="V22" s="55">
        <f>Scenario!AT22-'Rate Case'!AT22</f>
        <v>-1109.7718333333332</v>
      </c>
      <c r="W22" s="55">
        <f>Scenario!AU22-'Rate Case'!AU22</f>
        <v>-1109.7718333333332</v>
      </c>
      <c r="X22" s="55">
        <f>Scenario!AV22-'Rate Case'!AV22</f>
        <v>-1109.7718333333332</v>
      </c>
      <c r="Y22" s="55">
        <f>Scenario!AW22-'Rate Case'!AW22</f>
        <v>-1109.7718333333332</v>
      </c>
      <c r="Z22" s="55">
        <f>Scenario!AX22-'Rate Case'!AX22</f>
        <v>-1109.7718333333332</v>
      </c>
      <c r="AA22" s="55">
        <f>Scenario!AY22-'Rate Case'!AY22</f>
        <v>-1109.7718333333332</v>
      </c>
      <c r="AB22" s="55">
        <f>Scenario!AZ22-'Rate Case'!AZ22</f>
        <v>-1109.7718333333332</v>
      </c>
      <c r="AC22" s="289">
        <f t="shared" si="8"/>
        <v>-13317.261999999995</v>
      </c>
    </row>
    <row r="23" spans="1:32" s="292" customFormat="1" ht="15.75" customHeight="1">
      <c r="A23" s="291" t="s">
        <v>69</v>
      </c>
      <c r="B23" s="304">
        <f>Scenario!B23-'Rate Case'!B23</f>
        <v>0</v>
      </c>
      <c r="C23" s="55">
        <f>Scenario!AA23-'Rate Case'!AA23</f>
        <v>0</v>
      </c>
      <c r="D23" s="55">
        <f>Scenario!AB23-'Rate Case'!AB23</f>
        <v>0</v>
      </c>
      <c r="E23" s="55">
        <f>Scenario!AC23-'Rate Case'!AC23</f>
        <v>0</v>
      </c>
      <c r="F23" s="55">
        <f>Scenario!AD23-'Rate Case'!AD23</f>
        <v>0</v>
      </c>
      <c r="G23" s="55">
        <f>Scenario!AE23-'Rate Case'!AE23</f>
        <v>0</v>
      </c>
      <c r="H23" s="55">
        <f>Scenario!AF23-'Rate Case'!AF23</f>
        <v>0</v>
      </c>
      <c r="I23" s="55">
        <f>Scenario!AG23-'Rate Case'!AG23</f>
        <v>0</v>
      </c>
      <c r="J23" s="55">
        <f>Scenario!AH23-'Rate Case'!AH23</f>
        <v>0</v>
      </c>
      <c r="K23" s="55">
        <f>Scenario!AI23-'Rate Case'!AI23</f>
        <v>0</v>
      </c>
      <c r="L23" s="55">
        <f>Scenario!AJ23-'Rate Case'!AJ23</f>
        <v>0</v>
      </c>
      <c r="M23" s="55">
        <f>Scenario!AK23-'Rate Case'!AK23</f>
        <v>0</v>
      </c>
      <c r="N23" s="55">
        <f>Scenario!AL23-'Rate Case'!AL23</f>
        <v>0</v>
      </c>
      <c r="O23" s="55">
        <f>Scenario!AM23-'Rate Case'!AM23</f>
        <v>0</v>
      </c>
      <c r="P23" s="289">
        <f t="shared" si="7"/>
        <v>0</v>
      </c>
      <c r="Q23" s="55">
        <f>Scenario!AO23-'Rate Case'!AO23</f>
        <v>0</v>
      </c>
      <c r="R23" s="55">
        <f>Scenario!AP23-'Rate Case'!AP23</f>
        <v>0</v>
      </c>
      <c r="S23" s="55">
        <f>Scenario!AQ23-'Rate Case'!AQ23</f>
        <v>0</v>
      </c>
      <c r="T23" s="55">
        <f>Scenario!AR23-'Rate Case'!AR23</f>
        <v>0</v>
      </c>
      <c r="U23" s="55">
        <f>Scenario!AS23-'Rate Case'!AS23</f>
        <v>0</v>
      </c>
      <c r="V23" s="55">
        <f>Scenario!AT23-'Rate Case'!AT23</f>
        <v>0</v>
      </c>
      <c r="W23" s="55">
        <f>Scenario!AU23-'Rate Case'!AU23</f>
        <v>0</v>
      </c>
      <c r="X23" s="55">
        <f>Scenario!AV23-'Rate Case'!AV23</f>
        <v>0</v>
      </c>
      <c r="Y23" s="55">
        <f>Scenario!AW23-'Rate Case'!AW23</f>
        <v>0</v>
      </c>
      <c r="Z23" s="55">
        <f>Scenario!AX23-'Rate Case'!AX23</f>
        <v>0</v>
      </c>
      <c r="AA23" s="55">
        <f>Scenario!AY23-'Rate Case'!AY23</f>
        <v>0</v>
      </c>
      <c r="AB23" s="55">
        <f>Scenario!AZ23-'Rate Case'!AZ23</f>
        <v>0</v>
      </c>
      <c r="AC23" s="289">
        <f t="shared" si="8"/>
        <v>0</v>
      </c>
    </row>
    <row r="24" spans="1:32" s="295" customFormat="1">
      <c r="A24" s="294" t="s">
        <v>70</v>
      </c>
      <c r="B24" s="305">
        <f>Scenario!B24-'Rate Case'!B24</f>
        <v>0</v>
      </c>
      <c r="C24" s="296">
        <f>Scenario!AA24-'Rate Case'!AA24</f>
        <v>0</v>
      </c>
      <c r="D24" s="296">
        <f>Scenario!AB24-'Rate Case'!AB24</f>
        <v>0</v>
      </c>
      <c r="E24" s="296">
        <f>Scenario!AC24-'Rate Case'!AC24</f>
        <v>0</v>
      </c>
      <c r="F24" s="296">
        <f>Scenario!AD24-'Rate Case'!AD24</f>
        <v>0</v>
      </c>
      <c r="G24" s="296">
        <f>Scenario!AE24-'Rate Case'!AE24</f>
        <v>0</v>
      </c>
      <c r="H24" s="296">
        <f>Scenario!AF24-'Rate Case'!AF24</f>
        <v>0</v>
      </c>
      <c r="I24" s="296">
        <f>Scenario!AG24-'Rate Case'!AG24</f>
        <v>0</v>
      </c>
      <c r="J24" s="296">
        <f>Scenario!AH24-'Rate Case'!AH24</f>
        <v>0</v>
      </c>
      <c r="K24" s="296">
        <f>Scenario!AI24-'Rate Case'!AI24</f>
        <v>0</v>
      </c>
      <c r="L24" s="296">
        <f>Scenario!AJ24-'Rate Case'!AJ24</f>
        <v>0</v>
      </c>
      <c r="M24" s="296">
        <f>Scenario!AK24-'Rate Case'!AK24</f>
        <v>0</v>
      </c>
      <c r="N24" s="296">
        <f>Scenario!AL24-'Rate Case'!AL24</f>
        <v>0</v>
      </c>
      <c r="O24" s="296">
        <f>Scenario!AM24-'Rate Case'!AM24</f>
        <v>0</v>
      </c>
      <c r="P24" s="297">
        <f t="shared" si="7"/>
        <v>0</v>
      </c>
      <c r="Q24" s="296">
        <f>Scenario!AO24-'Rate Case'!AO24</f>
        <v>0</v>
      </c>
      <c r="R24" s="296">
        <f>Scenario!AP24-'Rate Case'!AP24</f>
        <v>0</v>
      </c>
      <c r="S24" s="296">
        <f>Scenario!AQ24-'Rate Case'!AQ24</f>
        <v>0</v>
      </c>
      <c r="T24" s="296">
        <f>Scenario!AR24-'Rate Case'!AR24</f>
        <v>0</v>
      </c>
      <c r="U24" s="296">
        <f>Scenario!AS24-'Rate Case'!AS24</f>
        <v>0</v>
      </c>
      <c r="V24" s="296">
        <f>Scenario!AT24-'Rate Case'!AT24</f>
        <v>0</v>
      </c>
      <c r="W24" s="296">
        <f>Scenario!AU24-'Rate Case'!AU24</f>
        <v>167.8125</v>
      </c>
      <c r="X24" s="296">
        <f>Scenario!AV24-'Rate Case'!AV24</f>
        <v>167.8125</v>
      </c>
      <c r="Y24" s="296">
        <f>Scenario!AW24-'Rate Case'!AW24</f>
        <v>167.8125</v>
      </c>
      <c r="Z24" s="296">
        <f>Scenario!AX24-'Rate Case'!AX24</f>
        <v>167.8125</v>
      </c>
      <c r="AA24" s="296">
        <f>Scenario!AY24-'Rate Case'!AY24</f>
        <v>167.8125</v>
      </c>
      <c r="AB24" s="296">
        <f>Scenario!AZ24-'Rate Case'!AZ24</f>
        <v>167.8125</v>
      </c>
      <c r="AC24" s="297">
        <f t="shared" si="8"/>
        <v>1006.875</v>
      </c>
    </row>
    <row r="25" spans="1:32" s="288" customFormat="1" ht="12.75" customHeight="1">
      <c r="A25" s="299" t="s">
        <v>71</v>
      </c>
      <c r="C25" s="55">
        <f t="shared" ref="C25:L25" si="9">SUM(C19:C24)</f>
        <v>0</v>
      </c>
      <c r="D25" s="55">
        <f t="shared" si="9"/>
        <v>0</v>
      </c>
      <c r="E25" s="55">
        <f t="shared" si="9"/>
        <v>0</v>
      </c>
      <c r="F25" s="55">
        <f t="shared" si="9"/>
        <v>0</v>
      </c>
      <c r="G25" s="55">
        <f t="shared" si="9"/>
        <v>0</v>
      </c>
      <c r="H25" s="55">
        <f t="shared" si="9"/>
        <v>0</v>
      </c>
      <c r="I25" s="55">
        <f t="shared" si="9"/>
        <v>0</v>
      </c>
      <c r="J25" s="55">
        <f t="shared" si="9"/>
        <v>0</v>
      </c>
      <c r="K25" s="55">
        <f t="shared" si="9"/>
        <v>0</v>
      </c>
      <c r="L25" s="55">
        <f t="shared" si="9"/>
        <v>0</v>
      </c>
      <c r="M25" s="55">
        <f t="shared" ref="M25:AC25" si="10">SUM(M19:M24)</f>
        <v>-655.37183333333314</v>
      </c>
      <c r="N25" s="55">
        <f t="shared" si="10"/>
        <v>-655.37183333333314</v>
      </c>
      <c r="O25" s="55">
        <f t="shared" si="10"/>
        <v>-655.37183333333314</v>
      </c>
      <c r="P25" s="289">
        <f t="shared" si="10"/>
        <v>-1966.115499999999</v>
      </c>
      <c r="Q25" s="55">
        <f t="shared" si="10"/>
        <v>-655.37183333333314</v>
      </c>
      <c r="R25" s="55">
        <f t="shared" si="10"/>
        <v>-655.37183333333314</v>
      </c>
      <c r="S25" s="55">
        <f t="shared" si="10"/>
        <v>-655.37183333333314</v>
      </c>
      <c r="T25" s="55">
        <f t="shared" si="10"/>
        <v>-655.37183333333314</v>
      </c>
      <c r="U25" s="55">
        <f t="shared" si="10"/>
        <v>-655.37183333333314</v>
      </c>
      <c r="V25" s="55">
        <f t="shared" si="10"/>
        <v>-655.37183333333314</v>
      </c>
      <c r="W25" s="55">
        <f t="shared" si="10"/>
        <v>-618.11237732094287</v>
      </c>
      <c r="X25" s="55">
        <f t="shared" si="10"/>
        <v>-618.11237732094287</v>
      </c>
      <c r="Y25" s="55">
        <f t="shared" si="10"/>
        <v>-618.11237732094287</v>
      </c>
      <c r="Z25" s="55">
        <f t="shared" si="10"/>
        <v>-618.11237732094287</v>
      </c>
      <c r="AA25" s="55">
        <f t="shared" si="10"/>
        <v>-618.11237732094287</v>
      </c>
      <c r="AB25" s="55">
        <f t="shared" si="10"/>
        <v>-618.11237732094287</v>
      </c>
      <c r="AC25" s="289">
        <f t="shared" si="10"/>
        <v>-7640.9052639256479</v>
      </c>
    </row>
    <row r="26" spans="1:32" s="288" customFormat="1" ht="15.75" customHeight="1"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256"/>
      <c r="P26" s="306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289"/>
      <c r="AD26" s="301"/>
      <c r="AE26" s="301"/>
      <c r="AF26" s="301"/>
    </row>
    <row r="27" spans="1:32" s="288" customFormat="1" ht="15.75" customHeight="1">
      <c r="A27" s="292" t="s">
        <v>75</v>
      </c>
      <c r="C27" s="303">
        <f>Scenario!AA28-'Rate Case'!AA28</f>
        <v>0</v>
      </c>
      <c r="D27" s="303">
        <f>Scenario!AB28-'Rate Case'!AB28</f>
        <v>0</v>
      </c>
      <c r="E27" s="303">
        <f>Scenario!AC28-'Rate Case'!AC28</f>
        <v>0</v>
      </c>
      <c r="F27" s="303">
        <f>Scenario!AD28-'Rate Case'!AD28</f>
        <v>0</v>
      </c>
      <c r="G27" s="303">
        <f>Scenario!AE28-'Rate Case'!AE28</f>
        <v>0</v>
      </c>
      <c r="H27" s="303">
        <f>Scenario!AF28-'Rate Case'!AF28</f>
        <v>0</v>
      </c>
      <c r="I27" s="303">
        <f>Scenario!AG28-'Rate Case'!AG28</f>
        <v>0</v>
      </c>
      <c r="J27" s="303">
        <f>Scenario!AH28-'Rate Case'!AH28</f>
        <v>0</v>
      </c>
      <c r="K27" s="303">
        <f>Scenario!AI28-'Rate Case'!AI28</f>
        <v>0</v>
      </c>
      <c r="L27" s="303">
        <f>Scenario!AJ28-'Rate Case'!AJ28</f>
        <v>0</v>
      </c>
      <c r="M27" s="307">
        <f>Scenario!AK28-'Rate Case'!AK28</f>
        <v>-1.5666666666666667E-3</v>
      </c>
      <c r="N27" s="307">
        <f>Scenario!AL28-'Rate Case'!AL28</f>
        <v>-1.5666666666666667E-3</v>
      </c>
      <c r="O27" s="307">
        <f>Scenario!AM28-'Rate Case'!AM28</f>
        <v>-1.5666666666666667E-3</v>
      </c>
      <c r="P27" s="300">
        <f>Scenario!AN28-'Rate Case'!AN28</f>
        <v>-2.8161578510192201E-3</v>
      </c>
      <c r="Q27" s="307">
        <f>Scenario!AO28-'Rate Case'!AO28</f>
        <v>0</v>
      </c>
      <c r="R27" s="307">
        <f>Scenario!AP28-'Rate Case'!AP28</f>
        <v>0</v>
      </c>
      <c r="S27" s="307">
        <f>Scenario!AQ28-'Rate Case'!AQ28</f>
        <v>0</v>
      </c>
      <c r="T27" s="307">
        <f>Scenario!AR28-'Rate Case'!AR28</f>
        <v>0</v>
      </c>
      <c r="U27" s="307">
        <f>Scenario!AS28-'Rate Case'!AS28</f>
        <v>0</v>
      </c>
      <c r="V27" s="307">
        <f>Scenario!AT28-'Rate Case'!AT28</f>
        <v>0</v>
      </c>
      <c r="W27" s="307">
        <f>Scenario!AU28-'Rate Case'!AU28</f>
        <v>0</v>
      </c>
      <c r="X27" s="307">
        <f>Scenario!AV28-'Rate Case'!AV28</f>
        <v>0</v>
      </c>
      <c r="Y27" s="307">
        <f>Scenario!AW28-'Rate Case'!AW28</f>
        <v>0</v>
      </c>
      <c r="Z27" s="307">
        <f>Scenario!AX28-'Rate Case'!AX28</f>
        <v>0</v>
      </c>
      <c r="AA27" s="307">
        <f>Scenario!AY28-'Rate Case'!AY28</f>
        <v>0</v>
      </c>
      <c r="AB27" s="307">
        <f>Scenario!AZ28-'Rate Case'!AZ28</f>
        <v>0</v>
      </c>
      <c r="AC27" s="300">
        <f>Scenario!BA28-'Rate Case'!BA28</f>
        <v>1.1475453920439804E-10</v>
      </c>
      <c r="AD27" s="301"/>
      <c r="AE27" s="301"/>
      <c r="AF27" s="301"/>
    </row>
    <row r="28" spans="1:32" s="288" customFormat="1" ht="15.75" customHeight="1">
      <c r="A28" s="292" t="s">
        <v>76</v>
      </c>
      <c r="C28" s="303">
        <f>Scenario!AA29-'Rate Case'!AA29</f>
        <v>0</v>
      </c>
      <c r="D28" s="303">
        <f>Scenario!AB29-'Rate Case'!AB29</f>
        <v>0</v>
      </c>
      <c r="E28" s="303">
        <f>Scenario!AC29-'Rate Case'!AC29</f>
        <v>0</v>
      </c>
      <c r="F28" s="303">
        <f>Scenario!AD29-'Rate Case'!AD29</f>
        <v>0</v>
      </c>
      <c r="G28" s="303">
        <f>Scenario!AE29-'Rate Case'!AE29</f>
        <v>0</v>
      </c>
      <c r="H28" s="303">
        <f>Scenario!AF29-'Rate Case'!AF29</f>
        <v>0</v>
      </c>
      <c r="I28" s="303">
        <f>Scenario!AG29-'Rate Case'!AG29</f>
        <v>0</v>
      </c>
      <c r="J28" s="303">
        <f>Scenario!AH29-'Rate Case'!AH29</f>
        <v>0</v>
      </c>
      <c r="K28" s="303">
        <f>Scenario!AI29-'Rate Case'!AI29</f>
        <v>0</v>
      </c>
      <c r="L28" s="303">
        <f>Scenario!AJ29-'Rate Case'!AJ29</f>
        <v>0</v>
      </c>
      <c r="M28" s="303">
        <f>Scenario!AK29-'Rate Case'!AK29</f>
        <v>-353.58192683294385</v>
      </c>
      <c r="N28" s="303">
        <f>Scenario!AL29-'Rate Case'!AL29</f>
        <v>-160.0219617471617</v>
      </c>
      <c r="O28" s="303">
        <f>Scenario!AM29-'Rate Case'!AM29</f>
        <v>-156.16157073643211</v>
      </c>
      <c r="P28" s="289">
        <f>SUM(D28:O28)</f>
        <v>-669.76545931653777</v>
      </c>
      <c r="Q28" s="303">
        <f>Scenario!AO29-'Rate Case'!AO29</f>
        <v>1.350125002659297E-4</v>
      </c>
      <c r="R28" s="303">
        <f>Scenario!AP29-'Rate Case'!AP29</f>
        <v>1.3501250003855603E-4</v>
      </c>
      <c r="S28" s="303">
        <f>Scenario!AQ29-'Rate Case'!AQ29</f>
        <v>1.3501250009539945E-4</v>
      </c>
      <c r="T28" s="303">
        <f>Scenario!AR29-'Rate Case'!AR29</f>
        <v>1.2755466684666317E-4</v>
      </c>
      <c r="U28" s="303">
        <f>Scenario!AS29-'Rate Case'!AS29</f>
        <v>1.2755466684666317E-4</v>
      </c>
      <c r="V28" s="303">
        <f>Scenario!AT29-'Rate Case'!AT29</f>
        <v>1.2755466673297633E-4</v>
      </c>
      <c r="W28" s="303">
        <f>Scenario!AU29-'Rate Case'!AU29</f>
        <v>1.2163983353730146E-4</v>
      </c>
      <c r="X28" s="303">
        <f>Scenario!AV29-'Rate Case'!AV29</f>
        <v>1.2163983365098829E-4</v>
      </c>
      <c r="Y28" s="303">
        <f>Scenario!AW29-'Rate Case'!AW29</f>
        <v>1.2163983353730146E-4</v>
      </c>
      <c r="Z28" s="303">
        <f>Scenario!AX29-'Rate Case'!AX29</f>
        <v>1.1855383337433523E-4</v>
      </c>
      <c r="AA28" s="303">
        <f>Scenario!AY29-'Rate Case'!AY29</f>
        <v>1.1855383331749181E-4</v>
      </c>
      <c r="AB28" s="303">
        <f>Scenario!AZ29-'Rate Case'!AZ29</f>
        <v>1.1855383326064839E-4</v>
      </c>
      <c r="AC28" s="289">
        <f>SUM(Q28:AB28)</f>
        <v>1.5082825015042545E-3</v>
      </c>
      <c r="AD28" s="301"/>
      <c r="AE28" s="301"/>
      <c r="AF28" s="301"/>
    </row>
    <row r="29" spans="1:32" s="288" customFormat="1">
      <c r="K29" s="308"/>
      <c r="L29" s="308"/>
      <c r="M29" s="308"/>
      <c r="N29" s="308"/>
      <c r="O29" s="309"/>
      <c r="P29" s="310"/>
      <c r="Q29" s="311"/>
      <c r="R29" s="308"/>
      <c r="S29" s="308"/>
      <c r="T29" s="308"/>
      <c r="U29" s="308"/>
      <c r="V29" s="308"/>
      <c r="W29" s="308"/>
      <c r="X29" s="308"/>
      <c r="Y29" s="308"/>
      <c r="Z29" s="308"/>
      <c r="AA29" s="308"/>
      <c r="AB29" s="308"/>
      <c r="AC29" s="312"/>
    </row>
    <row r="30" spans="1:32" s="288" customFormat="1">
      <c r="C30" s="313">
        <f t="shared" ref="C30:AB30" si="11">SUM(C4:C6)</f>
        <v>0</v>
      </c>
      <c r="D30" s="313">
        <f t="shared" si="11"/>
        <v>0</v>
      </c>
      <c r="E30" s="313">
        <f t="shared" si="11"/>
        <v>0</v>
      </c>
      <c r="F30" s="313">
        <f t="shared" si="11"/>
        <v>0</v>
      </c>
      <c r="G30" s="313">
        <f t="shared" si="11"/>
        <v>0</v>
      </c>
      <c r="H30" s="313">
        <f t="shared" si="11"/>
        <v>0</v>
      </c>
      <c r="I30" s="296">
        <f t="shared" si="11"/>
        <v>0</v>
      </c>
      <c r="J30" s="296">
        <f t="shared" si="11"/>
        <v>0</v>
      </c>
      <c r="K30" s="296">
        <f t="shared" si="11"/>
        <v>0</v>
      </c>
      <c r="L30" s="296">
        <f t="shared" si="11"/>
        <v>0</v>
      </c>
      <c r="M30" s="296">
        <f t="shared" si="11"/>
        <v>0</v>
      </c>
      <c r="N30" s="296">
        <f t="shared" si="11"/>
        <v>4.3655745685100555E-11</v>
      </c>
      <c r="O30" s="55">
        <f t="shared" si="11"/>
        <v>1.4551915228366852E-11</v>
      </c>
      <c r="P30" s="289">
        <f t="shared" si="11"/>
        <v>4.4775121110784966E-12</v>
      </c>
      <c r="Q30" s="296">
        <f t="shared" si="11"/>
        <v>-2.9103830456733704E-11</v>
      </c>
      <c r="R30" s="296">
        <f t="shared" si="11"/>
        <v>-5.8207660913467407E-11</v>
      </c>
      <c r="S30" s="296">
        <f t="shared" si="11"/>
        <v>-2.9103830456733704E-11</v>
      </c>
      <c r="T30" s="296">
        <f t="shared" si="11"/>
        <v>5.8207660913467407E-11</v>
      </c>
      <c r="U30" s="296">
        <f t="shared" si="11"/>
        <v>-5.8207660913467407E-11</v>
      </c>
      <c r="V30" s="296">
        <f t="shared" si="11"/>
        <v>-2.9103830456733704E-11</v>
      </c>
      <c r="W30" s="296">
        <f t="shared" si="11"/>
        <v>2.9103830456733704E-11</v>
      </c>
      <c r="X30" s="296">
        <f t="shared" si="11"/>
        <v>0</v>
      </c>
      <c r="Y30" s="296">
        <f t="shared" si="11"/>
        <v>-2.9103830456733704E-11</v>
      </c>
      <c r="Z30" s="296">
        <f t="shared" si="11"/>
        <v>-5.8207660913467407E-11</v>
      </c>
      <c r="AA30" s="296">
        <f t="shared" si="11"/>
        <v>-5.8207660913467407E-11</v>
      </c>
      <c r="AB30" s="296">
        <f t="shared" si="11"/>
        <v>-8.7311491370201111E-11</v>
      </c>
      <c r="AC30" s="289"/>
    </row>
    <row r="31" spans="1:32" s="314" customFormat="1">
      <c r="A31" s="314" t="s">
        <v>65</v>
      </c>
      <c r="C31" s="315">
        <f>Scenario!AA32-'Rate Case'!AA32</f>
        <v>0</v>
      </c>
      <c r="D31" s="315">
        <f>Scenario!AB32-'Rate Case'!AB32</f>
        <v>0</v>
      </c>
      <c r="E31" s="315">
        <f>Scenario!AC32-'Rate Case'!AC32</f>
        <v>0</v>
      </c>
      <c r="F31" s="315">
        <f>Scenario!AD32-'Rate Case'!AD32</f>
        <v>0</v>
      </c>
      <c r="G31" s="315">
        <f>Scenario!AE32-'Rate Case'!AE32</f>
        <v>0</v>
      </c>
      <c r="H31" s="315">
        <f>Scenario!AF32-'Rate Case'!AF32</f>
        <v>0</v>
      </c>
      <c r="I31" s="315">
        <f>Scenario!AG32-'Rate Case'!AG32</f>
        <v>0</v>
      </c>
      <c r="J31" s="315">
        <f>Scenario!AH32-'Rate Case'!AH32</f>
        <v>0</v>
      </c>
      <c r="K31" s="315">
        <f>Scenario!AI32-'Rate Case'!AI32</f>
        <v>0</v>
      </c>
      <c r="L31" s="315">
        <f>Scenario!AJ32-'Rate Case'!AJ32</f>
        <v>0</v>
      </c>
      <c r="M31" s="315">
        <f>Scenario!AK32-'Rate Case'!AK32</f>
        <v>0</v>
      </c>
      <c r="N31" s="315">
        <f>Scenario!AL32-'Rate Case'!AL32</f>
        <v>0</v>
      </c>
      <c r="O31" s="316">
        <f>Scenario!AM32-'Rate Case'!AM32</f>
        <v>0</v>
      </c>
      <c r="P31" s="317">
        <f>Scenario!AN32-'Rate Case'!AN32</f>
        <v>0</v>
      </c>
      <c r="Q31" s="315">
        <f>Scenario!AO32-'Rate Case'!AO32</f>
        <v>0</v>
      </c>
      <c r="R31" s="315">
        <f>Scenario!AP32-'Rate Case'!AP32</f>
        <v>0</v>
      </c>
      <c r="S31" s="315">
        <f>Scenario!AQ32-'Rate Case'!AQ32</f>
        <v>0</v>
      </c>
      <c r="T31" s="315">
        <f>Scenario!AR32-'Rate Case'!AR32</f>
        <v>0</v>
      </c>
      <c r="U31" s="315">
        <f>Scenario!AS32-'Rate Case'!AS32</f>
        <v>0</v>
      </c>
      <c r="V31" s="315">
        <f>Scenario!AT32-'Rate Case'!AT32</f>
        <v>0</v>
      </c>
      <c r="W31" s="315">
        <f>Scenario!AU32-'Rate Case'!AU32</f>
        <v>0</v>
      </c>
      <c r="X31" s="315">
        <f>Scenario!AV32-'Rate Case'!AV32</f>
        <v>0</v>
      </c>
      <c r="Y31" s="315">
        <f>Scenario!AW32-'Rate Case'!AW32</f>
        <v>0</v>
      </c>
      <c r="Z31" s="315">
        <f>Scenario!AX32-'Rate Case'!AX32</f>
        <v>0</v>
      </c>
      <c r="AA31" s="315">
        <f>Scenario!AY32-'Rate Case'!AY32</f>
        <v>0</v>
      </c>
      <c r="AB31" s="315">
        <f>Scenario!AZ32-'Rate Case'!AZ32</f>
        <v>0</v>
      </c>
      <c r="AC31" s="317">
        <f>Scenario!BA32-'Rate Case'!BA32</f>
        <v>0</v>
      </c>
    </row>
    <row r="32" spans="1:32" s="288" customFormat="1">
      <c r="A32" s="288" t="s">
        <v>61</v>
      </c>
      <c r="P32" s="318"/>
      <c r="AC32" s="318"/>
    </row>
    <row r="33" spans="1:31">
      <c r="A33" s="23" t="s">
        <v>49</v>
      </c>
      <c r="B33" s="23"/>
      <c r="C33"/>
      <c r="D33"/>
      <c r="P33" s="244">
        <f>Scenario!AN35-'Rate Case'!AN35</f>
        <v>0</v>
      </c>
      <c r="Q33"/>
      <c r="AC33" s="244">
        <f>Scenario!BA35-'Rate Case'!BA35</f>
        <v>0</v>
      </c>
    </row>
    <row r="34" spans="1:31">
      <c r="A34" s="23" t="s">
        <v>50</v>
      </c>
      <c r="B34" s="23"/>
      <c r="C34"/>
      <c r="D34"/>
      <c r="P34" s="244">
        <f>Scenario!AN36-'Rate Case'!AN36</f>
        <v>0</v>
      </c>
      <c r="Q34"/>
      <c r="AC34" s="244">
        <f>Scenario!BA36-'Rate Case'!BA36</f>
        <v>0</v>
      </c>
    </row>
    <row r="35" spans="1:31">
      <c r="A35" s="23" t="s">
        <v>51</v>
      </c>
      <c r="B35" s="23"/>
      <c r="C35"/>
      <c r="D35"/>
      <c r="P35" s="244">
        <f>Scenario!AN37-'Rate Case'!AN37</f>
        <v>0</v>
      </c>
      <c r="Q35"/>
      <c r="AC35" s="244">
        <f>Scenario!BA37-'Rate Case'!BA37</f>
        <v>0</v>
      </c>
    </row>
    <row r="36" spans="1:31">
      <c r="A36" s="23" t="s">
        <v>54</v>
      </c>
      <c r="B36" s="23"/>
      <c r="C36"/>
      <c r="D36"/>
      <c r="P36" s="244">
        <f>Scenario!AN38-'Rate Case'!AN38</f>
        <v>0</v>
      </c>
      <c r="Q36"/>
      <c r="AC36" s="244">
        <f>Scenario!BA38-'Rate Case'!BA38</f>
        <v>0</v>
      </c>
    </row>
    <row r="37" spans="1:31">
      <c r="A37" s="23" t="s">
        <v>62</v>
      </c>
      <c r="B37" s="23"/>
      <c r="C37"/>
      <c r="D37"/>
      <c r="P37" s="244">
        <f>Scenario!AN39-'Rate Case'!AN39</f>
        <v>0</v>
      </c>
      <c r="Q37"/>
      <c r="AC37" s="244">
        <f>Scenario!BA39-'Rate Case'!BA39</f>
        <v>0</v>
      </c>
    </row>
    <row r="38" spans="1:31">
      <c r="A38" s="26" t="s">
        <v>56</v>
      </c>
      <c r="B38" s="26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51">
        <f>Scenario!AN40-'Rate Case'!AN40</f>
        <v>0</v>
      </c>
      <c r="Q38"/>
      <c r="AC38" s="51">
        <f>Scenario!BA40-'Rate Case'!BA40</f>
        <v>0</v>
      </c>
    </row>
    <row r="39" spans="1:31">
      <c r="A39" s="23" t="s">
        <v>53</v>
      </c>
      <c r="B39" s="23"/>
      <c r="C39"/>
      <c r="D39"/>
      <c r="P39" s="244">
        <f t="shared" ref="P39" si="12">SUM(P33:P38)</f>
        <v>0</v>
      </c>
      <c r="Q39"/>
      <c r="AC39" s="244">
        <f>SUM(AC33:AC38)</f>
        <v>0</v>
      </c>
    </row>
    <row r="40" spans="1:31">
      <c r="C40"/>
      <c r="D40"/>
      <c r="P40" s="244"/>
      <c r="Q40"/>
      <c r="AC40" s="244"/>
    </row>
    <row r="41" spans="1:31">
      <c r="A41" t="s">
        <v>49</v>
      </c>
      <c r="C41"/>
      <c r="D41"/>
      <c r="P41" s="244">
        <f>+P4+P33</f>
        <v>0</v>
      </c>
      <c r="Q41"/>
      <c r="AC41" s="244">
        <f t="shared" ref="AC41:AC46" si="13">+AC4+AC33</f>
        <v>0</v>
      </c>
    </row>
    <row r="42" spans="1:31">
      <c r="A42" t="s">
        <v>50</v>
      </c>
      <c r="C42"/>
      <c r="D42"/>
      <c r="P42" s="244">
        <f>+P5+P34</f>
        <v>-7.1215384747259896E-3</v>
      </c>
      <c r="Q42"/>
      <c r="AC42" s="244">
        <f t="shared" si="13"/>
        <v>-3.0860000057145953E-2</v>
      </c>
    </row>
    <row r="43" spans="1:31">
      <c r="A43" t="s">
        <v>51</v>
      </c>
      <c r="C43"/>
      <c r="D43"/>
      <c r="P43" s="244">
        <f t="shared" ref="P43:P46" si="14">+P6+P35</f>
        <v>7.1215384792035017E-3</v>
      </c>
      <c r="Q43"/>
      <c r="AC43" s="244">
        <f t="shared" si="13"/>
        <v>3.0860000031400256E-2</v>
      </c>
    </row>
    <row r="44" spans="1:31">
      <c r="A44" t="s">
        <v>54</v>
      </c>
      <c r="C44"/>
      <c r="D44"/>
      <c r="P44" s="244">
        <f t="shared" si="14"/>
        <v>0</v>
      </c>
      <c r="Q44"/>
      <c r="AC44" s="244">
        <f t="shared" si="13"/>
        <v>0</v>
      </c>
    </row>
    <row r="45" spans="1:31">
      <c r="A45" t="s">
        <v>62</v>
      </c>
      <c r="C45"/>
      <c r="D45"/>
      <c r="P45" s="244">
        <f t="shared" si="14"/>
        <v>0</v>
      </c>
      <c r="Q45"/>
      <c r="AC45" s="244">
        <f t="shared" si="13"/>
        <v>0</v>
      </c>
    </row>
    <row r="46" spans="1:31">
      <c r="A46" t="s">
        <v>56</v>
      </c>
      <c r="C46"/>
      <c r="D46"/>
      <c r="P46" s="51">
        <f t="shared" si="14"/>
        <v>0</v>
      </c>
      <c r="Q46"/>
      <c r="AC46" s="51">
        <f t="shared" si="13"/>
        <v>0</v>
      </c>
    </row>
    <row r="47" spans="1:31" ht="15.75" thickBot="1">
      <c r="A47" s="213" t="s">
        <v>53</v>
      </c>
      <c r="C47"/>
      <c r="D47"/>
      <c r="P47" s="244">
        <f t="shared" ref="P47" si="15">SUM(P41:P46)</f>
        <v>4.4775121110784966E-12</v>
      </c>
      <c r="Q47"/>
      <c r="AC47" s="244">
        <f t="shared" ref="AC47" si="16">SUM(AC41:AC46)</f>
        <v>-2.5745697240786569E-11</v>
      </c>
      <c r="AD47" s="32"/>
      <c r="AE47" s="32"/>
    </row>
    <row r="48" spans="1:31" ht="15.75" thickBot="1">
      <c r="A48" s="1" t="s">
        <v>178</v>
      </c>
      <c r="C48"/>
      <c r="D48"/>
      <c r="P48" s="248">
        <f>Scenario!AN50-'Rate Case'!AN50</f>
        <v>0</v>
      </c>
      <c r="Q48"/>
      <c r="AC48" s="249">
        <f>Scenario!BA50-'Rate Case'!BA50</f>
        <v>0</v>
      </c>
    </row>
    <row r="49" spans="1:31">
      <c r="A49" t="s">
        <v>49</v>
      </c>
      <c r="C49"/>
      <c r="D49"/>
      <c r="P49" s="250">
        <f>Scenario!AN51-'Rate Case'!AN51</f>
        <v>0</v>
      </c>
      <c r="Q49" s="18">
        <f>Scenario!AO51-'Rate Case'!AO51</f>
        <v>0</v>
      </c>
      <c r="R49" s="18">
        <f>Scenario!AP51-'Rate Case'!AP51</f>
        <v>0</v>
      </c>
      <c r="S49" s="18">
        <f>Scenario!AQ51-'Rate Case'!AQ51</f>
        <v>0</v>
      </c>
      <c r="T49" s="18">
        <f>Scenario!AR51-'Rate Case'!AR51</f>
        <v>0</v>
      </c>
      <c r="U49" s="18">
        <f>Scenario!AS51-'Rate Case'!AS51</f>
        <v>0</v>
      </c>
      <c r="V49" s="18">
        <f>Scenario!AT51-'Rate Case'!AT51</f>
        <v>0</v>
      </c>
      <c r="W49" s="18">
        <f>Scenario!AU51-'Rate Case'!AU51</f>
        <v>0</v>
      </c>
      <c r="X49" s="18">
        <f>Scenario!AV51-'Rate Case'!AV51</f>
        <v>0</v>
      </c>
      <c r="Y49" s="18">
        <f>Scenario!AW51-'Rate Case'!AW51</f>
        <v>0</v>
      </c>
      <c r="Z49" s="18">
        <f>Scenario!AX51-'Rate Case'!AX51</f>
        <v>0</v>
      </c>
      <c r="AA49" s="18">
        <f>Scenario!AY51-'Rate Case'!AY51</f>
        <v>0</v>
      </c>
      <c r="AB49" s="18">
        <f>Scenario!AZ51-'Rate Case'!AZ51</f>
        <v>0</v>
      </c>
      <c r="AC49" s="250">
        <f>Scenario!BA51-'Rate Case'!BA51</f>
        <v>0</v>
      </c>
      <c r="AD49" s="19"/>
      <c r="AE49" s="5"/>
    </row>
    <row r="50" spans="1:31">
      <c r="A50" t="s">
        <v>50</v>
      </c>
      <c r="C50"/>
      <c r="D50"/>
      <c r="P50" s="250">
        <f>Scenario!AN52-'Rate Case'!AN52</f>
        <v>-3.517968860666798E-9</v>
      </c>
      <c r="Q50" s="18">
        <f>Scenario!AO52-'Rate Case'!AO52</f>
        <v>-1.4869450837284859E-8</v>
      </c>
      <c r="R50" s="18">
        <f>Scenario!AP52-'Rate Case'!AP52</f>
        <v>-1.4743259668659192E-8</v>
      </c>
      <c r="S50" s="18">
        <f>Scenario!AQ52-'Rate Case'!AQ52</f>
        <v>-1.4643891044219259E-8</v>
      </c>
      <c r="T50" s="18">
        <f>Scenario!AR52-'Rate Case'!AR52</f>
        <v>-1.4444942741942413E-8</v>
      </c>
      <c r="U50" s="18">
        <f>Scenario!AS52-'Rate Case'!AS52</f>
        <v>-1.4344050114356577E-8</v>
      </c>
      <c r="V50" s="18">
        <f>Scenario!AT52-'Rate Case'!AT52</f>
        <v>-1.419358386378633E-8</v>
      </c>
      <c r="W50" s="18">
        <f>Scenario!AU52-'Rate Case'!AU52</f>
        <v>-1.406117849933608E-8</v>
      </c>
      <c r="X50" s="18">
        <f>Scenario!AV52-'Rate Case'!AV52</f>
        <v>-1.3974785606496454E-8</v>
      </c>
      <c r="Y50" s="18">
        <f>Scenario!AW52-'Rate Case'!AW52</f>
        <v>-1.3912258733927985E-8</v>
      </c>
      <c r="Z50" s="18">
        <f>Scenario!AX52-'Rate Case'!AX52</f>
        <v>-1.3674275489705678E-8</v>
      </c>
      <c r="AA50" s="18">
        <f>Scenario!AY52-'Rate Case'!AY52</f>
        <v>-1.3465885795316268E-8</v>
      </c>
      <c r="AB50" s="18">
        <f>Scenario!AZ52-'Rate Case'!AZ52</f>
        <v>-1.3332346004979456E-8</v>
      </c>
      <c r="AC50" s="250">
        <f>Scenario!BA52-'Rate Case'!BA52</f>
        <v>-1.3038765678263786E-8</v>
      </c>
      <c r="AD50" s="19"/>
      <c r="AE50" s="5"/>
    </row>
    <row r="51" spans="1:31">
      <c r="A51" t="s">
        <v>51</v>
      </c>
      <c r="C51"/>
      <c r="D51"/>
      <c r="P51" s="250">
        <f>Scenario!AN53-'Rate Case'!AN53</f>
        <v>3.5179688745445858E-9</v>
      </c>
      <c r="Q51" s="18">
        <f>Scenario!AO53-'Rate Case'!AO53</f>
        <v>1.4869450858101541E-8</v>
      </c>
      <c r="R51" s="18">
        <f>Scenario!AP53-'Rate Case'!AP53</f>
        <v>1.4743259640903617E-8</v>
      </c>
      <c r="S51" s="18">
        <f>Scenario!AQ53-'Rate Case'!AQ53</f>
        <v>1.4643891023402578E-8</v>
      </c>
      <c r="T51" s="18">
        <f>Scenario!AR53-'Rate Case'!AR53</f>
        <v>1.44449427558202E-8</v>
      </c>
      <c r="U51" s="18">
        <f>Scenario!AS53-'Rate Case'!AS53</f>
        <v>1.4344050086601001E-8</v>
      </c>
      <c r="V51" s="18">
        <f>Scenario!AT53-'Rate Case'!AT53</f>
        <v>1.4193583822152966E-8</v>
      </c>
      <c r="W51" s="18">
        <f>Scenario!AU53-'Rate Case'!AU53</f>
        <v>1.406117862423617E-8</v>
      </c>
      <c r="X51" s="18">
        <f>Scenario!AV53-'Rate Case'!AV53</f>
        <v>1.3974785609965901E-8</v>
      </c>
      <c r="Y51" s="18">
        <f>Scenario!AW53-'Rate Case'!AW53</f>
        <v>1.3912258609027894E-8</v>
      </c>
      <c r="Z51" s="18">
        <f>Scenario!AX53-'Rate Case'!AX53</f>
        <v>1.3674275593789087E-8</v>
      </c>
      <c r="AA51" s="18">
        <f>Scenario!AY53-'Rate Case'!AY53</f>
        <v>1.3465885774499586E-8</v>
      </c>
      <c r="AB51" s="18">
        <f>Scenario!AZ53-'Rate Case'!AZ53</f>
        <v>1.3332346039673926E-8</v>
      </c>
      <c r="AC51" s="250">
        <f>Scenario!BA53-'Rate Case'!BA53</f>
        <v>1.303876568520268E-8</v>
      </c>
      <c r="AD51" s="19"/>
      <c r="AE51" s="5"/>
    </row>
    <row r="52" spans="1:31">
      <c r="A52" t="s">
        <v>54</v>
      </c>
      <c r="C52"/>
      <c r="D52"/>
      <c r="P52" s="250">
        <f>Scenario!AN54-'Rate Case'!AN54</f>
        <v>0</v>
      </c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250">
        <f>Scenario!BA54-'Rate Case'!BA54</f>
        <v>0</v>
      </c>
      <c r="AD52" s="19"/>
      <c r="AE52" s="5"/>
    </row>
    <row r="53" spans="1:31">
      <c r="A53" t="s">
        <v>62</v>
      </c>
      <c r="C53"/>
      <c r="D53"/>
      <c r="P53" s="250">
        <f>Scenario!AN55-'Rate Case'!AN55</f>
        <v>0</v>
      </c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250">
        <f>Scenario!BA55-'Rate Case'!BA55</f>
        <v>0</v>
      </c>
      <c r="AD53" s="19"/>
      <c r="AE53" s="5"/>
    </row>
    <row r="54" spans="1:31">
      <c r="A54" t="s">
        <v>56</v>
      </c>
      <c r="C54"/>
      <c r="D54"/>
      <c r="P54" s="251">
        <f>Scenario!AN56-'Rate Case'!AN56</f>
        <v>0</v>
      </c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251">
        <f>Scenario!BA56-'Rate Case'!BA56</f>
        <v>0</v>
      </c>
      <c r="AD54" s="252"/>
      <c r="AE54" s="34"/>
    </row>
    <row r="55" spans="1:31">
      <c r="A55" s="213" t="s">
        <v>53</v>
      </c>
      <c r="C55"/>
      <c r="D55"/>
      <c r="P55" s="253">
        <f>SUM(P49:P54)</f>
        <v>1.3877787807814457E-17</v>
      </c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250">
        <f>Scenario!BA57-'Rate Case'!BA57</f>
        <v>0</v>
      </c>
      <c r="AD55" s="19"/>
      <c r="AE55" s="19"/>
    </row>
    <row r="56" spans="1:31">
      <c r="C56"/>
      <c r="D56"/>
      <c r="P56" s="243"/>
      <c r="Q56"/>
      <c r="AC56" s="243"/>
    </row>
    <row r="57" spans="1:31">
      <c r="C57"/>
      <c r="D57"/>
      <c r="P57" s="243"/>
      <c r="Q57"/>
      <c r="AC57" s="243"/>
    </row>
    <row r="58" spans="1:31">
      <c r="A58" t="s">
        <v>49</v>
      </c>
      <c r="C58"/>
      <c r="D58"/>
      <c r="P58" s="254">
        <f>Scenario!AN60-'Rate Case'!BA60</f>
        <v>-1.0999999999999996E-2</v>
      </c>
      <c r="Q58"/>
      <c r="AC58" s="254">
        <f>Scenario!BA60-'Rate Case'!BA60</f>
        <v>0</v>
      </c>
    </row>
    <row r="59" spans="1:31">
      <c r="A59" t="s">
        <v>50</v>
      </c>
      <c r="C59"/>
      <c r="D59"/>
      <c r="P59" s="254">
        <f>Scenario!AN61-'Rate Case'!BA61</f>
        <v>-1.2685366853529174E-2</v>
      </c>
      <c r="Q59"/>
      <c r="AC59" s="254">
        <f>Scenario!BA61-'Rate Case'!BA61</f>
        <v>-8.6942450514908357E-3</v>
      </c>
    </row>
    <row r="60" spans="1:31">
      <c r="A60" t="s">
        <v>51</v>
      </c>
      <c r="C60"/>
      <c r="D60"/>
      <c r="P60" s="254">
        <f>Scenario!AN62-'Rate Case'!BA62</f>
        <v>-9.1373130386888865E-3</v>
      </c>
      <c r="Q60"/>
      <c r="AC60" s="254">
        <f>Scenario!BA62-'Rate Case'!BA62</f>
        <v>1.1475453920439804E-10</v>
      </c>
    </row>
    <row r="61" spans="1:31">
      <c r="A61" t="s">
        <v>54</v>
      </c>
      <c r="C61"/>
      <c r="D61"/>
      <c r="P61" s="254">
        <f>Scenario!AN63-'Rate Case'!BA63</f>
        <v>-9.9999999999999395E-5</v>
      </c>
      <c r="Q61"/>
      <c r="AC61" s="254">
        <f>Scenario!BA63-'Rate Case'!BA63</f>
        <v>0</v>
      </c>
    </row>
    <row r="62" spans="1:31">
      <c r="A62" t="s">
        <v>62</v>
      </c>
      <c r="C62"/>
      <c r="D62"/>
      <c r="P62" s="254">
        <f>Scenario!AN64-'Rate Case'!BA64</f>
        <v>0</v>
      </c>
      <c r="Q62"/>
      <c r="AC62" s="254">
        <f>Scenario!BA64-'Rate Case'!BA64</f>
        <v>0</v>
      </c>
    </row>
    <row r="63" spans="1:31">
      <c r="A63" t="s">
        <v>56</v>
      </c>
      <c r="C63"/>
      <c r="D63"/>
      <c r="P63" s="254">
        <f>Scenario!AN65-'Rate Case'!BA65</f>
        <v>-1.0443312759248383E-2</v>
      </c>
      <c r="Q63"/>
      <c r="AC63" s="254">
        <f>Scenario!BA65-'Rate Case'!BA65</f>
        <v>-3.519312459861354E-3</v>
      </c>
    </row>
    <row r="64" spans="1:31">
      <c r="A64" s="213" t="s">
        <v>53</v>
      </c>
      <c r="C64"/>
      <c r="D64"/>
      <c r="P64" s="253">
        <f>SUM(P58:P63)</f>
        <v>-4.3365992651466442E-2</v>
      </c>
      <c r="Q64"/>
      <c r="AC64" s="254">
        <f>Scenario!BA66-'Rate Case'!BA66</f>
        <v>-1.2213557396597685E-2</v>
      </c>
    </row>
    <row r="65" spans="1:36">
      <c r="C65"/>
      <c r="D65"/>
      <c r="P65" s="243"/>
      <c r="Q65"/>
      <c r="AC65" s="243"/>
    </row>
    <row r="66" spans="1:36">
      <c r="A66" t="s">
        <v>49</v>
      </c>
      <c r="C66"/>
      <c r="D66"/>
      <c r="P66" s="254">
        <f t="shared" ref="P66:P71" si="17">+P49*P58</f>
        <v>0</v>
      </c>
      <c r="Q66"/>
      <c r="AC66" s="254">
        <f>Scenario!BA68-'Rate Case'!AN68</f>
        <v>5.1428600285140652E-3</v>
      </c>
      <c r="AD66" s="19"/>
      <c r="AE66" s="5"/>
    </row>
    <row r="67" spans="1:36">
      <c r="A67" t="s">
        <v>50</v>
      </c>
      <c r="C67"/>
      <c r="D67"/>
      <c r="P67" s="254">
        <f t="shared" si="17"/>
        <v>4.4626725576850396E-11</v>
      </c>
      <c r="Q67"/>
      <c r="AC67" s="254">
        <f>Scenario!BA69-'Rate Case'!AN69</f>
        <v>3.3303605908125301E-3</v>
      </c>
      <c r="AD67" s="19"/>
      <c r="AE67" s="5"/>
    </row>
    <row r="68" spans="1:36">
      <c r="A68" t="s">
        <v>51</v>
      </c>
      <c r="C68"/>
      <c r="D68"/>
      <c r="P68" s="254">
        <f t="shared" si="17"/>
        <v>-3.2144782867077911E-11</v>
      </c>
      <c r="Q68"/>
      <c r="AC68" s="254">
        <f>Scenario!BA70-'Rate Case'!AN70</f>
        <v>-2.5092454004651929E-3</v>
      </c>
      <c r="AD68" s="19"/>
      <c r="AE68" s="5"/>
    </row>
    <row r="69" spans="1:36">
      <c r="A69" t="s">
        <v>54</v>
      </c>
      <c r="C69"/>
      <c r="D69"/>
      <c r="P69" s="254">
        <f t="shared" si="17"/>
        <v>0</v>
      </c>
      <c r="Q69"/>
      <c r="AC69" s="254">
        <f>Scenario!BA71-'Rate Case'!AN71</f>
        <v>-4.0377009368961197E-5</v>
      </c>
      <c r="AD69" s="19"/>
      <c r="AE69" s="5"/>
    </row>
    <row r="70" spans="1:36">
      <c r="A70" t="s">
        <v>62</v>
      </c>
      <c r="C70"/>
      <c r="D70"/>
      <c r="P70" s="254">
        <f t="shared" si="17"/>
        <v>0</v>
      </c>
      <c r="Q70"/>
      <c r="AC70" s="254">
        <f>Scenario!BA72-'Rate Case'!AN72</f>
        <v>0</v>
      </c>
      <c r="AD70" s="19"/>
      <c r="AE70" s="5"/>
    </row>
    <row r="71" spans="1:36" ht="15.75" thickBot="1">
      <c r="A71" t="s">
        <v>56</v>
      </c>
      <c r="C71"/>
      <c r="D71"/>
      <c r="P71" s="254">
        <f t="shared" si="17"/>
        <v>0</v>
      </c>
      <c r="Q71"/>
      <c r="AC71" s="254">
        <f>Scenario!BA73-'Rate Case'!AN73</f>
        <v>4.0979534020944126E-6</v>
      </c>
      <c r="AD71" s="252"/>
      <c r="AE71" s="5"/>
    </row>
    <row r="72" spans="1:36" ht="15.75" thickBot="1">
      <c r="A72" s="213" t="s">
        <v>53</v>
      </c>
      <c r="C72"/>
      <c r="D72"/>
      <c r="P72" s="253">
        <f>SUM(P66:P71)</f>
        <v>1.2481942709772485E-11</v>
      </c>
      <c r="Q72"/>
      <c r="AC72" s="255">
        <f>Scenario!BA74-'Rate Case'!BA74</f>
        <v>-3.06167412057054E-3</v>
      </c>
      <c r="AD72" s="19"/>
      <c r="AE72" s="5"/>
    </row>
    <row r="73" spans="1:36">
      <c r="C73"/>
      <c r="D73"/>
      <c r="Q73"/>
    </row>
    <row r="74" spans="1:36">
      <c r="C74"/>
      <c r="D74"/>
      <c r="Q74"/>
    </row>
    <row r="75" spans="1:36">
      <c r="C75" s="21"/>
      <c r="D75" s="21"/>
      <c r="E75" s="21"/>
      <c r="F75" s="21"/>
      <c r="G75" s="3"/>
      <c r="H75" s="3"/>
      <c r="I75" s="3"/>
      <c r="J75" s="3"/>
      <c r="K75" s="3"/>
      <c r="L75" s="3"/>
      <c r="M75" s="3"/>
      <c r="N75" s="3"/>
      <c r="O75" s="3"/>
      <c r="Q75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</row>
    <row r="76" spans="1:36">
      <c r="C76" s="21"/>
      <c r="D76" s="21"/>
      <c r="E76" s="21"/>
      <c r="F76" s="21"/>
      <c r="G76" s="3"/>
      <c r="H76" s="3"/>
      <c r="I76" s="3"/>
      <c r="J76" s="3"/>
      <c r="K76" s="3"/>
      <c r="L76" s="3"/>
      <c r="M76" s="3"/>
      <c r="N76" s="3"/>
      <c r="O76" s="3"/>
      <c r="Q76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</row>
    <row r="77" spans="1:36">
      <c r="C77" s="21"/>
      <c r="D77" s="21"/>
      <c r="E77" s="21"/>
      <c r="F77" s="21"/>
      <c r="G77" s="3"/>
      <c r="H77" s="3"/>
      <c r="I77" s="3"/>
      <c r="J77" s="3"/>
      <c r="K77" s="3"/>
      <c r="L77" s="3"/>
      <c r="M77" s="3"/>
      <c r="N77" s="3"/>
      <c r="O77" s="3"/>
      <c r="Q77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</row>
    <row r="78" spans="1:36">
      <c r="C78" s="21"/>
      <c r="D78" s="21"/>
      <c r="E78" s="21"/>
      <c r="F78" s="21"/>
      <c r="G78" s="3"/>
      <c r="H78" s="3"/>
      <c r="I78" s="3"/>
      <c r="J78" s="3"/>
      <c r="K78" s="3"/>
      <c r="L78" s="3"/>
      <c r="M78" s="3"/>
      <c r="N78" s="3"/>
      <c r="O78" s="3"/>
      <c r="Q78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</row>
    <row r="79" spans="1:36">
      <c r="C79" s="21"/>
      <c r="D79" s="21"/>
      <c r="E79" s="21"/>
      <c r="F79" s="21"/>
      <c r="G79" s="3"/>
      <c r="H79" s="3"/>
      <c r="I79" s="3"/>
      <c r="J79" s="3"/>
      <c r="K79" s="3"/>
      <c r="L79" s="3"/>
      <c r="M79" s="3"/>
      <c r="N79" s="3"/>
      <c r="O79" s="3"/>
      <c r="Q79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</row>
    <row r="80" spans="1:36">
      <c r="C80" s="21"/>
      <c r="D80" s="21"/>
      <c r="E80" s="21"/>
      <c r="F80" s="21"/>
      <c r="G80" s="3"/>
      <c r="H80" s="3"/>
      <c r="I80" s="3"/>
      <c r="J80" s="3"/>
      <c r="K80" s="3"/>
      <c r="L80" s="3"/>
      <c r="M80" s="3"/>
      <c r="N80" s="3"/>
      <c r="O80" s="3"/>
      <c r="Q80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</row>
    <row r="81" spans="3:36">
      <c r="C81" s="21"/>
      <c r="D81" s="21"/>
      <c r="E81" s="21"/>
      <c r="F81" s="21"/>
      <c r="G81" s="3"/>
      <c r="H81" s="3"/>
      <c r="I81" s="3"/>
      <c r="J81" s="3"/>
      <c r="K81" s="3"/>
      <c r="L81" s="3"/>
      <c r="M81" s="3"/>
      <c r="N81" s="3"/>
      <c r="O81" s="3"/>
      <c r="Q81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</row>
    <row r="82" spans="3:36">
      <c r="C82" s="21"/>
      <c r="D82" s="21"/>
      <c r="E82" s="21"/>
      <c r="F82" s="21"/>
      <c r="G82" s="3"/>
      <c r="H82" s="3"/>
      <c r="I82" s="3"/>
      <c r="J82" s="3"/>
      <c r="K82" s="3"/>
      <c r="L82" s="3"/>
      <c r="M82" s="3"/>
      <c r="N82" s="3"/>
      <c r="O82" s="3"/>
      <c r="Q82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</row>
    <row r="83" spans="3:36">
      <c r="C83"/>
      <c r="D83"/>
      <c r="Q83"/>
    </row>
    <row r="84" spans="3:36">
      <c r="C84"/>
      <c r="D84"/>
      <c r="Q84"/>
    </row>
    <row r="85" spans="3:36">
      <c r="C85"/>
      <c r="D85"/>
      <c r="Q85"/>
    </row>
    <row r="86" spans="3:36">
      <c r="C86"/>
      <c r="D86"/>
      <c r="Q86"/>
    </row>
    <row r="87" spans="3:36">
      <c r="C87"/>
      <c r="D87"/>
      <c r="Q87"/>
    </row>
    <row r="88" spans="3:36">
      <c r="C88"/>
      <c r="D88"/>
      <c r="Q88"/>
    </row>
    <row r="89" spans="3:36">
      <c r="C89"/>
      <c r="D89"/>
      <c r="Q89"/>
    </row>
    <row r="90" spans="3:36">
      <c r="C90"/>
      <c r="D90"/>
      <c r="Q90"/>
    </row>
    <row r="91" spans="3:36">
      <c r="C91"/>
      <c r="D91"/>
      <c r="Q91"/>
    </row>
    <row r="92" spans="3:36">
      <c r="C92"/>
      <c r="D92"/>
      <c r="Q92"/>
    </row>
    <row r="93" spans="3:36">
      <c r="C93"/>
      <c r="D93"/>
      <c r="Q93"/>
    </row>
    <row r="94" spans="3:36">
      <c r="C94"/>
      <c r="D94"/>
      <c r="Q94"/>
    </row>
    <row r="95" spans="3:36">
      <c r="C95"/>
      <c r="D95"/>
      <c r="Q95"/>
    </row>
    <row r="96" spans="3:36">
      <c r="C96"/>
      <c r="D96"/>
      <c r="Q96"/>
    </row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spans="3:17">
      <c r="C289"/>
      <c r="D289"/>
      <c r="Q289"/>
    </row>
    <row r="290" spans="3:17">
      <c r="C290"/>
      <c r="D290"/>
      <c r="Q290"/>
    </row>
    <row r="291" spans="3:17">
      <c r="C291"/>
      <c r="D291"/>
      <c r="Q291"/>
    </row>
    <row r="292" spans="3:17">
      <c r="C292"/>
      <c r="D292"/>
      <c r="Q292"/>
    </row>
    <row r="293" spans="3:17">
      <c r="C293"/>
      <c r="D293"/>
      <c r="Q293"/>
    </row>
    <row r="294" spans="3:17">
      <c r="C294"/>
      <c r="D294"/>
      <c r="Q294"/>
    </row>
    <row r="295" spans="3:17">
      <c r="C295"/>
      <c r="D295"/>
      <c r="Q295"/>
    </row>
    <row r="296" spans="3:17">
      <c r="C296"/>
      <c r="D296"/>
      <c r="Q296"/>
    </row>
    <row r="297" spans="3:17">
      <c r="C297"/>
      <c r="D297"/>
      <c r="Q297"/>
    </row>
    <row r="298" spans="3:17">
      <c r="C298"/>
      <c r="D298"/>
      <c r="Q298"/>
    </row>
    <row r="299" spans="3:17">
      <c r="C299"/>
      <c r="D299"/>
      <c r="Q299"/>
    </row>
    <row r="300" spans="3:17">
      <c r="C300"/>
      <c r="D300"/>
      <c r="Q300"/>
    </row>
    <row r="301" spans="3:17">
      <c r="C301"/>
      <c r="D301"/>
    </row>
    <row r="302" spans="3:17">
      <c r="C302"/>
      <c r="D302"/>
    </row>
    <row r="303" spans="3:17">
      <c r="C303"/>
      <c r="D303"/>
    </row>
    <row r="304" spans="3:17">
      <c r="C304"/>
      <c r="D304"/>
    </row>
    <row r="305" spans="3:4">
      <c r="C305"/>
      <c r="D305"/>
    </row>
    <row r="306" spans="3:4">
      <c r="C306"/>
      <c r="D306"/>
    </row>
    <row r="307" spans="3:4">
      <c r="C307"/>
      <c r="D307"/>
    </row>
    <row r="308" spans="3:4">
      <c r="C308"/>
      <c r="D308"/>
    </row>
    <row r="309" spans="3:4">
      <c r="C309"/>
      <c r="D309"/>
    </row>
    <row r="310" spans="3:4">
      <c r="C310"/>
      <c r="D310"/>
    </row>
    <row r="311" spans="3:4">
      <c r="C311"/>
      <c r="D311"/>
    </row>
    <row r="312" spans="3:4">
      <c r="C312"/>
      <c r="D312"/>
    </row>
    <row r="313" spans="3:4">
      <c r="C313"/>
      <c r="D313"/>
    </row>
    <row r="314" spans="3:4">
      <c r="C314"/>
      <c r="D314"/>
    </row>
    <row r="315" spans="3:4">
      <c r="C315"/>
      <c r="D315"/>
    </row>
    <row r="316" spans="3:4">
      <c r="C316"/>
      <c r="D316"/>
    </row>
    <row r="317" spans="3:4">
      <c r="C317"/>
      <c r="D317"/>
    </row>
    <row r="318" spans="3:4">
      <c r="C318"/>
      <c r="D318"/>
    </row>
    <row r="319" spans="3:4">
      <c r="C319"/>
      <c r="D319"/>
    </row>
    <row r="320" spans="3:4">
      <c r="C320"/>
      <c r="D320"/>
    </row>
    <row r="321" spans="3:4">
      <c r="C321"/>
      <c r="D321"/>
    </row>
    <row r="322" spans="3:4">
      <c r="C322"/>
      <c r="D322"/>
    </row>
    <row r="323" spans="3:4">
      <c r="C323"/>
      <c r="D323"/>
    </row>
    <row r="324" spans="3:4">
      <c r="C324"/>
      <c r="D324"/>
    </row>
    <row r="325" spans="3:4">
      <c r="C325"/>
      <c r="D325"/>
    </row>
    <row r="326" spans="3:4">
      <c r="C326"/>
      <c r="D326"/>
    </row>
    <row r="327" spans="3:4">
      <c r="C327"/>
      <c r="D327"/>
    </row>
    <row r="328" spans="3:4">
      <c r="C328"/>
      <c r="D328"/>
    </row>
    <row r="329" spans="3:4">
      <c r="C329"/>
      <c r="D329"/>
    </row>
    <row r="330" spans="3:4">
      <c r="C330"/>
      <c r="D330"/>
    </row>
    <row r="331" spans="3:4">
      <c r="C331"/>
      <c r="D331"/>
    </row>
    <row r="332" spans="3:4">
      <c r="C332"/>
      <c r="D332"/>
    </row>
    <row r="333" spans="3:4">
      <c r="C333"/>
      <c r="D333"/>
    </row>
    <row r="334" spans="3:4">
      <c r="C334"/>
      <c r="D334"/>
    </row>
    <row r="335" spans="3:4">
      <c r="C335"/>
      <c r="D335"/>
    </row>
    <row r="336" spans="3:4">
      <c r="C336"/>
      <c r="D336"/>
    </row>
    <row r="337" spans="3:4">
      <c r="C337"/>
      <c r="D337"/>
    </row>
    <row r="338" spans="3:4">
      <c r="C338"/>
      <c r="D338"/>
    </row>
    <row r="339" spans="3:4">
      <c r="C339"/>
      <c r="D339"/>
    </row>
    <row r="340" spans="3:4">
      <c r="C340"/>
      <c r="D340"/>
    </row>
    <row r="341" spans="3:4">
      <c r="C341"/>
      <c r="D341"/>
    </row>
    <row r="342" spans="3:4">
      <c r="C342"/>
      <c r="D342"/>
    </row>
    <row r="343" spans="3:4">
      <c r="C343"/>
      <c r="D343"/>
    </row>
    <row r="344" spans="3:4">
      <c r="C344"/>
      <c r="D344"/>
    </row>
    <row r="345" spans="3:4">
      <c r="C345"/>
      <c r="D345"/>
    </row>
    <row r="346" spans="3:4">
      <c r="C346"/>
      <c r="D346"/>
    </row>
    <row r="347" spans="3:4">
      <c r="C347"/>
      <c r="D347"/>
    </row>
    <row r="348" spans="3:4">
      <c r="C348"/>
      <c r="D348"/>
    </row>
    <row r="349" spans="3:4">
      <c r="C349"/>
      <c r="D349"/>
    </row>
    <row r="350" spans="3:4">
      <c r="C350"/>
      <c r="D350"/>
    </row>
    <row r="351" spans="3:4">
      <c r="C351"/>
      <c r="D351"/>
    </row>
    <row r="352" spans="3:4">
      <c r="C352"/>
      <c r="D352"/>
    </row>
    <row r="353" spans="3:4">
      <c r="C353"/>
      <c r="D353"/>
    </row>
    <row r="354" spans="3:4">
      <c r="C354"/>
      <c r="D354"/>
    </row>
    <row r="355" spans="3:4">
      <c r="C355"/>
      <c r="D355"/>
    </row>
    <row r="356" spans="3:4">
      <c r="C356"/>
      <c r="D356"/>
    </row>
    <row r="357" spans="3:4">
      <c r="C357"/>
      <c r="D357"/>
    </row>
    <row r="358" spans="3:4">
      <c r="C358"/>
      <c r="D358"/>
    </row>
    <row r="359" spans="3:4">
      <c r="C359"/>
      <c r="D359"/>
    </row>
    <row r="360" spans="3:4">
      <c r="C360"/>
      <c r="D360"/>
    </row>
    <row r="361" spans="3:4">
      <c r="C361"/>
      <c r="D361"/>
    </row>
    <row r="362" spans="3:4">
      <c r="C362"/>
      <c r="D362"/>
    </row>
    <row r="363" spans="3:4">
      <c r="C363"/>
      <c r="D363"/>
    </row>
    <row r="364" spans="3:4">
      <c r="C364"/>
      <c r="D364"/>
    </row>
    <row r="365" spans="3:4">
      <c r="C365"/>
      <c r="D365"/>
    </row>
    <row r="366" spans="3:4">
      <c r="C366"/>
      <c r="D366"/>
    </row>
    <row r="367" spans="3:4">
      <c r="C367"/>
      <c r="D367"/>
    </row>
    <row r="368" spans="3:4">
      <c r="C368"/>
      <c r="D368"/>
    </row>
    <row r="369" spans="3:4">
      <c r="C369"/>
      <c r="D369"/>
    </row>
    <row r="370" spans="3:4">
      <c r="C370"/>
      <c r="D370"/>
    </row>
    <row r="371" spans="3:4">
      <c r="C371"/>
      <c r="D371"/>
    </row>
    <row r="372" spans="3:4">
      <c r="C372"/>
      <c r="D372"/>
    </row>
    <row r="373" spans="3:4">
      <c r="C373"/>
      <c r="D373"/>
    </row>
    <row r="374" spans="3:4">
      <c r="C374"/>
      <c r="D374"/>
    </row>
    <row r="375" spans="3:4">
      <c r="C375"/>
      <c r="D375"/>
    </row>
    <row r="376" spans="3:4">
      <c r="C376"/>
      <c r="D376"/>
    </row>
    <row r="377" spans="3:4">
      <c r="C377"/>
      <c r="D377"/>
    </row>
    <row r="378" spans="3:4">
      <c r="C378"/>
      <c r="D378"/>
    </row>
    <row r="379" spans="3:4">
      <c r="C379"/>
      <c r="D379"/>
    </row>
    <row r="380" spans="3:4">
      <c r="C380"/>
      <c r="D380"/>
    </row>
    <row r="381" spans="3:4">
      <c r="C381"/>
      <c r="D381"/>
    </row>
    <row r="382" spans="3:4">
      <c r="C382"/>
      <c r="D382"/>
    </row>
    <row r="383" spans="3:4">
      <c r="C383"/>
      <c r="D383"/>
    </row>
    <row r="384" spans="3:4">
      <c r="C384"/>
      <c r="D384"/>
    </row>
    <row r="385" spans="3:4">
      <c r="C385"/>
      <c r="D385"/>
    </row>
    <row r="386" spans="3:4">
      <c r="C386"/>
      <c r="D386"/>
    </row>
    <row r="387" spans="3:4">
      <c r="C387"/>
      <c r="D387"/>
    </row>
    <row r="388" spans="3:4">
      <c r="C388"/>
      <c r="D388"/>
    </row>
    <row r="389" spans="3:4">
      <c r="C389"/>
      <c r="D389"/>
    </row>
    <row r="390" spans="3:4">
      <c r="C390"/>
      <c r="D390"/>
    </row>
    <row r="391" spans="3:4">
      <c r="C391"/>
      <c r="D391"/>
    </row>
    <row r="392" spans="3:4">
      <c r="C392"/>
      <c r="D392"/>
    </row>
    <row r="393" spans="3:4">
      <c r="C393"/>
      <c r="D393"/>
    </row>
    <row r="394" spans="3:4">
      <c r="C394"/>
      <c r="D394"/>
    </row>
    <row r="395" spans="3:4">
      <c r="C395"/>
      <c r="D395"/>
    </row>
    <row r="396" spans="3:4">
      <c r="C396"/>
      <c r="D396"/>
    </row>
    <row r="397" spans="3:4">
      <c r="C397"/>
      <c r="D397"/>
    </row>
    <row r="398" spans="3:4">
      <c r="C398"/>
      <c r="D398"/>
    </row>
    <row r="399" spans="3:4">
      <c r="C399"/>
      <c r="D399"/>
    </row>
    <row r="400" spans="3:4">
      <c r="C400"/>
      <c r="D400"/>
    </row>
    <row r="401" spans="3:4">
      <c r="C401"/>
      <c r="D401"/>
    </row>
    <row r="402" spans="3:4">
      <c r="C402"/>
      <c r="D402"/>
    </row>
    <row r="403" spans="3:4">
      <c r="C403"/>
      <c r="D403"/>
    </row>
    <row r="404" spans="3:4">
      <c r="C404"/>
      <c r="D404"/>
    </row>
    <row r="405" spans="3:4">
      <c r="C405"/>
      <c r="D405"/>
    </row>
    <row r="406" spans="3:4">
      <c r="C406"/>
      <c r="D406"/>
    </row>
    <row r="407" spans="3:4">
      <c r="C407"/>
      <c r="D407"/>
    </row>
    <row r="408" spans="3:4">
      <c r="C408"/>
      <c r="D408"/>
    </row>
    <row r="409" spans="3:4">
      <c r="C409"/>
      <c r="D409"/>
    </row>
    <row r="410" spans="3:4">
      <c r="C410"/>
      <c r="D410"/>
    </row>
    <row r="411" spans="3:4">
      <c r="C411"/>
      <c r="D411"/>
    </row>
    <row r="412" spans="3:4">
      <c r="C412"/>
      <c r="D412"/>
    </row>
    <row r="413" spans="3:4">
      <c r="C413"/>
      <c r="D413"/>
    </row>
    <row r="414" spans="3:4">
      <c r="C414"/>
      <c r="D414"/>
    </row>
    <row r="415" spans="3:4">
      <c r="C415"/>
      <c r="D415"/>
    </row>
    <row r="416" spans="3:4">
      <c r="C416"/>
      <c r="D416"/>
    </row>
    <row r="417" spans="3:4">
      <c r="C417"/>
      <c r="D417"/>
    </row>
    <row r="418" spans="3:4">
      <c r="C418"/>
      <c r="D418"/>
    </row>
    <row r="419" spans="3:4">
      <c r="C419"/>
      <c r="D419"/>
    </row>
    <row r="420" spans="3:4">
      <c r="C420"/>
      <c r="D420"/>
    </row>
    <row r="421" spans="3:4">
      <c r="C421"/>
      <c r="D421"/>
    </row>
    <row r="422" spans="3:4">
      <c r="C422"/>
      <c r="D422"/>
    </row>
    <row r="423" spans="3:4">
      <c r="C423"/>
      <c r="D423"/>
    </row>
    <row r="424" spans="3:4">
      <c r="C424"/>
      <c r="D424"/>
    </row>
    <row r="425" spans="3:4">
      <c r="C425"/>
      <c r="D425"/>
    </row>
    <row r="426" spans="3:4">
      <c r="C426"/>
      <c r="D426"/>
    </row>
    <row r="427" spans="3:4">
      <c r="C427"/>
      <c r="D427"/>
    </row>
    <row r="428" spans="3:4">
      <c r="C428"/>
      <c r="D428"/>
    </row>
    <row r="429" spans="3:4">
      <c r="C429"/>
      <c r="D429"/>
    </row>
    <row r="430" spans="3:4">
      <c r="C430"/>
      <c r="D430"/>
    </row>
    <row r="431" spans="3:4">
      <c r="C431"/>
      <c r="D431"/>
    </row>
    <row r="432" spans="3:4">
      <c r="C432"/>
      <c r="D432"/>
    </row>
    <row r="433" spans="3:4">
      <c r="C433"/>
      <c r="D433"/>
    </row>
    <row r="434" spans="3:4">
      <c r="C434"/>
      <c r="D434"/>
    </row>
    <row r="435" spans="3:4">
      <c r="C435"/>
      <c r="D435"/>
    </row>
    <row r="436" spans="3:4">
      <c r="C436"/>
      <c r="D436"/>
    </row>
    <row r="437" spans="3:4">
      <c r="C437"/>
      <c r="D437"/>
    </row>
    <row r="438" spans="3:4">
      <c r="C438"/>
      <c r="D438"/>
    </row>
    <row r="439" spans="3:4">
      <c r="C439"/>
      <c r="D439"/>
    </row>
    <row r="440" spans="3:4">
      <c r="C440"/>
      <c r="D440"/>
    </row>
    <row r="441" spans="3:4">
      <c r="C441"/>
      <c r="D441"/>
    </row>
    <row r="442" spans="3:4">
      <c r="C442"/>
      <c r="D442"/>
    </row>
    <row r="443" spans="3:4">
      <c r="C443"/>
      <c r="D443"/>
    </row>
    <row r="444" spans="3:4">
      <c r="C444"/>
      <c r="D444"/>
    </row>
    <row r="445" spans="3:4">
      <c r="C445"/>
      <c r="D445"/>
    </row>
    <row r="446" spans="3:4">
      <c r="C446"/>
      <c r="D446"/>
    </row>
    <row r="447" spans="3:4">
      <c r="C447"/>
      <c r="D447"/>
    </row>
    <row r="448" spans="3:4">
      <c r="C448"/>
      <c r="D448"/>
    </row>
    <row r="449" spans="3:4">
      <c r="C449"/>
      <c r="D449"/>
    </row>
    <row r="450" spans="3:4">
      <c r="C450"/>
      <c r="D450"/>
    </row>
    <row r="451" spans="3:4">
      <c r="C451"/>
      <c r="D451"/>
    </row>
    <row r="452" spans="3:4">
      <c r="C452"/>
      <c r="D452"/>
    </row>
    <row r="453" spans="3:4">
      <c r="C453"/>
      <c r="D453"/>
    </row>
    <row r="454" spans="3:4">
      <c r="C454"/>
      <c r="D454"/>
    </row>
    <row r="455" spans="3:4">
      <c r="C455"/>
      <c r="D455"/>
    </row>
    <row r="456" spans="3:4">
      <c r="C456"/>
      <c r="D456"/>
    </row>
    <row r="457" spans="3:4">
      <c r="C457"/>
      <c r="D457"/>
    </row>
    <row r="458" spans="3:4">
      <c r="C458"/>
      <c r="D458"/>
    </row>
    <row r="459" spans="3:4">
      <c r="C459"/>
      <c r="D459"/>
    </row>
    <row r="460" spans="3:4">
      <c r="C460"/>
      <c r="D460"/>
    </row>
    <row r="461" spans="3:4">
      <c r="C461"/>
      <c r="D461"/>
    </row>
    <row r="462" spans="3:4">
      <c r="C462"/>
      <c r="D462"/>
    </row>
    <row r="463" spans="3:4">
      <c r="C463"/>
      <c r="D463"/>
    </row>
    <row r="464" spans="3:4">
      <c r="C464"/>
      <c r="D464"/>
    </row>
    <row r="465" spans="3:4">
      <c r="C465"/>
      <c r="D465"/>
    </row>
    <row r="466" spans="3:4">
      <c r="C466"/>
      <c r="D466"/>
    </row>
    <row r="467" spans="3:4">
      <c r="C467"/>
      <c r="D467"/>
    </row>
    <row r="468" spans="3:4">
      <c r="C468"/>
      <c r="D468"/>
    </row>
    <row r="469" spans="3:4">
      <c r="C469"/>
      <c r="D469"/>
    </row>
    <row r="470" spans="3:4">
      <c r="C470"/>
      <c r="D470"/>
    </row>
    <row r="471" spans="3:4">
      <c r="C471"/>
      <c r="D471"/>
    </row>
    <row r="472" spans="3:4">
      <c r="C472"/>
      <c r="D472"/>
    </row>
  </sheetData>
  <pageMargins left="0.7" right="0.7" top="0.75" bottom="0.75" header="0.3" footer="0.3"/>
  <customProperties>
    <customPr name="EpmWorksheetKeyString_GU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E8EB2-93BA-46D4-B366-EE0948A2817F}">
  <sheetPr codeName="Sheet4">
    <pageSetUpPr fitToPage="1"/>
  </sheetPr>
  <dimension ref="A1:BN90"/>
  <sheetViews>
    <sheetView topLeftCell="A18" zoomScaleNormal="100" workbookViewId="0">
      <selection activeCell="A28" sqref="A28"/>
    </sheetView>
  </sheetViews>
  <sheetFormatPr defaultColWidth="8.42578125" defaultRowHeight="15"/>
  <cols>
    <col min="1" max="1" width="38" style="99" customWidth="1"/>
    <col min="2" max="2" width="8.42578125" style="99" hidden="1" customWidth="1"/>
    <col min="3" max="3" width="2.85546875" style="99" customWidth="1"/>
    <col min="4" max="4" width="11.7109375" style="99" customWidth="1"/>
    <col min="5" max="17" width="15" style="199" customWidth="1"/>
    <col min="18" max="18" width="20.7109375" style="198" customWidth="1"/>
    <col min="19" max="19" width="6.28515625" style="99" customWidth="1"/>
    <col min="20" max="20" width="22.140625" style="99" bestFit="1" customWidth="1"/>
    <col min="21" max="21" width="13.5703125" style="99" bestFit="1" customWidth="1"/>
    <col min="22" max="16384" width="8.42578125" style="99"/>
  </cols>
  <sheetData>
    <row r="1" spans="1:66" ht="15.75">
      <c r="A1" s="131"/>
      <c r="C1" s="132"/>
      <c r="D1" s="133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6"/>
      <c r="BN1" s="137"/>
    </row>
    <row r="2" spans="1:66">
      <c r="C2" s="132"/>
      <c r="D2" s="132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6"/>
    </row>
    <row r="3" spans="1:66" ht="15.75" customHeight="1">
      <c r="A3" s="138"/>
      <c r="C3" s="132"/>
      <c r="D3" s="132"/>
      <c r="E3" s="135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6"/>
    </row>
    <row r="4" spans="1:66" ht="15.75">
      <c r="A4" s="131" t="s">
        <v>110</v>
      </c>
      <c r="C4" s="140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42"/>
    </row>
    <row r="5" spans="1:66">
      <c r="A5" s="143"/>
      <c r="C5" s="140"/>
      <c r="D5" s="109"/>
      <c r="E5" s="144" t="s">
        <v>0</v>
      </c>
      <c r="F5" s="144" t="s">
        <v>0</v>
      </c>
      <c r="G5" s="144" t="s">
        <v>0</v>
      </c>
      <c r="H5" s="144" t="s">
        <v>0</v>
      </c>
      <c r="I5" s="144" t="s">
        <v>0</v>
      </c>
      <c r="J5" s="144" t="s">
        <v>0</v>
      </c>
      <c r="K5" s="144" t="s">
        <v>0</v>
      </c>
      <c r="L5" s="144" t="s">
        <v>0</v>
      </c>
      <c r="M5" s="144" t="s">
        <v>0</v>
      </c>
      <c r="N5" s="144" t="s">
        <v>0</v>
      </c>
      <c r="O5" s="144" t="s">
        <v>0</v>
      </c>
      <c r="P5" s="144" t="s">
        <v>0</v>
      </c>
      <c r="Q5" s="144" t="s">
        <v>0</v>
      </c>
      <c r="R5" s="145" t="s">
        <v>189</v>
      </c>
      <c r="T5" s="99" t="s">
        <v>176</v>
      </c>
    </row>
    <row r="6" spans="1:66">
      <c r="A6" s="143"/>
      <c r="C6" s="140"/>
      <c r="D6" s="109"/>
      <c r="E6" s="146">
        <v>45291</v>
      </c>
      <c r="F6" s="146">
        <v>45322</v>
      </c>
      <c r="G6" s="146">
        <v>45350</v>
      </c>
      <c r="H6" s="146">
        <v>45382</v>
      </c>
      <c r="I6" s="146">
        <v>45412</v>
      </c>
      <c r="J6" s="146">
        <v>45443</v>
      </c>
      <c r="K6" s="146">
        <v>45473</v>
      </c>
      <c r="L6" s="146">
        <v>45504</v>
      </c>
      <c r="M6" s="146">
        <v>45535</v>
      </c>
      <c r="N6" s="146">
        <v>45565</v>
      </c>
      <c r="O6" s="146">
        <v>45596</v>
      </c>
      <c r="P6" s="146">
        <v>45626</v>
      </c>
      <c r="Q6" s="146">
        <v>45657</v>
      </c>
      <c r="R6" s="147" t="s">
        <v>111</v>
      </c>
      <c r="T6" s="99" t="s">
        <v>101</v>
      </c>
    </row>
    <row r="7" spans="1:66">
      <c r="A7" s="99" t="s">
        <v>112</v>
      </c>
      <c r="C7" s="140"/>
      <c r="D7" s="148"/>
      <c r="E7" s="150">
        <v>59236199.999999993</v>
      </c>
      <c r="F7" s="150">
        <v>71766499.99999997</v>
      </c>
      <c r="G7" s="150">
        <v>67926200.000000015</v>
      </c>
      <c r="H7" s="150">
        <v>60946099.999999993</v>
      </c>
      <c r="I7" s="150">
        <v>52392500</v>
      </c>
      <c r="J7" s="150">
        <v>47476599.999999985</v>
      </c>
      <c r="K7" s="150">
        <v>45373299.999999978</v>
      </c>
      <c r="L7" s="150">
        <v>43920399.99999997</v>
      </c>
      <c r="M7" s="150">
        <v>43371099.999999993</v>
      </c>
      <c r="N7" s="150">
        <v>45200099.99999997</v>
      </c>
      <c r="O7" s="150">
        <v>46104599.999999993</v>
      </c>
      <c r="P7" s="150">
        <v>51491699.999999985</v>
      </c>
      <c r="Q7" s="150">
        <v>59227699.99999997</v>
      </c>
      <c r="R7" s="151">
        <f>SUM(F7:Q7)</f>
        <v>635196800</v>
      </c>
      <c r="S7" s="152"/>
      <c r="T7" s="153"/>
      <c r="U7" s="154"/>
    </row>
    <row r="8" spans="1:66">
      <c r="A8" s="99" t="s">
        <v>113</v>
      </c>
      <c r="C8" s="140"/>
      <c r="D8" s="148"/>
      <c r="E8" s="155">
        <v>21375500</v>
      </c>
      <c r="F8" s="155">
        <v>32330700</v>
      </c>
      <c r="G8" s="155">
        <v>30137200</v>
      </c>
      <c r="H8" s="155">
        <v>24809900</v>
      </c>
      <c r="I8" s="155">
        <v>18243800</v>
      </c>
      <c r="J8" s="155">
        <v>15145400</v>
      </c>
      <c r="K8" s="155">
        <v>13843900</v>
      </c>
      <c r="L8" s="155">
        <v>13329600</v>
      </c>
      <c r="M8" s="155">
        <v>12910100</v>
      </c>
      <c r="N8" s="155">
        <v>13755000</v>
      </c>
      <c r="O8" s="155">
        <v>14886200</v>
      </c>
      <c r="P8" s="155">
        <v>17661600</v>
      </c>
      <c r="Q8" s="155">
        <v>21375500</v>
      </c>
      <c r="R8" s="156">
        <f t="shared" ref="R8:R9" si="0">SUM(F8:Q8)</f>
        <v>228428900</v>
      </c>
      <c r="S8" s="152"/>
      <c r="T8" s="153"/>
      <c r="U8" s="152"/>
    </row>
    <row r="9" spans="1:66">
      <c r="A9" s="99" t="s">
        <v>114</v>
      </c>
      <c r="C9" s="140"/>
      <c r="D9" s="157"/>
      <c r="E9" s="158">
        <v>37860699.999999993</v>
      </c>
      <c r="F9" s="158">
        <f t="shared" ref="F9:Q9" si="1">+F7-F8</f>
        <v>39435799.99999997</v>
      </c>
      <c r="G9" s="158">
        <f t="shared" si="1"/>
        <v>37789000.000000015</v>
      </c>
      <c r="H9" s="158">
        <f t="shared" si="1"/>
        <v>36136199.999999993</v>
      </c>
      <c r="I9" s="158">
        <f t="shared" si="1"/>
        <v>34148700</v>
      </c>
      <c r="J9" s="158">
        <f t="shared" si="1"/>
        <v>32331199.999999985</v>
      </c>
      <c r="K9" s="158">
        <f t="shared" si="1"/>
        <v>31529399.999999978</v>
      </c>
      <c r="L9" s="158">
        <f t="shared" si="1"/>
        <v>30590799.99999997</v>
      </c>
      <c r="M9" s="158">
        <f t="shared" si="1"/>
        <v>30460999.999999993</v>
      </c>
      <c r="N9" s="158">
        <f t="shared" si="1"/>
        <v>31445099.99999997</v>
      </c>
      <c r="O9" s="158">
        <f t="shared" si="1"/>
        <v>31218399.999999993</v>
      </c>
      <c r="P9" s="158">
        <f t="shared" si="1"/>
        <v>33830099.999999985</v>
      </c>
      <c r="Q9" s="158">
        <f t="shared" si="1"/>
        <v>37852199.99999997</v>
      </c>
      <c r="R9" s="159">
        <f t="shared" si="0"/>
        <v>406767899.99999988</v>
      </c>
      <c r="S9" s="152"/>
      <c r="T9" s="153"/>
      <c r="U9" s="152"/>
    </row>
    <row r="10" spans="1:66">
      <c r="C10" s="140"/>
      <c r="D10" s="148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59"/>
      <c r="T10" s="153"/>
      <c r="U10" s="152"/>
    </row>
    <row r="11" spans="1:66">
      <c r="A11" s="99" t="s">
        <v>115</v>
      </c>
      <c r="C11" s="140"/>
      <c r="D11" s="148"/>
      <c r="E11" s="150">
        <v>14203099.999999998</v>
      </c>
      <c r="F11" s="150">
        <v>15021700.000000002</v>
      </c>
      <c r="G11" s="150">
        <v>14162599.999999998</v>
      </c>
      <c r="H11" s="150">
        <v>15468599.999999996</v>
      </c>
      <c r="I11" s="150">
        <v>13953899.999999996</v>
      </c>
      <c r="J11" s="150">
        <v>14340299.999999996</v>
      </c>
      <c r="K11" s="150">
        <v>15122599.999999994</v>
      </c>
      <c r="L11" s="150">
        <v>14393599.999999994</v>
      </c>
      <c r="M11" s="150">
        <v>14069899.999999994</v>
      </c>
      <c r="N11" s="150">
        <v>14821499.999999998</v>
      </c>
      <c r="O11" s="150">
        <v>14321899.999999996</v>
      </c>
      <c r="P11" s="150">
        <v>14555200</v>
      </c>
      <c r="Q11" s="150">
        <v>15976099.999999991</v>
      </c>
      <c r="R11" s="151">
        <f t="shared" ref="R11:R20" si="2">SUM(F11:Q11)</f>
        <v>176207900</v>
      </c>
      <c r="S11" s="152"/>
      <c r="T11" s="153"/>
      <c r="U11" s="152"/>
    </row>
    <row r="12" spans="1:66">
      <c r="A12" s="99" t="s">
        <v>116</v>
      </c>
      <c r="C12" s="140"/>
      <c r="D12" s="148"/>
      <c r="E12" s="150">
        <v>-2186400</v>
      </c>
      <c r="F12" s="150">
        <v>6500900</v>
      </c>
      <c r="G12" s="150">
        <v>6538500</v>
      </c>
      <c r="H12" s="150">
        <v>6573399.9999999991</v>
      </c>
      <c r="I12" s="150">
        <v>6612500</v>
      </c>
      <c r="J12" s="150">
        <v>6628000</v>
      </c>
      <c r="K12" s="150">
        <v>6666000</v>
      </c>
      <c r="L12" s="150">
        <v>6705300</v>
      </c>
      <c r="M12" s="150">
        <v>6739600</v>
      </c>
      <c r="N12" s="150">
        <v>6780500</v>
      </c>
      <c r="O12" s="150">
        <v>6829600</v>
      </c>
      <c r="P12" s="150">
        <v>6864800</v>
      </c>
      <c r="Q12" s="150">
        <v>6900699.9999999991</v>
      </c>
      <c r="R12" s="151">
        <f t="shared" si="2"/>
        <v>80339800</v>
      </c>
      <c r="S12" s="152"/>
      <c r="T12" s="153"/>
      <c r="U12" s="152"/>
    </row>
    <row r="13" spans="1:66">
      <c r="A13" s="99" t="s">
        <v>117</v>
      </c>
      <c r="C13" s="140"/>
      <c r="D13" s="148"/>
      <c r="E13" s="150">
        <v>607200</v>
      </c>
      <c r="F13" s="150">
        <v>613000</v>
      </c>
      <c r="G13" s="150">
        <v>613200</v>
      </c>
      <c r="H13" s="150">
        <v>613600</v>
      </c>
      <c r="I13" s="150">
        <v>614000</v>
      </c>
      <c r="J13" s="150">
        <v>614400</v>
      </c>
      <c r="K13" s="150">
        <v>614800</v>
      </c>
      <c r="L13" s="150">
        <v>615200</v>
      </c>
      <c r="M13" s="150">
        <v>615600</v>
      </c>
      <c r="N13" s="150">
        <v>626100</v>
      </c>
      <c r="O13" s="150">
        <v>629700</v>
      </c>
      <c r="P13" s="150">
        <v>631300</v>
      </c>
      <c r="Q13" s="150">
        <v>635400</v>
      </c>
      <c r="R13" s="151">
        <f t="shared" si="2"/>
        <v>7436300</v>
      </c>
      <c r="S13" s="152"/>
      <c r="T13" s="153"/>
      <c r="U13" s="152"/>
    </row>
    <row r="14" spans="1:66">
      <c r="A14" s="99" t="s">
        <v>118</v>
      </c>
      <c r="C14" s="140"/>
      <c r="D14" s="148"/>
      <c r="E14" s="150">
        <v>0</v>
      </c>
      <c r="F14" s="150">
        <v>0</v>
      </c>
      <c r="G14" s="150">
        <v>0</v>
      </c>
      <c r="H14" s="150">
        <v>0</v>
      </c>
      <c r="I14" s="150">
        <v>0</v>
      </c>
      <c r="J14" s="150">
        <v>0</v>
      </c>
      <c r="K14" s="150">
        <v>0</v>
      </c>
      <c r="L14" s="150">
        <v>0</v>
      </c>
      <c r="M14" s="150">
        <v>0</v>
      </c>
      <c r="N14" s="150">
        <v>0</v>
      </c>
      <c r="O14" s="150">
        <v>0</v>
      </c>
      <c r="P14" s="150">
        <v>0</v>
      </c>
      <c r="Q14" s="150">
        <v>0</v>
      </c>
      <c r="R14" s="151">
        <f t="shared" si="2"/>
        <v>0</v>
      </c>
      <c r="S14" s="152"/>
      <c r="T14" s="153"/>
      <c r="U14" s="152"/>
    </row>
    <row r="15" spans="1:66">
      <c r="A15" s="99" t="s">
        <v>119</v>
      </c>
      <c r="C15" s="140"/>
      <c r="D15" s="148"/>
      <c r="E15" s="150">
        <v>83300</v>
      </c>
      <c r="F15" s="150">
        <v>83300</v>
      </c>
      <c r="G15" s="150">
        <v>83300</v>
      </c>
      <c r="H15" s="150">
        <v>83300</v>
      </c>
      <c r="I15" s="150">
        <v>83300</v>
      </c>
      <c r="J15" s="150">
        <v>83300</v>
      </c>
      <c r="K15" s="150">
        <v>83300</v>
      </c>
      <c r="L15" s="150">
        <v>83300</v>
      </c>
      <c r="M15" s="150">
        <v>83300</v>
      </c>
      <c r="N15" s="150">
        <v>83300</v>
      </c>
      <c r="O15" s="150">
        <v>83300</v>
      </c>
      <c r="P15" s="150">
        <v>83300</v>
      </c>
      <c r="Q15" s="150">
        <v>83300</v>
      </c>
      <c r="R15" s="151">
        <f t="shared" si="2"/>
        <v>999600</v>
      </c>
      <c r="S15" s="152"/>
      <c r="T15" s="153"/>
      <c r="U15" s="152"/>
    </row>
    <row r="16" spans="1:66">
      <c r="A16" s="99" t="s">
        <v>120</v>
      </c>
      <c r="C16" s="140"/>
      <c r="D16" s="148"/>
      <c r="E16" s="150">
        <v>5211500</v>
      </c>
      <c r="F16" s="150">
        <v>6131100</v>
      </c>
      <c r="G16" s="150">
        <v>6393099.9999999991</v>
      </c>
      <c r="H16" s="150">
        <v>5855099.9999999981</v>
      </c>
      <c r="I16" s="150">
        <v>5571800</v>
      </c>
      <c r="J16" s="150">
        <v>5350099.9999999991</v>
      </c>
      <c r="K16" s="150">
        <v>5200300</v>
      </c>
      <c r="L16" s="150">
        <v>4879099.9999999981</v>
      </c>
      <c r="M16" s="150">
        <v>4851500.0000000009</v>
      </c>
      <c r="N16" s="150">
        <v>4917299.9999999991</v>
      </c>
      <c r="O16" s="150">
        <v>5178599.9999999991</v>
      </c>
      <c r="P16" s="150">
        <v>5638099.9999999991</v>
      </c>
      <c r="Q16" s="150">
        <v>6072699.9999999991</v>
      </c>
      <c r="R16" s="151">
        <f t="shared" si="2"/>
        <v>66038800</v>
      </c>
      <c r="S16" s="152"/>
      <c r="T16" s="153"/>
      <c r="U16" s="152"/>
    </row>
    <row r="17" spans="1:21" s="200" customFormat="1">
      <c r="A17" s="200" t="s">
        <v>121</v>
      </c>
      <c r="C17" s="201"/>
      <c r="D17" s="202"/>
      <c r="E17" s="231">
        <v>1800175.0073631073</v>
      </c>
      <c r="F17" s="231">
        <v>-53500</v>
      </c>
      <c r="G17" s="231">
        <v>63500</v>
      </c>
      <c r="H17" s="231">
        <v>-2858700</v>
      </c>
      <c r="I17" s="231">
        <v>-789100</v>
      </c>
      <c r="J17" s="231">
        <v>-1424399.9999999998</v>
      </c>
      <c r="K17" s="231">
        <v>-1866700</v>
      </c>
      <c r="L17" s="231">
        <v>-1849200</v>
      </c>
      <c r="M17" s="231">
        <v>-1855000</v>
      </c>
      <c r="N17" s="231">
        <v>-1891899.9999999998</v>
      </c>
      <c r="O17" s="231">
        <v>-1931200</v>
      </c>
      <c r="P17" s="231">
        <v>-1291300</v>
      </c>
      <c r="Q17" s="231">
        <v>-685500</v>
      </c>
      <c r="R17" s="232">
        <f t="shared" si="2"/>
        <v>-16433000</v>
      </c>
      <c r="S17" s="202"/>
      <c r="T17" s="153">
        <f>R17-'IncomeStmt Rate Case'!S17</f>
        <v>0</v>
      </c>
      <c r="U17" s="202" t="s">
        <v>66</v>
      </c>
    </row>
    <row r="18" spans="1:21">
      <c r="A18" s="200" t="s">
        <v>122</v>
      </c>
      <c r="B18" s="200"/>
      <c r="C18" s="201"/>
      <c r="D18" s="202"/>
      <c r="E18" s="205">
        <v>2461875.0073631071</v>
      </c>
      <c r="F18" s="205">
        <f>'IncomeStmt Rate Case'!G18+(-F41+'IncomeStmt Rate Case'!G41)*$M$50</f>
        <v>1956074.4931607731</v>
      </c>
      <c r="G18" s="205">
        <f>'IncomeStmt Rate Case'!H18+(-G41+'IncomeStmt Rate Case'!H41)*$M$50</f>
        <v>1558474.4370221228</v>
      </c>
      <c r="H18" s="205">
        <f>'IncomeStmt Rate Case'!I18+(-H41+'IncomeStmt Rate Case'!I41)*$M$50</f>
        <v>3343774.4583049682</v>
      </c>
      <c r="I18" s="205">
        <f>'IncomeStmt Rate Case'!J18+(-I41+'IncomeStmt Rate Case'!J41)*$M$50</f>
        <v>1724574.4379740846</v>
      </c>
      <c r="J18" s="205">
        <f>'IncomeStmt Rate Case'!K18+(-J41+'IncomeStmt Rate Case'!K41)*$M$50</f>
        <v>1840974.3855593004</v>
      </c>
      <c r="K18" s="205">
        <f>'IncomeStmt Rate Case'!L18+(-K41+'IncomeStmt Rate Case'!L41)*$M$50</f>
        <v>2003174.3815184208</v>
      </c>
      <c r="L18" s="205">
        <f>'IncomeStmt Rate Case'!M18+(-L41+'IncomeStmt Rate Case'!M41)*$M$50</f>
        <v>1876893.7815105573</v>
      </c>
      <c r="M18" s="205">
        <f>'IncomeStmt Rate Case'!N18+(-M41+'IncomeStmt Rate Case'!N41)*$M$50</f>
        <v>1925374.3937939652</v>
      </c>
      <c r="N18" s="205">
        <f>'IncomeStmt Rate Case'!O18+(-N41+'IncomeStmt Rate Case'!O41)*$M$50</f>
        <v>2320255.1225441555</v>
      </c>
      <c r="O18" s="205">
        <f>'IncomeStmt Rate Case'!P18+(-O41+'IncomeStmt Rate Case'!P41)*$M$50</f>
        <v>2007437.5921320783</v>
      </c>
      <c r="P18" s="205">
        <f>'IncomeStmt Rate Case'!Q18+(-P41+'IncomeStmt Rate Case'!Q41)*$M$50</f>
        <v>1828147.1380120297</v>
      </c>
      <c r="Q18" s="205">
        <f>'IncomeStmt Rate Case'!R18+(-Q41+'IncomeStmt Rate Case'!R41)*$M$50</f>
        <v>1903356.6921953298</v>
      </c>
      <c r="R18" s="206">
        <f t="shared" si="2"/>
        <v>24288511.313727785</v>
      </c>
      <c r="S18" s="207"/>
      <c r="T18" s="153">
        <f>R18-'IncomeStmt Rate Case'!S18</f>
        <v>1798411.3137277849</v>
      </c>
      <c r="U18" s="207">
        <f>T41*M50+T18</f>
        <v>0</v>
      </c>
    </row>
    <row r="19" spans="1:21">
      <c r="A19" s="99" t="s">
        <v>123</v>
      </c>
      <c r="C19" s="140"/>
      <c r="D19" s="148"/>
      <c r="E19" s="163">
        <v>0</v>
      </c>
      <c r="F19" s="163">
        <v>0</v>
      </c>
      <c r="G19" s="163">
        <v>0</v>
      </c>
      <c r="H19" s="163">
        <v>0</v>
      </c>
      <c r="I19" s="163">
        <v>0</v>
      </c>
      <c r="J19" s="163">
        <v>0</v>
      </c>
      <c r="K19" s="163">
        <v>0</v>
      </c>
      <c r="L19" s="163">
        <v>0</v>
      </c>
      <c r="M19" s="163">
        <v>0</v>
      </c>
      <c r="N19" s="163">
        <v>0</v>
      </c>
      <c r="O19" s="163">
        <v>0</v>
      </c>
      <c r="P19" s="163">
        <v>0</v>
      </c>
      <c r="Q19" s="163">
        <v>0</v>
      </c>
      <c r="R19" s="164">
        <f t="shared" si="2"/>
        <v>0</v>
      </c>
      <c r="S19" s="152"/>
      <c r="T19" s="153"/>
      <c r="U19" s="152"/>
    </row>
    <row r="20" spans="1:21">
      <c r="A20" s="99" t="s">
        <v>124</v>
      </c>
      <c r="C20" s="140"/>
      <c r="D20" s="157"/>
      <c r="E20" s="158">
        <v>22180750.014726214</v>
      </c>
      <c r="F20" s="158">
        <f t="shared" ref="F20:Q20" si="3">SUM(F11:F19)</f>
        <v>30252574.493160773</v>
      </c>
      <c r="G20" s="158">
        <f t="shared" si="3"/>
        <v>29412674.437022123</v>
      </c>
      <c r="H20" s="158">
        <f t="shared" si="3"/>
        <v>29079074.45830496</v>
      </c>
      <c r="I20" s="158">
        <f t="shared" si="3"/>
        <v>27770974.43797408</v>
      </c>
      <c r="J20" s="158">
        <f t="shared" si="3"/>
        <v>27432674.385559298</v>
      </c>
      <c r="K20" s="158">
        <f t="shared" si="3"/>
        <v>27823474.381518412</v>
      </c>
      <c r="L20" s="158">
        <f t="shared" si="3"/>
        <v>26704193.781510551</v>
      </c>
      <c r="M20" s="158">
        <f t="shared" si="3"/>
        <v>26430274.393793959</v>
      </c>
      <c r="N20" s="158">
        <f t="shared" si="3"/>
        <v>27657055.122544155</v>
      </c>
      <c r="O20" s="158">
        <f t="shared" si="3"/>
        <v>27119337.592132073</v>
      </c>
      <c r="P20" s="158">
        <f t="shared" si="3"/>
        <v>28309547.138012029</v>
      </c>
      <c r="Q20" s="158">
        <f t="shared" si="3"/>
        <v>30886056.692195319</v>
      </c>
      <c r="R20" s="159">
        <f t="shared" si="2"/>
        <v>338877911.3137278</v>
      </c>
      <c r="S20" s="152"/>
      <c r="T20" s="204">
        <f>R20-'IncomeStmt Rate Case'!S20</f>
        <v>1798411.3137277961</v>
      </c>
      <c r="U20" s="152"/>
    </row>
    <row r="21" spans="1:21">
      <c r="C21" s="140"/>
      <c r="D21" s="148"/>
      <c r="E21" s="230">
        <v>0.2354</v>
      </c>
      <c r="F21" s="160">
        <f>+(-F41+'IncomeStmt Rate Case'!G41)*$M$50</f>
        <v>154274.4931607731</v>
      </c>
      <c r="G21" s="160">
        <f>+(-G41+'IncomeStmt Rate Case'!H41)*$M$50</f>
        <v>154274.43702212273</v>
      </c>
      <c r="H21" s="160">
        <f>+(-H41+'IncomeStmt Rate Case'!I41)*$M$50</f>
        <v>154274.45830496837</v>
      </c>
      <c r="I21" s="160">
        <f>+(-I41+'IncomeStmt Rate Case'!J41)*$M$50</f>
        <v>154274.43797408472</v>
      </c>
      <c r="J21" s="160">
        <f>+(-J41+'IncomeStmt Rate Case'!K41)*$M$50</f>
        <v>154274.38555930031</v>
      </c>
      <c r="K21" s="160">
        <f>+(-K41+'IncomeStmt Rate Case'!L41)*$M$50</f>
        <v>154274.38151842088</v>
      </c>
      <c r="L21" s="160">
        <f>+(-L41+'IncomeStmt Rate Case'!M41)*$M$50</f>
        <v>145493.78151055719</v>
      </c>
      <c r="M21" s="160">
        <f>+(-M41+'IncomeStmt Rate Case'!N41)*$M$50</f>
        <v>145474.39379396511</v>
      </c>
      <c r="N21" s="160">
        <f>+(-N41+'IncomeStmt Rate Case'!O41)*$M$50</f>
        <v>145455.1225441554</v>
      </c>
      <c r="O21" s="160">
        <f>+(-O41+'IncomeStmt Rate Case'!P41)*$M$50</f>
        <v>145437.59213207828</v>
      </c>
      <c r="P21" s="160">
        <f>+(-P41+'IncomeStmt Rate Case'!Q41)*$M$50</f>
        <v>145447.13801202967</v>
      </c>
      <c r="Q21" s="160">
        <f>+(-Q41+'IncomeStmt Rate Case'!R41)*$M$50</f>
        <v>145456.6921953299</v>
      </c>
      <c r="R21" s="159"/>
      <c r="S21" s="152"/>
      <c r="T21" s="153"/>
      <c r="U21" s="152"/>
    </row>
    <row r="22" spans="1:21">
      <c r="A22" s="99" t="s">
        <v>125</v>
      </c>
      <c r="C22" s="140"/>
      <c r="D22" s="165"/>
      <c r="E22" s="166">
        <v>15679949.985273778</v>
      </c>
      <c r="F22" s="166">
        <f t="shared" ref="F22:Q22" si="4">+F9-F20</f>
        <v>9183225.5068391971</v>
      </c>
      <c r="G22" s="166">
        <f t="shared" si="4"/>
        <v>8376325.5629778914</v>
      </c>
      <c r="H22" s="166">
        <f t="shared" si="4"/>
        <v>7057125.5416950323</v>
      </c>
      <c r="I22" s="166">
        <f t="shared" si="4"/>
        <v>6377725.5620259196</v>
      </c>
      <c r="J22" s="166">
        <f t="shared" si="4"/>
        <v>4898525.614440687</v>
      </c>
      <c r="K22" s="166">
        <f t="shared" si="4"/>
        <v>3705925.6184815653</v>
      </c>
      <c r="L22" s="166">
        <f t="shared" si="4"/>
        <v>3886606.2184894197</v>
      </c>
      <c r="M22" s="166">
        <f t="shared" si="4"/>
        <v>4030725.6062060334</v>
      </c>
      <c r="N22" s="166">
        <f t="shared" si="4"/>
        <v>3788044.8774558157</v>
      </c>
      <c r="O22" s="166">
        <f t="shared" si="4"/>
        <v>4099062.4078679197</v>
      </c>
      <c r="P22" s="166">
        <f t="shared" si="4"/>
        <v>5520552.8619879559</v>
      </c>
      <c r="Q22" s="166">
        <f t="shared" si="4"/>
        <v>6966143.3078046516</v>
      </c>
      <c r="R22" s="167">
        <f>+R9-R20</f>
        <v>67889988.686272085</v>
      </c>
      <c r="S22" s="152"/>
      <c r="T22" s="204">
        <f>R22-'IncomeStmt Rate Case'!S22</f>
        <v>-1798411.3137277961</v>
      </c>
      <c r="U22" s="152"/>
    </row>
    <row r="23" spans="1:21">
      <c r="C23" s="140"/>
      <c r="D23" s="148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59"/>
      <c r="T23" s="233">
        <f>T22/T41</f>
        <v>0.2354000000000015</v>
      </c>
      <c r="U23" s="152"/>
    </row>
    <row r="24" spans="1:21">
      <c r="A24" s="168" t="s">
        <v>126</v>
      </c>
      <c r="C24" s="140"/>
      <c r="D24" s="148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59"/>
      <c r="T24" s="153"/>
      <c r="U24" s="152"/>
    </row>
    <row r="25" spans="1:21">
      <c r="A25" s="99" t="s">
        <v>127</v>
      </c>
      <c r="C25" s="140"/>
      <c r="D25" s="148"/>
      <c r="E25" s="150">
        <v>0</v>
      </c>
      <c r="F25" s="150">
        <v>0</v>
      </c>
      <c r="G25" s="150">
        <v>0</v>
      </c>
      <c r="H25" s="150">
        <v>0</v>
      </c>
      <c r="I25" s="150">
        <v>0</v>
      </c>
      <c r="J25" s="150">
        <v>0</v>
      </c>
      <c r="K25" s="150">
        <v>0</v>
      </c>
      <c r="L25" s="150">
        <v>0</v>
      </c>
      <c r="M25" s="150">
        <v>0</v>
      </c>
      <c r="N25" s="150">
        <v>0</v>
      </c>
      <c r="O25" s="150">
        <v>0</v>
      </c>
      <c r="P25" s="150">
        <v>0</v>
      </c>
      <c r="Q25" s="150">
        <v>0</v>
      </c>
      <c r="R25" s="151">
        <f t="shared" ref="R25:R32" si="5">SUM(F25:Q25)</f>
        <v>0</v>
      </c>
      <c r="S25" s="152"/>
      <c r="T25" s="153"/>
      <c r="U25" s="152"/>
    </row>
    <row r="26" spans="1:21">
      <c r="A26" s="99" t="s">
        <v>128</v>
      </c>
      <c r="C26" s="140"/>
      <c r="D26" s="148"/>
      <c r="E26" s="150">
        <v>27100</v>
      </c>
      <c r="F26" s="150">
        <v>25400</v>
      </c>
      <c r="G26" s="150">
        <v>22400</v>
      </c>
      <c r="H26" s="150">
        <v>20600</v>
      </c>
      <c r="I26" s="150">
        <v>20000</v>
      </c>
      <c r="J26" s="150">
        <v>20000</v>
      </c>
      <c r="K26" s="150">
        <v>20000</v>
      </c>
      <c r="L26" s="150">
        <v>20800</v>
      </c>
      <c r="M26" s="150">
        <v>22200</v>
      </c>
      <c r="N26" s="150">
        <v>23600</v>
      </c>
      <c r="O26" s="150">
        <v>25000</v>
      </c>
      <c r="P26" s="150">
        <v>26100</v>
      </c>
      <c r="Q26" s="150">
        <v>25600</v>
      </c>
      <c r="R26" s="151">
        <f t="shared" si="5"/>
        <v>271700</v>
      </c>
      <c r="S26" s="152"/>
      <c r="T26" s="153"/>
      <c r="U26" s="152"/>
    </row>
    <row r="27" spans="1:21">
      <c r="A27" s="99" t="s">
        <v>129</v>
      </c>
      <c r="C27" s="140"/>
      <c r="D27" s="148"/>
      <c r="E27" s="150">
        <v>41300</v>
      </c>
      <c r="F27" s="150">
        <v>41300</v>
      </c>
      <c r="G27" s="150">
        <v>41300</v>
      </c>
      <c r="H27" s="150">
        <v>41300</v>
      </c>
      <c r="I27" s="150">
        <v>41300</v>
      </c>
      <c r="J27" s="150">
        <v>41300</v>
      </c>
      <c r="K27" s="150">
        <v>41300</v>
      </c>
      <c r="L27" s="150">
        <v>41300</v>
      </c>
      <c r="M27" s="150">
        <v>41300</v>
      </c>
      <c r="N27" s="150">
        <v>41300</v>
      </c>
      <c r="O27" s="150">
        <v>41300</v>
      </c>
      <c r="P27" s="150">
        <v>41300</v>
      </c>
      <c r="Q27" s="150">
        <v>41300</v>
      </c>
      <c r="R27" s="151">
        <f t="shared" si="5"/>
        <v>495600</v>
      </c>
      <c r="S27" s="152"/>
      <c r="T27" s="153"/>
      <c r="U27" s="152"/>
    </row>
    <row r="28" spans="1:21">
      <c r="A28" s="169" t="s">
        <v>130</v>
      </c>
      <c r="C28" s="140"/>
      <c r="D28" s="148"/>
      <c r="E28" s="150">
        <v>566600</v>
      </c>
      <c r="F28" s="150">
        <v>178700</v>
      </c>
      <c r="G28" s="150">
        <v>282500</v>
      </c>
      <c r="H28" s="150">
        <v>222700</v>
      </c>
      <c r="I28" s="150">
        <v>351600</v>
      </c>
      <c r="J28" s="150">
        <v>310000</v>
      </c>
      <c r="K28" s="150">
        <v>309500</v>
      </c>
      <c r="L28" s="150">
        <v>336300</v>
      </c>
      <c r="M28" s="150">
        <v>306000</v>
      </c>
      <c r="N28" s="150">
        <v>324200</v>
      </c>
      <c r="O28" s="150">
        <v>321600</v>
      </c>
      <c r="P28" s="150">
        <v>355000</v>
      </c>
      <c r="Q28" s="150">
        <v>566600</v>
      </c>
      <c r="R28" s="151">
        <f t="shared" si="5"/>
        <v>3864700</v>
      </c>
      <c r="S28" s="152"/>
      <c r="T28" s="153"/>
      <c r="U28" s="152"/>
    </row>
    <row r="29" spans="1:21">
      <c r="A29" s="169" t="s">
        <v>131</v>
      </c>
      <c r="C29" s="140"/>
      <c r="D29" s="148"/>
      <c r="E29" s="170">
        <v>82100</v>
      </c>
      <c r="F29" s="170">
        <v>83300</v>
      </c>
      <c r="G29" s="170">
        <v>26200</v>
      </c>
      <c r="H29" s="170">
        <v>53300</v>
      </c>
      <c r="I29" s="170">
        <v>73700</v>
      </c>
      <c r="J29" s="170">
        <v>60200</v>
      </c>
      <c r="K29" s="170">
        <v>53300</v>
      </c>
      <c r="L29" s="170">
        <v>21200</v>
      </c>
      <c r="M29" s="170">
        <v>48200</v>
      </c>
      <c r="N29" s="170">
        <v>53300</v>
      </c>
      <c r="O29" s="170">
        <v>19200</v>
      </c>
      <c r="P29" s="170">
        <v>48200</v>
      </c>
      <c r="Q29" s="170">
        <v>84300</v>
      </c>
      <c r="R29" s="159">
        <f t="shared" si="5"/>
        <v>624400</v>
      </c>
      <c r="S29" s="152"/>
      <c r="T29" s="153"/>
      <c r="U29" s="152"/>
    </row>
    <row r="30" spans="1:21">
      <c r="A30" s="169" t="s">
        <v>132</v>
      </c>
      <c r="C30" s="140"/>
      <c r="D30" s="148"/>
      <c r="E30" s="150">
        <v>242300</v>
      </c>
      <c r="F30" s="150">
        <v>256399.99999999997</v>
      </c>
      <c r="G30" s="150">
        <v>272100</v>
      </c>
      <c r="H30" s="150">
        <v>285000</v>
      </c>
      <c r="I30" s="150">
        <v>312200</v>
      </c>
      <c r="J30" s="150">
        <v>356000</v>
      </c>
      <c r="K30" s="150">
        <v>398800</v>
      </c>
      <c r="L30" s="150">
        <v>440400</v>
      </c>
      <c r="M30" s="150">
        <v>478800</v>
      </c>
      <c r="N30" s="150">
        <v>515900</v>
      </c>
      <c r="O30" s="150">
        <v>551400</v>
      </c>
      <c r="P30" s="150">
        <v>585900</v>
      </c>
      <c r="Q30" s="150">
        <v>607600</v>
      </c>
      <c r="R30" s="159">
        <f t="shared" si="5"/>
        <v>5060500</v>
      </c>
      <c r="S30" s="152"/>
      <c r="T30" s="153"/>
      <c r="U30" s="152"/>
    </row>
    <row r="31" spans="1:21">
      <c r="A31" s="99" t="s">
        <v>133</v>
      </c>
      <c r="C31" s="140"/>
      <c r="D31" s="148"/>
      <c r="E31" s="161">
        <v>-14200</v>
      </c>
      <c r="F31" s="161">
        <v>-16200</v>
      </c>
      <c r="G31" s="161">
        <v>-2600</v>
      </c>
      <c r="H31" s="161">
        <v>-9800</v>
      </c>
      <c r="I31" s="161">
        <v>-15200</v>
      </c>
      <c r="J31" s="161">
        <v>-12400</v>
      </c>
      <c r="K31" s="161">
        <v>-10100</v>
      </c>
      <c r="L31" s="161">
        <v>-4300</v>
      </c>
      <c r="M31" s="161">
        <v>-8200</v>
      </c>
      <c r="N31" s="161">
        <v>-9100</v>
      </c>
      <c r="O31" s="161">
        <v>-100</v>
      </c>
      <c r="P31" s="161">
        <v>-7200</v>
      </c>
      <c r="Q31" s="161">
        <v>-16500</v>
      </c>
      <c r="R31" s="162">
        <f t="shared" si="5"/>
        <v>-111700</v>
      </c>
      <c r="S31" s="152"/>
      <c r="T31" s="153"/>
      <c r="U31" s="152"/>
    </row>
    <row r="32" spans="1:21">
      <c r="A32" s="99" t="s">
        <v>134</v>
      </c>
      <c r="C32" s="140"/>
      <c r="D32" s="165"/>
      <c r="E32" s="166">
        <v>809400</v>
      </c>
      <c r="F32" s="166">
        <f t="shared" ref="F32:Q32" si="6">+F25+F26+F27+F28-F29+F30-F31</f>
        <v>434700</v>
      </c>
      <c r="G32" s="166">
        <f t="shared" si="6"/>
        <v>594700</v>
      </c>
      <c r="H32" s="166">
        <f t="shared" si="6"/>
        <v>526100</v>
      </c>
      <c r="I32" s="166">
        <f t="shared" si="6"/>
        <v>666600</v>
      </c>
      <c r="J32" s="166">
        <f t="shared" si="6"/>
        <v>679500</v>
      </c>
      <c r="K32" s="166">
        <f t="shared" si="6"/>
        <v>726400</v>
      </c>
      <c r="L32" s="166">
        <f t="shared" si="6"/>
        <v>821900</v>
      </c>
      <c r="M32" s="166">
        <f t="shared" si="6"/>
        <v>808300</v>
      </c>
      <c r="N32" s="166">
        <f t="shared" si="6"/>
        <v>860800</v>
      </c>
      <c r="O32" s="166">
        <f t="shared" si="6"/>
        <v>920200</v>
      </c>
      <c r="P32" s="166">
        <f t="shared" si="6"/>
        <v>967300</v>
      </c>
      <c r="Q32" s="166">
        <f t="shared" si="6"/>
        <v>1173300</v>
      </c>
      <c r="R32" s="167">
        <f t="shared" si="5"/>
        <v>9179800</v>
      </c>
      <c r="S32" s="152"/>
      <c r="T32" s="153"/>
      <c r="U32" s="152"/>
    </row>
    <row r="33" spans="1:21">
      <c r="C33" s="140"/>
      <c r="D33" s="148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59"/>
      <c r="T33" s="153"/>
      <c r="U33" s="152"/>
    </row>
    <row r="34" spans="1:21">
      <c r="A34" s="168" t="s">
        <v>135</v>
      </c>
      <c r="C34" s="140"/>
      <c r="D34" s="148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59"/>
      <c r="T34" s="153"/>
      <c r="U34" s="152" t="s">
        <v>66</v>
      </c>
    </row>
    <row r="35" spans="1:21" s="200" customFormat="1">
      <c r="A35" s="200" t="s">
        <v>136</v>
      </c>
      <c r="C35" s="201"/>
      <c r="D35" s="202"/>
      <c r="E35" s="205">
        <v>3174628.166666667</v>
      </c>
      <c r="F35" s="205">
        <f>Scenario!AO25*1000</f>
        <v>3174628.166666667</v>
      </c>
      <c r="G35" s="205">
        <f>Scenario!AP25*1000</f>
        <v>3174628.166666667</v>
      </c>
      <c r="H35" s="205">
        <f>Scenario!AQ25*1000</f>
        <v>3174628.166666667</v>
      </c>
      <c r="I35" s="205">
        <f>Scenario!AR25*1000</f>
        <v>3174628.166666667</v>
      </c>
      <c r="J35" s="205">
        <f>Scenario!AS25*1000</f>
        <v>3174628.166666667</v>
      </c>
      <c r="K35" s="205">
        <f>Scenario!AT25*1000</f>
        <v>3174628.166666667</v>
      </c>
      <c r="L35" s="205">
        <f>Scenario!AU25*1000</f>
        <v>3659387.6226790571</v>
      </c>
      <c r="M35" s="205">
        <f>Scenario!AV25*1000</f>
        <v>3659387.6226790571</v>
      </c>
      <c r="N35" s="205">
        <f>Scenario!AW25*1000</f>
        <v>3659387.6226790571</v>
      </c>
      <c r="O35" s="205">
        <f>Scenario!AX25*1000</f>
        <v>3659387.6226790571</v>
      </c>
      <c r="P35" s="205">
        <f>Scenario!AY25*1000</f>
        <v>3659387.6226790571</v>
      </c>
      <c r="Q35" s="205">
        <f>Scenario!AZ25*1000</f>
        <v>3659387.6226790571</v>
      </c>
      <c r="R35" s="206">
        <f>SUM(F35:Q35)</f>
        <v>41004094.736074343</v>
      </c>
      <c r="S35" s="202"/>
      <c r="T35" s="204">
        <f>R35-'IncomeStmt Rate Case'!S35</f>
        <v>-7640905.2639256567</v>
      </c>
      <c r="U35" s="202">
        <f>Scenario!BA25*1000-R35</f>
        <v>0</v>
      </c>
    </row>
    <row r="36" spans="1:21" s="200" customFormat="1">
      <c r="A36" s="200" t="s">
        <v>137</v>
      </c>
      <c r="C36" s="201"/>
      <c r="D36" s="202"/>
      <c r="E36" s="205">
        <v>315646.02333349828</v>
      </c>
      <c r="F36" s="205">
        <f>Scenario!AO29*1000</f>
        <v>484180.09637306305</v>
      </c>
      <c r="G36" s="205">
        <f>Scenario!AP29*1000</f>
        <v>484871.58857433836</v>
      </c>
      <c r="H36" s="205">
        <f>Scenario!AQ29*1000</f>
        <v>496403.425357236</v>
      </c>
      <c r="I36" s="205">
        <f>Scenario!AR29*1000</f>
        <v>545302.23763460247</v>
      </c>
      <c r="J36" s="205">
        <f>Scenario!AS29*1000</f>
        <v>583692.05783760617</v>
      </c>
      <c r="K36" s="205">
        <f>Scenario!AT29*1000</f>
        <v>407621.8943088426</v>
      </c>
      <c r="L36" s="205">
        <f>Scenario!AU29*1000</f>
        <v>275373.28537953418</v>
      </c>
      <c r="M36" s="205">
        <f>Scenario!AV29*1000</f>
        <v>290739.17574309837</v>
      </c>
      <c r="N36" s="205">
        <f>Scenario!AW29*1000</f>
        <v>285404.74849642254</v>
      </c>
      <c r="O36" s="205">
        <f>Scenario!AX29*1000</f>
        <v>369525.57979879453</v>
      </c>
      <c r="P36" s="205">
        <f>Scenario!AY29*1000</f>
        <v>440744.35299854365</v>
      </c>
      <c r="Q36" s="205">
        <f>Scenario!AZ29*1000</f>
        <v>476077.35290860361</v>
      </c>
      <c r="R36" s="206">
        <f t="shared" ref="R36:R41" si="7">SUM(F36:Q36)</f>
        <v>5139935.7954106862</v>
      </c>
      <c r="S36" s="202"/>
      <c r="T36" s="204">
        <f>R36-'IncomeStmt Rate Case'!S36</f>
        <v>1095.0951585127041</v>
      </c>
      <c r="U36" s="202">
        <f>Scenario!BA29*1000-R36</f>
        <v>0</v>
      </c>
    </row>
    <row r="37" spans="1:21">
      <c r="A37" s="99" t="s">
        <v>138</v>
      </c>
      <c r="C37" s="140"/>
      <c r="D37" s="148"/>
      <c r="E37" s="150">
        <v>0</v>
      </c>
      <c r="F37" s="150">
        <v>0</v>
      </c>
      <c r="G37" s="150">
        <v>0</v>
      </c>
      <c r="H37" s="150">
        <v>0</v>
      </c>
      <c r="I37" s="150">
        <v>0</v>
      </c>
      <c r="J37" s="150">
        <v>0</v>
      </c>
      <c r="K37" s="150">
        <v>0</v>
      </c>
      <c r="L37" s="150">
        <v>0</v>
      </c>
      <c r="M37" s="150">
        <v>0</v>
      </c>
      <c r="N37" s="150">
        <v>0</v>
      </c>
      <c r="O37" s="150">
        <v>0</v>
      </c>
      <c r="P37" s="150">
        <v>0</v>
      </c>
      <c r="Q37" s="150">
        <v>0</v>
      </c>
      <c r="R37" s="151">
        <f t="shared" si="7"/>
        <v>0</v>
      </c>
      <c r="S37" s="152"/>
      <c r="T37" s="153"/>
      <c r="U37" s="152"/>
    </row>
    <row r="38" spans="1:21" s="200" customFormat="1">
      <c r="A38" s="200" t="s">
        <v>139</v>
      </c>
      <c r="C38" s="201"/>
      <c r="D38" s="202"/>
      <c r="E38" s="205">
        <v>0</v>
      </c>
      <c r="F38" s="205">
        <v>0</v>
      </c>
      <c r="G38" s="205">
        <v>0</v>
      </c>
      <c r="H38" s="205">
        <v>0</v>
      </c>
      <c r="I38" s="205">
        <v>0</v>
      </c>
      <c r="J38" s="150">
        <v>0</v>
      </c>
      <c r="K38" s="150">
        <v>0</v>
      </c>
      <c r="L38" s="150">
        <v>0</v>
      </c>
      <c r="M38" s="150">
        <v>0</v>
      </c>
      <c r="N38" s="150">
        <v>0</v>
      </c>
      <c r="O38" s="150">
        <v>0</v>
      </c>
      <c r="P38" s="150">
        <v>0</v>
      </c>
      <c r="Q38" s="150">
        <v>0</v>
      </c>
      <c r="R38" s="154">
        <f t="shared" si="7"/>
        <v>0</v>
      </c>
      <c r="S38" s="207"/>
      <c r="T38" s="204">
        <f>R38-'IncomeStmt Rate Case'!S38</f>
        <v>0</v>
      </c>
      <c r="U38" s="207"/>
    </row>
    <row r="39" spans="1:21">
      <c r="A39" s="99" t="s">
        <v>140</v>
      </c>
      <c r="C39" s="140"/>
      <c r="D39" s="148"/>
      <c r="E39" s="150">
        <v>61900</v>
      </c>
      <c r="F39" s="150">
        <v>61800.000000000007</v>
      </c>
      <c r="G39" s="150">
        <v>62100</v>
      </c>
      <c r="H39" s="150">
        <v>62400.000000000007</v>
      </c>
      <c r="I39" s="150">
        <v>63100</v>
      </c>
      <c r="J39" s="150">
        <v>63499.999999999993</v>
      </c>
      <c r="K39" s="150">
        <v>62800</v>
      </c>
      <c r="L39" s="150">
        <v>62400</v>
      </c>
      <c r="M39" s="150">
        <v>62199.999999999993</v>
      </c>
      <c r="N39" s="150">
        <v>62100</v>
      </c>
      <c r="O39" s="150">
        <v>61800</v>
      </c>
      <c r="P39" s="150">
        <v>61600</v>
      </c>
      <c r="Q39" s="150">
        <v>61300.000000000007</v>
      </c>
      <c r="R39" s="151">
        <f t="shared" si="7"/>
        <v>747100</v>
      </c>
      <c r="S39" s="152"/>
      <c r="T39" s="153"/>
      <c r="U39" s="152"/>
    </row>
    <row r="40" spans="1:21">
      <c r="A40" s="99" t="s">
        <v>141</v>
      </c>
      <c r="C40" s="140"/>
      <c r="D40" s="148"/>
      <c r="E40" s="150">
        <v>-77300</v>
      </c>
      <c r="F40" s="150">
        <v>-81800</v>
      </c>
      <c r="G40" s="150">
        <v>-86800</v>
      </c>
      <c r="H40" s="150">
        <v>-90900</v>
      </c>
      <c r="I40" s="150">
        <v>-99500</v>
      </c>
      <c r="J40" s="150">
        <v>-113500</v>
      </c>
      <c r="K40" s="150">
        <v>-127200</v>
      </c>
      <c r="L40" s="150">
        <v>-140400</v>
      </c>
      <c r="M40" s="150">
        <v>-152700</v>
      </c>
      <c r="N40" s="150">
        <v>-164500</v>
      </c>
      <c r="O40" s="150">
        <v>-175800</v>
      </c>
      <c r="P40" s="150">
        <v>-186800</v>
      </c>
      <c r="Q40" s="150">
        <v>-193800</v>
      </c>
      <c r="R40" s="156">
        <f t="shared" si="7"/>
        <v>-1613700</v>
      </c>
      <c r="S40" s="152"/>
      <c r="T40" s="153"/>
      <c r="U40" s="152"/>
    </row>
    <row r="41" spans="1:21">
      <c r="A41" s="99" t="s">
        <v>142</v>
      </c>
      <c r="C41" s="140"/>
      <c r="D41" s="165"/>
      <c r="E41" s="172">
        <v>3474874.1900001653</v>
      </c>
      <c r="F41" s="172">
        <f t="shared" ref="F41:Q41" si="8">SUM(F35:F40)</f>
        <v>3638808.26303973</v>
      </c>
      <c r="G41" s="172">
        <f t="shared" si="8"/>
        <v>3634799.7552410052</v>
      </c>
      <c r="H41" s="172">
        <f t="shared" si="8"/>
        <v>3642531.592023903</v>
      </c>
      <c r="I41" s="172">
        <f t="shared" si="8"/>
        <v>3683530.4043012694</v>
      </c>
      <c r="J41" s="172">
        <f t="shared" si="8"/>
        <v>3708320.2245042734</v>
      </c>
      <c r="K41" s="172">
        <f t="shared" si="8"/>
        <v>3517850.0609755097</v>
      </c>
      <c r="L41" s="172">
        <f t="shared" si="8"/>
        <v>3856760.9080585912</v>
      </c>
      <c r="M41" s="172">
        <f t="shared" si="8"/>
        <v>3859626.7984221554</v>
      </c>
      <c r="N41" s="172">
        <f t="shared" si="8"/>
        <v>3842392.3711754796</v>
      </c>
      <c r="O41" s="172">
        <f t="shared" si="8"/>
        <v>3914913.2024778514</v>
      </c>
      <c r="P41" s="172">
        <f t="shared" si="8"/>
        <v>3974931.9756776006</v>
      </c>
      <c r="Q41" s="172">
        <f t="shared" si="8"/>
        <v>4002964.9755876604</v>
      </c>
      <c r="R41" s="167">
        <f t="shared" si="7"/>
        <v>45277430.531485029</v>
      </c>
      <c r="S41" s="152"/>
      <c r="T41" s="204">
        <f>R41-'IncomeStmt Rate Case'!S41</f>
        <v>-7639810.1687671393</v>
      </c>
      <c r="U41" s="152">
        <f>Scenario!BA25*1000+Scenario!BA29*1000+R39+R40-R41</f>
        <v>0</v>
      </c>
    </row>
    <row r="42" spans="1:21">
      <c r="C42" s="140"/>
      <c r="D42" s="148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4"/>
      <c r="S42" s="152"/>
      <c r="T42" s="153"/>
      <c r="U42" s="152"/>
    </row>
    <row r="43" spans="1:21" ht="15.75" thickBot="1">
      <c r="A43" s="99" t="s">
        <v>143</v>
      </c>
      <c r="C43" s="140"/>
      <c r="D43" s="175"/>
      <c r="E43" s="176">
        <v>13014475.795273613</v>
      </c>
      <c r="F43" s="176">
        <f t="shared" ref="F43:Q43" si="9">+F22+F32-F41</f>
        <v>5979117.2437994666</v>
      </c>
      <c r="G43" s="176">
        <f t="shared" si="9"/>
        <v>5336225.8077368867</v>
      </c>
      <c r="H43" s="176">
        <f t="shared" si="9"/>
        <v>3940693.9496711292</v>
      </c>
      <c r="I43" s="176">
        <f t="shared" si="9"/>
        <v>3360795.1577246501</v>
      </c>
      <c r="J43" s="176">
        <f t="shared" si="9"/>
        <v>1869705.3899364136</v>
      </c>
      <c r="K43" s="176">
        <f t="shared" si="9"/>
        <v>914475.55750605557</v>
      </c>
      <c r="L43" s="176">
        <f t="shared" si="9"/>
        <v>851745.31043082848</v>
      </c>
      <c r="M43" s="176">
        <f t="shared" si="9"/>
        <v>979398.80778387794</v>
      </c>
      <c r="N43" s="176">
        <f t="shared" si="9"/>
        <v>806452.50628033606</v>
      </c>
      <c r="O43" s="176">
        <f t="shared" si="9"/>
        <v>1104349.2053900682</v>
      </c>
      <c r="P43" s="176">
        <f t="shared" si="9"/>
        <v>2512920.8863103553</v>
      </c>
      <c r="Q43" s="176">
        <f t="shared" si="9"/>
        <v>4136478.3322169911</v>
      </c>
      <c r="R43" s="177">
        <f>+R22+R32-R41</f>
        <v>31792358.154787056</v>
      </c>
      <c r="S43" s="178">
        <v>2.6693630747168871E-2</v>
      </c>
      <c r="T43" s="204">
        <f>R43-'IncomeStmt Rate Case'!S43</f>
        <v>5841398.8550393432</v>
      </c>
      <c r="U43" s="152"/>
    </row>
    <row r="44" spans="1:21" ht="15.75" thickTop="1">
      <c r="C44" s="140"/>
      <c r="E44" s="180">
        <v>0</v>
      </c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1">
        <f>SUM(E44:E44)</f>
        <v>0</v>
      </c>
      <c r="S44" s="182"/>
      <c r="T44" s="152"/>
      <c r="U44" s="152"/>
    </row>
    <row r="45" spans="1:21">
      <c r="A45" s="209" t="s">
        <v>176</v>
      </c>
      <c r="B45" s="209"/>
      <c r="C45" s="210"/>
      <c r="D45" s="209"/>
      <c r="E45" s="211">
        <v>429553.49998537078</v>
      </c>
      <c r="F45" s="211">
        <f>-'IncomeStmt Rate Case'!G43+F43</f>
        <v>501097.18551710714</v>
      </c>
      <c r="G45" s="211">
        <f>-'IncomeStmt Rate Case'!H43+G43</f>
        <v>501097.00317381043</v>
      </c>
      <c r="H45" s="211">
        <f>-'IncomeStmt Rate Case'!I43+H43</f>
        <v>501097.07230237452</v>
      </c>
      <c r="I45" s="211">
        <f>-'IncomeStmt Rate Case'!J43+I43</f>
        <v>501097.00626586797</v>
      </c>
      <c r="J45" s="211">
        <f>-'IncomeStmt Rate Case'!K43+J43</f>
        <v>501096.8360180147</v>
      </c>
      <c r="K45" s="211">
        <f>-'IncomeStmt Rate Case'!L43+K43</f>
        <v>501096.82289288379</v>
      </c>
      <c r="L45" s="211">
        <f>-'IncomeStmt Rate Case'!M43+L43</f>
        <v>472576.65821143519</v>
      </c>
      <c r="M45" s="211">
        <f>-'IncomeStmt Rate Case'!N43+M43</f>
        <v>472513.68519484019</v>
      </c>
      <c r="N45" s="211">
        <f>-'IncomeStmt Rate Case'!O43+N43</f>
        <v>472451.09047264839</v>
      </c>
      <c r="O45" s="211">
        <f>-'IncomeStmt Rate Case'!P43+O43</f>
        <v>472394.15014523128</v>
      </c>
      <c r="P45" s="211">
        <f>-'IncomeStmt Rate Case'!Q43+P43</f>
        <v>472425.15600678837</v>
      </c>
      <c r="Q45" s="211">
        <f>-'IncomeStmt Rate Case'!R43+Q43</f>
        <v>472456.18883835711</v>
      </c>
      <c r="R45" s="211">
        <f>SUM(F45:Q45)</f>
        <v>5841398.85503936</v>
      </c>
      <c r="S45" s="183"/>
      <c r="T45" s="152"/>
      <c r="U45" s="152"/>
    </row>
    <row r="46" spans="1:21">
      <c r="C46" s="140"/>
      <c r="D46" s="14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6"/>
      <c r="T46" s="152"/>
      <c r="U46" s="152"/>
    </row>
    <row r="47" spans="1:21">
      <c r="A47" s="187" t="s">
        <v>144</v>
      </c>
      <c r="C47" s="140"/>
      <c r="D47" s="14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6"/>
      <c r="T47" s="152"/>
      <c r="U47" s="152"/>
    </row>
    <row r="48" spans="1:21">
      <c r="A48" s="188" t="s">
        <v>145</v>
      </c>
      <c r="C48" s="140"/>
      <c r="D48" s="188" t="s">
        <v>146</v>
      </c>
      <c r="E48" s="189">
        <v>603500</v>
      </c>
      <c r="F48" s="189">
        <v>609200</v>
      </c>
      <c r="G48" s="189">
        <v>590900</v>
      </c>
      <c r="H48" s="189">
        <v>611400</v>
      </c>
      <c r="I48" s="189">
        <v>596100</v>
      </c>
      <c r="J48" s="189">
        <v>613300</v>
      </c>
      <c r="K48" s="189">
        <v>636400</v>
      </c>
      <c r="L48" s="189">
        <v>602300</v>
      </c>
      <c r="M48" s="189">
        <v>612300</v>
      </c>
      <c r="N48" s="189">
        <v>602500</v>
      </c>
      <c r="O48" s="189">
        <v>614200</v>
      </c>
      <c r="P48" s="189">
        <v>655600</v>
      </c>
      <c r="Q48" s="189">
        <v>603500</v>
      </c>
      <c r="R48" s="151">
        <f>SUM(F48:Q48)</f>
        <v>7347700</v>
      </c>
      <c r="T48" s="152"/>
      <c r="U48" s="152"/>
    </row>
    <row r="49" spans="1:21">
      <c r="C49" s="140"/>
      <c r="D49" s="14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90"/>
      <c r="T49" s="152"/>
      <c r="U49" s="152"/>
    </row>
    <row r="50" spans="1:21">
      <c r="C50" s="140"/>
      <c r="D50" s="140"/>
      <c r="E50" s="185"/>
      <c r="F50" s="185"/>
      <c r="G50" s="185"/>
      <c r="H50" s="185"/>
      <c r="I50" s="185"/>
      <c r="J50" s="185"/>
      <c r="K50" s="185"/>
      <c r="L50" t="s">
        <v>174</v>
      </c>
      <c r="M50">
        <v>0.2354</v>
      </c>
      <c r="N50" s="185"/>
      <c r="O50" s="185"/>
      <c r="P50" s="185"/>
      <c r="Q50" s="185"/>
      <c r="R50" s="190"/>
      <c r="T50" s="152"/>
      <c r="U50" s="152"/>
    </row>
    <row r="51" spans="1:21">
      <c r="C51" s="140"/>
      <c r="D51" s="140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1"/>
      <c r="Q51" s="191"/>
      <c r="R51" s="192"/>
      <c r="T51" s="152"/>
      <c r="U51" s="152"/>
    </row>
    <row r="52" spans="1:21">
      <c r="C52" s="140"/>
      <c r="D52" s="140"/>
      <c r="E52" s="185">
        <v>123</v>
      </c>
      <c r="F52" s="185">
        <v>124</v>
      </c>
      <c r="G52" s="185">
        <v>125</v>
      </c>
      <c r="H52" s="185">
        <v>126</v>
      </c>
      <c r="I52" s="185">
        <v>127</v>
      </c>
      <c r="J52" s="185">
        <v>128</v>
      </c>
      <c r="K52" s="185">
        <v>129</v>
      </c>
      <c r="L52" s="185">
        <v>130</v>
      </c>
      <c r="M52" s="185">
        <v>131</v>
      </c>
      <c r="N52" s="185">
        <v>132</v>
      </c>
      <c r="O52" s="185">
        <v>133</v>
      </c>
      <c r="P52" s="185">
        <v>134</v>
      </c>
      <c r="Q52" s="185">
        <v>135</v>
      </c>
      <c r="R52" s="181"/>
      <c r="T52" s="152"/>
      <c r="U52" s="152"/>
    </row>
    <row r="53" spans="1:21">
      <c r="C53" s="140"/>
      <c r="D53" s="140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1"/>
      <c r="T53" s="152"/>
      <c r="U53" s="152"/>
    </row>
    <row r="54" spans="1:21">
      <c r="A54" s="193" t="s">
        <v>147</v>
      </c>
      <c r="C54" s="140"/>
      <c r="D54" s="99" t="s">
        <v>148</v>
      </c>
      <c r="E54" s="194">
        <v>0</v>
      </c>
      <c r="F54" s="194">
        <v>0</v>
      </c>
      <c r="G54" s="194">
        <v>0</v>
      </c>
      <c r="H54" s="194">
        <v>0</v>
      </c>
      <c r="I54" s="194">
        <v>0</v>
      </c>
      <c r="J54" s="194">
        <v>0</v>
      </c>
      <c r="K54" s="194">
        <v>0</v>
      </c>
      <c r="L54" s="194">
        <v>0</v>
      </c>
      <c r="M54" s="194">
        <v>0</v>
      </c>
      <c r="N54" s="194">
        <v>0</v>
      </c>
      <c r="O54" s="194">
        <v>0</v>
      </c>
      <c r="P54" s="194">
        <v>0</v>
      </c>
      <c r="Q54" s="194">
        <v>0</v>
      </c>
      <c r="R54" s="181">
        <f>SUM(F54:Q54)</f>
        <v>0</v>
      </c>
      <c r="T54" s="152"/>
      <c r="U54" s="152"/>
    </row>
    <row r="55" spans="1:21">
      <c r="A55" s="193" t="s">
        <v>149</v>
      </c>
      <c r="C55" s="140"/>
      <c r="D55" s="99" t="s">
        <v>150</v>
      </c>
      <c r="E55" s="194">
        <v>1400</v>
      </c>
      <c r="F55" s="194">
        <v>1500</v>
      </c>
      <c r="G55" s="194">
        <v>1500</v>
      </c>
      <c r="H55" s="194">
        <v>1500</v>
      </c>
      <c r="I55" s="194">
        <v>24000</v>
      </c>
      <c r="J55" s="194">
        <v>1500</v>
      </c>
      <c r="K55" s="194">
        <v>1500</v>
      </c>
      <c r="L55" s="194">
        <v>1500</v>
      </c>
      <c r="M55" s="194">
        <v>1500</v>
      </c>
      <c r="N55" s="194">
        <v>1500</v>
      </c>
      <c r="O55" s="194">
        <v>1500</v>
      </c>
      <c r="P55" s="194">
        <v>1500</v>
      </c>
      <c r="Q55" s="194">
        <v>1500</v>
      </c>
      <c r="R55" s="181">
        <f t="shared" ref="R55:R65" si="10">SUM(F55:Q55)</f>
        <v>40500</v>
      </c>
      <c r="T55" s="152"/>
      <c r="U55" s="152"/>
    </row>
    <row r="56" spans="1:21">
      <c r="A56" s="99" t="s">
        <v>151</v>
      </c>
      <c r="C56" s="140"/>
      <c r="D56" s="99" t="s">
        <v>152</v>
      </c>
      <c r="E56" s="194">
        <v>0</v>
      </c>
      <c r="F56" s="194">
        <v>0</v>
      </c>
      <c r="G56" s="194">
        <v>0</v>
      </c>
      <c r="H56" s="194">
        <v>0</v>
      </c>
      <c r="I56" s="194">
        <v>0</v>
      </c>
      <c r="J56" s="194">
        <v>0</v>
      </c>
      <c r="K56" s="194">
        <v>0</v>
      </c>
      <c r="L56" s="194">
        <v>0</v>
      </c>
      <c r="M56" s="194">
        <v>0</v>
      </c>
      <c r="N56" s="194">
        <v>0</v>
      </c>
      <c r="O56" s="194">
        <v>0</v>
      </c>
      <c r="P56" s="194">
        <v>0</v>
      </c>
      <c r="Q56" s="194">
        <v>0</v>
      </c>
      <c r="R56" s="181">
        <f t="shared" si="10"/>
        <v>0</v>
      </c>
      <c r="T56" s="152"/>
      <c r="U56" s="152"/>
    </row>
    <row r="57" spans="1:21">
      <c r="A57" s="99" t="s">
        <v>153</v>
      </c>
      <c r="C57" s="140"/>
      <c r="D57" s="99" t="s">
        <v>154</v>
      </c>
      <c r="E57" s="194">
        <v>48500</v>
      </c>
      <c r="F57" s="194">
        <v>24000</v>
      </c>
      <c r="G57" s="194">
        <v>24000</v>
      </c>
      <c r="H57" s="194">
        <v>24000</v>
      </c>
      <c r="I57" s="194">
        <v>24000</v>
      </c>
      <c r="J57" s="194">
        <v>24000</v>
      </c>
      <c r="K57" s="194">
        <v>24000</v>
      </c>
      <c r="L57" s="194">
        <v>24000</v>
      </c>
      <c r="M57" s="194">
        <v>24000</v>
      </c>
      <c r="N57" s="194">
        <v>24000</v>
      </c>
      <c r="O57" s="194">
        <v>24000</v>
      </c>
      <c r="P57" s="194">
        <v>24000</v>
      </c>
      <c r="Q57" s="194">
        <v>49500</v>
      </c>
      <c r="R57" s="181">
        <f t="shared" si="10"/>
        <v>313500</v>
      </c>
      <c r="T57" s="152"/>
      <c r="U57" s="152"/>
    </row>
    <row r="58" spans="1:21">
      <c r="A58" s="99" t="s">
        <v>155</v>
      </c>
      <c r="C58" s="140"/>
      <c r="D58" s="99" t="s">
        <v>156</v>
      </c>
      <c r="E58" s="194">
        <v>0</v>
      </c>
      <c r="F58" s="194">
        <v>0</v>
      </c>
      <c r="G58" s="194">
        <v>0</v>
      </c>
      <c r="H58" s="194">
        <v>0</v>
      </c>
      <c r="I58" s="194">
        <v>0</v>
      </c>
      <c r="J58" s="194">
        <v>0</v>
      </c>
      <c r="K58" s="194">
        <v>0</v>
      </c>
      <c r="L58" s="194">
        <v>0</v>
      </c>
      <c r="M58" s="194">
        <v>0</v>
      </c>
      <c r="N58" s="194">
        <v>0</v>
      </c>
      <c r="O58" s="194">
        <v>0</v>
      </c>
      <c r="P58" s="194">
        <v>0</v>
      </c>
      <c r="Q58" s="194">
        <v>0</v>
      </c>
      <c r="R58" s="181">
        <f t="shared" si="10"/>
        <v>0</v>
      </c>
      <c r="T58" s="152"/>
      <c r="U58" s="152"/>
    </row>
    <row r="59" spans="1:21">
      <c r="A59" s="99" t="s">
        <v>157</v>
      </c>
      <c r="C59" s="140"/>
      <c r="D59" s="99" t="s">
        <v>158</v>
      </c>
      <c r="E59" s="194">
        <v>34200</v>
      </c>
      <c r="F59" s="194">
        <v>9400</v>
      </c>
      <c r="G59" s="194">
        <v>9400</v>
      </c>
      <c r="H59" s="194">
        <v>9400</v>
      </c>
      <c r="I59" s="194">
        <v>9400</v>
      </c>
      <c r="J59" s="194">
        <v>9400</v>
      </c>
      <c r="K59" s="194">
        <v>9400</v>
      </c>
      <c r="L59" s="194">
        <v>9400</v>
      </c>
      <c r="M59" s="194">
        <v>9400</v>
      </c>
      <c r="N59" s="194">
        <v>9400</v>
      </c>
      <c r="O59" s="194">
        <v>9400</v>
      </c>
      <c r="P59" s="194">
        <v>9400</v>
      </c>
      <c r="Q59" s="194">
        <v>34900</v>
      </c>
      <c r="R59" s="181">
        <f t="shared" si="10"/>
        <v>138300</v>
      </c>
      <c r="T59" s="152"/>
      <c r="U59" s="152"/>
    </row>
    <row r="60" spans="1:21">
      <c r="A60" s="99" t="s">
        <v>159</v>
      </c>
      <c r="C60" s="140"/>
      <c r="D60" s="99" t="s">
        <v>160</v>
      </c>
      <c r="E60" s="194">
        <v>0</v>
      </c>
      <c r="F60" s="194">
        <v>0</v>
      </c>
      <c r="G60" s="194">
        <v>0</v>
      </c>
      <c r="H60" s="194">
        <v>0</v>
      </c>
      <c r="I60" s="194">
        <v>0</v>
      </c>
      <c r="J60" s="194">
        <v>0</v>
      </c>
      <c r="K60" s="194">
        <v>0</v>
      </c>
      <c r="L60" s="194">
        <v>0</v>
      </c>
      <c r="M60" s="194">
        <v>0</v>
      </c>
      <c r="N60" s="194">
        <v>0</v>
      </c>
      <c r="O60" s="194">
        <v>0</v>
      </c>
      <c r="P60" s="194">
        <v>0</v>
      </c>
      <c r="Q60" s="194">
        <v>0</v>
      </c>
      <c r="R60" s="181">
        <f t="shared" si="10"/>
        <v>0</v>
      </c>
      <c r="T60" s="152"/>
      <c r="U60" s="152"/>
    </row>
    <row r="61" spans="1:21">
      <c r="A61" s="99" t="s">
        <v>161</v>
      </c>
      <c r="C61" s="140"/>
      <c r="D61" s="99" t="s">
        <v>162</v>
      </c>
      <c r="E61" s="194">
        <v>9700</v>
      </c>
      <c r="F61" s="194">
        <v>4800</v>
      </c>
      <c r="G61" s="194">
        <v>4800</v>
      </c>
      <c r="H61" s="194">
        <v>9900</v>
      </c>
      <c r="I61" s="194">
        <v>4800</v>
      </c>
      <c r="J61" s="194">
        <v>4800</v>
      </c>
      <c r="K61" s="194">
        <v>9900</v>
      </c>
      <c r="L61" s="194">
        <v>4800</v>
      </c>
      <c r="M61" s="194">
        <v>4800</v>
      </c>
      <c r="N61" s="194">
        <v>9900</v>
      </c>
      <c r="O61" s="194">
        <v>4800</v>
      </c>
      <c r="P61" s="194">
        <v>4800</v>
      </c>
      <c r="Q61" s="194">
        <v>9900</v>
      </c>
      <c r="R61" s="181">
        <f t="shared" si="10"/>
        <v>78000</v>
      </c>
      <c r="T61" s="152"/>
      <c r="U61" s="152"/>
    </row>
    <row r="62" spans="1:21">
      <c r="A62" s="99" t="s">
        <v>163</v>
      </c>
      <c r="C62" s="140"/>
      <c r="D62" s="99" t="s">
        <v>164</v>
      </c>
      <c r="E62" s="194">
        <v>0</v>
      </c>
      <c r="F62" s="194">
        <v>0</v>
      </c>
      <c r="G62" s="194">
        <v>0</v>
      </c>
      <c r="H62" s="194">
        <v>0</v>
      </c>
      <c r="I62" s="194">
        <v>0</v>
      </c>
      <c r="J62" s="194">
        <v>0</v>
      </c>
      <c r="K62" s="194">
        <v>0</v>
      </c>
      <c r="L62" s="194">
        <v>0</v>
      </c>
      <c r="M62" s="194">
        <v>0</v>
      </c>
      <c r="N62" s="194">
        <v>0</v>
      </c>
      <c r="O62" s="194">
        <v>0</v>
      </c>
      <c r="P62" s="194">
        <v>0</v>
      </c>
      <c r="Q62" s="194">
        <v>0</v>
      </c>
      <c r="R62" s="181">
        <f t="shared" si="10"/>
        <v>0</v>
      </c>
      <c r="T62" s="152"/>
      <c r="U62" s="152"/>
    </row>
    <row r="63" spans="1:21">
      <c r="A63" s="99" t="s">
        <v>165</v>
      </c>
      <c r="C63" s="140"/>
      <c r="D63" s="99" t="s">
        <v>166</v>
      </c>
      <c r="E63" s="194">
        <v>0</v>
      </c>
      <c r="F63" s="194">
        <v>0</v>
      </c>
      <c r="G63" s="194">
        <v>0</v>
      </c>
      <c r="H63" s="194">
        <v>0</v>
      </c>
      <c r="I63" s="194">
        <v>0</v>
      </c>
      <c r="J63" s="194">
        <v>0</v>
      </c>
      <c r="K63" s="194">
        <v>0</v>
      </c>
      <c r="L63" s="194">
        <v>0</v>
      </c>
      <c r="M63" s="194">
        <v>0</v>
      </c>
      <c r="N63" s="194">
        <v>0</v>
      </c>
      <c r="O63" s="194">
        <v>0</v>
      </c>
      <c r="P63" s="194">
        <v>0</v>
      </c>
      <c r="Q63" s="194">
        <v>0</v>
      </c>
      <c r="R63" s="181">
        <f t="shared" si="10"/>
        <v>0</v>
      </c>
      <c r="T63" s="152"/>
      <c r="U63" s="152"/>
    </row>
    <row r="64" spans="1:21">
      <c r="A64" s="99" t="s">
        <v>167</v>
      </c>
      <c r="C64" s="140"/>
      <c r="D64" s="99" t="s">
        <v>168</v>
      </c>
      <c r="E64" s="194">
        <v>0</v>
      </c>
      <c r="F64" s="194">
        <v>0</v>
      </c>
      <c r="G64" s="194">
        <v>0</v>
      </c>
      <c r="H64" s="194">
        <v>0</v>
      </c>
      <c r="I64" s="194">
        <v>0</v>
      </c>
      <c r="J64" s="194">
        <v>0</v>
      </c>
      <c r="K64" s="194">
        <v>0</v>
      </c>
      <c r="L64" s="194">
        <v>0</v>
      </c>
      <c r="M64" s="194">
        <v>0</v>
      </c>
      <c r="N64" s="194">
        <v>0</v>
      </c>
      <c r="O64" s="194">
        <v>0</v>
      </c>
      <c r="P64" s="194">
        <v>0</v>
      </c>
      <c r="Q64" s="194">
        <v>0</v>
      </c>
      <c r="R64" s="181">
        <f t="shared" si="10"/>
        <v>0</v>
      </c>
      <c r="T64" s="152"/>
      <c r="U64" s="152"/>
    </row>
    <row r="65" spans="1:21">
      <c r="A65" s="99" t="s">
        <v>169</v>
      </c>
      <c r="C65" s="140"/>
      <c r="D65" s="99" t="s">
        <v>170</v>
      </c>
      <c r="E65" s="194">
        <v>8300</v>
      </c>
      <c r="F65" s="194">
        <v>8500</v>
      </c>
      <c r="G65" s="194">
        <v>8500</v>
      </c>
      <c r="H65" s="194">
        <v>8500</v>
      </c>
      <c r="I65" s="194">
        <v>8500</v>
      </c>
      <c r="J65" s="194">
        <v>8500</v>
      </c>
      <c r="K65" s="194">
        <v>8500</v>
      </c>
      <c r="L65" s="194">
        <v>8500</v>
      </c>
      <c r="M65" s="194">
        <v>8500</v>
      </c>
      <c r="N65" s="194">
        <v>8500</v>
      </c>
      <c r="O65" s="194">
        <v>8500</v>
      </c>
      <c r="P65" s="194">
        <v>8500</v>
      </c>
      <c r="Q65" s="194">
        <v>8500</v>
      </c>
      <c r="R65" s="181">
        <f t="shared" si="10"/>
        <v>102000</v>
      </c>
      <c r="T65" s="152"/>
      <c r="U65" s="152"/>
    </row>
    <row r="66" spans="1:21">
      <c r="A66" s="195" t="s">
        <v>171</v>
      </c>
      <c r="B66" s="195"/>
      <c r="C66" s="196"/>
      <c r="D66" s="196" t="s">
        <v>172</v>
      </c>
      <c r="E66" s="197">
        <v>0</v>
      </c>
      <c r="F66" s="197">
        <v>35100</v>
      </c>
      <c r="G66" s="197">
        <v>3000</v>
      </c>
      <c r="H66" s="197">
        <v>0</v>
      </c>
      <c r="I66" s="197">
        <v>28000</v>
      </c>
      <c r="J66" s="197">
        <v>12000</v>
      </c>
      <c r="K66" s="197">
        <v>0</v>
      </c>
      <c r="L66" s="197">
        <v>3000</v>
      </c>
      <c r="M66" s="197">
        <v>0</v>
      </c>
      <c r="N66" s="197">
        <v>0</v>
      </c>
      <c r="O66" s="197">
        <v>3000</v>
      </c>
      <c r="P66" s="197">
        <v>0</v>
      </c>
      <c r="Q66" s="197">
        <v>0</v>
      </c>
      <c r="R66" s="181">
        <f>SUM(F66:Q66)</f>
        <v>84100</v>
      </c>
      <c r="T66" s="152"/>
      <c r="U66" s="152"/>
    </row>
    <row r="67" spans="1:21">
      <c r="A67" s="99" t="s">
        <v>173</v>
      </c>
      <c r="C67" s="140"/>
      <c r="E67" s="180">
        <v>102100</v>
      </c>
      <c r="F67" s="180">
        <f t="shared" ref="F67:O67" si="11">SUM(F54:F66)</f>
        <v>83300</v>
      </c>
      <c r="G67" s="180">
        <f t="shared" si="11"/>
        <v>51200</v>
      </c>
      <c r="H67" s="180">
        <f t="shared" si="11"/>
        <v>53300</v>
      </c>
      <c r="I67" s="180">
        <f t="shared" si="11"/>
        <v>98700</v>
      </c>
      <c r="J67" s="180">
        <f t="shared" si="11"/>
        <v>60200</v>
      </c>
      <c r="K67" s="180">
        <f t="shared" si="11"/>
        <v>53300</v>
      </c>
      <c r="L67" s="180">
        <f t="shared" si="11"/>
        <v>51200</v>
      </c>
      <c r="M67" s="180">
        <f t="shared" si="11"/>
        <v>48200</v>
      </c>
      <c r="N67" s="180">
        <f t="shared" si="11"/>
        <v>53300</v>
      </c>
      <c r="O67" s="180">
        <f t="shared" si="11"/>
        <v>51200</v>
      </c>
      <c r="P67" s="180">
        <f t="shared" ref="P67:R67" si="12">SUM(P54:P66)</f>
        <v>48200</v>
      </c>
      <c r="Q67" s="180">
        <f t="shared" si="12"/>
        <v>104300</v>
      </c>
      <c r="R67" s="181">
        <f t="shared" si="12"/>
        <v>756400</v>
      </c>
      <c r="T67" s="152"/>
      <c r="U67" s="152"/>
    </row>
    <row r="68" spans="1:21">
      <c r="C68" s="140"/>
      <c r="E68" s="180"/>
      <c r="F68" s="180"/>
      <c r="G68" s="180"/>
      <c r="H68" s="180"/>
      <c r="I68" s="180"/>
      <c r="J68" s="180"/>
      <c r="K68" s="180"/>
      <c r="L68" s="180"/>
      <c r="M68" s="180"/>
      <c r="N68" s="180"/>
      <c r="O68" s="180"/>
      <c r="P68" s="180"/>
      <c r="Q68" s="180"/>
      <c r="R68" s="181"/>
      <c r="T68" s="152"/>
      <c r="U68" s="152"/>
    </row>
    <row r="69" spans="1:21">
      <c r="C69" s="14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80"/>
      <c r="Q69" s="180"/>
      <c r="R69" s="190"/>
      <c r="T69" s="152"/>
      <c r="U69" s="152"/>
    </row>
    <row r="70" spans="1:21">
      <c r="C70" s="140"/>
      <c r="D70" s="140"/>
      <c r="E70" s="185"/>
      <c r="F70" s="185"/>
      <c r="G70" s="185"/>
      <c r="H70" s="185"/>
      <c r="I70" s="185"/>
      <c r="J70" s="185"/>
      <c r="K70" s="185"/>
      <c r="L70" s="185"/>
      <c r="M70" s="185"/>
      <c r="N70" s="185"/>
      <c r="O70" s="185"/>
      <c r="P70" s="185"/>
      <c r="Q70" s="185"/>
      <c r="R70" s="190"/>
      <c r="T70" s="152"/>
      <c r="U70" s="152"/>
    </row>
    <row r="71" spans="1:21">
      <c r="C71" s="140"/>
      <c r="D71" s="140"/>
      <c r="E71" s="185"/>
      <c r="F71" s="185"/>
      <c r="G71" s="185"/>
      <c r="H71" s="185"/>
      <c r="I71" s="185"/>
      <c r="J71" s="185"/>
      <c r="K71" s="185"/>
      <c r="L71" s="185"/>
      <c r="M71" s="185"/>
      <c r="N71" s="185"/>
      <c r="O71" s="185"/>
      <c r="P71" s="185"/>
      <c r="Q71" s="185"/>
      <c r="R71" s="190"/>
      <c r="T71" s="152"/>
      <c r="U71" s="152"/>
    </row>
    <row r="72" spans="1:21">
      <c r="C72" s="140"/>
      <c r="D72" s="140"/>
      <c r="E72" s="185"/>
      <c r="F72" s="185"/>
      <c r="G72" s="185"/>
      <c r="H72" s="185"/>
      <c r="I72" s="185"/>
      <c r="J72" s="185"/>
      <c r="K72" s="185"/>
      <c r="L72" s="185"/>
      <c r="M72" s="185"/>
      <c r="N72" s="185"/>
      <c r="O72" s="185"/>
      <c r="P72" s="185"/>
      <c r="Q72" s="185"/>
      <c r="R72" s="190"/>
      <c r="T72" s="152"/>
      <c r="U72" s="152"/>
    </row>
    <row r="73" spans="1:21">
      <c r="C73" s="140"/>
      <c r="D73" s="140"/>
      <c r="E73" s="185"/>
      <c r="F73" s="185"/>
      <c r="G73" s="185"/>
      <c r="H73" s="185"/>
      <c r="I73" s="185"/>
      <c r="J73" s="185"/>
      <c r="K73" s="185"/>
      <c r="L73" s="185"/>
      <c r="M73" s="185"/>
      <c r="N73" s="185"/>
      <c r="O73" s="185"/>
      <c r="P73" s="185"/>
      <c r="Q73" s="185"/>
      <c r="R73" s="190"/>
      <c r="T73" s="152"/>
      <c r="U73" s="152"/>
    </row>
    <row r="74" spans="1:21">
      <c r="C74" s="140"/>
      <c r="D74" s="140"/>
      <c r="E74" s="185"/>
      <c r="F74" s="185"/>
      <c r="G74" s="185"/>
      <c r="H74" s="185"/>
      <c r="I74" s="185"/>
      <c r="J74" s="185"/>
      <c r="K74" s="185"/>
      <c r="L74" s="185"/>
      <c r="M74" s="185"/>
      <c r="N74" s="185"/>
      <c r="O74" s="185"/>
      <c r="P74" s="185"/>
      <c r="Q74" s="185"/>
      <c r="R74" s="190"/>
      <c r="T74" s="152"/>
      <c r="U74" s="152"/>
    </row>
    <row r="75" spans="1:21">
      <c r="C75" s="140"/>
      <c r="D75" s="140"/>
      <c r="E75" s="185"/>
      <c r="F75" s="185"/>
      <c r="G75" s="185"/>
      <c r="H75" s="185"/>
      <c r="I75" s="185"/>
      <c r="J75" s="185"/>
      <c r="K75" s="185"/>
      <c r="L75" s="185"/>
      <c r="M75" s="185"/>
      <c r="N75" s="185"/>
      <c r="O75" s="185"/>
      <c r="P75" s="185"/>
      <c r="Q75" s="185"/>
      <c r="R75" s="190"/>
      <c r="T75" s="152"/>
      <c r="U75" s="152"/>
    </row>
    <row r="76" spans="1:21">
      <c r="C76" s="140"/>
      <c r="D76" s="140"/>
      <c r="E76" s="185"/>
      <c r="F76" s="185"/>
      <c r="G76" s="185"/>
      <c r="H76" s="185"/>
      <c r="I76" s="185"/>
      <c r="J76" s="185"/>
      <c r="K76" s="185"/>
      <c r="L76" s="185"/>
      <c r="M76" s="185"/>
      <c r="N76" s="185"/>
      <c r="O76" s="185"/>
      <c r="P76" s="185"/>
      <c r="Q76" s="185"/>
      <c r="R76" s="190"/>
      <c r="T76" s="152"/>
      <c r="U76" s="152"/>
    </row>
    <row r="77" spans="1:21">
      <c r="C77" s="140"/>
      <c r="D77" s="140"/>
      <c r="E77" s="185"/>
      <c r="F77" s="185"/>
      <c r="G77" s="185"/>
      <c r="H77" s="185"/>
      <c r="I77" s="185"/>
      <c r="J77" s="185"/>
      <c r="K77" s="185"/>
      <c r="L77" s="185"/>
      <c r="M77" s="185"/>
      <c r="N77" s="185"/>
      <c r="O77" s="185"/>
      <c r="P77" s="185"/>
      <c r="Q77" s="185"/>
      <c r="R77" s="190"/>
      <c r="T77" s="152"/>
      <c r="U77" s="152"/>
    </row>
    <row r="78" spans="1:21">
      <c r="C78" s="140"/>
      <c r="D78" s="140"/>
      <c r="E78" s="185"/>
      <c r="F78" s="185"/>
      <c r="G78" s="185"/>
      <c r="H78" s="185"/>
      <c r="I78" s="185"/>
      <c r="J78" s="185"/>
      <c r="K78" s="185"/>
      <c r="L78" s="185"/>
      <c r="M78" s="185"/>
      <c r="N78" s="185"/>
      <c r="O78" s="185"/>
      <c r="P78" s="185"/>
      <c r="Q78" s="185"/>
      <c r="R78" s="190"/>
      <c r="T78" s="152"/>
      <c r="U78" s="152"/>
    </row>
    <row r="79" spans="1:21">
      <c r="C79" s="140"/>
      <c r="D79" s="140"/>
      <c r="E79" s="185"/>
      <c r="F79" s="185"/>
      <c r="G79" s="185"/>
      <c r="H79" s="185"/>
      <c r="I79" s="185"/>
      <c r="J79" s="185"/>
      <c r="K79" s="185"/>
      <c r="L79" s="185"/>
      <c r="M79" s="185"/>
      <c r="N79" s="185"/>
      <c r="O79" s="185"/>
      <c r="P79" s="185"/>
      <c r="Q79" s="185"/>
      <c r="R79" s="190"/>
      <c r="T79" s="152"/>
      <c r="U79" s="152"/>
    </row>
    <row r="80" spans="1:21">
      <c r="C80" s="140"/>
      <c r="D80" s="140"/>
      <c r="E80" s="185"/>
      <c r="F80" s="185"/>
      <c r="G80" s="185"/>
      <c r="H80" s="185"/>
      <c r="I80" s="185"/>
      <c r="J80" s="185"/>
      <c r="K80" s="185"/>
      <c r="L80" s="185"/>
      <c r="M80" s="185"/>
      <c r="N80" s="185"/>
      <c r="O80" s="185"/>
      <c r="P80" s="185"/>
      <c r="Q80" s="185"/>
      <c r="R80" s="190"/>
      <c r="T80" s="152"/>
      <c r="U80" s="152"/>
    </row>
    <row r="81" spans="3:21">
      <c r="C81" s="140"/>
      <c r="D81" s="140"/>
      <c r="E81" s="185"/>
      <c r="F81" s="185"/>
      <c r="G81" s="185"/>
      <c r="H81" s="185"/>
      <c r="I81" s="185"/>
      <c r="J81" s="185"/>
      <c r="K81" s="185"/>
      <c r="L81" s="185"/>
      <c r="M81" s="185"/>
      <c r="N81" s="185"/>
      <c r="O81" s="185"/>
      <c r="P81" s="185"/>
      <c r="Q81" s="185"/>
      <c r="R81" s="190"/>
      <c r="T81" s="152"/>
      <c r="U81" s="152"/>
    </row>
    <row r="82" spans="3:21">
      <c r="C82" s="140"/>
      <c r="D82" s="140"/>
      <c r="E82" s="185"/>
      <c r="F82" s="185"/>
      <c r="G82" s="185"/>
      <c r="H82" s="185"/>
      <c r="I82" s="185"/>
      <c r="J82" s="185"/>
      <c r="K82" s="185"/>
      <c r="L82" s="185"/>
      <c r="M82" s="185"/>
      <c r="N82" s="185"/>
      <c r="O82" s="185"/>
      <c r="P82" s="185"/>
      <c r="Q82" s="185"/>
      <c r="T82" s="152"/>
      <c r="U82" s="152"/>
    </row>
    <row r="83" spans="3:21" ht="12.75">
      <c r="C83" s="140"/>
      <c r="D83" s="140"/>
      <c r="E83" s="185"/>
      <c r="F83" s="185"/>
      <c r="G83" s="185"/>
      <c r="H83" s="185"/>
      <c r="I83" s="185"/>
      <c r="J83" s="185"/>
      <c r="K83" s="185"/>
      <c r="L83" s="185"/>
      <c r="M83" s="185"/>
      <c r="N83" s="185"/>
      <c r="O83" s="185"/>
      <c r="P83" s="185"/>
      <c r="Q83" s="185"/>
    </row>
    <row r="84" spans="3:21" ht="12.75">
      <c r="C84" s="140"/>
      <c r="D84" s="140"/>
      <c r="E84" s="185"/>
      <c r="F84" s="185"/>
      <c r="G84" s="185"/>
      <c r="H84" s="185"/>
      <c r="I84" s="185"/>
      <c r="J84" s="185"/>
      <c r="K84" s="185"/>
      <c r="L84" s="185"/>
      <c r="M84" s="185"/>
      <c r="N84" s="185"/>
      <c r="O84" s="185"/>
      <c r="P84" s="185"/>
      <c r="Q84" s="185"/>
    </row>
    <row r="85" spans="3:21" ht="12.75">
      <c r="C85" s="140"/>
      <c r="D85" s="140"/>
      <c r="E85" s="185"/>
      <c r="F85" s="185"/>
      <c r="G85" s="185"/>
      <c r="H85" s="185"/>
      <c r="I85" s="185"/>
      <c r="J85" s="185"/>
      <c r="K85" s="185"/>
      <c r="L85" s="185"/>
      <c r="M85" s="185"/>
      <c r="N85" s="185"/>
      <c r="O85" s="185"/>
      <c r="P85" s="185"/>
      <c r="Q85" s="185"/>
    </row>
    <row r="86" spans="3:21" ht="12.75">
      <c r="C86" s="140"/>
      <c r="D86" s="140"/>
      <c r="E86" s="185"/>
      <c r="F86" s="185"/>
      <c r="G86" s="185"/>
      <c r="H86" s="185"/>
      <c r="I86" s="185"/>
      <c r="J86" s="185"/>
      <c r="K86" s="185"/>
      <c r="L86" s="185"/>
      <c r="M86" s="185"/>
      <c r="N86" s="185"/>
      <c r="O86" s="185"/>
      <c r="P86" s="185"/>
      <c r="Q86" s="185"/>
    </row>
    <row r="87" spans="3:21" ht="12.75">
      <c r="C87" s="140"/>
      <c r="D87" s="140"/>
      <c r="E87" s="185"/>
      <c r="F87" s="185"/>
      <c r="G87" s="185"/>
      <c r="H87" s="185"/>
      <c r="I87" s="185"/>
      <c r="J87" s="185"/>
      <c r="K87" s="185"/>
      <c r="L87" s="185"/>
      <c r="M87" s="185"/>
      <c r="N87" s="185"/>
      <c r="O87" s="185"/>
      <c r="P87" s="185"/>
      <c r="Q87" s="185"/>
    </row>
    <row r="88" spans="3:21" ht="12.75">
      <c r="C88" s="140"/>
      <c r="D88" s="140"/>
      <c r="E88" s="185"/>
      <c r="F88" s="185"/>
      <c r="G88" s="185"/>
      <c r="H88" s="185"/>
      <c r="I88" s="185"/>
      <c r="J88" s="185"/>
      <c r="K88" s="185"/>
      <c r="L88" s="185"/>
      <c r="M88" s="185"/>
      <c r="N88" s="185"/>
      <c r="O88" s="185"/>
      <c r="P88" s="185"/>
      <c r="Q88" s="185"/>
    </row>
    <row r="89" spans="3:21" ht="12.75">
      <c r="C89" s="140"/>
      <c r="D89" s="140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</row>
    <row r="90" spans="3:21" ht="12.75">
      <c r="C90" s="140"/>
      <c r="D90" s="140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</row>
  </sheetData>
  <conditionalFormatting sqref="A48 D48">
    <cfRule type="expression" dxfId="1" priority="1">
      <formula>$R48="N"</formula>
    </cfRule>
  </conditionalFormatting>
  <pageMargins left="0.1" right="0.1" top="0.5" bottom="0.5" header="0.5" footer="0.5"/>
  <pageSetup paperSize="5" scale="67" orientation="landscape" blackAndWhite="1" r:id="rId1"/>
  <headerFooter alignWithMargins="0">
    <oddFooter>&amp;L&amp;Z&amp;F
&amp;D</oddFoot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8E703-12B8-4E55-9F35-A4B3799E5E08}">
  <dimension ref="A1:BH474"/>
  <sheetViews>
    <sheetView workbookViewId="0">
      <pane xSplit="2" ySplit="2" topLeftCell="AM3" activePane="bottomRight" state="frozen"/>
      <selection pane="topRight" activeCell="C1" sqref="C1"/>
      <selection pane="bottomLeft" activeCell="A3" sqref="A3"/>
      <selection pane="bottomRight" activeCell="AU29" sqref="AU29"/>
    </sheetView>
  </sheetViews>
  <sheetFormatPr defaultRowHeight="15" outlineLevelCol="1"/>
  <cols>
    <col min="1" max="1" width="31.28515625" customWidth="1"/>
    <col min="2" max="2" width="6.42578125" customWidth="1"/>
    <col min="3" max="3" width="25.7109375" hidden="1" customWidth="1" outlineLevel="1"/>
    <col min="4" max="15" width="11.85546875" hidden="1" customWidth="1" outlineLevel="1"/>
    <col min="16" max="16" width="11.7109375" style="9" hidden="1" customWidth="1" outlineLevel="1"/>
    <col min="17" max="25" width="11.7109375" hidden="1" customWidth="1" outlineLevel="1"/>
    <col min="26" max="26" width="12.5703125" style="9" hidden="1" customWidth="1" outlineLevel="1"/>
    <col min="27" max="27" width="12.5703125" style="9" bestFit="1" customWidth="1" collapsed="1"/>
    <col min="28" max="28" width="12.5703125" style="9" bestFit="1" customWidth="1"/>
    <col min="29" max="32" width="12.5703125" bestFit="1" customWidth="1"/>
    <col min="33" max="33" width="14.28515625" bestFit="1" customWidth="1"/>
    <col min="34" max="39" width="12.5703125" bestFit="1" customWidth="1"/>
    <col min="40" max="40" width="13.42578125" bestFit="1" customWidth="1"/>
    <col min="41" max="41" width="16" style="9" bestFit="1" customWidth="1"/>
    <col min="42" max="52" width="13.28515625" bestFit="1" customWidth="1"/>
    <col min="53" max="53" width="12.5703125" bestFit="1" customWidth="1"/>
    <col min="54" max="54" width="40.28515625" bestFit="1" customWidth="1"/>
    <col min="55" max="55" width="14.5703125" bestFit="1" customWidth="1"/>
  </cols>
  <sheetData>
    <row r="1" spans="1:56" s="1" customFormat="1">
      <c r="C1" s="1" t="s">
        <v>52</v>
      </c>
      <c r="D1" s="1" t="s">
        <v>52</v>
      </c>
      <c r="E1" s="1" t="s">
        <v>52</v>
      </c>
      <c r="F1" s="1" t="s">
        <v>52</v>
      </c>
      <c r="G1" s="1" t="s">
        <v>52</v>
      </c>
      <c r="H1" s="1" t="s">
        <v>52</v>
      </c>
      <c r="I1" s="1" t="s">
        <v>52</v>
      </c>
      <c r="J1" s="1" t="s">
        <v>52</v>
      </c>
      <c r="K1" s="1" t="s">
        <v>52</v>
      </c>
      <c r="L1" s="1" t="s">
        <v>52</v>
      </c>
      <c r="M1" s="1" t="s">
        <v>52</v>
      </c>
      <c r="N1" s="1" t="s">
        <v>52</v>
      </c>
      <c r="O1" s="1" t="s">
        <v>52</v>
      </c>
      <c r="P1" s="7" t="s">
        <v>52</v>
      </c>
      <c r="Q1" s="1" t="s">
        <v>52</v>
      </c>
      <c r="R1" s="1" t="s">
        <v>52</v>
      </c>
      <c r="S1" s="1" t="s">
        <v>52</v>
      </c>
      <c r="T1" s="1" t="s">
        <v>52</v>
      </c>
      <c r="U1" s="1" t="s">
        <v>52</v>
      </c>
      <c r="V1" s="1" t="s">
        <v>52</v>
      </c>
      <c r="W1" s="1" t="s">
        <v>52</v>
      </c>
      <c r="X1" s="1" t="s">
        <v>52</v>
      </c>
      <c r="Y1" s="1" t="s">
        <v>52</v>
      </c>
      <c r="Z1" s="1" t="s">
        <v>52</v>
      </c>
      <c r="AA1" s="1" t="s">
        <v>52</v>
      </c>
      <c r="AB1" s="1" t="s">
        <v>0</v>
      </c>
      <c r="AC1" s="1" t="s">
        <v>0</v>
      </c>
      <c r="AD1" s="1" t="s">
        <v>0</v>
      </c>
      <c r="AE1" s="1" t="s">
        <v>0</v>
      </c>
      <c r="AF1" s="1" t="s">
        <v>0</v>
      </c>
      <c r="AG1" s="1" t="s">
        <v>0</v>
      </c>
      <c r="AH1" s="1" t="s">
        <v>0</v>
      </c>
      <c r="AI1" s="1" t="s">
        <v>0</v>
      </c>
      <c r="AJ1" s="1" t="s">
        <v>0</v>
      </c>
      <c r="AK1" s="1" t="s">
        <v>0</v>
      </c>
      <c r="AL1" s="1" t="s">
        <v>0</v>
      </c>
      <c r="AM1" s="1" t="s">
        <v>0</v>
      </c>
      <c r="AN1" s="1" t="s">
        <v>63</v>
      </c>
      <c r="AO1" s="7" t="s">
        <v>0</v>
      </c>
      <c r="AP1" s="1" t="s">
        <v>0</v>
      </c>
      <c r="AQ1" s="1" t="s">
        <v>0</v>
      </c>
      <c r="AR1" s="1" t="s">
        <v>0</v>
      </c>
      <c r="AS1" s="1" t="s">
        <v>0</v>
      </c>
      <c r="AT1" s="1" t="s">
        <v>0</v>
      </c>
      <c r="AU1" s="1" t="s">
        <v>0</v>
      </c>
      <c r="AV1" s="1" t="s">
        <v>0</v>
      </c>
      <c r="AW1" s="1" t="s">
        <v>0</v>
      </c>
      <c r="AX1" s="1" t="s">
        <v>0</v>
      </c>
      <c r="AY1" s="1" t="s">
        <v>0</v>
      </c>
      <c r="AZ1" s="1" t="s">
        <v>0</v>
      </c>
      <c r="BA1" s="1" t="s">
        <v>63</v>
      </c>
    </row>
    <row r="2" spans="1:56" s="1" customFormat="1">
      <c r="C2" s="2" t="s">
        <v>55</v>
      </c>
      <c r="D2" s="2" t="s">
        <v>37</v>
      </c>
      <c r="E2" s="2" t="s">
        <v>38</v>
      </c>
      <c r="F2" s="2" t="s">
        <v>39</v>
      </c>
      <c r="G2" s="2" t="s">
        <v>40</v>
      </c>
      <c r="H2" s="2" t="s">
        <v>41</v>
      </c>
      <c r="I2" s="2" t="s">
        <v>42</v>
      </c>
      <c r="J2" s="2" t="s">
        <v>43</v>
      </c>
      <c r="K2" s="2" t="s">
        <v>44</v>
      </c>
      <c r="L2" s="2" t="s">
        <v>45</v>
      </c>
      <c r="M2" s="2" t="s">
        <v>46</v>
      </c>
      <c r="N2" s="2" t="s">
        <v>47</v>
      </c>
      <c r="O2" s="2" t="s">
        <v>48</v>
      </c>
      <c r="P2" s="8" t="s">
        <v>13</v>
      </c>
      <c r="Q2" s="1" t="s">
        <v>14</v>
      </c>
      <c r="R2" s="1" t="s">
        <v>15</v>
      </c>
      <c r="S2" s="1" t="s">
        <v>16</v>
      </c>
      <c r="T2" s="1" t="s">
        <v>17</v>
      </c>
      <c r="U2" s="1" t="s">
        <v>18</v>
      </c>
      <c r="V2" s="1" t="s">
        <v>19</v>
      </c>
      <c r="W2" s="1" t="s">
        <v>20</v>
      </c>
      <c r="X2" s="1" t="s">
        <v>21</v>
      </c>
      <c r="Y2" s="1" t="s">
        <v>22</v>
      </c>
      <c r="Z2" s="2" t="s">
        <v>23</v>
      </c>
      <c r="AA2" s="2" t="s">
        <v>24</v>
      </c>
      <c r="AB2" s="2" t="s">
        <v>1</v>
      </c>
      <c r="AC2" s="1" t="s">
        <v>2</v>
      </c>
      <c r="AD2" s="1" t="s">
        <v>3</v>
      </c>
      <c r="AE2" s="1" t="s">
        <v>4</v>
      </c>
      <c r="AF2" s="1" t="s">
        <v>5</v>
      </c>
      <c r="AG2" s="1" t="s">
        <v>6</v>
      </c>
      <c r="AH2" s="1" t="s">
        <v>7</v>
      </c>
      <c r="AI2" s="1" t="s">
        <v>8</v>
      </c>
      <c r="AJ2" s="1" t="s">
        <v>9</v>
      </c>
      <c r="AK2" s="1" t="s">
        <v>10</v>
      </c>
      <c r="AL2" s="1" t="s">
        <v>11</v>
      </c>
      <c r="AM2" s="1" t="s">
        <v>12</v>
      </c>
      <c r="AN2" s="1" t="s">
        <v>64</v>
      </c>
      <c r="AO2" s="8" t="s">
        <v>25</v>
      </c>
      <c r="AP2" s="2" t="s">
        <v>26</v>
      </c>
      <c r="AQ2" s="2" t="s">
        <v>27</v>
      </c>
      <c r="AR2" s="2" t="s">
        <v>28</v>
      </c>
      <c r="AS2" s="2" t="s">
        <v>29</v>
      </c>
      <c r="AT2" s="2" t="s">
        <v>30</v>
      </c>
      <c r="AU2" s="2" t="s">
        <v>31</v>
      </c>
      <c r="AV2" s="2" t="s">
        <v>32</v>
      </c>
      <c r="AW2" s="2" t="s">
        <v>33</v>
      </c>
      <c r="AX2" s="2" t="s">
        <v>34</v>
      </c>
      <c r="AY2" s="2" t="s">
        <v>35</v>
      </c>
      <c r="AZ2" s="2" t="s">
        <v>36</v>
      </c>
      <c r="BA2" s="1" t="s">
        <v>64</v>
      </c>
      <c r="BB2" s="1" t="s">
        <v>77</v>
      </c>
      <c r="BC2" s="1" t="s">
        <v>66</v>
      </c>
    </row>
    <row r="3" spans="1:56">
      <c r="Z3"/>
      <c r="AA3"/>
      <c r="AB3"/>
      <c r="AK3" s="14"/>
    </row>
    <row r="4" spans="1:56" s="288" customFormat="1">
      <c r="A4" s="288" t="s">
        <v>49</v>
      </c>
      <c r="C4" s="320"/>
      <c r="D4" s="301">
        <v>673494.60000000009</v>
      </c>
      <c r="E4" s="301">
        <v>708850</v>
      </c>
      <c r="F4" s="301">
        <v>716542.8</v>
      </c>
      <c r="G4" s="301">
        <v>697142.80000000016</v>
      </c>
      <c r="H4" s="301">
        <v>722668.20000000019</v>
      </c>
      <c r="I4" s="301">
        <v>728112.90000000014</v>
      </c>
      <c r="J4" s="301">
        <v>732549.50000000012</v>
      </c>
      <c r="K4" s="301">
        <v>753659.40000000014</v>
      </c>
      <c r="L4" s="301">
        <v>759217.3</v>
      </c>
      <c r="M4" s="301">
        <v>764325.00000000012</v>
      </c>
      <c r="N4" s="301">
        <v>780369.8</v>
      </c>
      <c r="O4" s="301">
        <v>786234.60000000009</v>
      </c>
      <c r="P4" s="321">
        <v>796024.5</v>
      </c>
      <c r="Q4" s="301">
        <v>863105.90000000014</v>
      </c>
      <c r="R4" s="301">
        <v>874014.50000000012</v>
      </c>
      <c r="S4" s="301">
        <v>851182.70000000019</v>
      </c>
      <c r="T4" s="301">
        <v>887440.10000000009</v>
      </c>
      <c r="U4" s="301">
        <v>894100.60000000009</v>
      </c>
      <c r="V4" s="301">
        <v>898498.00000000012</v>
      </c>
      <c r="W4" s="301">
        <v>923439.10000000009</v>
      </c>
      <c r="X4" s="301">
        <v>930711.10000000009</v>
      </c>
      <c r="Y4" s="301">
        <v>919289.9</v>
      </c>
      <c r="Z4" s="55">
        <v>950225</v>
      </c>
      <c r="AA4" s="55">
        <v>991334.23845000006</v>
      </c>
      <c r="AB4" s="55">
        <v>1001178.6000000001</v>
      </c>
      <c r="AC4" s="55">
        <v>1015494.8000000002</v>
      </c>
      <c r="AD4" s="55">
        <v>1026295.2000000001</v>
      </c>
      <c r="AE4" s="55">
        <v>1033299.3</v>
      </c>
      <c r="AF4" s="55">
        <v>1034579.4000000001</v>
      </c>
      <c r="AG4" s="55">
        <v>1041457.3000000002</v>
      </c>
      <c r="AH4" s="55">
        <v>1045880.3000000002</v>
      </c>
      <c r="AI4" s="55">
        <v>1060904.6000000001</v>
      </c>
      <c r="AJ4" s="55">
        <v>1067166.9000000001</v>
      </c>
      <c r="AK4" s="55">
        <v>1070360.491691543</v>
      </c>
      <c r="AL4" s="55">
        <v>1118759.3281333565</v>
      </c>
      <c r="AM4" s="55">
        <v>1131344.2504286449</v>
      </c>
      <c r="AN4" s="55">
        <f>AVERAGE(AA4:AM4)</f>
        <v>1049081.1314387342</v>
      </c>
      <c r="AO4" s="87">
        <v>1136822.2200582824</v>
      </c>
      <c r="AP4" s="55">
        <v>1160078.2488628456</v>
      </c>
      <c r="AQ4" s="55">
        <v>1163517.8457402145</v>
      </c>
      <c r="AR4" s="55">
        <v>1166377.543891673</v>
      </c>
      <c r="AS4" s="55">
        <v>1188993.4067053772</v>
      </c>
      <c r="AT4" s="55">
        <v>1189406.7854399902</v>
      </c>
      <c r="AU4" s="55">
        <v>1189785.9540922099</v>
      </c>
      <c r="AV4" s="55">
        <v>1215651.1537748084</v>
      </c>
      <c r="AW4" s="55">
        <v>1215985.1551906161</v>
      </c>
      <c r="AX4" s="55">
        <v>1216617.1102458611</v>
      </c>
      <c r="AY4" s="55">
        <v>1252437.5507855485</v>
      </c>
      <c r="AZ4" s="55">
        <v>1256101.5729289269</v>
      </c>
      <c r="BA4" s="55">
        <f>AVERAGE(AO4:AZ4,AM4)</f>
        <v>1191009.1383188462</v>
      </c>
      <c r="BB4" s="301">
        <v>1191009.138318846</v>
      </c>
      <c r="BC4" s="301">
        <f>BB4-BA4</f>
        <v>0</v>
      </c>
      <c r="BD4" s="301"/>
    </row>
    <row r="5" spans="1:56" s="288" customFormat="1">
      <c r="A5" s="288" t="s">
        <v>50</v>
      </c>
      <c r="C5" s="301">
        <v>335661.13394999999</v>
      </c>
      <c r="D5" s="301">
        <v>335665.10000000003</v>
      </c>
      <c r="E5" s="301">
        <v>335669.10000000003</v>
      </c>
      <c r="F5" s="301">
        <v>565045.6</v>
      </c>
      <c r="G5" s="301">
        <v>565053.29999999993</v>
      </c>
      <c r="H5" s="301">
        <v>518296.4</v>
      </c>
      <c r="I5" s="301">
        <v>518304.2</v>
      </c>
      <c r="J5" s="301">
        <v>518312.1</v>
      </c>
      <c r="K5" s="301">
        <v>518319.9</v>
      </c>
      <c r="L5" s="301">
        <v>518327.7</v>
      </c>
      <c r="M5" s="301">
        <v>518335.6</v>
      </c>
      <c r="N5" s="301">
        <v>518343.4</v>
      </c>
      <c r="O5" s="301">
        <v>518351.2</v>
      </c>
      <c r="P5" s="321">
        <v>518359.1</v>
      </c>
      <c r="Q5" s="301">
        <v>518366.9</v>
      </c>
      <c r="R5" s="301">
        <v>518374.7</v>
      </c>
      <c r="S5" s="301">
        <v>518382.5</v>
      </c>
      <c r="T5" s="301">
        <v>518390.4</v>
      </c>
      <c r="U5" s="301">
        <v>518398.2</v>
      </c>
      <c r="V5" s="301">
        <v>593346</v>
      </c>
      <c r="W5" s="301">
        <v>593354.5</v>
      </c>
      <c r="X5" s="301">
        <v>568363.1</v>
      </c>
      <c r="Y5" s="301">
        <v>568371.4</v>
      </c>
      <c r="Z5" s="319">
        <v>568379.69999999995</v>
      </c>
      <c r="AA5" s="319">
        <f t="shared" ref="AA5:AM5" si="0">+AA17</f>
        <v>568387.96913999994</v>
      </c>
      <c r="AB5" s="319">
        <f t="shared" si="0"/>
        <v>568395.96913999994</v>
      </c>
      <c r="AC5" s="319">
        <f t="shared" si="0"/>
        <v>568403.96913999994</v>
      </c>
      <c r="AD5" s="319">
        <f t="shared" si="0"/>
        <v>568411.96913999994</v>
      </c>
      <c r="AE5" s="319">
        <f t="shared" si="0"/>
        <v>568419.96913999994</v>
      </c>
      <c r="AF5" s="319">
        <f t="shared" si="0"/>
        <v>568427.96913999994</v>
      </c>
      <c r="AG5" s="319">
        <f t="shared" si="0"/>
        <v>568435.96913999994</v>
      </c>
      <c r="AH5" s="319">
        <f t="shared" si="0"/>
        <v>568443.96913999994</v>
      </c>
      <c r="AI5" s="319">
        <f t="shared" si="0"/>
        <v>568451.96913999994</v>
      </c>
      <c r="AJ5" s="319">
        <f t="shared" si="0"/>
        <v>568459.96913999994</v>
      </c>
      <c r="AK5" s="319">
        <f t="shared" si="0"/>
        <v>825000</v>
      </c>
      <c r="AL5" s="319">
        <f t="shared" si="0"/>
        <v>825000</v>
      </c>
      <c r="AM5" s="319">
        <f t="shared" si="0"/>
        <v>825000</v>
      </c>
      <c r="AN5" s="55">
        <f t="shared" ref="AN5:AN9" si="1">AVERAGE(AA5:AM5)</f>
        <v>627633.82241538446</v>
      </c>
      <c r="AO5" s="322">
        <f>+AO17</f>
        <v>825000</v>
      </c>
      <c r="AP5" s="319">
        <f t="shared" ref="AP5:AZ5" si="2">+AP17</f>
        <v>825000</v>
      </c>
      <c r="AQ5" s="319">
        <f t="shared" si="2"/>
        <v>825000</v>
      </c>
      <c r="AR5" s="319">
        <f t="shared" si="2"/>
        <v>825000</v>
      </c>
      <c r="AS5" s="319">
        <f t="shared" si="2"/>
        <v>825000</v>
      </c>
      <c r="AT5" s="319">
        <f t="shared" si="2"/>
        <v>925000</v>
      </c>
      <c r="AU5" s="319">
        <f t="shared" si="2"/>
        <v>925000</v>
      </c>
      <c r="AV5" s="319">
        <f t="shared" si="2"/>
        <v>925000</v>
      </c>
      <c r="AW5" s="319">
        <f t="shared" si="2"/>
        <v>925000</v>
      </c>
      <c r="AX5" s="319">
        <f t="shared" si="2"/>
        <v>925000</v>
      </c>
      <c r="AY5" s="319">
        <f t="shared" si="2"/>
        <v>925000</v>
      </c>
      <c r="AZ5" s="319">
        <f t="shared" si="2"/>
        <v>925000</v>
      </c>
      <c r="BA5" s="55">
        <f>AVERAGE(AO5:AZ5,AM5)</f>
        <v>878846.15384615387</v>
      </c>
      <c r="BB5" s="301">
        <v>878846.15384615387</v>
      </c>
      <c r="BC5" s="301">
        <f t="shared" ref="BC5:BC10" si="3">BB5-BA5</f>
        <v>0</v>
      </c>
      <c r="BD5" s="301"/>
    </row>
    <row r="6" spans="1:56" s="288" customFormat="1" ht="15.75" customHeight="1">
      <c r="A6" s="288" t="s">
        <v>51</v>
      </c>
      <c r="C6" s="323">
        <v>214352.13493999999</v>
      </c>
      <c r="D6" s="323">
        <v>236511.4</v>
      </c>
      <c r="E6" s="323">
        <v>221147.7</v>
      </c>
      <c r="F6" s="323">
        <v>14181.1</v>
      </c>
      <c r="G6" s="323">
        <v>17122.400000000001</v>
      </c>
      <c r="H6" s="323">
        <v>87741.5</v>
      </c>
      <c r="I6" s="323">
        <v>99244.3</v>
      </c>
      <c r="J6" s="323">
        <v>111939.3</v>
      </c>
      <c r="K6" s="323">
        <v>101333.5</v>
      </c>
      <c r="L6" s="323">
        <v>115219</v>
      </c>
      <c r="M6" s="323">
        <v>136200.9</v>
      </c>
      <c r="N6" s="323">
        <v>144763.5</v>
      </c>
      <c r="O6" s="323">
        <v>189522.1</v>
      </c>
      <c r="P6" s="321">
        <v>210398.8</v>
      </c>
      <c r="Q6" s="323">
        <v>158200.1</v>
      </c>
      <c r="R6" s="323">
        <v>166329.5</v>
      </c>
      <c r="S6" s="323">
        <v>174484</v>
      </c>
      <c r="T6" s="323">
        <v>177717.8</v>
      </c>
      <c r="U6" s="323">
        <v>198344.9</v>
      </c>
      <c r="V6" s="323">
        <v>136571.20000000001</v>
      </c>
      <c r="W6" s="323">
        <v>124775.7</v>
      </c>
      <c r="X6" s="323">
        <v>156383.70000000001</v>
      </c>
      <c r="Y6" s="323">
        <v>159112.9</v>
      </c>
      <c r="Z6" s="55">
        <v>161937.4</v>
      </c>
      <c r="AA6" s="55">
        <v>166097.1501</v>
      </c>
      <c r="AB6" s="55">
        <v>200760.12118052706</v>
      </c>
      <c r="AC6" s="55">
        <v>249611.30169351317</v>
      </c>
      <c r="AD6" s="55">
        <v>267160.48534790176</v>
      </c>
      <c r="AE6" s="55">
        <v>288943.20600232383</v>
      </c>
      <c r="AF6" s="55">
        <v>294595.72464084515</v>
      </c>
      <c r="AG6" s="55">
        <v>312955.13522041368</v>
      </c>
      <c r="AH6" s="55">
        <v>332059.66013961291</v>
      </c>
      <c r="AI6" s="55">
        <v>328865.65297220211</v>
      </c>
      <c r="AJ6" s="55">
        <v>338687.5372591308</v>
      </c>
      <c r="AK6" s="55">
        <v>112693.70830845693</v>
      </c>
      <c r="AL6" s="55">
        <v>91589.771866643408</v>
      </c>
      <c r="AM6" s="55">
        <v>107765.54957135532</v>
      </c>
      <c r="AN6" s="55">
        <f t="shared" si="1"/>
        <v>237829.61571560969</v>
      </c>
      <c r="AO6" s="87">
        <v>113573.86133633056</v>
      </c>
      <c r="AP6" s="55">
        <v>108081.6602919384</v>
      </c>
      <c r="AQ6" s="55">
        <v>118845.55815136948</v>
      </c>
      <c r="AR6" s="55">
        <v>145010.30156472832</v>
      </c>
      <c r="AS6" s="55">
        <v>137421.27760443586</v>
      </c>
      <c r="AT6" s="55">
        <v>59815.061147584725</v>
      </c>
      <c r="AU6" s="55">
        <v>79909.165697083663</v>
      </c>
      <c r="AV6" s="55">
        <v>67611.707420851919</v>
      </c>
      <c r="AW6" s="55">
        <v>77202.479567692179</v>
      </c>
      <c r="AX6" s="55">
        <v>115175.20090690796</v>
      </c>
      <c r="AY6" s="55">
        <v>114279.4981532449</v>
      </c>
      <c r="AZ6" s="55">
        <v>133569.82125054006</v>
      </c>
      <c r="BA6" s="55">
        <f t="shared" ref="BA6:BA9" si="4">AVERAGE(AO6:AZ6,AM6)</f>
        <v>106020.08789723563</v>
      </c>
      <c r="BB6" s="301">
        <v>106020.08789723564</v>
      </c>
      <c r="BC6" s="301">
        <f t="shared" si="3"/>
        <v>0</v>
      </c>
      <c r="BD6" s="301"/>
    </row>
    <row r="7" spans="1:56" s="288" customFormat="1" ht="15.75" customHeight="1">
      <c r="A7" s="288" t="s">
        <v>54</v>
      </c>
      <c r="C7" s="323"/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321"/>
      <c r="Q7" s="323"/>
      <c r="R7" s="323"/>
      <c r="S7" s="323"/>
      <c r="T7" s="323"/>
      <c r="U7" s="323"/>
      <c r="V7" s="323"/>
      <c r="W7" s="323"/>
      <c r="X7" s="323"/>
      <c r="Y7" s="323"/>
      <c r="Z7" s="55">
        <v>0</v>
      </c>
      <c r="AA7" s="55">
        <v>29952.665430000001</v>
      </c>
      <c r="AB7" s="55">
        <v>28739.1</v>
      </c>
      <c r="AC7" s="55">
        <v>28762.500199999999</v>
      </c>
      <c r="AD7" s="55">
        <v>28785.9</v>
      </c>
      <c r="AE7" s="55">
        <v>28809.4002</v>
      </c>
      <c r="AF7" s="55">
        <v>28832.799999999999</v>
      </c>
      <c r="AG7" s="55">
        <v>28856.3</v>
      </c>
      <c r="AH7" s="55">
        <v>28879.800299999999</v>
      </c>
      <c r="AI7" s="55">
        <v>28903.300299999999</v>
      </c>
      <c r="AJ7" s="55">
        <v>28926.900300000001</v>
      </c>
      <c r="AK7" s="55">
        <v>28950.5003</v>
      </c>
      <c r="AL7" s="55">
        <v>28974.100300000002</v>
      </c>
      <c r="AM7" s="55">
        <v>28997.7003</v>
      </c>
      <c r="AN7" s="55">
        <f t="shared" si="1"/>
        <v>28951.612894615388</v>
      </c>
      <c r="AO7" s="87">
        <v>28772.5</v>
      </c>
      <c r="AP7" s="55">
        <v>28795.3</v>
      </c>
      <c r="AQ7" s="55">
        <v>28818</v>
      </c>
      <c r="AR7" s="55">
        <v>28836.400000000001</v>
      </c>
      <c r="AS7" s="55">
        <v>28854.7</v>
      </c>
      <c r="AT7" s="55">
        <v>28873.1</v>
      </c>
      <c r="AU7" s="55">
        <v>28891</v>
      </c>
      <c r="AV7" s="55">
        <v>28908.899999999998</v>
      </c>
      <c r="AW7" s="55">
        <v>28926.9</v>
      </c>
      <c r="AX7" s="55">
        <v>28950.5</v>
      </c>
      <c r="AY7" s="55">
        <v>28974.1</v>
      </c>
      <c r="AZ7" s="55">
        <v>28997.7</v>
      </c>
      <c r="BA7" s="55">
        <f t="shared" si="4"/>
        <v>28892.061561538467</v>
      </c>
      <c r="BB7" s="301">
        <v>28892.061561538463</v>
      </c>
      <c r="BC7" s="301">
        <f t="shared" si="3"/>
        <v>0</v>
      </c>
      <c r="BD7" s="301"/>
    </row>
    <row r="8" spans="1:56" s="288" customFormat="1" ht="15.75" customHeight="1">
      <c r="A8" s="288" t="s">
        <v>62</v>
      </c>
      <c r="C8" s="323"/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323"/>
      <c r="O8" s="323"/>
      <c r="P8" s="321"/>
      <c r="Q8" s="323"/>
      <c r="R8" s="323"/>
      <c r="S8" s="323"/>
      <c r="T8" s="323"/>
      <c r="U8" s="323"/>
      <c r="V8" s="323"/>
      <c r="W8" s="323"/>
      <c r="X8" s="323"/>
      <c r="Y8" s="323"/>
      <c r="Z8" s="55">
        <v>0</v>
      </c>
      <c r="AA8" s="55">
        <v>263381.33253000001</v>
      </c>
      <c r="AB8" s="55">
        <v>263137.50000000006</v>
      </c>
      <c r="AC8" s="55">
        <v>265052.89999999997</v>
      </c>
      <c r="AD8" s="55">
        <v>268939</v>
      </c>
      <c r="AE8" s="55">
        <v>270890.99999999994</v>
      </c>
      <c r="AF8" s="55">
        <v>273061</v>
      </c>
      <c r="AG8" s="55">
        <v>275218.7</v>
      </c>
      <c r="AH8" s="55">
        <v>277465.3003</v>
      </c>
      <c r="AI8" s="55">
        <v>279788.7</v>
      </c>
      <c r="AJ8" s="55">
        <v>282175.80029999994</v>
      </c>
      <c r="AK8" s="55">
        <v>284586.50000000006</v>
      </c>
      <c r="AL8" s="55">
        <v>286769</v>
      </c>
      <c r="AM8" s="55">
        <v>289117.19999999995</v>
      </c>
      <c r="AN8" s="55">
        <f t="shared" si="1"/>
        <v>275352.61024076922</v>
      </c>
      <c r="AO8" s="87">
        <v>290995.99999999994</v>
      </c>
      <c r="AP8" s="55">
        <v>292482.59999999998</v>
      </c>
      <c r="AQ8" s="55">
        <v>295758.60000000003</v>
      </c>
      <c r="AR8" s="55">
        <v>297424.69999999995</v>
      </c>
      <c r="AS8" s="55">
        <v>299222.2</v>
      </c>
      <c r="AT8" s="55">
        <v>301196.39999999997</v>
      </c>
      <c r="AU8" s="55">
        <v>303067.2</v>
      </c>
      <c r="AV8" s="55">
        <v>304999.49999999994</v>
      </c>
      <c r="AW8" s="55">
        <v>307339.39999999997</v>
      </c>
      <c r="AX8" s="55">
        <v>309378.59999999998</v>
      </c>
      <c r="AY8" s="55">
        <v>311250.19999999995</v>
      </c>
      <c r="AZ8" s="55">
        <v>313204.09999999998</v>
      </c>
      <c r="BA8" s="55">
        <f t="shared" si="4"/>
        <v>301187.4384615384</v>
      </c>
      <c r="BB8" s="301">
        <v>301187.43846153846</v>
      </c>
      <c r="BC8" s="301">
        <f t="shared" si="3"/>
        <v>0</v>
      </c>
      <c r="BD8" s="301"/>
    </row>
    <row r="9" spans="1:56" s="288" customFormat="1" ht="15.75" customHeight="1">
      <c r="A9" s="288" t="s">
        <v>56</v>
      </c>
      <c r="C9" s="313"/>
      <c r="D9" s="313"/>
      <c r="E9" s="313"/>
      <c r="F9" s="313"/>
      <c r="G9" s="313"/>
      <c r="H9" s="313"/>
      <c r="I9" s="313"/>
      <c r="J9" s="313"/>
      <c r="K9" s="313"/>
      <c r="L9" s="313"/>
      <c r="M9" s="313"/>
      <c r="N9" s="313"/>
      <c r="O9" s="313"/>
      <c r="P9" s="324"/>
      <c r="Q9" s="313"/>
      <c r="R9" s="313"/>
      <c r="S9" s="313"/>
      <c r="T9" s="313"/>
      <c r="U9" s="313"/>
      <c r="V9" s="313"/>
      <c r="W9" s="313"/>
      <c r="X9" s="313"/>
      <c r="Y9" s="313"/>
      <c r="Z9" s="296"/>
      <c r="AA9" s="296">
        <v>0</v>
      </c>
      <c r="AB9" s="296">
        <v>3313.3</v>
      </c>
      <c r="AC9" s="296">
        <v>3313.3</v>
      </c>
      <c r="AD9" s="296">
        <v>3313.3</v>
      </c>
      <c r="AE9" s="296">
        <v>3313.3</v>
      </c>
      <c r="AF9" s="296">
        <v>3313.3</v>
      </c>
      <c r="AG9" s="296">
        <v>3313.3</v>
      </c>
      <c r="AH9" s="296">
        <v>3313.3</v>
      </c>
      <c r="AI9" s="296">
        <v>3313.3</v>
      </c>
      <c r="AJ9" s="296">
        <v>3313.3</v>
      </c>
      <c r="AK9" s="296">
        <v>3313.3</v>
      </c>
      <c r="AL9" s="296">
        <v>3313.3</v>
      </c>
      <c r="AM9" s="296">
        <v>3313.3</v>
      </c>
      <c r="AN9" s="296">
        <f t="shared" si="1"/>
        <v>3058.4307692307698</v>
      </c>
      <c r="AO9" s="325">
        <v>3313.3</v>
      </c>
      <c r="AP9" s="296">
        <v>3313.3</v>
      </c>
      <c r="AQ9" s="296">
        <v>3313.3</v>
      </c>
      <c r="AR9" s="296">
        <v>3313.3</v>
      </c>
      <c r="AS9" s="296">
        <v>3313.3</v>
      </c>
      <c r="AT9" s="296">
        <v>3313.3</v>
      </c>
      <c r="AU9" s="296">
        <v>3313.3</v>
      </c>
      <c r="AV9" s="296">
        <v>3313.3</v>
      </c>
      <c r="AW9" s="296">
        <v>3313.3</v>
      </c>
      <c r="AX9" s="296">
        <v>3313.3</v>
      </c>
      <c r="AY9" s="296">
        <v>3313.3</v>
      </c>
      <c r="AZ9" s="296">
        <v>3313.3</v>
      </c>
      <c r="BA9" s="296">
        <f t="shared" si="4"/>
        <v>3313.3000000000006</v>
      </c>
      <c r="BB9" s="301">
        <v>3313.3</v>
      </c>
      <c r="BC9" s="301">
        <f t="shared" si="3"/>
        <v>0</v>
      </c>
      <c r="BD9" s="301"/>
    </row>
    <row r="10" spans="1:56" s="288" customFormat="1" ht="15.75" customHeight="1">
      <c r="A10" s="288" t="s">
        <v>53</v>
      </c>
      <c r="C10" s="323"/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323"/>
      <c r="O10" s="323"/>
      <c r="P10" s="321"/>
      <c r="Q10" s="323"/>
      <c r="R10" s="323"/>
      <c r="S10" s="323"/>
      <c r="T10" s="323"/>
      <c r="U10" s="323"/>
      <c r="V10" s="323"/>
      <c r="W10" s="323"/>
      <c r="X10" s="323"/>
      <c r="Y10" s="323"/>
      <c r="Z10" s="55"/>
      <c r="AA10" s="55">
        <f>SUM(AA4:AA9)</f>
        <v>2019153.35565</v>
      </c>
      <c r="AB10" s="55">
        <f t="shared" ref="AB10:AN10" si="5">SUM(AB4:AB9)</f>
        <v>2065524.5903205273</v>
      </c>
      <c r="AC10" s="55">
        <f t="shared" si="5"/>
        <v>2130638.7710335129</v>
      </c>
      <c r="AD10" s="55">
        <f t="shared" si="5"/>
        <v>2162905.8544879016</v>
      </c>
      <c r="AE10" s="55">
        <f t="shared" si="5"/>
        <v>2193676.1753423237</v>
      </c>
      <c r="AF10" s="55">
        <f t="shared" si="5"/>
        <v>2202810.193780845</v>
      </c>
      <c r="AG10" s="55">
        <f t="shared" si="5"/>
        <v>2230236.7043604134</v>
      </c>
      <c r="AH10" s="55">
        <f t="shared" si="5"/>
        <v>2256042.3298796127</v>
      </c>
      <c r="AI10" s="55">
        <f t="shared" si="5"/>
        <v>2270227.5224122019</v>
      </c>
      <c r="AJ10" s="55">
        <f t="shared" si="5"/>
        <v>2288730.4069991307</v>
      </c>
      <c r="AK10" s="55">
        <f t="shared" si="5"/>
        <v>2324904.5003</v>
      </c>
      <c r="AL10" s="55">
        <f t="shared" si="5"/>
        <v>2354405.5002999995</v>
      </c>
      <c r="AM10" s="55">
        <f t="shared" si="5"/>
        <v>2385538.0003</v>
      </c>
      <c r="AN10" s="55">
        <f t="shared" si="5"/>
        <v>2221907.2234743438</v>
      </c>
      <c r="AO10" s="87">
        <f>SUM(AO4:AO9)</f>
        <v>2398477.8813946126</v>
      </c>
      <c r="AP10" s="55">
        <f t="shared" ref="AP10:AZ10" si="6">SUM(AP4:AP9)</f>
        <v>2417751.1091547837</v>
      </c>
      <c r="AQ10" s="55">
        <f t="shared" si="6"/>
        <v>2435253.3038915838</v>
      </c>
      <c r="AR10" s="55">
        <f t="shared" si="6"/>
        <v>2465962.2454564013</v>
      </c>
      <c r="AS10" s="55">
        <f t="shared" si="6"/>
        <v>2482804.8843098134</v>
      </c>
      <c r="AT10" s="55">
        <f t="shared" si="6"/>
        <v>2507604.6465875749</v>
      </c>
      <c r="AU10" s="55">
        <f t="shared" si="6"/>
        <v>2529966.619789294</v>
      </c>
      <c r="AV10" s="55">
        <f t="shared" si="6"/>
        <v>2545484.5611956599</v>
      </c>
      <c r="AW10" s="55">
        <f t="shared" si="6"/>
        <v>2557767.2347583077</v>
      </c>
      <c r="AX10" s="55">
        <f t="shared" si="6"/>
        <v>2598434.7111527692</v>
      </c>
      <c r="AY10" s="55">
        <f t="shared" si="6"/>
        <v>2635254.6489387937</v>
      </c>
      <c r="AZ10" s="55">
        <f t="shared" si="6"/>
        <v>2660186.4941794672</v>
      </c>
      <c r="BA10" s="55">
        <f t="shared" ref="BA10" si="7">SUM(BA4:BA9)</f>
        <v>2509268.1800853121</v>
      </c>
      <c r="BB10" s="301">
        <v>2509268.180085313</v>
      </c>
      <c r="BC10" s="301">
        <f t="shared" si="3"/>
        <v>0</v>
      </c>
      <c r="BD10" s="301"/>
    </row>
    <row r="11" spans="1:56" s="288" customFormat="1" ht="15.75" customHeight="1">
      <c r="C11" s="323"/>
      <c r="D11" s="323"/>
      <c r="E11" s="323"/>
      <c r="F11" s="323"/>
      <c r="G11" s="323"/>
      <c r="H11" s="323"/>
      <c r="I11" s="323"/>
      <c r="J11" s="323"/>
      <c r="K11" s="323"/>
      <c r="L11" s="323"/>
      <c r="M11" s="323"/>
      <c r="N11" s="323"/>
      <c r="O11" s="323"/>
      <c r="P11" s="321"/>
      <c r="Q11" s="323"/>
      <c r="R11" s="323"/>
      <c r="S11" s="323"/>
      <c r="T11" s="323"/>
      <c r="U11" s="323"/>
      <c r="V11" s="323"/>
      <c r="W11" s="323"/>
      <c r="X11" s="323"/>
      <c r="Y11" s="323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87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323"/>
      <c r="BC11" s="323"/>
      <c r="BD11" s="323"/>
    </row>
    <row r="12" spans="1:56" s="288" customFormat="1">
      <c r="A12" s="287" t="s">
        <v>57</v>
      </c>
      <c r="P12" s="326"/>
      <c r="Z12" s="55"/>
      <c r="AA12" s="55">
        <v>568387.96913999994</v>
      </c>
      <c r="AB12" s="55">
        <v>568395.96913999994</v>
      </c>
      <c r="AC12" s="55">
        <v>568403.96913999994</v>
      </c>
      <c r="AD12" s="55">
        <v>568411.96913999994</v>
      </c>
      <c r="AE12" s="55">
        <v>568419.96913999994</v>
      </c>
      <c r="AF12" s="55">
        <v>568427.96913999994</v>
      </c>
      <c r="AG12" s="55">
        <v>568435.96913999994</v>
      </c>
      <c r="AH12" s="55">
        <v>568443.96913999994</v>
      </c>
      <c r="AI12" s="55">
        <v>568451.96913999994</v>
      </c>
      <c r="AJ12" s="55">
        <v>568459.96913999994</v>
      </c>
      <c r="AK12" s="327">
        <v>0</v>
      </c>
      <c r="AL12" s="302">
        <f t="shared" ref="AL12:AM12" si="8">AK12</f>
        <v>0</v>
      </c>
      <c r="AM12" s="302">
        <f t="shared" si="8"/>
        <v>0</v>
      </c>
      <c r="AN12" s="55">
        <f>AVERAGE(AA12:AM12)</f>
        <v>437249.20703076909</v>
      </c>
      <c r="AO12" s="328">
        <v>0</v>
      </c>
      <c r="AP12" s="303">
        <v>0</v>
      </c>
      <c r="AQ12" s="303">
        <v>0</v>
      </c>
      <c r="AR12" s="303">
        <v>0</v>
      </c>
      <c r="AS12" s="303">
        <v>0</v>
      </c>
      <c r="AT12" s="303">
        <v>0</v>
      </c>
      <c r="AU12" s="303">
        <v>0</v>
      </c>
      <c r="AV12" s="303">
        <v>0</v>
      </c>
      <c r="AW12" s="303">
        <v>0</v>
      </c>
      <c r="AX12" s="303">
        <v>0</v>
      </c>
      <c r="AY12" s="303">
        <v>0</v>
      </c>
      <c r="AZ12" s="329">
        <v>0</v>
      </c>
      <c r="BA12" s="55">
        <f t="shared" ref="BA12:BA16" si="9">AVERAGE(AO12:AZ12,AM12)</f>
        <v>0</v>
      </c>
    </row>
    <row r="13" spans="1:56" s="292" customFormat="1">
      <c r="A13" s="291" t="s">
        <v>67</v>
      </c>
      <c r="P13" s="330"/>
      <c r="Z13" s="331"/>
      <c r="AA13" s="331">
        <v>0</v>
      </c>
      <c r="AB13" s="331">
        <v>0</v>
      </c>
      <c r="AC13" s="331">
        <v>0</v>
      </c>
      <c r="AD13" s="331">
        <v>0</v>
      </c>
      <c r="AE13" s="331">
        <v>0</v>
      </c>
      <c r="AF13" s="331">
        <v>0</v>
      </c>
      <c r="AG13" s="331">
        <v>0</v>
      </c>
      <c r="AH13" s="331">
        <v>0</v>
      </c>
      <c r="AI13" s="331">
        <v>0</v>
      </c>
      <c r="AJ13" s="331">
        <v>0</v>
      </c>
      <c r="AK13" s="327">
        <v>325000</v>
      </c>
      <c r="AL13" s="302">
        <f>AK13</f>
        <v>325000</v>
      </c>
      <c r="AM13" s="302">
        <f>AL13</f>
        <v>325000</v>
      </c>
      <c r="AN13" s="55">
        <f t="shared" ref="AN13:AN16" si="10">AVERAGE(AA13:AM13)</f>
        <v>75000</v>
      </c>
      <c r="AO13" s="332">
        <f>AM13</f>
        <v>325000</v>
      </c>
      <c r="AP13" s="302">
        <f>AO13</f>
        <v>325000</v>
      </c>
      <c r="AQ13" s="302">
        <f t="shared" ref="AQ13:AZ13" si="11">AP13</f>
        <v>325000</v>
      </c>
      <c r="AR13" s="302">
        <f t="shared" si="11"/>
        <v>325000</v>
      </c>
      <c r="AS13" s="302">
        <f t="shared" si="11"/>
        <v>325000</v>
      </c>
      <c r="AT13" s="302">
        <f t="shared" si="11"/>
        <v>325000</v>
      </c>
      <c r="AU13" s="302">
        <f t="shared" si="11"/>
        <v>325000</v>
      </c>
      <c r="AV13" s="302">
        <f t="shared" si="11"/>
        <v>325000</v>
      </c>
      <c r="AW13" s="302">
        <f t="shared" si="11"/>
        <v>325000</v>
      </c>
      <c r="AX13" s="302">
        <f t="shared" si="11"/>
        <v>325000</v>
      </c>
      <c r="AY13" s="302">
        <f t="shared" si="11"/>
        <v>325000</v>
      </c>
      <c r="AZ13" s="302">
        <f t="shared" si="11"/>
        <v>325000</v>
      </c>
      <c r="BA13" s="55">
        <f t="shared" si="9"/>
        <v>325000</v>
      </c>
    </row>
    <row r="14" spans="1:56" s="292" customFormat="1">
      <c r="A14" s="291" t="s">
        <v>68</v>
      </c>
      <c r="P14" s="330"/>
      <c r="Z14" s="331"/>
      <c r="AA14" s="331">
        <v>0</v>
      </c>
      <c r="AB14" s="331">
        <v>0</v>
      </c>
      <c r="AC14" s="331">
        <v>0</v>
      </c>
      <c r="AD14" s="331">
        <v>0</v>
      </c>
      <c r="AE14" s="331">
        <v>0</v>
      </c>
      <c r="AF14" s="331">
        <v>0</v>
      </c>
      <c r="AG14" s="331">
        <v>0</v>
      </c>
      <c r="AH14" s="331">
        <v>0</v>
      </c>
      <c r="AI14" s="331">
        <v>0</v>
      </c>
      <c r="AJ14" s="331">
        <v>0</v>
      </c>
      <c r="AK14" s="327">
        <v>300000</v>
      </c>
      <c r="AL14" s="302">
        <f t="shared" ref="AL14:AM15" si="12">AK14</f>
        <v>300000</v>
      </c>
      <c r="AM14" s="302">
        <f t="shared" si="12"/>
        <v>300000</v>
      </c>
      <c r="AN14" s="55">
        <f t="shared" si="10"/>
        <v>69230.769230769234</v>
      </c>
      <c r="AO14" s="332">
        <f t="shared" ref="AO14:AO15" si="13">AM14</f>
        <v>300000</v>
      </c>
      <c r="AP14" s="302">
        <f t="shared" ref="AP14:AZ15" si="14">AO14</f>
        <v>300000</v>
      </c>
      <c r="AQ14" s="302">
        <f t="shared" si="14"/>
        <v>300000</v>
      </c>
      <c r="AR14" s="302">
        <f t="shared" si="14"/>
        <v>300000</v>
      </c>
      <c r="AS14" s="302">
        <f t="shared" si="14"/>
        <v>300000</v>
      </c>
      <c r="AT14" s="302">
        <f t="shared" si="14"/>
        <v>300000</v>
      </c>
      <c r="AU14" s="302">
        <f t="shared" si="14"/>
        <v>300000</v>
      </c>
      <c r="AV14" s="302">
        <f t="shared" si="14"/>
        <v>300000</v>
      </c>
      <c r="AW14" s="302">
        <f t="shared" si="14"/>
        <v>300000</v>
      </c>
      <c r="AX14" s="302">
        <f t="shared" si="14"/>
        <v>300000</v>
      </c>
      <c r="AY14" s="302">
        <f t="shared" si="14"/>
        <v>300000</v>
      </c>
      <c r="AZ14" s="302">
        <f t="shared" si="14"/>
        <v>300000</v>
      </c>
      <c r="BA14" s="55">
        <f t="shared" si="9"/>
        <v>300000</v>
      </c>
    </row>
    <row r="15" spans="1:56" s="37" customFormat="1" ht="15.75" customHeight="1">
      <c r="A15" s="43" t="s">
        <v>69</v>
      </c>
      <c r="P15" s="38"/>
      <c r="Z15" s="41"/>
      <c r="AA15" s="41">
        <v>0</v>
      </c>
      <c r="AB15" s="41">
        <v>0</v>
      </c>
      <c r="AC15" s="41">
        <v>0</v>
      </c>
      <c r="AD15" s="41">
        <v>0</v>
      </c>
      <c r="AE15" s="41">
        <v>0</v>
      </c>
      <c r="AF15" s="41">
        <v>0</v>
      </c>
      <c r="AG15" s="41">
        <v>0</v>
      </c>
      <c r="AH15" s="41">
        <v>0</v>
      </c>
      <c r="AI15" s="41">
        <v>0</v>
      </c>
      <c r="AJ15" s="41">
        <v>0</v>
      </c>
      <c r="AK15" s="35">
        <v>200000</v>
      </c>
      <c r="AL15" s="36">
        <f t="shared" si="12"/>
        <v>200000</v>
      </c>
      <c r="AM15" s="36">
        <f t="shared" si="12"/>
        <v>200000</v>
      </c>
      <c r="AN15" s="17">
        <f t="shared" si="10"/>
        <v>46153.846153846156</v>
      </c>
      <c r="AO15" s="81">
        <f t="shared" si="13"/>
        <v>200000</v>
      </c>
      <c r="AP15" s="36">
        <f t="shared" si="14"/>
        <v>200000</v>
      </c>
      <c r="AQ15" s="36">
        <f t="shared" si="14"/>
        <v>200000</v>
      </c>
      <c r="AR15" s="36">
        <f t="shared" si="14"/>
        <v>200000</v>
      </c>
      <c r="AS15" s="36">
        <f t="shared" si="14"/>
        <v>200000</v>
      </c>
      <c r="AT15" s="36">
        <f t="shared" si="14"/>
        <v>200000</v>
      </c>
      <c r="AU15" s="36">
        <f t="shared" si="14"/>
        <v>200000</v>
      </c>
      <c r="AV15" s="36">
        <f t="shared" si="14"/>
        <v>200000</v>
      </c>
      <c r="AW15" s="36">
        <f t="shared" si="14"/>
        <v>200000</v>
      </c>
      <c r="AX15" s="36">
        <f t="shared" si="14"/>
        <v>200000</v>
      </c>
      <c r="AY15" s="36">
        <f t="shared" si="14"/>
        <v>200000</v>
      </c>
      <c r="AZ15" s="36">
        <f t="shared" si="14"/>
        <v>200000</v>
      </c>
      <c r="BA15" s="40">
        <f t="shared" si="9"/>
        <v>200000</v>
      </c>
    </row>
    <row r="16" spans="1:56" s="45" customFormat="1">
      <c r="A16" s="44" t="s">
        <v>187</v>
      </c>
      <c r="P16" s="46"/>
      <c r="Z16" s="48"/>
      <c r="AA16" s="48">
        <v>0</v>
      </c>
      <c r="AB16" s="48">
        <v>0</v>
      </c>
      <c r="AC16" s="48">
        <v>0</v>
      </c>
      <c r="AD16" s="48">
        <v>0</v>
      </c>
      <c r="AE16" s="48">
        <v>0</v>
      </c>
      <c r="AF16" s="48">
        <v>0</v>
      </c>
      <c r="AG16" s="48">
        <v>0</v>
      </c>
      <c r="AH16" s="48">
        <v>0</v>
      </c>
      <c r="AI16" s="48">
        <v>0</v>
      </c>
      <c r="AJ16" s="48">
        <v>0</v>
      </c>
      <c r="AK16" s="48">
        <v>0</v>
      </c>
      <c r="AL16" s="48">
        <v>0</v>
      </c>
      <c r="AM16" s="48">
        <v>0</v>
      </c>
      <c r="AN16" s="24">
        <f t="shared" si="10"/>
        <v>0</v>
      </c>
      <c r="AO16" s="85">
        <v>0</v>
      </c>
      <c r="AP16" s="66">
        <v>0</v>
      </c>
      <c r="AQ16" s="66">
        <v>0</v>
      </c>
      <c r="AR16" s="66">
        <v>0</v>
      </c>
      <c r="AS16" s="66">
        <v>0</v>
      </c>
      <c r="AT16" s="47">
        <v>100000</v>
      </c>
      <c r="AU16" s="47">
        <f t="shared" ref="AU16:AZ16" si="15">+AT16</f>
        <v>100000</v>
      </c>
      <c r="AV16" s="47">
        <f t="shared" si="15"/>
        <v>100000</v>
      </c>
      <c r="AW16" s="47">
        <f t="shared" si="15"/>
        <v>100000</v>
      </c>
      <c r="AX16" s="47">
        <f t="shared" si="15"/>
        <v>100000</v>
      </c>
      <c r="AY16" s="47">
        <f t="shared" si="15"/>
        <v>100000</v>
      </c>
      <c r="AZ16" s="47">
        <f t="shared" si="15"/>
        <v>100000</v>
      </c>
      <c r="BA16" s="47">
        <f t="shared" si="9"/>
        <v>53846.153846153844</v>
      </c>
    </row>
    <row r="17" spans="1:56" ht="12.75" customHeight="1">
      <c r="A17" t="s">
        <v>71</v>
      </c>
      <c r="Z17" s="40">
        <f t="shared" ref="Z17:BA17" si="16">SUM(Z12:Z16)</f>
        <v>0</v>
      </c>
      <c r="AA17" s="40">
        <f t="shared" si="16"/>
        <v>568387.96913999994</v>
      </c>
      <c r="AB17" s="40">
        <f t="shared" si="16"/>
        <v>568395.96913999994</v>
      </c>
      <c r="AC17" s="40">
        <f t="shared" si="16"/>
        <v>568403.96913999994</v>
      </c>
      <c r="AD17" s="40">
        <f t="shared" si="16"/>
        <v>568411.96913999994</v>
      </c>
      <c r="AE17" s="40">
        <f t="shared" si="16"/>
        <v>568419.96913999994</v>
      </c>
      <c r="AF17" s="40">
        <f t="shared" si="16"/>
        <v>568427.96913999994</v>
      </c>
      <c r="AG17" s="40">
        <f t="shared" si="16"/>
        <v>568435.96913999994</v>
      </c>
      <c r="AH17" s="40">
        <f t="shared" si="16"/>
        <v>568443.96913999994</v>
      </c>
      <c r="AI17" s="40">
        <f t="shared" si="16"/>
        <v>568451.96913999994</v>
      </c>
      <c r="AJ17" s="40">
        <f t="shared" si="16"/>
        <v>568459.96913999994</v>
      </c>
      <c r="AK17" s="40">
        <f t="shared" si="16"/>
        <v>825000</v>
      </c>
      <c r="AL17" s="40">
        <f t="shared" si="16"/>
        <v>825000</v>
      </c>
      <c r="AM17" s="40">
        <f t="shared" si="16"/>
        <v>825000</v>
      </c>
      <c r="AN17" s="40">
        <f t="shared" si="16"/>
        <v>627633.82241538446</v>
      </c>
      <c r="AO17" s="83">
        <f t="shared" si="16"/>
        <v>825000</v>
      </c>
      <c r="AP17" s="40">
        <f t="shared" si="16"/>
        <v>825000</v>
      </c>
      <c r="AQ17" s="40">
        <f t="shared" si="16"/>
        <v>825000</v>
      </c>
      <c r="AR17" s="40">
        <f t="shared" si="16"/>
        <v>825000</v>
      </c>
      <c r="AS17" s="40">
        <f t="shared" si="16"/>
        <v>825000</v>
      </c>
      <c r="AT17" s="40">
        <f t="shared" si="16"/>
        <v>925000</v>
      </c>
      <c r="AU17" s="40">
        <f t="shared" si="16"/>
        <v>925000</v>
      </c>
      <c r="AV17" s="40">
        <f t="shared" si="16"/>
        <v>925000</v>
      </c>
      <c r="AW17" s="40">
        <f t="shared" si="16"/>
        <v>925000</v>
      </c>
      <c r="AX17" s="40">
        <f t="shared" si="16"/>
        <v>925000</v>
      </c>
      <c r="AY17" s="40">
        <f t="shared" si="16"/>
        <v>925000</v>
      </c>
      <c r="AZ17" s="40">
        <f t="shared" si="16"/>
        <v>925000</v>
      </c>
      <c r="BA17" s="40">
        <f t="shared" si="16"/>
        <v>878846.15384615387</v>
      </c>
    </row>
    <row r="18" spans="1:56" ht="15.75" customHeight="1"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10"/>
      <c r="Q18" s="21"/>
      <c r="R18" s="21"/>
      <c r="S18" s="21"/>
      <c r="T18" s="21"/>
      <c r="U18" s="21"/>
      <c r="V18" s="21"/>
      <c r="W18" s="21"/>
      <c r="X18" s="21"/>
      <c r="Y18" s="21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56">
        <f>+AN25/AN5</f>
        <v>4.5798201074282036E-2</v>
      </c>
      <c r="AO18" s="79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56">
        <f>+BA25/BA5</f>
        <v>5.5350984682713343E-2</v>
      </c>
      <c r="BC18" s="3"/>
      <c r="BD18" s="3"/>
    </row>
    <row r="19" spans="1:56">
      <c r="A19" s="25" t="s">
        <v>72</v>
      </c>
      <c r="P19"/>
      <c r="Z19" s="30"/>
      <c r="AA19" s="30"/>
      <c r="AB19" s="30"/>
      <c r="AC19" s="256">
        <f>AC20/AC5*12</f>
        <v>4.0485994555629089E-2</v>
      </c>
      <c r="AD19" s="256">
        <f>AD20/AD5*12</f>
        <v>4.0485424743637026E-2</v>
      </c>
      <c r="AE19" s="256">
        <f>AE20/AE5*12</f>
        <v>4.0467966026602575E-2</v>
      </c>
      <c r="AF19" s="256">
        <f>AF20/AF5*12</f>
        <v>4.0467396484381239E-2</v>
      </c>
      <c r="AG19" s="256">
        <f>AG20/AG5*12</f>
        <v>4.0466826958191045E-2</v>
      </c>
      <c r="AH19" s="30"/>
      <c r="AI19" s="30"/>
      <c r="AJ19" s="30"/>
      <c r="AK19" s="40"/>
      <c r="AL19" s="36"/>
      <c r="AM19" s="36"/>
      <c r="AN19" s="17" t="s">
        <v>74</v>
      </c>
      <c r="AO19" s="84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17" t="s">
        <v>74</v>
      </c>
    </row>
    <row r="20" spans="1:56">
      <c r="A20" s="25" t="s">
        <v>73</v>
      </c>
      <c r="B20" s="304">
        <v>4.0399999999999998E-2</v>
      </c>
      <c r="P20"/>
      <c r="Z20" s="30"/>
      <c r="AA20" s="30">
        <v>1897.9189200000001</v>
      </c>
      <c r="AB20" s="30">
        <v>1917.7</v>
      </c>
      <c r="AC20" s="30">
        <v>1917.7</v>
      </c>
      <c r="AD20" s="30">
        <v>1917.7</v>
      </c>
      <c r="AE20" s="30">
        <v>1916.9</v>
      </c>
      <c r="AF20" s="30">
        <v>1916.9</v>
      </c>
      <c r="AG20" s="30">
        <v>1916.9</v>
      </c>
      <c r="AH20" s="30">
        <v>1916.9</v>
      </c>
      <c r="AI20" s="30">
        <v>1916.9</v>
      </c>
      <c r="AJ20" s="30">
        <v>1916.9</v>
      </c>
      <c r="AK20" s="30">
        <f>+L20*AK5/12</f>
        <v>0</v>
      </c>
      <c r="AL20" s="30">
        <f>+M20*AL5/12</f>
        <v>0</v>
      </c>
      <c r="AM20" s="30">
        <f>+N20*AM5/12</f>
        <v>0</v>
      </c>
      <c r="AN20" s="17">
        <f>SUM(AB20:AM20)</f>
        <v>17254.5</v>
      </c>
      <c r="AO20" s="84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17">
        <f>SUM(AO20:AZ20)</f>
        <v>0</v>
      </c>
    </row>
    <row r="21" spans="1:56" s="37" customFormat="1">
      <c r="A21" s="43" t="s">
        <v>67</v>
      </c>
      <c r="B21" s="333">
        <v>5.3999999999999999E-2</v>
      </c>
      <c r="P21" s="38"/>
      <c r="Z21" s="41"/>
      <c r="AA21" s="41">
        <v>0</v>
      </c>
      <c r="AB21" s="41">
        <v>0</v>
      </c>
      <c r="AC21" s="41">
        <v>0</v>
      </c>
      <c r="AD21" s="41">
        <v>0</v>
      </c>
      <c r="AE21" s="41">
        <v>0</v>
      </c>
      <c r="AF21" s="41">
        <v>0</v>
      </c>
      <c r="AG21" s="41">
        <v>0</v>
      </c>
      <c r="AH21" s="41">
        <v>0</v>
      </c>
      <c r="AI21" s="41">
        <v>0</v>
      </c>
      <c r="AJ21" s="41">
        <v>0</v>
      </c>
      <c r="AK21" s="35">
        <f>+AK13*B21/12</f>
        <v>1462.5</v>
      </c>
      <c r="AL21" s="36">
        <f>AK21</f>
        <v>1462.5</v>
      </c>
      <c r="AM21" s="36">
        <f>AL21</f>
        <v>1462.5</v>
      </c>
      <c r="AN21" s="17">
        <f t="shared" ref="AN21:AN24" si="17">SUM(AB21:AM21)</f>
        <v>4387.5</v>
      </c>
      <c r="AO21" s="84">
        <f>AM21</f>
        <v>1462.5</v>
      </c>
      <c r="AP21" s="39">
        <f>AO21</f>
        <v>1462.5</v>
      </c>
      <c r="AQ21" s="39">
        <f t="shared" ref="AQ21:AQ23" si="18">AP21</f>
        <v>1462.5</v>
      </c>
      <c r="AR21" s="39">
        <f t="shared" ref="AR21:AR23" si="19">AQ21</f>
        <v>1462.5</v>
      </c>
      <c r="AS21" s="39">
        <f t="shared" ref="AS21:AS23" si="20">AR21</f>
        <v>1462.5</v>
      </c>
      <c r="AT21" s="39">
        <f t="shared" ref="AT21:AT23" si="21">AS21</f>
        <v>1462.5</v>
      </c>
      <c r="AU21" s="39">
        <f t="shared" ref="AU21:AU23" si="22">AT21</f>
        <v>1462.5</v>
      </c>
      <c r="AV21" s="39">
        <f t="shared" ref="AV21:AV23" si="23">AU21</f>
        <v>1462.5</v>
      </c>
      <c r="AW21" s="39">
        <f t="shared" ref="AW21:AW23" si="24">AV21</f>
        <v>1462.5</v>
      </c>
      <c r="AX21" s="39">
        <f t="shared" ref="AX21:AX23" si="25">AW21</f>
        <v>1462.5</v>
      </c>
      <c r="AY21" s="39">
        <f t="shared" ref="AY21:AY23" si="26">AX21</f>
        <v>1462.5</v>
      </c>
      <c r="AZ21" s="39">
        <f t="shared" ref="AZ21:AZ23" si="27">AY21</f>
        <v>1462.5</v>
      </c>
      <c r="BA21" s="17">
        <f t="shared" ref="BA21:BA24" si="28">SUM(AO21:AZ21)</f>
        <v>17550</v>
      </c>
    </row>
    <row r="22" spans="1:56" s="37" customFormat="1">
      <c r="A22" s="43" t="s">
        <v>68</v>
      </c>
      <c r="B22" s="333">
        <v>5.4699999999999999E-2</v>
      </c>
      <c r="P22" s="38"/>
      <c r="Z22" s="41"/>
      <c r="AA22" s="41">
        <v>0</v>
      </c>
      <c r="AB22" s="41">
        <v>0</v>
      </c>
      <c r="AC22" s="41">
        <v>0</v>
      </c>
      <c r="AD22" s="41">
        <v>0</v>
      </c>
      <c r="AE22" s="41">
        <v>0</v>
      </c>
      <c r="AF22" s="41">
        <v>0</v>
      </c>
      <c r="AG22" s="41">
        <v>0</v>
      </c>
      <c r="AH22" s="41">
        <v>0</v>
      </c>
      <c r="AI22" s="41">
        <v>0</v>
      </c>
      <c r="AJ22" s="41">
        <v>0</v>
      </c>
      <c r="AK22" s="35">
        <f>+AK14*B22/12</f>
        <v>1367.5</v>
      </c>
      <c r="AL22" s="36">
        <f t="shared" ref="AL22:AL23" si="29">AK22</f>
        <v>1367.5</v>
      </c>
      <c r="AM22" s="36">
        <f t="shared" ref="AM22:AM23" si="30">AL22</f>
        <v>1367.5</v>
      </c>
      <c r="AN22" s="17">
        <f t="shared" si="17"/>
        <v>4102.5</v>
      </c>
      <c r="AO22" s="84">
        <f t="shared" ref="AO22:AO23" si="31">AM22</f>
        <v>1367.5</v>
      </c>
      <c r="AP22" s="39">
        <f t="shared" ref="AP22:AP23" si="32">AO22</f>
        <v>1367.5</v>
      </c>
      <c r="AQ22" s="39">
        <f t="shared" si="18"/>
        <v>1367.5</v>
      </c>
      <c r="AR22" s="39">
        <f t="shared" si="19"/>
        <v>1367.5</v>
      </c>
      <c r="AS22" s="39">
        <f t="shared" si="20"/>
        <v>1367.5</v>
      </c>
      <c r="AT22" s="39">
        <f t="shared" si="21"/>
        <v>1367.5</v>
      </c>
      <c r="AU22" s="39">
        <f t="shared" si="22"/>
        <v>1367.5</v>
      </c>
      <c r="AV22" s="39">
        <f t="shared" si="23"/>
        <v>1367.5</v>
      </c>
      <c r="AW22" s="39">
        <f t="shared" si="24"/>
        <v>1367.5</v>
      </c>
      <c r="AX22" s="39">
        <f t="shared" si="25"/>
        <v>1367.5</v>
      </c>
      <c r="AY22" s="39">
        <f t="shared" si="26"/>
        <v>1367.5</v>
      </c>
      <c r="AZ22" s="39">
        <f t="shared" si="27"/>
        <v>1367.5</v>
      </c>
      <c r="BA22" s="17">
        <f t="shared" si="28"/>
        <v>16410</v>
      </c>
    </row>
    <row r="23" spans="1:56" s="37" customFormat="1" ht="15.75" customHeight="1">
      <c r="A23" s="43" t="s">
        <v>69</v>
      </c>
      <c r="B23" s="333">
        <v>0.06</v>
      </c>
      <c r="P23" s="38"/>
      <c r="Z23" s="41"/>
      <c r="AA23" s="41">
        <v>0</v>
      </c>
      <c r="AB23" s="41">
        <v>0</v>
      </c>
      <c r="AC23" s="41">
        <v>0</v>
      </c>
      <c r="AD23" s="41">
        <v>0</v>
      </c>
      <c r="AE23" s="41">
        <v>0</v>
      </c>
      <c r="AF23" s="41">
        <v>0</v>
      </c>
      <c r="AG23" s="41">
        <v>0</v>
      </c>
      <c r="AH23" s="41">
        <v>0</v>
      </c>
      <c r="AI23" s="41">
        <v>0</v>
      </c>
      <c r="AJ23" s="41">
        <v>0</v>
      </c>
      <c r="AK23" s="35">
        <f>+AK15*B23/12</f>
        <v>1000</v>
      </c>
      <c r="AL23" s="36">
        <f t="shared" si="29"/>
        <v>1000</v>
      </c>
      <c r="AM23" s="36">
        <f t="shared" si="30"/>
        <v>1000</v>
      </c>
      <c r="AN23" s="17">
        <f t="shared" si="17"/>
        <v>3000</v>
      </c>
      <c r="AO23" s="84">
        <f t="shared" si="31"/>
        <v>1000</v>
      </c>
      <c r="AP23" s="39">
        <f t="shared" si="32"/>
        <v>1000</v>
      </c>
      <c r="AQ23" s="39">
        <f t="shared" si="18"/>
        <v>1000</v>
      </c>
      <c r="AR23" s="39">
        <f t="shared" si="19"/>
        <v>1000</v>
      </c>
      <c r="AS23" s="39">
        <f t="shared" si="20"/>
        <v>1000</v>
      </c>
      <c r="AT23" s="39">
        <f t="shared" si="21"/>
        <v>1000</v>
      </c>
      <c r="AU23" s="39">
        <f t="shared" si="22"/>
        <v>1000</v>
      </c>
      <c r="AV23" s="39">
        <f t="shared" si="23"/>
        <v>1000</v>
      </c>
      <c r="AW23" s="39">
        <f t="shared" si="24"/>
        <v>1000</v>
      </c>
      <c r="AX23" s="39">
        <f t="shared" si="25"/>
        <v>1000</v>
      </c>
      <c r="AY23" s="39">
        <f t="shared" si="26"/>
        <v>1000</v>
      </c>
      <c r="AZ23" s="39">
        <f t="shared" si="27"/>
        <v>1000</v>
      </c>
      <c r="BA23" s="17">
        <f t="shared" si="28"/>
        <v>12000</v>
      </c>
    </row>
    <row r="24" spans="1:56" s="45" customFormat="1">
      <c r="A24" s="44" t="s">
        <v>187</v>
      </c>
      <c r="B24" s="334">
        <v>5.3699999999999998E-2</v>
      </c>
      <c r="P24" s="46"/>
      <c r="Z24" s="48"/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0</v>
      </c>
      <c r="AJ24" s="48">
        <v>0</v>
      </c>
      <c r="AK24" s="47">
        <f>+AK16*B24/12</f>
        <v>0</v>
      </c>
      <c r="AL24" s="48">
        <v>0</v>
      </c>
      <c r="AM24" s="48">
        <v>0</v>
      </c>
      <c r="AN24" s="24">
        <f t="shared" si="17"/>
        <v>0</v>
      </c>
      <c r="AO24" s="260">
        <v>0</v>
      </c>
      <c r="AP24" s="48">
        <v>0</v>
      </c>
      <c r="AQ24" s="48">
        <v>0</v>
      </c>
      <c r="AR24" s="48">
        <v>0</v>
      </c>
      <c r="AS24" s="48">
        <v>0</v>
      </c>
      <c r="AT24" s="50">
        <f>+AT16*$B24/12*0</f>
        <v>0</v>
      </c>
      <c r="AU24" s="50">
        <f>+AU16*$B24/12</f>
        <v>447.5</v>
      </c>
      <c r="AV24" s="50">
        <f t="shared" ref="AV24:AZ24" si="33">+AV16*$B24/12</f>
        <v>447.5</v>
      </c>
      <c r="AW24" s="50">
        <f t="shared" si="33"/>
        <v>447.5</v>
      </c>
      <c r="AX24" s="50">
        <f t="shared" si="33"/>
        <v>447.5</v>
      </c>
      <c r="AY24" s="50">
        <f t="shared" si="33"/>
        <v>447.5</v>
      </c>
      <c r="AZ24" s="50">
        <f t="shared" si="33"/>
        <v>447.5</v>
      </c>
      <c r="BA24" s="24">
        <f t="shared" si="28"/>
        <v>2685</v>
      </c>
    </row>
    <row r="25" spans="1:56" ht="12.75" customHeight="1">
      <c r="A25" s="215" t="s">
        <v>180</v>
      </c>
      <c r="B25" s="335"/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7"/>
      <c r="Q25" s="216"/>
      <c r="R25" s="216"/>
      <c r="S25" s="216"/>
      <c r="T25" s="216"/>
      <c r="U25" s="216"/>
      <c r="V25" s="216"/>
      <c r="W25" s="216"/>
      <c r="X25" s="216"/>
      <c r="Y25" s="216"/>
      <c r="Z25" s="218">
        <f t="shared" ref="Z25:AJ25" si="34">SUM(Z19:Z24)</f>
        <v>0</v>
      </c>
      <c r="AA25" s="218">
        <f t="shared" si="34"/>
        <v>1897.9189200000001</v>
      </c>
      <c r="AB25" s="218">
        <f t="shared" si="34"/>
        <v>1917.7</v>
      </c>
      <c r="AC25" s="218">
        <f t="shared" si="34"/>
        <v>1917.7404859945557</v>
      </c>
      <c r="AD25" s="218">
        <f t="shared" si="34"/>
        <v>1917.7404854247436</v>
      </c>
      <c r="AE25" s="218">
        <f t="shared" si="34"/>
        <v>1916.9404679660267</v>
      </c>
      <c r="AF25" s="218">
        <f t="shared" si="34"/>
        <v>1916.9404673964846</v>
      </c>
      <c r="AG25" s="218">
        <f t="shared" si="34"/>
        <v>1916.9404668269583</v>
      </c>
      <c r="AH25" s="218">
        <f t="shared" si="34"/>
        <v>1916.9</v>
      </c>
      <c r="AI25" s="218">
        <f t="shared" si="34"/>
        <v>1916.9</v>
      </c>
      <c r="AJ25" s="218">
        <f t="shared" si="34"/>
        <v>1916.9</v>
      </c>
      <c r="AK25" s="218">
        <f t="shared" ref="AK25" si="35">SUM(AK19:AK24)</f>
        <v>3830</v>
      </c>
      <c r="AL25" s="218">
        <f t="shared" ref="AL25" si="36">SUM(AL19:AL24)</f>
        <v>3830</v>
      </c>
      <c r="AM25" s="218">
        <f t="shared" ref="AM25" si="37">SUM(AM19:AM24)</f>
        <v>3830</v>
      </c>
      <c r="AN25" s="218">
        <f t="shared" ref="AN25" si="38">SUM(AN19:AN24)</f>
        <v>28744.5</v>
      </c>
      <c r="AO25" s="219">
        <f t="shared" ref="AO25" si="39">SUM(AO19:AO24)</f>
        <v>3830</v>
      </c>
      <c r="AP25" s="218">
        <f t="shared" ref="AP25" si="40">SUM(AP19:AP24)</f>
        <v>3830</v>
      </c>
      <c r="AQ25" s="218">
        <f t="shared" ref="AQ25" si="41">SUM(AQ19:AQ24)</f>
        <v>3830</v>
      </c>
      <c r="AR25" s="218">
        <f t="shared" ref="AR25" si="42">SUM(AR19:AR24)</f>
        <v>3830</v>
      </c>
      <c r="AS25" s="218">
        <f t="shared" ref="AS25" si="43">SUM(AS19:AS24)</f>
        <v>3830</v>
      </c>
      <c r="AT25" s="218">
        <f t="shared" ref="AT25" si="44">SUM(AT19:AT24)</f>
        <v>3830</v>
      </c>
      <c r="AU25" s="218">
        <f t="shared" ref="AU25" si="45">SUM(AU19:AU24)</f>
        <v>4277.5</v>
      </c>
      <c r="AV25" s="218">
        <f t="shared" ref="AV25" si="46">SUM(AV19:AV24)</f>
        <v>4277.5</v>
      </c>
      <c r="AW25" s="218">
        <f t="shared" ref="AW25" si="47">SUM(AW19:AW24)</f>
        <v>4277.5</v>
      </c>
      <c r="AX25" s="218">
        <f t="shared" ref="AX25" si="48">SUM(AX19:AX24)</f>
        <v>4277.5</v>
      </c>
      <c r="AY25" s="218">
        <f t="shared" ref="AY25" si="49">SUM(AY19:AY24)</f>
        <v>4277.5</v>
      </c>
      <c r="AZ25" s="218">
        <f t="shared" ref="AZ25:BA25" si="50">SUM(AZ19:AZ24)</f>
        <v>4277.5</v>
      </c>
      <c r="BA25" s="220">
        <f t="shared" si="50"/>
        <v>48645</v>
      </c>
    </row>
    <row r="26" spans="1:56" ht="15.75" customHeight="1"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10"/>
      <c r="Q26" s="21"/>
      <c r="R26" s="21"/>
      <c r="S26" s="21"/>
      <c r="T26" s="21"/>
      <c r="U26" s="21"/>
      <c r="V26" s="21"/>
      <c r="W26" s="21"/>
      <c r="X26" s="21"/>
      <c r="Y26" s="21"/>
      <c r="Z26" s="17"/>
      <c r="AA26" s="17"/>
      <c r="AB26" s="17"/>
      <c r="AC26" s="42"/>
      <c r="AD26" s="42"/>
      <c r="AE26" s="42"/>
      <c r="AF26" s="42"/>
      <c r="AG26" s="42"/>
      <c r="AH26" s="17"/>
      <c r="AI26" s="17"/>
      <c r="AJ26" s="17"/>
      <c r="AK26" s="17"/>
      <c r="AL26" s="17"/>
      <c r="AM26" s="42"/>
      <c r="AN26" s="42"/>
      <c r="AO26" s="79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3"/>
      <c r="BC26" s="3"/>
      <c r="BD26" s="3"/>
    </row>
    <row r="27" spans="1:56" ht="15.75" customHeight="1">
      <c r="A27" s="37" t="s">
        <v>87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10"/>
      <c r="Q27" s="21"/>
      <c r="R27" s="21"/>
      <c r="S27" s="21"/>
      <c r="T27" s="21"/>
      <c r="U27" s="21"/>
      <c r="V27" s="21"/>
      <c r="W27" s="21"/>
      <c r="X27" s="21"/>
      <c r="Y27" s="21"/>
      <c r="Z27" s="17"/>
      <c r="AA27" s="17">
        <f t="shared" ref="AA27:AM27" si="51">AA6</f>
        <v>166097.1501</v>
      </c>
      <c r="AB27" s="17">
        <f t="shared" si="51"/>
        <v>200760.12118052706</v>
      </c>
      <c r="AC27" s="17">
        <f t="shared" si="51"/>
        <v>249611.30169351317</v>
      </c>
      <c r="AD27" s="17">
        <f t="shared" si="51"/>
        <v>267160.48534790176</v>
      </c>
      <c r="AE27" s="17">
        <f t="shared" si="51"/>
        <v>288943.20600232383</v>
      </c>
      <c r="AF27" s="17">
        <f t="shared" si="51"/>
        <v>294595.72464084515</v>
      </c>
      <c r="AG27" s="17">
        <f t="shared" si="51"/>
        <v>312955.13522041368</v>
      </c>
      <c r="AH27" s="17">
        <f t="shared" si="51"/>
        <v>332059.66013961291</v>
      </c>
      <c r="AI27" s="17">
        <f t="shared" si="51"/>
        <v>328865.65297220211</v>
      </c>
      <c r="AJ27" s="17">
        <f t="shared" si="51"/>
        <v>338687.5372591308</v>
      </c>
      <c r="AK27" s="17">
        <f t="shared" si="51"/>
        <v>112693.70830845693</v>
      </c>
      <c r="AL27" s="17">
        <f t="shared" si="51"/>
        <v>91589.771866643408</v>
      </c>
      <c r="AM27" s="17">
        <f t="shared" si="51"/>
        <v>107765.54957135532</v>
      </c>
      <c r="AN27" s="17">
        <f t="shared" ref="AN27" si="52">AVERAGE(AA27:AM27)</f>
        <v>237829.61571560969</v>
      </c>
      <c r="AO27" s="17">
        <f t="shared" ref="AO27:AY27" si="53">AO6</f>
        <v>113573.86133633056</v>
      </c>
      <c r="AP27" s="17">
        <f t="shared" si="53"/>
        <v>108081.6602919384</v>
      </c>
      <c r="AQ27" s="17">
        <f t="shared" si="53"/>
        <v>118845.55815136948</v>
      </c>
      <c r="AR27" s="17">
        <f t="shared" si="53"/>
        <v>145010.30156472832</v>
      </c>
      <c r="AS27" s="17">
        <f t="shared" si="53"/>
        <v>137421.27760443586</v>
      </c>
      <c r="AT27" s="17">
        <f t="shared" si="53"/>
        <v>59815.061147584725</v>
      </c>
      <c r="AU27" s="17">
        <f t="shared" si="53"/>
        <v>79909.165697083663</v>
      </c>
      <c r="AV27" s="17">
        <f t="shared" si="53"/>
        <v>67611.707420851919</v>
      </c>
      <c r="AW27" s="17">
        <f t="shared" si="53"/>
        <v>77202.479567692179</v>
      </c>
      <c r="AX27" s="17">
        <f t="shared" si="53"/>
        <v>115175.20090690796</v>
      </c>
      <c r="AY27" s="17">
        <f t="shared" si="53"/>
        <v>114279.4981532449</v>
      </c>
      <c r="AZ27" s="17">
        <f>AZ6</f>
        <v>133569.82125054006</v>
      </c>
      <c r="BA27" s="40">
        <f t="shared" ref="BA27" si="54">AVERAGE(AO27:AZ27,AM27)</f>
        <v>106020.08789723563</v>
      </c>
      <c r="BB27" s="3"/>
      <c r="BC27" s="3"/>
      <c r="BD27" s="3"/>
    </row>
    <row r="28" spans="1:56" ht="15.75" customHeight="1">
      <c r="A28" s="37" t="s">
        <v>75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10"/>
      <c r="Q28" s="21"/>
      <c r="R28" s="21"/>
      <c r="S28" s="21"/>
      <c r="T28" s="21"/>
      <c r="U28" s="21"/>
      <c r="V28" s="21"/>
      <c r="W28" s="21"/>
      <c r="X28" s="21"/>
      <c r="Y28" s="21"/>
      <c r="Z28" s="53"/>
      <c r="AA28" s="53"/>
      <c r="AB28" s="53">
        <f>0.038/12</f>
        <v>3.1666666666666666E-3</v>
      </c>
      <c r="AC28" s="53">
        <f t="shared" ref="AC28:AJ28" si="55">0.038/12</f>
        <v>3.1666666666666666E-3</v>
      </c>
      <c r="AD28" s="53">
        <f t="shared" si="55"/>
        <v>3.1666666666666666E-3</v>
      </c>
      <c r="AE28" s="53">
        <f t="shared" si="55"/>
        <v>3.1666666666666666E-3</v>
      </c>
      <c r="AF28" s="53">
        <f t="shared" si="55"/>
        <v>3.1666666666666666E-3</v>
      </c>
      <c r="AG28" s="53">
        <f t="shared" si="55"/>
        <v>3.1666666666666666E-3</v>
      </c>
      <c r="AH28" s="53">
        <f t="shared" si="55"/>
        <v>3.1666666666666666E-3</v>
      </c>
      <c r="AI28" s="53">
        <f t="shared" si="55"/>
        <v>3.1666666666666666E-3</v>
      </c>
      <c r="AJ28" s="53">
        <f t="shared" si="55"/>
        <v>3.1666666666666666E-3</v>
      </c>
      <c r="AK28" s="70">
        <f t="shared" ref="AK28:AL28" si="56">0.0568/12</f>
        <v>4.7333333333333333E-3</v>
      </c>
      <c r="AL28" s="70">
        <f t="shared" si="56"/>
        <v>4.7333333333333333E-3</v>
      </c>
      <c r="AM28" s="70">
        <f>0.0568/12</f>
        <v>4.7333333333333333E-3</v>
      </c>
      <c r="AN28" s="56">
        <f>+AN29/AN6</f>
        <v>4.2159603403195474E-2</v>
      </c>
      <c r="AO28" s="261">
        <f>0.0525/12</f>
        <v>4.3749999999999995E-3</v>
      </c>
      <c r="AP28" s="70">
        <f t="shared" ref="AP28:AQ28" si="57">0.0525/12</f>
        <v>4.3749999999999995E-3</v>
      </c>
      <c r="AQ28" s="70">
        <f t="shared" si="57"/>
        <v>4.3749999999999995E-3</v>
      </c>
      <c r="AR28" s="70">
        <f>0.0496/12</f>
        <v>4.1333333333333335E-3</v>
      </c>
      <c r="AS28" s="70">
        <f t="shared" ref="AS28:AT28" si="58">0.0496/12</f>
        <v>4.1333333333333335E-3</v>
      </c>
      <c r="AT28" s="70">
        <f t="shared" si="58"/>
        <v>4.1333333333333335E-3</v>
      </c>
      <c r="AU28" s="70">
        <f>0.0473/12</f>
        <v>3.9416666666666671E-3</v>
      </c>
      <c r="AV28" s="70">
        <f t="shared" ref="AV28:AW28" si="59">0.0473/12</f>
        <v>3.9416666666666671E-3</v>
      </c>
      <c r="AW28" s="70">
        <f t="shared" si="59"/>
        <v>3.9416666666666671E-3</v>
      </c>
      <c r="AX28" s="70">
        <f>0.0461/12</f>
        <v>3.8416666666666668E-3</v>
      </c>
      <c r="AY28" s="70">
        <f t="shared" ref="AY28:AZ28" si="60">0.0461/12</f>
        <v>3.8416666666666668E-3</v>
      </c>
      <c r="AZ28" s="70">
        <f t="shared" si="60"/>
        <v>3.8416666666666668E-3</v>
      </c>
      <c r="BA28" s="56">
        <f>+BA29/BA6</f>
        <v>4.848075859086514E-2</v>
      </c>
      <c r="BB28" s="3"/>
      <c r="BC28" s="3"/>
      <c r="BD28" s="3"/>
    </row>
    <row r="29" spans="1:56" ht="15.75" customHeight="1">
      <c r="A29" s="221" t="s">
        <v>76</v>
      </c>
      <c r="B29" s="216"/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3"/>
      <c r="Q29" s="222"/>
      <c r="R29" s="222"/>
      <c r="S29" s="222"/>
      <c r="T29" s="222"/>
      <c r="U29" s="222"/>
      <c r="V29" s="222"/>
      <c r="W29" s="222"/>
      <c r="X29" s="222"/>
      <c r="Y29" s="222"/>
      <c r="Z29" s="224"/>
      <c r="AA29" s="224"/>
      <c r="AB29" s="224">
        <f>AVERAGE(AA27:AB27)*AB28</f>
        <v>580.8573461941678</v>
      </c>
      <c r="AC29" s="281">
        <f t="shared" ref="AC29:AJ29" si="61">AVERAGE(AB27:AC27)*AC28</f>
        <v>713.08808621723028</v>
      </c>
      <c r="AD29" s="281">
        <f t="shared" si="61"/>
        <v>818.22199614890701</v>
      </c>
      <c r="AE29" s="281">
        <f t="shared" si="61"/>
        <v>880.49751130452387</v>
      </c>
      <c r="AF29" s="281">
        <f t="shared" si="61"/>
        <v>923.9366401850175</v>
      </c>
      <c r="AG29" s="281">
        <f t="shared" si="61"/>
        <v>961.95552811365985</v>
      </c>
      <c r="AH29" s="281">
        <f t="shared" si="61"/>
        <v>1021.2734259867088</v>
      </c>
      <c r="AI29" s="281">
        <f t="shared" si="61"/>
        <v>1046.4650790937071</v>
      </c>
      <c r="AJ29" s="281">
        <f t="shared" si="61"/>
        <v>1056.9592178662772</v>
      </c>
      <c r="AK29" s="225">
        <f>(AK6+AJ6)/2*AK28</f>
        <v>1068.268947843291</v>
      </c>
      <c r="AL29" s="225">
        <f>(AL6+AK6)/2*AL28</f>
        <v>483.47090308107079</v>
      </c>
      <c r="AM29" s="225">
        <f>(AM6+AL6)/2*AM28</f>
        <v>471.80759406993036</v>
      </c>
      <c r="AN29" s="226">
        <f t="shared" ref="AN29" si="62">SUM(AB29:AM29)</f>
        <v>10026.80227610449</v>
      </c>
      <c r="AO29" s="227">
        <f>(AO6+AM6)/2*AO28</f>
        <v>484.1799613605628</v>
      </c>
      <c r="AP29" s="225">
        <f t="shared" ref="AP29:AZ29" si="63">(AP6+AO6)/2*AP28</f>
        <v>484.87145356183834</v>
      </c>
      <c r="AQ29" s="225">
        <f t="shared" si="63"/>
        <v>496.40329034473592</v>
      </c>
      <c r="AR29" s="225">
        <f t="shared" si="63"/>
        <v>545.30211007993557</v>
      </c>
      <c r="AS29" s="225">
        <f t="shared" si="63"/>
        <v>583.69193028293932</v>
      </c>
      <c r="AT29" s="225">
        <f t="shared" si="63"/>
        <v>407.62176675417589</v>
      </c>
      <c r="AU29" s="225">
        <f t="shared" si="63"/>
        <v>275.37316373970066</v>
      </c>
      <c r="AV29" s="225">
        <f t="shared" si="63"/>
        <v>290.73905410326472</v>
      </c>
      <c r="AW29" s="225">
        <f t="shared" si="63"/>
        <v>285.404626856589</v>
      </c>
      <c r="AX29" s="225">
        <f t="shared" si="63"/>
        <v>369.52546124496115</v>
      </c>
      <c r="AY29" s="225">
        <f t="shared" si="63"/>
        <v>440.74423444471034</v>
      </c>
      <c r="AZ29" s="225">
        <f t="shared" si="63"/>
        <v>476.07723435477033</v>
      </c>
      <c r="BA29" s="228">
        <f t="shared" ref="BA29" si="64">SUM(AO29:AZ29)</f>
        <v>5139.9342871281833</v>
      </c>
      <c r="BB29" s="3"/>
      <c r="BC29" s="3"/>
      <c r="BD29" s="3"/>
    </row>
    <row r="30" spans="1:56">
      <c r="Z30"/>
      <c r="AA30"/>
      <c r="AB30" s="241"/>
      <c r="AC30" s="282"/>
      <c r="AD30" s="241"/>
      <c r="AE30" s="241"/>
      <c r="AF30" s="241"/>
      <c r="AG30" s="241"/>
      <c r="AH30" s="241"/>
      <c r="AI30" s="241"/>
      <c r="AJ30" s="241"/>
      <c r="AK30" s="16"/>
      <c r="AL30" s="16"/>
      <c r="AM30" s="54"/>
      <c r="AN30" s="54"/>
      <c r="AO30" s="88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</row>
    <row r="31" spans="1:56" ht="15.75" thickBot="1">
      <c r="C31" s="4">
        <f t="shared" ref="C31:AH31" si="65">SUM(C4:C6)</f>
        <v>550013.26888999995</v>
      </c>
      <c r="D31" s="4">
        <f t="shared" si="65"/>
        <v>1245671.1000000001</v>
      </c>
      <c r="E31" s="4">
        <f t="shared" si="65"/>
        <v>1265666.8</v>
      </c>
      <c r="F31" s="4">
        <f t="shared" si="65"/>
        <v>1295769.5</v>
      </c>
      <c r="G31" s="4">
        <f t="shared" si="65"/>
        <v>1279318.5</v>
      </c>
      <c r="H31" s="4">
        <f t="shared" si="65"/>
        <v>1328706.1000000001</v>
      </c>
      <c r="I31" s="4">
        <f t="shared" si="65"/>
        <v>1345661.4000000001</v>
      </c>
      <c r="J31" s="4">
        <f t="shared" si="65"/>
        <v>1362800.9000000001</v>
      </c>
      <c r="K31" s="4">
        <f t="shared" si="65"/>
        <v>1373312.8000000003</v>
      </c>
      <c r="L31" s="4">
        <f t="shared" si="65"/>
        <v>1392764</v>
      </c>
      <c r="M31" s="4">
        <f t="shared" si="65"/>
        <v>1418861.5</v>
      </c>
      <c r="N31" s="4">
        <f t="shared" si="65"/>
        <v>1443476.7000000002</v>
      </c>
      <c r="O31" s="4">
        <f t="shared" si="65"/>
        <v>1494107.9000000001</v>
      </c>
      <c r="P31" s="11">
        <f t="shared" si="65"/>
        <v>1524782.4000000001</v>
      </c>
      <c r="Q31" s="4">
        <f t="shared" si="65"/>
        <v>1539672.9000000004</v>
      </c>
      <c r="R31" s="4">
        <f t="shared" si="65"/>
        <v>1558718.7000000002</v>
      </c>
      <c r="S31" s="4">
        <f t="shared" si="65"/>
        <v>1544049.2000000002</v>
      </c>
      <c r="T31" s="4">
        <f t="shared" si="65"/>
        <v>1583548.3</v>
      </c>
      <c r="U31" s="4">
        <f t="shared" si="65"/>
        <v>1610843.7</v>
      </c>
      <c r="V31" s="4">
        <f t="shared" si="65"/>
        <v>1628415.2</v>
      </c>
      <c r="W31" s="4">
        <f t="shared" si="65"/>
        <v>1641569.3</v>
      </c>
      <c r="X31" s="4">
        <f t="shared" si="65"/>
        <v>1655457.9000000001</v>
      </c>
      <c r="Y31" s="4">
        <f t="shared" si="65"/>
        <v>1646774.2</v>
      </c>
      <c r="Z31" s="49">
        <f t="shared" si="65"/>
        <v>1680542.0999999999</v>
      </c>
      <c r="AA31" s="49">
        <f t="shared" si="65"/>
        <v>1725819.35769</v>
      </c>
      <c r="AB31" s="49">
        <f t="shared" si="65"/>
        <v>1770334.6903205272</v>
      </c>
      <c r="AC31" s="4">
        <f t="shared" si="65"/>
        <v>1833510.070833513</v>
      </c>
      <c r="AD31" s="4">
        <f t="shared" si="65"/>
        <v>1861867.6544879016</v>
      </c>
      <c r="AE31" s="4">
        <f t="shared" si="65"/>
        <v>1890662.4751423239</v>
      </c>
      <c r="AF31" s="4">
        <f t="shared" si="65"/>
        <v>1897603.0937808452</v>
      </c>
      <c r="AG31" s="15">
        <f t="shared" si="65"/>
        <v>1922848.4043604136</v>
      </c>
      <c r="AH31" s="15">
        <f t="shared" si="65"/>
        <v>1946383.9292796128</v>
      </c>
      <c r="AI31" s="15">
        <f t="shared" ref="AI31:AZ31" si="66">SUM(AI4:AI6)</f>
        <v>1958222.2221122021</v>
      </c>
      <c r="AJ31" s="15">
        <f t="shared" si="66"/>
        <v>1974314.4063991308</v>
      </c>
      <c r="AK31" s="15">
        <f t="shared" si="66"/>
        <v>2008054.2</v>
      </c>
      <c r="AL31" s="15">
        <f t="shared" si="66"/>
        <v>2035349.0999999999</v>
      </c>
      <c r="AM31" s="15">
        <f t="shared" si="66"/>
        <v>2064109.8000000003</v>
      </c>
      <c r="AN31" s="17">
        <f t="shared" si="66"/>
        <v>1914544.5695697283</v>
      </c>
      <c r="AO31" s="80">
        <f t="shared" si="66"/>
        <v>2075396.081394613</v>
      </c>
      <c r="AP31" s="15">
        <f t="shared" si="66"/>
        <v>2093159.9091547839</v>
      </c>
      <c r="AQ31" s="15">
        <f t="shared" si="66"/>
        <v>2107363.4038915839</v>
      </c>
      <c r="AR31" s="15">
        <f t="shared" si="66"/>
        <v>2136387.8454564014</v>
      </c>
      <c r="AS31" s="15">
        <f t="shared" si="66"/>
        <v>2151414.6843098132</v>
      </c>
      <c r="AT31" s="15">
        <f t="shared" si="66"/>
        <v>2174221.846587575</v>
      </c>
      <c r="AU31" s="15">
        <f t="shared" si="66"/>
        <v>2194695.119789294</v>
      </c>
      <c r="AV31" s="15">
        <f t="shared" si="66"/>
        <v>2208262.8611956602</v>
      </c>
      <c r="AW31" s="15">
        <f t="shared" si="66"/>
        <v>2218187.6347583081</v>
      </c>
      <c r="AX31" s="15">
        <f t="shared" si="66"/>
        <v>2256792.3111527693</v>
      </c>
      <c r="AY31" s="15">
        <f t="shared" si="66"/>
        <v>2291717.0489387936</v>
      </c>
      <c r="AZ31" s="15">
        <f t="shared" si="66"/>
        <v>2314671.3941794671</v>
      </c>
      <c r="BA31" s="17"/>
    </row>
    <row r="32" spans="1:56" s="57" customFormat="1" ht="15.75" thickBot="1">
      <c r="A32" s="57" t="s">
        <v>65</v>
      </c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9">
        <f t="shared" ref="P32:Z32" si="67">AVERAGE(D51:P51)</f>
        <v>0.54174183578121504</v>
      </c>
      <c r="Q32" s="58">
        <f t="shared" si="67"/>
        <v>0.54327332549605267</v>
      </c>
      <c r="R32" s="58">
        <f t="shared" si="67"/>
        <v>0.54332453629177158</v>
      </c>
      <c r="S32" s="58">
        <f t="shared" si="67"/>
        <v>0.54319224794933896</v>
      </c>
      <c r="T32" s="58">
        <f t="shared" si="67"/>
        <v>0.54438297496340671</v>
      </c>
      <c r="U32" s="58">
        <f t="shared" si="67"/>
        <v>0.54524162459810954</v>
      </c>
      <c r="V32" s="58">
        <f t="shared" si="67"/>
        <v>0.54606319560794181</v>
      </c>
      <c r="W32" s="58">
        <f t="shared" si="67"/>
        <v>0.54798642945096687</v>
      </c>
      <c r="X32" s="58">
        <f t="shared" si="67"/>
        <v>0.54901860875354835</v>
      </c>
      <c r="Y32" s="58">
        <f t="shared" si="67"/>
        <v>0.55002793365313962</v>
      </c>
      <c r="Z32" s="58">
        <f t="shared" si="67"/>
        <v>0.55097284964065241</v>
      </c>
      <c r="AA32" s="58">
        <f t="shared" ref="AA32:AJ32" si="68">+AA4/(AA4+AA12+AA6)</f>
        <v>0.57441367431229629</v>
      </c>
      <c r="AB32" s="58">
        <f t="shared" si="68"/>
        <v>0.56553069059429217</v>
      </c>
      <c r="AC32" s="58">
        <f t="shared" si="68"/>
        <v>0.55385286187075955</v>
      </c>
      <c r="AD32" s="58">
        <f t="shared" si="68"/>
        <v>0.55121812634006895</v>
      </c>
      <c r="AE32" s="58">
        <f t="shared" si="68"/>
        <v>0.54652763969529572</v>
      </c>
      <c r="AF32" s="58">
        <f t="shared" si="68"/>
        <v>0.54520326373344541</v>
      </c>
      <c r="AG32" s="58">
        <f t="shared" si="68"/>
        <v>0.54162215681605663</v>
      </c>
      <c r="AH32" s="58">
        <f t="shared" si="68"/>
        <v>0.5373453224036312</v>
      </c>
      <c r="AI32" s="58">
        <f t="shared" si="68"/>
        <v>0.54176925786067009</v>
      </c>
      <c r="AJ32" s="58">
        <f t="shared" si="68"/>
        <v>0.54052530667917331</v>
      </c>
      <c r="AK32" s="58">
        <f t="shared" ref="AK32:BA32" si="69">+AK4/(AK4+AK5+AK6)</f>
        <v>0.5330336659695456</v>
      </c>
      <c r="AL32" s="58">
        <f t="shared" si="69"/>
        <v>0.54966458979118449</v>
      </c>
      <c r="AM32" s="58">
        <f t="shared" si="69"/>
        <v>0.54810274648598867</v>
      </c>
      <c r="AN32" s="75">
        <f t="shared" si="69"/>
        <v>0.54795336087396651</v>
      </c>
      <c r="AO32" s="89">
        <f t="shared" si="69"/>
        <v>0.54776157199562936</v>
      </c>
      <c r="AP32" s="58">
        <f t="shared" si="69"/>
        <v>0.55422342258183421</v>
      </c>
      <c r="AQ32" s="58">
        <f t="shared" si="69"/>
        <v>0.55212017234027722</v>
      </c>
      <c r="AR32" s="58">
        <f t="shared" si="69"/>
        <v>0.54595776996779211</v>
      </c>
      <c r="AS32" s="58">
        <f t="shared" si="69"/>
        <v>0.55265654519171115</v>
      </c>
      <c r="AT32" s="58">
        <f t="shared" si="69"/>
        <v>0.54704941324490663</v>
      </c>
      <c r="AU32" s="58">
        <f t="shared" si="69"/>
        <v>0.54211901387306938</v>
      </c>
      <c r="AV32" s="58">
        <f t="shared" si="69"/>
        <v>0.55050110887460024</v>
      </c>
      <c r="AW32" s="58">
        <f t="shared" si="69"/>
        <v>0.54818859150439225</v>
      </c>
      <c r="AX32" s="58">
        <f t="shared" si="69"/>
        <v>0.53909130416365747</v>
      </c>
      <c r="AY32" s="58">
        <f t="shared" si="69"/>
        <v>0.54650618904524206</v>
      </c>
      <c r="AZ32" s="58">
        <f t="shared" si="69"/>
        <v>0.5426695020673572</v>
      </c>
      <c r="BA32" s="72">
        <f t="shared" si="69"/>
        <v>0.54737010640966965</v>
      </c>
    </row>
    <row r="33" spans="1:53"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6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266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</row>
    <row r="34" spans="1:53">
      <c r="A34" s="278" t="s">
        <v>61</v>
      </c>
      <c r="Z34"/>
      <c r="AA34"/>
      <c r="AB34"/>
      <c r="AO34" s="78"/>
    </row>
    <row r="35" spans="1:53">
      <c r="A35" s="23" t="s">
        <v>49</v>
      </c>
      <c r="B35" s="23"/>
      <c r="Z35"/>
      <c r="AA35"/>
      <c r="AB35"/>
      <c r="AN35" s="17">
        <v>-86051.128324447534</v>
      </c>
      <c r="AO35" s="78"/>
      <c r="BA35" s="17">
        <v>-67002.951722974045</v>
      </c>
    </row>
    <row r="36" spans="1:53">
      <c r="A36" s="23" t="s">
        <v>50</v>
      </c>
      <c r="B36" s="23"/>
      <c r="Z36"/>
      <c r="AA36"/>
      <c r="AB36"/>
      <c r="AN36" s="17">
        <v>-49721.841684891719</v>
      </c>
      <c r="AO36" s="78"/>
      <c r="BA36" s="17">
        <v>-46660.623342015009</v>
      </c>
    </row>
    <row r="37" spans="1:53">
      <c r="A37" s="23" t="s">
        <v>51</v>
      </c>
      <c r="B37" s="23"/>
      <c r="Z37"/>
      <c r="AA37"/>
      <c r="AB37"/>
      <c r="AN37" s="17">
        <v>-19314.247707706691</v>
      </c>
      <c r="AO37" s="78"/>
      <c r="BA37" s="17">
        <v>-6348.6370346175327</v>
      </c>
    </row>
    <row r="38" spans="1:53">
      <c r="A38" s="23" t="s">
        <v>54</v>
      </c>
      <c r="B38" s="23"/>
      <c r="Z38"/>
      <c r="AA38"/>
      <c r="AB38"/>
      <c r="AN38" s="17">
        <v>-2069.600908508</v>
      </c>
      <c r="AO38" s="78"/>
      <c r="BA38" s="17">
        <v>-1363.8783116930001</v>
      </c>
    </row>
    <row r="39" spans="1:53">
      <c r="A39" s="23" t="s">
        <v>62</v>
      </c>
      <c r="B39" s="23"/>
      <c r="Z39"/>
      <c r="AA39"/>
      <c r="AB39"/>
      <c r="AN39" s="17">
        <v>-40199.33638852759</v>
      </c>
      <c r="AO39" s="78"/>
      <c r="BA39" s="17">
        <v>-20947.229721249565</v>
      </c>
    </row>
    <row r="40" spans="1:53">
      <c r="A40" s="26" t="s">
        <v>56</v>
      </c>
      <c r="B40" s="26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8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4">
        <v>-218.63138190800001</v>
      </c>
      <c r="AO40" s="262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4">
        <v>-156.40782956000001</v>
      </c>
    </row>
    <row r="41" spans="1:53">
      <c r="A41" s="23" t="s">
        <v>53</v>
      </c>
      <c r="B41" s="23"/>
      <c r="Z41"/>
      <c r="AA41"/>
      <c r="AB41"/>
      <c r="AN41" s="17">
        <f t="shared" ref="AN41" si="70">SUM(AN35:AN40)</f>
        <v>-197574.78639598953</v>
      </c>
      <c r="AO41" s="78"/>
      <c r="BA41" s="17">
        <f>SUM(BA35:BA40)</f>
        <v>-142479.72796210914</v>
      </c>
    </row>
    <row r="42" spans="1:53">
      <c r="Z42"/>
      <c r="AA42"/>
      <c r="AB42"/>
      <c r="AN42" s="17"/>
      <c r="AO42" s="78"/>
      <c r="BA42" s="17"/>
    </row>
    <row r="43" spans="1:53">
      <c r="A43" t="s">
        <v>49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12"/>
      <c r="Q43" s="5"/>
      <c r="R43" s="5"/>
      <c r="S43" s="5"/>
      <c r="T43" s="5"/>
      <c r="U43" s="5"/>
      <c r="V43" s="5"/>
      <c r="W43" s="5"/>
      <c r="X43" s="5"/>
      <c r="Y43" s="5"/>
      <c r="Z43"/>
      <c r="AA43"/>
      <c r="AB43"/>
      <c r="AN43" s="17">
        <f t="shared" ref="AN43:AN48" si="71">+AN4+AN35</f>
        <v>963030.00311428669</v>
      </c>
      <c r="AO43" s="78"/>
      <c r="BA43" s="17">
        <f>+BA4+BA35</f>
        <v>1124006.1865958723</v>
      </c>
    </row>
    <row r="44" spans="1:53">
      <c r="A44" t="s">
        <v>50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12"/>
      <c r="Q44" s="5"/>
      <c r="R44" s="5"/>
      <c r="S44" s="5"/>
      <c r="T44" s="5"/>
      <c r="U44" s="5"/>
      <c r="V44" s="5"/>
      <c r="W44" s="5"/>
      <c r="X44" s="5"/>
      <c r="Y44" s="5"/>
      <c r="Z44"/>
      <c r="AA44"/>
      <c r="AB44"/>
      <c r="AN44" s="17">
        <f t="shared" si="71"/>
        <v>577911.98073049274</v>
      </c>
      <c r="AO44" s="78"/>
      <c r="BA44" s="17">
        <f t="shared" ref="BA44:BA48" si="72">+BA5+BA36</f>
        <v>832185.53050413891</v>
      </c>
    </row>
    <row r="45" spans="1:53">
      <c r="A45" t="s">
        <v>51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2"/>
      <c r="Q45" s="18"/>
      <c r="R45" s="18"/>
      <c r="S45" s="18"/>
      <c r="T45" s="18"/>
      <c r="U45" s="18"/>
      <c r="V45" s="18"/>
      <c r="W45" s="18"/>
      <c r="X45" s="18"/>
      <c r="Y45" s="18"/>
      <c r="Z45"/>
      <c r="AA45"/>
      <c r="AB45"/>
      <c r="AN45" s="17">
        <f t="shared" si="71"/>
        <v>218515.36800790299</v>
      </c>
      <c r="AO45" s="78"/>
      <c r="BA45" s="17">
        <f t="shared" si="72"/>
        <v>99671.45086261809</v>
      </c>
    </row>
    <row r="46" spans="1:53">
      <c r="A46" t="s">
        <v>54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2"/>
      <c r="Q46" s="18"/>
      <c r="R46" s="18"/>
      <c r="S46" s="18"/>
      <c r="T46" s="18"/>
      <c r="U46" s="18"/>
      <c r="V46" s="18"/>
      <c r="W46" s="18"/>
      <c r="X46" s="18"/>
      <c r="Y46" s="18"/>
      <c r="Z46"/>
      <c r="AA46"/>
      <c r="AB46"/>
      <c r="AN46" s="17">
        <f t="shared" si="71"/>
        <v>26882.011986107387</v>
      </c>
      <c r="AO46" s="78"/>
      <c r="BA46" s="17">
        <f t="shared" si="72"/>
        <v>27528.183249845468</v>
      </c>
    </row>
    <row r="47" spans="1:53">
      <c r="A47" t="s">
        <v>62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2"/>
      <c r="Q47" s="18"/>
      <c r="R47" s="18"/>
      <c r="S47" s="18"/>
      <c r="T47" s="18"/>
      <c r="U47" s="18"/>
      <c r="V47" s="18"/>
      <c r="W47" s="18"/>
      <c r="X47" s="18"/>
      <c r="Y47" s="18"/>
      <c r="Z47"/>
      <c r="AA47"/>
      <c r="AB47"/>
      <c r="AN47" s="17">
        <f t="shared" si="71"/>
        <v>235153.27385224163</v>
      </c>
      <c r="AO47" s="78"/>
      <c r="BA47" s="17">
        <f t="shared" si="72"/>
        <v>280240.20874028886</v>
      </c>
    </row>
    <row r="48" spans="1:53">
      <c r="A48" t="s">
        <v>56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13"/>
      <c r="Q48" s="34"/>
      <c r="R48" s="34"/>
      <c r="S48" s="34"/>
      <c r="T48" s="34"/>
      <c r="U48" s="34"/>
      <c r="V48" s="34"/>
      <c r="W48" s="34"/>
      <c r="X48" s="34"/>
      <c r="Y48" s="34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4">
        <f t="shared" si="71"/>
        <v>2839.7993873227697</v>
      </c>
      <c r="AO48" s="262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4">
        <f t="shared" si="72"/>
        <v>3156.8921704400004</v>
      </c>
    </row>
    <row r="49" spans="1:55" ht="15.75" thickBot="1">
      <c r="A49" t="s">
        <v>53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2"/>
      <c r="Q49" s="18"/>
      <c r="R49" s="18"/>
      <c r="S49" s="18"/>
      <c r="T49" s="18"/>
      <c r="U49" s="18"/>
      <c r="V49" s="18"/>
      <c r="W49" s="18"/>
      <c r="X49" s="18"/>
      <c r="Y49" s="18"/>
      <c r="Z49"/>
      <c r="AA49"/>
      <c r="AB49"/>
      <c r="AN49" s="17">
        <f t="shared" ref="AN49" si="73">SUM(AN43:AN48)</f>
        <v>2024332.4370783542</v>
      </c>
      <c r="AO49" s="78"/>
      <c r="BA49" s="17">
        <f t="shared" ref="BA49" si="74">SUM(BA43:BA48)</f>
        <v>2366788.4521232038</v>
      </c>
      <c r="BB49" s="32">
        <v>2366788.4521232038</v>
      </c>
      <c r="BC49" s="32">
        <f>BB49-BA49</f>
        <v>0</v>
      </c>
    </row>
    <row r="50" spans="1:55" ht="15.75" thickBot="1">
      <c r="Z50"/>
      <c r="AA50"/>
      <c r="AB50"/>
      <c r="AN50" s="258">
        <f>+AN43/(AN43+AN44+AN45)</f>
        <v>0.54734489705034928</v>
      </c>
      <c r="AO50" s="78"/>
      <c r="BA50" s="208">
        <f>+BA43/(BA43+BA44+BA45)</f>
        <v>0.54673200245606235</v>
      </c>
    </row>
    <row r="51" spans="1:55">
      <c r="A51" t="s">
        <v>49</v>
      </c>
      <c r="C51" s="5">
        <f t="shared" ref="C51:Y51" si="75">C4/C$31</f>
        <v>0</v>
      </c>
      <c r="D51" s="5">
        <f t="shared" si="75"/>
        <v>0.54066807843579257</v>
      </c>
      <c r="E51" s="5">
        <f t="shared" si="75"/>
        <v>0.56006051513715926</v>
      </c>
      <c r="F51" s="5">
        <f t="shared" si="75"/>
        <v>0.55298631430975964</v>
      </c>
      <c r="G51" s="5">
        <f t="shared" si="75"/>
        <v>0.54493294672124271</v>
      </c>
      <c r="H51" s="5">
        <f t="shared" si="75"/>
        <v>0.54388867485443182</v>
      </c>
      <c r="I51" s="5">
        <f t="shared" si="75"/>
        <v>0.5410818055715948</v>
      </c>
      <c r="J51" s="5">
        <f t="shared" si="75"/>
        <v>0.53753229837168437</v>
      </c>
      <c r="K51" s="5">
        <f t="shared" si="75"/>
        <v>0.54878932170442163</v>
      </c>
      <c r="L51" s="5">
        <f t="shared" si="75"/>
        <v>0.54511554003406182</v>
      </c>
      <c r="M51" s="5">
        <f t="shared" si="75"/>
        <v>0.53868894180298788</v>
      </c>
      <c r="N51" s="5">
        <f t="shared" si="75"/>
        <v>0.54061821711427693</v>
      </c>
      <c r="O51" s="5">
        <f t="shared" si="75"/>
        <v>0.52622344075685568</v>
      </c>
      <c r="P51" s="12">
        <f t="shared" si="75"/>
        <v>0.52205777034152545</v>
      </c>
      <c r="Q51" s="5">
        <f t="shared" si="75"/>
        <v>0.56057744472868232</v>
      </c>
      <c r="R51" s="5">
        <f t="shared" si="75"/>
        <v>0.56072625548150545</v>
      </c>
      <c r="S51" s="5">
        <f t="shared" si="75"/>
        <v>0.55126656585813461</v>
      </c>
      <c r="T51" s="5">
        <f t="shared" si="75"/>
        <v>0.56041239790412456</v>
      </c>
      <c r="U51" s="5">
        <f t="shared" si="75"/>
        <v>0.55505112010556956</v>
      </c>
      <c r="V51" s="5">
        <f t="shared" si="75"/>
        <v>0.55176222869941283</v>
      </c>
      <c r="W51" s="5">
        <f t="shared" si="75"/>
        <v>0.56253433833101052</v>
      </c>
      <c r="X51" s="5">
        <f t="shared" si="75"/>
        <v>0.56220765263798012</v>
      </c>
      <c r="Y51" s="5">
        <f t="shared" si="75"/>
        <v>0.5582367637287492</v>
      </c>
      <c r="Z51"/>
      <c r="AA51"/>
      <c r="AB51"/>
      <c r="AN51" s="5">
        <f>+AN43/AN$49</f>
        <v>0.47572720047118006</v>
      </c>
      <c r="AO51" s="263">
        <f t="shared" ref="AO51:AZ51" si="76">AO4/AO$31</f>
        <v>0.54776157199562936</v>
      </c>
      <c r="AP51" s="5">
        <f t="shared" si="76"/>
        <v>0.55422342258183421</v>
      </c>
      <c r="AQ51" s="5">
        <f t="shared" si="76"/>
        <v>0.55212017234027722</v>
      </c>
      <c r="AR51" s="5">
        <f t="shared" si="76"/>
        <v>0.54595776996779211</v>
      </c>
      <c r="AS51" s="5">
        <f t="shared" si="76"/>
        <v>0.55265654519171115</v>
      </c>
      <c r="AT51" s="5">
        <f t="shared" si="76"/>
        <v>0.54704941324490663</v>
      </c>
      <c r="AU51" s="5">
        <f t="shared" si="76"/>
        <v>0.54211901387306938</v>
      </c>
      <c r="AV51" s="5">
        <f t="shared" si="76"/>
        <v>0.55050110887460024</v>
      </c>
      <c r="AW51" s="5">
        <f t="shared" si="76"/>
        <v>0.54818859150439225</v>
      </c>
      <c r="AX51" s="5">
        <f t="shared" si="76"/>
        <v>0.53909130416365747</v>
      </c>
      <c r="AY51" s="5">
        <f t="shared" si="76"/>
        <v>0.54650618904524206</v>
      </c>
      <c r="AZ51" s="5">
        <f t="shared" si="76"/>
        <v>0.5426695020673572</v>
      </c>
      <c r="BA51" s="5">
        <f>+BA43/BA$49</f>
        <v>0.47490775341055358</v>
      </c>
      <c r="BB51" s="19">
        <v>0.47490775341055347</v>
      </c>
      <c r="BC51" s="5">
        <f t="shared" ref="BC51:BC56" si="77">BB51-BA51</f>
        <v>0</v>
      </c>
    </row>
    <row r="52" spans="1:55">
      <c r="A52" t="s">
        <v>50</v>
      </c>
      <c r="C52" s="5">
        <f t="shared" ref="C52:Y52" si="78">C5/C$31</f>
        <v>0.61027824770011252</v>
      </c>
      <c r="D52" s="5">
        <f t="shared" si="78"/>
        <v>0.26946527056780878</v>
      </c>
      <c r="E52" s="5">
        <f t="shared" si="78"/>
        <v>0.2652112704544356</v>
      </c>
      <c r="F52" s="5">
        <f t="shared" si="78"/>
        <v>0.43606953242841412</v>
      </c>
      <c r="G52" s="5">
        <f t="shared" si="78"/>
        <v>0.44168305234388461</v>
      </c>
      <c r="H52" s="5">
        <f t="shared" si="78"/>
        <v>0.39007602960504206</v>
      </c>
      <c r="I52" s="5">
        <f t="shared" si="78"/>
        <v>0.38516687778961334</v>
      </c>
      <c r="J52" s="5">
        <f t="shared" si="78"/>
        <v>0.38032855716488001</v>
      </c>
      <c r="K52" s="5">
        <f t="shared" si="78"/>
        <v>0.37742304593680326</v>
      </c>
      <c r="L52" s="5">
        <f t="shared" si="78"/>
        <v>0.37215759453862968</v>
      </c>
      <c r="M52" s="5">
        <f t="shared" si="78"/>
        <v>0.36531796796234162</v>
      </c>
      <c r="N52" s="5">
        <f t="shared" si="78"/>
        <v>0.35909370757421993</v>
      </c>
      <c r="O52" s="5">
        <f t="shared" si="78"/>
        <v>0.34693023174564563</v>
      </c>
      <c r="P52" s="12">
        <f t="shared" si="78"/>
        <v>0.33995611439376527</v>
      </c>
      <c r="Q52" s="5">
        <f t="shared" si="78"/>
        <v>0.33667339342012181</v>
      </c>
      <c r="R52" s="5">
        <f t="shared" si="78"/>
        <v>0.33256462503465184</v>
      </c>
      <c r="S52" s="5">
        <f t="shared" si="78"/>
        <v>0.33572926303125572</v>
      </c>
      <c r="T52" s="5">
        <f t="shared" si="78"/>
        <v>0.32736001800513442</v>
      </c>
      <c r="U52" s="5">
        <f t="shared" si="78"/>
        <v>0.32181781509900681</v>
      </c>
      <c r="V52" s="5">
        <f t="shared" si="78"/>
        <v>0.36437021712889933</v>
      </c>
      <c r="W52" s="5">
        <f t="shared" si="78"/>
        <v>0.36145565100419458</v>
      </c>
      <c r="X52" s="5">
        <f t="shared" si="78"/>
        <v>0.34332682214389137</v>
      </c>
      <c r="Y52" s="5">
        <f t="shared" si="78"/>
        <v>0.34514227876535836</v>
      </c>
      <c r="Z52"/>
      <c r="AA52"/>
      <c r="AB52"/>
      <c r="AN52" s="5">
        <f t="shared" ref="AN52:AN56" si="79">+AN44/AN$49</f>
        <v>0.28548274490160924</v>
      </c>
      <c r="AO52" s="263">
        <f t="shared" ref="AO52:AZ52" si="80">AO5/AO$31</f>
        <v>0.39751448284783364</v>
      </c>
      <c r="AP52" s="5">
        <f t="shared" si="80"/>
        <v>0.39414093323291971</v>
      </c>
      <c r="AQ52" s="5">
        <f t="shared" si="80"/>
        <v>0.39148444851823155</v>
      </c>
      <c r="AR52" s="5">
        <f t="shared" si="80"/>
        <v>0.38616583676722493</v>
      </c>
      <c r="AS52" s="5">
        <f t="shared" si="80"/>
        <v>0.38346861068518967</v>
      </c>
      <c r="AT52" s="5">
        <f t="shared" si="80"/>
        <v>0.42543956655195081</v>
      </c>
      <c r="AU52" s="5">
        <f t="shared" si="80"/>
        <v>0.42147084196770185</v>
      </c>
      <c r="AV52" s="5">
        <f t="shared" si="80"/>
        <v>0.41888129183097356</v>
      </c>
      <c r="AW52" s="5">
        <f t="shared" si="80"/>
        <v>0.41700710323398194</v>
      </c>
      <c r="AX52" s="5">
        <f t="shared" si="80"/>
        <v>0.40987378210603265</v>
      </c>
      <c r="AY52" s="5">
        <f t="shared" si="80"/>
        <v>0.40362748988943992</v>
      </c>
      <c r="AZ52" s="5">
        <f t="shared" si="80"/>
        <v>0.39962475983676521</v>
      </c>
      <c r="BA52" s="5">
        <f t="shared" ref="BA52:BA56" si="81">+BA44/BA$49</f>
        <v>0.35160959559254235</v>
      </c>
      <c r="BB52" s="19">
        <v>0.35160959559254229</v>
      </c>
      <c r="BC52" s="5">
        <f t="shared" si="77"/>
        <v>0</v>
      </c>
    </row>
    <row r="53" spans="1:55">
      <c r="A53" t="s">
        <v>51</v>
      </c>
      <c r="C53" s="6">
        <f t="shared" ref="C53:Y53" si="82">C6/C$31</f>
        <v>0.38972175229988754</v>
      </c>
      <c r="D53" s="6">
        <f t="shared" si="82"/>
        <v>0.18986665099639863</v>
      </c>
      <c r="E53" s="6">
        <f t="shared" si="82"/>
        <v>0.17472821440840511</v>
      </c>
      <c r="F53" s="6">
        <f t="shared" si="82"/>
        <v>1.0944153261826274E-2</v>
      </c>
      <c r="G53" s="6">
        <f t="shared" si="82"/>
        <v>1.3384000934872747E-2</v>
      </c>
      <c r="H53" s="6">
        <f t="shared" si="82"/>
        <v>6.6035295540526229E-2</v>
      </c>
      <c r="I53" s="6">
        <f t="shared" si="82"/>
        <v>7.3751316638791892E-2</v>
      </c>
      <c r="J53" s="6">
        <f t="shared" si="82"/>
        <v>8.2139144463435551E-2</v>
      </c>
      <c r="K53" s="6">
        <f t="shared" si="82"/>
        <v>7.3787632358775057E-2</v>
      </c>
      <c r="L53" s="6">
        <f t="shared" si="82"/>
        <v>8.2726865427308574E-2</v>
      </c>
      <c r="M53" s="6">
        <f t="shared" si="82"/>
        <v>9.5993090234670536E-2</v>
      </c>
      <c r="N53" s="6">
        <f t="shared" si="82"/>
        <v>0.10028807531150311</v>
      </c>
      <c r="O53" s="6">
        <f t="shared" si="82"/>
        <v>0.12684632749749866</v>
      </c>
      <c r="P53" s="13">
        <f t="shared" si="82"/>
        <v>0.13798611526470922</v>
      </c>
      <c r="Q53" s="6">
        <f t="shared" si="82"/>
        <v>0.10274916185119577</v>
      </c>
      <c r="R53" s="6">
        <f t="shared" si="82"/>
        <v>0.10670911948384271</v>
      </c>
      <c r="S53" s="6">
        <f t="shared" si="82"/>
        <v>0.11300417111060967</v>
      </c>
      <c r="T53" s="6">
        <f t="shared" si="82"/>
        <v>0.11222758409074102</v>
      </c>
      <c r="U53" s="6">
        <f t="shared" si="82"/>
        <v>0.12313106479542367</v>
      </c>
      <c r="V53" s="6">
        <f t="shared" si="82"/>
        <v>8.3867554171687925E-2</v>
      </c>
      <c r="W53" s="6">
        <f t="shared" si="82"/>
        <v>7.6010010664794958E-2</v>
      </c>
      <c r="X53" s="6">
        <f t="shared" si="82"/>
        <v>9.4465525218128468E-2</v>
      </c>
      <c r="Y53" s="6">
        <f t="shared" si="82"/>
        <v>9.6620957505892432E-2</v>
      </c>
      <c r="Z53"/>
      <c r="AA53"/>
      <c r="AB53"/>
      <c r="AN53" s="5">
        <f t="shared" si="79"/>
        <v>0.10794440873717279</v>
      </c>
      <c r="AO53" s="263">
        <f t="shared" ref="AO53:AZ53" si="83">AO6/AO$31</f>
        <v>5.4723945156536981E-2</v>
      </c>
      <c r="AP53" s="18">
        <f t="shared" si="83"/>
        <v>5.1635644185246063E-2</v>
      </c>
      <c r="AQ53" s="18">
        <f t="shared" si="83"/>
        <v>5.6395379141491273E-2</v>
      </c>
      <c r="AR53" s="18">
        <f t="shared" si="83"/>
        <v>6.7876393264982945E-2</v>
      </c>
      <c r="AS53" s="18">
        <f t="shared" si="83"/>
        <v>6.3874844123099142E-2</v>
      </c>
      <c r="AT53" s="18">
        <f t="shared" si="83"/>
        <v>2.7511020203142573E-2</v>
      </c>
      <c r="AU53" s="18">
        <f t="shared" si="83"/>
        <v>3.6410144159228594E-2</v>
      </c>
      <c r="AV53" s="18">
        <f t="shared" si="83"/>
        <v>3.0617599294426243E-2</v>
      </c>
      <c r="AW53" s="18">
        <f t="shared" si="83"/>
        <v>3.4804305261625937E-2</v>
      </c>
      <c r="AX53" s="18">
        <f t="shared" si="83"/>
        <v>5.1034913730309765E-2</v>
      </c>
      <c r="AY53" s="18">
        <f t="shared" si="83"/>
        <v>4.9866321065317971E-2</v>
      </c>
      <c r="AZ53" s="18">
        <f t="shared" si="83"/>
        <v>5.7705738095877541E-2</v>
      </c>
      <c r="BA53" s="5">
        <f t="shared" si="81"/>
        <v>4.2112530493887024E-2</v>
      </c>
      <c r="BB53" s="19">
        <v>4.2112530493887031E-2</v>
      </c>
      <c r="BC53" s="5">
        <f t="shared" si="77"/>
        <v>0</v>
      </c>
    </row>
    <row r="54" spans="1:55">
      <c r="A54" t="s">
        <v>54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2"/>
      <c r="Q54" s="18"/>
      <c r="R54" s="18"/>
      <c r="S54" s="18"/>
      <c r="T54" s="18"/>
      <c r="U54" s="18"/>
      <c r="V54" s="18"/>
      <c r="W54" s="18"/>
      <c r="X54" s="18"/>
      <c r="Y54" s="18"/>
      <c r="Z54"/>
      <c r="AA54"/>
      <c r="AB54"/>
      <c r="AN54" s="5">
        <f t="shared" si="79"/>
        <v>1.32794453587402E-2</v>
      </c>
      <c r="AO54" s="263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5">
        <f t="shared" si="81"/>
        <v>1.1631028208351457E-2</v>
      </c>
      <c r="BB54" s="19">
        <v>1.1631028208351456E-2</v>
      </c>
      <c r="BC54" s="5">
        <f t="shared" si="77"/>
        <v>0</v>
      </c>
    </row>
    <row r="55" spans="1:55">
      <c r="A55" t="s">
        <v>62</v>
      </c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2"/>
      <c r="Q55" s="18"/>
      <c r="R55" s="18"/>
      <c r="S55" s="18"/>
      <c r="T55" s="18"/>
      <c r="U55" s="18"/>
      <c r="V55" s="18"/>
      <c r="W55" s="18"/>
      <c r="X55" s="18"/>
      <c r="Y55" s="18"/>
      <c r="Z55"/>
      <c r="AA55"/>
      <c r="AB55"/>
      <c r="AN55" s="5">
        <f t="shared" si="79"/>
        <v>0.11616336800472844</v>
      </c>
      <c r="AO55" s="263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5">
        <f t="shared" si="81"/>
        <v>0.11840526283153459</v>
      </c>
      <c r="BB55" s="19">
        <v>0.11840526283153459</v>
      </c>
      <c r="BC55" s="5">
        <f t="shared" si="77"/>
        <v>0</v>
      </c>
    </row>
    <row r="56" spans="1:55">
      <c r="A56" t="s">
        <v>56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2"/>
      <c r="Q56" s="18"/>
      <c r="R56" s="18"/>
      <c r="S56" s="18"/>
      <c r="T56" s="18"/>
      <c r="U56" s="18"/>
      <c r="V56" s="18"/>
      <c r="W56" s="18"/>
      <c r="X56" s="18"/>
      <c r="Y56" s="18"/>
      <c r="Z56"/>
      <c r="AA56"/>
      <c r="AB56"/>
      <c r="AN56" s="34">
        <f t="shared" si="79"/>
        <v>1.402832526569277E-3</v>
      </c>
      <c r="AO56" s="26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>
        <f t="shared" si="81"/>
        <v>1.3338294631309395E-3</v>
      </c>
      <c r="BB56" s="19">
        <v>1.3338294631309393E-3</v>
      </c>
      <c r="BC56" s="5">
        <f t="shared" si="77"/>
        <v>0</v>
      </c>
    </row>
    <row r="57" spans="1:55">
      <c r="A57" t="s">
        <v>53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/>
      <c r="AA57"/>
      <c r="AB57"/>
      <c r="AN57" s="5">
        <f>SUM(AN51:AN56)</f>
        <v>1</v>
      </c>
      <c r="AO57" s="263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5">
        <f>SUM(BA51:BA56)</f>
        <v>1</v>
      </c>
    </row>
    <row r="58" spans="1:55">
      <c r="P58"/>
      <c r="Z58"/>
      <c r="AA58"/>
      <c r="AB58"/>
      <c r="AO58" s="78"/>
    </row>
    <row r="59" spans="1:55">
      <c r="P59"/>
      <c r="Z59"/>
      <c r="AA59"/>
      <c r="AB59"/>
      <c r="AO59" s="78"/>
    </row>
    <row r="60" spans="1:55">
      <c r="A60" t="s">
        <v>49</v>
      </c>
      <c r="P60"/>
      <c r="Z60"/>
      <c r="AA60"/>
      <c r="AB60"/>
      <c r="AN60" s="19">
        <v>9.9000000000000005E-2</v>
      </c>
      <c r="AO60" s="78"/>
      <c r="BA60" s="19">
        <v>0.11</v>
      </c>
    </row>
    <row r="61" spans="1:55">
      <c r="A61" t="s">
        <v>50</v>
      </c>
      <c r="P61"/>
      <c r="Z61"/>
      <c r="AA61"/>
      <c r="AB61"/>
      <c r="AN61" s="19">
        <f>+AN25/AN5</f>
        <v>4.5798201074282036E-2</v>
      </c>
      <c r="AO61" s="78"/>
      <c r="BA61" s="19">
        <v>5.535098468271335E-2</v>
      </c>
    </row>
    <row r="62" spans="1:55">
      <c r="A62" t="s">
        <v>51</v>
      </c>
      <c r="P62"/>
      <c r="Z62"/>
      <c r="AA62"/>
      <c r="AB62"/>
      <c r="AN62" s="19">
        <f>+AN29/AN6</f>
        <v>4.2159603403195474E-2</v>
      </c>
      <c r="AO62" s="78"/>
      <c r="BA62" s="19">
        <f>+BA28</f>
        <v>4.848075859086514E-2</v>
      </c>
    </row>
    <row r="63" spans="1:55">
      <c r="A63" t="s">
        <v>54</v>
      </c>
      <c r="P63"/>
      <c r="Z63"/>
      <c r="AA63"/>
      <c r="AB63"/>
      <c r="AN63" s="19">
        <v>2.52E-2</v>
      </c>
      <c r="AO63" s="78"/>
      <c r="BA63" s="19">
        <v>2.53E-2</v>
      </c>
    </row>
    <row r="64" spans="1:55">
      <c r="A64" t="s">
        <v>62</v>
      </c>
      <c r="P64"/>
      <c r="Z64"/>
      <c r="AA64"/>
      <c r="AB64"/>
      <c r="AN64" s="19">
        <v>0</v>
      </c>
      <c r="AO64" s="78"/>
      <c r="BA64" s="19">
        <v>0</v>
      </c>
    </row>
    <row r="65" spans="1:60">
      <c r="A65" t="s">
        <v>56</v>
      </c>
      <c r="P65"/>
      <c r="Z65"/>
      <c r="AA65"/>
      <c r="AB65"/>
      <c r="AN65" s="252">
        <v>7.445295823056329E-2</v>
      </c>
      <c r="AO65" s="78"/>
      <c r="BA65" s="19">
        <f>(BA44/(BA44+BA45+BA43))*BA61+BA45/(BA43+BA44+BA45)*BA62+BA43/(BA43+BA44+BA45)*BA60</f>
        <v>8.4896270989811673E-2</v>
      </c>
    </row>
    <row r="66" spans="1:60">
      <c r="A66" t="s">
        <v>53</v>
      </c>
      <c r="P66"/>
      <c r="Z66"/>
      <c r="AA66"/>
      <c r="AB66"/>
      <c r="AN66" s="5">
        <f>SUM(AN60:AN65)</f>
        <v>0.28661076270804081</v>
      </c>
      <c r="AO66" s="78"/>
      <c r="BA66" s="5">
        <f>SUM(BA60:BA65)</f>
        <v>0.32402801426339017</v>
      </c>
    </row>
    <row r="67" spans="1:60">
      <c r="P67"/>
      <c r="Z67"/>
      <c r="AA67"/>
      <c r="AB67"/>
      <c r="AO67" s="78"/>
    </row>
    <row r="68" spans="1:60">
      <c r="A68" t="s">
        <v>49</v>
      </c>
      <c r="P68"/>
      <c r="Z68"/>
      <c r="AA68"/>
      <c r="AB68"/>
      <c r="AN68" s="19">
        <f t="shared" ref="AN68:AN73" si="84">+AN51*AN60</f>
        <v>4.7096992846646826E-2</v>
      </c>
      <c r="AO68" s="78"/>
      <c r="BA68" s="19">
        <f t="shared" ref="BA68:BA73" si="85">+BA51*BA60</f>
        <v>5.2239852875160891E-2</v>
      </c>
      <c r="BB68" s="19">
        <v>5.2239852875160885E-2</v>
      </c>
      <c r="BC68" s="29">
        <f t="shared" ref="BC68:BC74" si="86">BB68-BA68</f>
        <v>0</v>
      </c>
    </row>
    <row r="69" spans="1:60">
      <c r="A69" t="s">
        <v>50</v>
      </c>
      <c r="P69"/>
      <c r="Z69"/>
      <c r="AA69"/>
      <c r="AB69"/>
      <c r="AN69" s="19">
        <f t="shared" si="84"/>
        <v>1.3074596154241865E-2</v>
      </c>
      <c r="AO69" s="78"/>
      <c r="BA69" s="19">
        <f t="shared" si="85"/>
        <v>1.9461937339937847E-2</v>
      </c>
      <c r="BB69" s="19">
        <v>1.9461937339937844E-2</v>
      </c>
      <c r="BC69" s="29">
        <f t="shared" si="86"/>
        <v>0</v>
      </c>
    </row>
    <row r="70" spans="1:60">
      <c r="A70" t="s">
        <v>51</v>
      </c>
      <c r="P70"/>
      <c r="Z70"/>
      <c r="AA70"/>
      <c r="AB70"/>
      <c r="AN70" s="19">
        <f t="shared" si="84"/>
        <v>4.5508934619516335E-3</v>
      </c>
      <c r="AO70" s="78"/>
      <c r="BA70" s="19">
        <f t="shared" si="85"/>
        <v>2.0416474245245836E-3</v>
      </c>
      <c r="BB70" s="19">
        <v>2.0424577289535214E-3</v>
      </c>
      <c r="BC70" s="29">
        <f t="shared" si="86"/>
        <v>8.1030442893774771E-7</v>
      </c>
    </row>
    <row r="71" spans="1:60">
      <c r="A71" t="s">
        <v>54</v>
      </c>
      <c r="P71"/>
      <c r="Z71"/>
      <c r="AA71"/>
      <c r="AB71"/>
      <c r="AN71" s="19">
        <f t="shared" si="84"/>
        <v>3.3464202304025304E-4</v>
      </c>
      <c r="AO71" s="78"/>
      <c r="BA71" s="19">
        <f t="shared" si="85"/>
        <v>2.9426501367129184E-4</v>
      </c>
      <c r="BB71" s="19">
        <v>2.9426501367129184E-4</v>
      </c>
      <c r="BC71" s="29">
        <f t="shared" si="86"/>
        <v>0</v>
      </c>
    </row>
    <row r="72" spans="1:60">
      <c r="A72" t="s">
        <v>62</v>
      </c>
      <c r="P72"/>
      <c r="Z72"/>
      <c r="AA72"/>
      <c r="AB72"/>
      <c r="AN72" s="19">
        <f t="shared" si="84"/>
        <v>0</v>
      </c>
      <c r="AO72" s="78"/>
      <c r="BA72" s="19">
        <f t="shared" si="85"/>
        <v>0</v>
      </c>
      <c r="BB72" s="19">
        <v>0</v>
      </c>
      <c r="BC72" s="29">
        <f t="shared" si="86"/>
        <v>0</v>
      </c>
    </row>
    <row r="73" spans="1:60" ht="15.75" thickBot="1">
      <c r="A73" t="s">
        <v>56</v>
      </c>
      <c r="P73"/>
      <c r="Z73"/>
      <c r="AA73"/>
      <c r="AB73"/>
      <c r="AN73" s="19">
        <f t="shared" si="84"/>
        <v>1.0444503150513796E-4</v>
      </c>
      <c r="AO73" s="78"/>
      <c r="BA73" s="19">
        <f t="shared" si="85"/>
        <v>1.1323714755615927E-4</v>
      </c>
      <c r="BB73" s="19">
        <v>1.1326485599595696E-4</v>
      </c>
      <c r="BC73" s="29">
        <f t="shared" si="86"/>
        <v>2.7708439797688596E-8</v>
      </c>
    </row>
    <row r="74" spans="1:60" ht="15.75" thickBot="1">
      <c r="A74" t="s">
        <v>53</v>
      </c>
      <c r="P74"/>
      <c r="Z74"/>
      <c r="AA74"/>
      <c r="AB74"/>
      <c r="AN74" s="259">
        <f>SUM(AN68:AN73)</f>
        <v>6.5161569517385706E-2</v>
      </c>
      <c r="AO74" s="78"/>
      <c r="BA74" s="257">
        <f>SUM(BA68:BA73)</f>
        <v>7.4150939800850774E-2</v>
      </c>
      <c r="BB74" s="19">
        <v>7.4151777813719497E-2</v>
      </c>
      <c r="BC74" s="29">
        <f t="shared" si="86"/>
        <v>8.3801286872298153E-7</v>
      </c>
    </row>
    <row r="75" spans="1:60">
      <c r="P75"/>
      <c r="Z75" s="71"/>
      <c r="AA75" s="71"/>
      <c r="AB75" s="71"/>
    </row>
    <row r="76" spans="1:60">
      <c r="P76"/>
      <c r="Z76"/>
      <c r="AA76"/>
      <c r="AB76"/>
    </row>
    <row r="77" spans="1:60">
      <c r="P77"/>
      <c r="Z77" s="21"/>
      <c r="AA77" s="21"/>
      <c r="AB77" s="21"/>
      <c r="AC77" s="21"/>
      <c r="AD77" s="21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10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</row>
    <row r="78" spans="1:60">
      <c r="P78"/>
      <c r="Z78" s="21"/>
      <c r="AA78" s="21"/>
      <c r="AB78" s="21"/>
      <c r="AC78" s="21"/>
      <c r="AD78" s="21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10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</row>
    <row r="79" spans="1:60">
      <c r="P79"/>
      <c r="Z79" s="21"/>
      <c r="AA79" s="21"/>
      <c r="AB79" s="21"/>
      <c r="AC79" s="21"/>
      <c r="AD79" s="21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10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</row>
    <row r="80" spans="1:60">
      <c r="P80"/>
      <c r="Z80" s="21"/>
      <c r="AA80" s="21"/>
      <c r="AB80" s="21"/>
      <c r="AC80" s="21"/>
      <c r="AD80" s="21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10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</row>
    <row r="81" spans="16:60">
      <c r="P81"/>
      <c r="Z81" s="21"/>
      <c r="AA81" s="21"/>
      <c r="AB81" s="21"/>
      <c r="AC81" s="21"/>
      <c r="AD81" s="21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10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</row>
    <row r="82" spans="16:60">
      <c r="P82"/>
      <c r="Z82" s="21"/>
      <c r="AA82" s="21"/>
      <c r="AB82" s="21"/>
      <c r="AC82" s="21"/>
      <c r="AD82" s="21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10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</row>
    <row r="83" spans="16:60">
      <c r="P83"/>
      <c r="Z83" s="21"/>
      <c r="AA83" s="21"/>
      <c r="AB83" s="21"/>
      <c r="AC83" s="21"/>
      <c r="AD83" s="21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10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</row>
    <row r="84" spans="16:60">
      <c r="P84"/>
      <c r="Z84" s="21"/>
      <c r="AA84" s="21"/>
      <c r="AB84" s="21"/>
      <c r="AC84" s="21"/>
      <c r="AD84" s="21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10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</row>
    <row r="85" spans="16:60">
      <c r="P85"/>
      <c r="Z85"/>
      <c r="AA85"/>
      <c r="AB85"/>
    </row>
    <row r="86" spans="16:60">
      <c r="P86"/>
      <c r="Z86"/>
      <c r="AA86"/>
      <c r="AB86"/>
    </row>
    <row r="87" spans="16:60">
      <c r="P87"/>
      <c r="Z87"/>
      <c r="AA87"/>
      <c r="AB87"/>
    </row>
    <row r="88" spans="16:60">
      <c r="P88"/>
      <c r="Z88"/>
      <c r="AA88"/>
      <c r="AB88"/>
    </row>
    <row r="89" spans="16:60">
      <c r="P89"/>
      <c r="Z89"/>
      <c r="AA89"/>
      <c r="AB89"/>
    </row>
    <row r="90" spans="16:60">
      <c r="P90"/>
      <c r="Z90"/>
      <c r="AA90"/>
      <c r="AB90"/>
    </row>
    <row r="91" spans="16:60">
      <c r="P91"/>
      <c r="Z91"/>
      <c r="AA91"/>
      <c r="AB91"/>
    </row>
    <row r="92" spans="16:60">
      <c r="P92"/>
      <c r="Z92"/>
      <c r="AA92"/>
      <c r="AB92"/>
    </row>
    <row r="93" spans="16:60">
      <c r="P93"/>
      <c r="Z93"/>
      <c r="AA93"/>
      <c r="AB93"/>
    </row>
    <row r="94" spans="16:60">
      <c r="P94"/>
      <c r="Z94"/>
      <c r="AA94"/>
      <c r="AB94"/>
    </row>
    <row r="95" spans="16:60">
      <c r="P95"/>
      <c r="Z95"/>
      <c r="AA95"/>
      <c r="AB95"/>
    </row>
    <row r="96" spans="16:60">
      <c r="P96"/>
      <c r="Z96"/>
      <c r="AA96"/>
      <c r="AB96"/>
    </row>
    <row r="97" spans="16:28">
      <c r="P97"/>
      <c r="Z97"/>
      <c r="AA97"/>
      <c r="AB97"/>
    </row>
    <row r="98" spans="16:28">
      <c r="P98"/>
      <c r="Z98"/>
      <c r="AA98"/>
      <c r="AB98"/>
    </row>
    <row r="99" spans="16:28">
      <c r="P99"/>
      <c r="Z99"/>
      <c r="AA99"/>
      <c r="AB99"/>
    </row>
    <row r="100" spans="16:28">
      <c r="P100"/>
      <c r="Z100"/>
      <c r="AA100"/>
      <c r="AB100"/>
    </row>
    <row r="101" spans="16:28">
      <c r="P101"/>
      <c r="Z101"/>
      <c r="AA101"/>
      <c r="AB101"/>
    </row>
    <row r="102" spans="16:28">
      <c r="P102"/>
      <c r="Z102"/>
      <c r="AA102"/>
      <c r="AB102"/>
    </row>
    <row r="103" spans="16:28">
      <c r="P103"/>
      <c r="Z103"/>
      <c r="AA103"/>
      <c r="AB103"/>
    </row>
    <row r="104" spans="16:28">
      <c r="P104"/>
      <c r="Z104"/>
      <c r="AA104"/>
      <c r="AB104"/>
    </row>
    <row r="105" spans="16:28">
      <c r="P105"/>
      <c r="Z105"/>
      <c r="AA105"/>
      <c r="AB105"/>
    </row>
    <row r="106" spans="16:28">
      <c r="P106"/>
      <c r="Z106"/>
      <c r="AA106"/>
      <c r="AB106"/>
    </row>
    <row r="107" spans="16:28">
      <c r="P107"/>
      <c r="Z107"/>
      <c r="AA107"/>
      <c r="AB107"/>
    </row>
    <row r="108" spans="16:28">
      <c r="P108"/>
      <c r="Z108"/>
      <c r="AA108"/>
      <c r="AB108"/>
    </row>
    <row r="109" spans="16:28">
      <c r="P109"/>
      <c r="Z109"/>
      <c r="AA109"/>
      <c r="AB109"/>
    </row>
    <row r="110" spans="16:28">
      <c r="P110"/>
      <c r="Z110"/>
      <c r="AA110"/>
      <c r="AB110"/>
    </row>
    <row r="111" spans="16:28">
      <c r="P111"/>
      <c r="Z111"/>
      <c r="AA111"/>
      <c r="AB111"/>
    </row>
    <row r="112" spans="16:28">
      <c r="P112"/>
      <c r="Z112"/>
      <c r="AA112"/>
      <c r="AB112"/>
    </row>
    <row r="113" spans="16:28">
      <c r="P113"/>
      <c r="Z113"/>
      <c r="AA113"/>
      <c r="AB113"/>
    </row>
    <row r="114" spans="16:28">
      <c r="P114"/>
      <c r="Z114"/>
      <c r="AA114"/>
      <c r="AB114"/>
    </row>
    <row r="115" spans="16:28">
      <c r="P115"/>
      <c r="Z115"/>
      <c r="AA115"/>
      <c r="AB115"/>
    </row>
    <row r="116" spans="16:28">
      <c r="P116"/>
      <c r="Z116"/>
      <c r="AA116"/>
      <c r="AB116"/>
    </row>
    <row r="117" spans="16:28">
      <c r="P117"/>
      <c r="Z117"/>
      <c r="AA117"/>
      <c r="AB117"/>
    </row>
    <row r="118" spans="16:28">
      <c r="P118"/>
      <c r="Z118"/>
      <c r="AA118"/>
      <c r="AB118"/>
    </row>
    <row r="119" spans="16:28">
      <c r="P119"/>
      <c r="Z119"/>
      <c r="AA119"/>
      <c r="AB119"/>
    </row>
    <row r="120" spans="16:28">
      <c r="P120"/>
      <c r="Z120"/>
      <c r="AA120"/>
      <c r="AB120"/>
    </row>
    <row r="121" spans="16:28">
      <c r="P121"/>
      <c r="Z121"/>
      <c r="AA121"/>
      <c r="AB121"/>
    </row>
    <row r="122" spans="16:28">
      <c r="P122"/>
      <c r="Z122"/>
      <c r="AA122"/>
      <c r="AB122"/>
    </row>
    <row r="123" spans="16:28">
      <c r="P123"/>
      <c r="Z123"/>
      <c r="AA123"/>
      <c r="AB123"/>
    </row>
    <row r="124" spans="16:28">
      <c r="P124"/>
      <c r="Z124"/>
      <c r="AA124"/>
      <c r="AB124"/>
    </row>
    <row r="125" spans="16:28">
      <c r="P125"/>
      <c r="Z125"/>
      <c r="AA125"/>
      <c r="AB125"/>
    </row>
    <row r="126" spans="16:28">
      <c r="P126"/>
      <c r="Z126"/>
      <c r="AA126"/>
      <c r="AB126"/>
    </row>
    <row r="127" spans="16:28">
      <c r="P127"/>
      <c r="Z127"/>
      <c r="AA127"/>
      <c r="AB127"/>
    </row>
    <row r="128" spans="16:28">
      <c r="P128"/>
      <c r="Z128"/>
      <c r="AA128"/>
      <c r="AB128"/>
    </row>
    <row r="129" spans="16:28">
      <c r="P129"/>
      <c r="Z129"/>
      <c r="AA129"/>
      <c r="AB129"/>
    </row>
    <row r="130" spans="16:28">
      <c r="P130"/>
      <c r="Z130"/>
      <c r="AA130"/>
      <c r="AB130"/>
    </row>
    <row r="131" spans="16:28">
      <c r="P131"/>
      <c r="Z131"/>
      <c r="AA131"/>
      <c r="AB131"/>
    </row>
    <row r="132" spans="16:28">
      <c r="P132"/>
      <c r="Z132"/>
      <c r="AA132"/>
      <c r="AB132"/>
    </row>
    <row r="133" spans="16:28">
      <c r="P133"/>
      <c r="Z133"/>
      <c r="AA133"/>
      <c r="AB133"/>
    </row>
    <row r="134" spans="16:28">
      <c r="P134"/>
      <c r="Z134"/>
      <c r="AA134"/>
      <c r="AB134"/>
    </row>
    <row r="135" spans="16:28">
      <c r="P135"/>
      <c r="Z135"/>
      <c r="AA135"/>
      <c r="AB135"/>
    </row>
    <row r="136" spans="16:28">
      <c r="P136"/>
      <c r="Z136"/>
      <c r="AA136"/>
      <c r="AB136"/>
    </row>
    <row r="137" spans="16:28">
      <c r="P137"/>
      <c r="Z137"/>
      <c r="AA137"/>
      <c r="AB137"/>
    </row>
    <row r="138" spans="16:28">
      <c r="P138"/>
      <c r="Z138"/>
      <c r="AA138"/>
      <c r="AB138"/>
    </row>
    <row r="139" spans="16:28">
      <c r="P139"/>
      <c r="Z139"/>
      <c r="AA139"/>
      <c r="AB139"/>
    </row>
    <row r="140" spans="16:28">
      <c r="P140"/>
      <c r="Z140"/>
      <c r="AA140"/>
      <c r="AB140"/>
    </row>
    <row r="141" spans="16:28">
      <c r="P141"/>
      <c r="Z141"/>
      <c r="AA141"/>
      <c r="AB141"/>
    </row>
    <row r="142" spans="16:28">
      <c r="P142"/>
      <c r="Z142"/>
      <c r="AA142"/>
      <c r="AB142"/>
    </row>
    <row r="143" spans="16:28">
      <c r="P143"/>
      <c r="Z143"/>
      <c r="AA143"/>
      <c r="AB143"/>
    </row>
    <row r="144" spans="16:28">
      <c r="P144"/>
      <c r="Z144"/>
      <c r="AA144"/>
      <c r="AB144"/>
    </row>
    <row r="145" spans="16:28">
      <c r="P145"/>
      <c r="Z145"/>
      <c r="AA145"/>
      <c r="AB145"/>
    </row>
    <row r="146" spans="16:28">
      <c r="P146"/>
      <c r="Z146"/>
      <c r="AA146"/>
      <c r="AB146"/>
    </row>
    <row r="147" spans="16:28">
      <c r="P147"/>
      <c r="Z147"/>
      <c r="AA147"/>
      <c r="AB147"/>
    </row>
    <row r="148" spans="16:28">
      <c r="P148"/>
      <c r="Z148"/>
      <c r="AA148"/>
      <c r="AB148"/>
    </row>
    <row r="149" spans="16:28">
      <c r="P149"/>
      <c r="Z149"/>
      <c r="AA149"/>
      <c r="AB149"/>
    </row>
    <row r="150" spans="16:28">
      <c r="P150"/>
      <c r="Z150"/>
      <c r="AA150"/>
      <c r="AB150"/>
    </row>
    <row r="151" spans="16:28">
      <c r="P151"/>
      <c r="Z151"/>
      <c r="AA151"/>
      <c r="AB151"/>
    </row>
    <row r="152" spans="16:28">
      <c r="P152"/>
      <c r="Z152"/>
      <c r="AA152"/>
      <c r="AB152"/>
    </row>
    <row r="153" spans="16:28">
      <c r="P153"/>
      <c r="Z153"/>
      <c r="AA153"/>
      <c r="AB153"/>
    </row>
    <row r="154" spans="16:28">
      <c r="P154"/>
      <c r="Z154"/>
      <c r="AA154"/>
      <c r="AB154"/>
    </row>
    <row r="155" spans="16:28">
      <c r="P155"/>
      <c r="Z155"/>
      <c r="AA155"/>
      <c r="AB155"/>
    </row>
    <row r="156" spans="16:28">
      <c r="P156"/>
      <c r="Z156"/>
      <c r="AA156"/>
      <c r="AB156"/>
    </row>
    <row r="157" spans="16:28">
      <c r="P157"/>
      <c r="Z157"/>
      <c r="AA157"/>
      <c r="AB157"/>
    </row>
    <row r="158" spans="16:28">
      <c r="P158"/>
      <c r="Z158"/>
      <c r="AA158"/>
      <c r="AB158"/>
    </row>
    <row r="159" spans="16:28">
      <c r="P159"/>
      <c r="Z159"/>
      <c r="AA159"/>
      <c r="AB159"/>
    </row>
    <row r="160" spans="16:28">
      <c r="P160"/>
      <c r="Z160"/>
      <c r="AA160"/>
      <c r="AB160"/>
    </row>
    <row r="161" spans="16:28">
      <c r="P161"/>
      <c r="Z161"/>
      <c r="AA161"/>
      <c r="AB161"/>
    </row>
    <row r="162" spans="16:28">
      <c r="P162"/>
      <c r="Z162"/>
      <c r="AA162"/>
      <c r="AB162"/>
    </row>
    <row r="163" spans="16:28">
      <c r="P163"/>
      <c r="Z163"/>
      <c r="AA163"/>
      <c r="AB163"/>
    </row>
    <row r="164" spans="16:28">
      <c r="P164"/>
      <c r="Z164"/>
      <c r="AA164"/>
      <c r="AB164"/>
    </row>
    <row r="165" spans="16:28">
      <c r="P165"/>
      <c r="Z165"/>
      <c r="AA165"/>
      <c r="AB165"/>
    </row>
    <row r="166" spans="16:28">
      <c r="P166"/>
      <c r="Z166"/>
      <c r="AA166"/>
      <c r="AB166"/>
    </row>
    <row r="167" spans="16:28">
      <c r="P167"/>
      <c r="Z167"/>
      <c r="AA167"/>
      <c r="AB167"/>
    </row>
    <row r="168" spans="16:28">
      <c r="P168"/>
      <c r="Z168"/>
      <c r="AA168"/>
      <c r="AB168"/>
    </row>
    <row r="169" spans="16:28">
      <c r="P169"/>
      <c r="Z169"/>
      <c r="AA169"/>
      <c r="AB169"/>
    </row>
    <row r="170" spans="16:28">
      <c r="P170"/>
      <c r="Z170"/>
      <c r="AA170"/>
      <c r="AB170"/>
    </row>
    <row r="171" spans="16:28">
      <c r="P171"/>
      <c r="Z171"/>
      <c r="AA171"/>
      <c r="AB171"/>
    </row>
    <row r="172" spans="16:28">
      <c r="P172"/>
      <c r="Z172"/>
      <c r="AA172"/>
      <c r="AB172"/>
    </row>
    <row r="173" spans="16:28">
      <c r="P173"/>
      <c r="Z173"/>
      <c r="AA173"/>
      <c r="AB173"/>
    </row>
    <row r="174" spans="16:28">
      <c r="P174"/>
      <c r="Z174"/>
      <c r="AA174"/>
      <c r="AB174"/>
    </row>
    <row r="175" spans="16:28">
      <c r="P175"/>
      <c r="Z175"/>
      <c r="AA175"/>
      <c r="AB175"/>
    </row>
    <row r="176" spans="16:28">
      <c r="P176"/>
      <c r="Z176"/>
      <c r="AA176"/>
      <c r="AB176"/>
    </row>
    <row r="177" spans="16:28">
      <c r="P177"/>
      <c r="Z177"/>
      <c r="AA177"/>
      <c r="AB177"/>
    </row>
    <row r="178" spans="16:28">
      <c r="P178"/>
      <c r="Z178"/>
      <c r="AA178"/>
      <c r="AB178"/>
    </row>
    <row r="179" spans="16:28">
      <c r="P179"/>
      <c r="Z179"/>
      <c r="AA179"/>
      <c r="AB179"/>
    </row>
    <row r="180" spans="16:28">
      <c r="P180"/>
      <c r="Z180"/>
      <c r="AA180"/>
      <c r="AB180"/>
    </row>
    <row r="181" spans="16:28">
      <c r="P181"/>
      <c r="Z181"/>
      <c r="AA181"/>
      <c r="AB181"/>
    </row>
    <row r="182" spans="16:28">
      <c r="P182"/>
      <c r="Z182"/>
      <c r="AA182"/>
      <c r="AB182"/>
    </row>
    <row r="183" spans="16:28">
      <c r="P183"/>
      <c r="Z183"/>
      <c r="AA183"/>
      <c r="AB183"/>
    </row>
    <row r="184" spans="16:28">
      <c r="P184"/>
      <c r="Z184"/>
      <c r="AA184"/>
      <c r="AB184"/>
    </row>
    <row r="185" spans="16:28">
      <c r="P185"/>
      <c r="Z185"/>
      <c r="AA185"/>
      <c r="AB185"/>
    </row>
    <row r="186" spans="16:28">
      <c r="P186"/>
      <c r="Z186"/>
      <c r="AA186"/>
      <c r="AB186"/>
    </row>
    <row r="187" spans="16:28">
      <c r="P187"/>
      <c r="Z187"/>
      <c r="AA187"/>
      <c r="AB187"/>
    </row>
    <row r="188" spans="16:28">
      <c r="P188"/>
      <c r="Z188"/>
      <c r="AA188"/>
      <c r="AB188"/>
    </row>
    <row r="189" spans="16:28">
      <c r="P189"/>
      <c r="Z189"/>
      <c r="AA189"/>
      <c r="AB189"/>
    </row>
    <row r="190" spans="16:28">
      <c r="P190"/>
      <c r="Z190"/>
      <c r="AA190"/>
      <c r="AB190"/>
    </row>
    <row r="191" spans="16:28">
      <c r="P191"/>
      <c r="Z191"/>
      <c r="AA191"/>
      <c r="AB191"/>
    </row>
    <row r="192" spans="16:28">
      <c r="P192"/>
      <c r="Z192"/>
      <c r="AA192"/>
      <c r="AB192"/>
    </row>
    <row r="193" spans="16:28">
      <c r="P193"/>
      <c r="Z193"/>
      <c r="AA193"/>
      <c r="AB193"/>
    </row>
    <row r="194" spans="16:28">
      <c r="P194"/>
      <c r="Z194"/>
      <c r="AA194"/>
      <c r="AB194"/>
    </row>
    <row r="195" spans="16:28">
      <c r="P195"/>
      <c r="Z195"/>
      <c r="AA195"/>
      <c r="AB195"/>
    </row>
    <row r="196" spans="16:28">
      <c r="P196"/>
      <c r="Z196"/>
      <c r="AA196"/>
      <c r="AB196"/>
    </row>
    <row r="197" spans="16:28">
      <c r="P197"/>
      <c r="Z197"/>
      <c r="AA197"/>
      <c r="AB197"/>
    </row>
    <row r="198" spans="16:28">
      <c r="P198"/>
      <c r="Z198"/>
      <c r="AA198"/>
      <c r="AB198"/>
    </row>
    <row r="199" spans="16:28">
      <c r="P199"/>
      <c r="Z199"/>
      <c r="AA199"/>
      <c r="AB199"/>
    </row>
    <row r="200" spans="16:28">
      <c r="P200"/>
      <c r="Z200"/>
      <c r="AA200"/>
      <c r="AB200"/>
    </row>
    <row r="201" spans="16:28">
      <c r="P201"/>
      <c r="Z201"/>
      <c r="AA201"/>
      <c r="AB201"/>
    </row>
    <row r="202" spans="16:28">
      <c r="P202"/>
      <c r="Z202"/>
      <c r="AA202"/>
      <c r="AB202"/>
    </row>
    <row r="203" spans="16:28">
      <c r="P203"/>
      <c r="Z203"/>
      <c r="AA203"/>
      <c r="AB203"/>
    </row>
    <row r="204" spans="16:28">
      <c r="P204"/>
      <c r="Z204"/>
      <c r="AA204"/>
      <c r="AB204"/>
    </row>
    <row r="205" spans="16:28">
      <c r="P205"/>
      <c r="Z205"/>
      <c r="AA205"/>
      <c r="AB205"/>
    </row>
    <row r="206" spans="16:28">
      <c r="P206"/>
      <c r="Z206"/>
      <c r="AA206"/>
      <c r="AB206"/>
    </row>
    <row r="207" spans="16:28">
      <c r="P207"/>
      <c r="Z207"/>
      <c r="AA207"/>
      <c r="AB207"/>
    </row>
    <row r="208" spans="16:28">
      <c r="P208"/>
      <c r="Z208"/>
      <c r="AA208"/>
      <c r="AB208"/>
    </row>
    <row r="209" spans="16:28">
      <c r="P209"/>
      <c r="Z209"/>
      <c r="AA209"/>
      <c r="AB209"/>
    </row>
    <row r="210" spans="16:28">
      <c r="P210"/>
      <c r="Z210"/>
      <c r="AA210"/>
      <c r="AB210"/>
    </row>
    <row r="211" spans="16:28">
      <c r="P211"/>
      <c r="Z211"/>
      <c r="AA211"/>
      <c r="AB211"/>
    </row>
    <row r="212" spans="16:28">
      <c r="P212"/>
      <c r="Z212"/>
      <c r="AA212"/>
      <c r="AB212"/>
    </row>
    <row r="213" spans="16:28">
      <c r="P213"/>
      <c r="Z213"/>
      <c r="AA213"/>
      <c r="AB213"/>
    </row>
    <row r="214" spans="16:28">
      <c r="P214"/>
      <c r="Z214"/>
      <c r="AA214"/>
      <c r="AB214"/>
    </row>
    <row r="215" spans="16:28">
      <c r="P215"/>
      <c r="Z215"/>
      <c r="AA215"/>
      <c r="AB215"/>
    </row>
    <row r="216" spans="16:28">
      <c r="P216"/>
      <c r="Z216"/>
      <c r="AA216"/>
      <c r="AB216"/>
    </row>
    <row r="217" spans="16:28">
      <c r="P217"/>
      <c r="Z217"/>
      <c r="AA217"/>
      <c r="AB217"/>
    </row>
    <row r="218" spans="16:28">
      <c r="P218"/>
      <c r="Z218"/>
      <c r="AA218"/>
      <c r="AB218"/>
    </row>
    <row r="219" spans="16:28">
      <c r="P219"/>
      <c r="Z219"/>
      <c r="AA219"/>
      <c r="AB219"/>
    </row>
    <row r="220" spans="16:28">
      <c r="P220"/>
      <c r="Z220"/>
      <c r="AA220"/>
      <c r="AB220"/>
    </row>
    <row r="221" spans="16:28">
      <c r="P221"/>
      <c r="Z221"/>
      <c r="AA221"/>
      <c r="AB221"/>
    </row>
    <row r="222" spans="16:28">
      <c r="P222"/>
      <c r="Z222"/>
      <c r="AA222"/>
      <c r="AB222"/>
    </row>
    <row r="223" spans="16:28">
      <c r="P223"/>
      <c r="Z223"/>
      <c r="AA223"/>
      <c r="AB223"/>
    </row>
    <row r="224" spans="16:28">
      <c r="P224"/>
      <c r="Z224"/>
      <c r="AA224"/>
      <c r="AB224"/>
    </row>
    <row r="225" spans="16:28">
      <c r="P225"/>
      <c r="Z225"/>
      <c r="AA225"/>
      <c r="AB225"/>
    </row>
    <row r="226" spans="16:28">
      <c r="P226"/>
      <c r="Z226"/>
      <c r="AA226"/>
      <c r="AB226"/>
    </row>
    <row r="227" spans="16:28">
      <c r="P227"/>
      <c r="Z227"/>
      <c r="AA227"/>
      <c r="AB227"/>
    </row>
    <row r="228" spans="16:28">
      <c r="P228"/>
      <c r="Z228"/>
      <c r="AA228"/>
      <c r="AB228"/>
    </row>
    <row r="229" spans="16:28">
      <c r="P229"/>
      <c r="Z229"/>
      <c r="AA229"/>
      <c r="AB229"/>
    </row>
    <row r="230" spans="16:28">
      <c r="P230"/>
      <c r="Z230"/>
      <c r="AA230"/>
      <c r="AB230"/>
    </row>
    <row r="231" spans="16:28">
      <c r="P231"/>
      <c r="Z231"/>
      <c r="AA231"/>
      <c r="AB231"/>
    </row>
    <row r="232" spans="16:28">
      <c r="P232"/>
      <c r="Z232"/>
      <c r="AA232"/>
      <c r="AB232"/>
    </row>
    <row r="233" spans="16:28">
      <c r="P233"/>
      <c r="Z233"/>
      <c r="AA233"/>
      <c r="AB233"/>
    </row>
    <row r="234" spans="16:28">
      <c r="P234"/>
      <c r="Z234"/>
      <c r="AA234"/>
      <c r="AB234"/>
    </row>
    <row r="235" spans="16:28">
      <c r="P235"/>
      <c r="Z235"/>
      <c r="AA235"/>
      <c r="AB235"/>
    </row>
    <row r="236" spans="16:28">
      <c r="P236"/>
      <c r="Z236"/>
      <c r="AA236"/>
      <c r="AB236"/>
    </row>
    <row r="237" spans="16:28">
      <c r="P237"/>
      <c r="Z237"/>
      <c r="AA237"/>
      <c r="AB237"/>
    </row>
    <row r="238" spans="16:28">
      <c r="P238"/>
      <c r="Z238"/>
      <c r="AA238"/>
      <c r="AB238"/>
    </row>
    <row r="239" spans="16:28">
      <c r="P239"/>
      <c r="Z239"/>
      <c r="AA239"/>
      <c r="AB239"/>
    </row>
    <row r="240" spans="16:28">
      <c r="P240"/>
      <c r="Z240"/>
      <c r="AA240"/>
      <c r="AB240"/>
    </row>
    <row r="241" spans="16:28">
      <c r="P241"/>
      <c r="Z241"/>
      <c r="AA241"/>
      <c r="AB241"/>
    </row>
    <row r="242" spans="16:28">
      <c r="P242"/>
      <c r="Z242"/>
      <c r="AA242"/>
      <c r="AB242"/>
    </row>
    <row r="243" spans="16:28">
      <c r="P243"/>
      <c r="Z243"/>
      <c r="AA243"/>
      <c r="AB243"/>
    </row>
    <row r="244" spans="16:28">
      <c r="P244"/>
      <c r="Z244"/>
      <c r="AA244"/>
      <c r="AB244"/>
    </row>
    <row r="245" spans="16:28">
      <c r="P245"/>
      <c r="Z245"/>
      <c r="AA245"/>
      <c r="AB245"/>
    </row>
    <row r="246" spans="16:28">
      <c r="P246"/>
      <c r="Z246"/>
      <c r="AA246"/>
      <c r="AB246"/>
    </row>
    <row r="247" spans="16:28">
      <c r="P247"/>
      <c r="Z247"/>
      <c r="AA247"/>
      <c r="AB247"/>
    </row>
    <row r="248" spans="16:28">
      <c r="P248"/>
      <c r="Z248"/>
      <c r="AA248"/>
      <c r="AB248"/>
    </row>
    <row r="249" spans="16:28">
      <c r="P249"/>
      <c r="Z249"/>
      <c r="AA249"/>
      <c r="AB249"/>
    </row>
    <row r="250" spans="16:28">
      <c r="P250"/>
      <c r="Z250"/>
      <c r="AA250"/>
      <c r="AB250"/>
    </row>
    <row r="251" spans="16:28">
      <c r="P251"/>
      <c r="Z251"/>
      <c r="AA251"/>
      <c r="AB251"/>
    </row>
    <row r="252" spans="16:28">
      <c r="P252"/>
      <c r="Z252"/>
      <c r="AA252"/>
      <c r="AB252"/>
    </row>
    <row r="253" spans="16:28">
      <c r="P253"/>
      <c r="Z253"/>
      <c r="AA253"/>
      <c r="AB253"/>
    </row>
    <row r="254" spans="16:28">
      <c r="P254"/>
      <c r="Z254"/>
      <c r="AA254"/>
      <c r="AB254"/>
    </row>
    <row r="255" spans="16:28">
      <c r="P255"/>
      <c r="Z255"/>
      <c r="AA255"/>
      <c r="AB255"/>
    </row>
    <row r="256" spans="16:28">
      <c r="P256"/>
      <c r="Z256"/>
      <c r="AA256"/>
      <c r="AB256"/>
    </row>
    <row r="257" spans="16:28">
      <c r="P257"/>
      <c r="Z257"/>
      <c r="AA257"/>
      <c r="AB257"/>
    </row>
    <row r="258" spans="16:28">
      <c r="P258"/>
      <c r="Z258"/>
      <c r="AA258"/>
      <c r="AB258"/>
    </row>
    <row r="259" spans="16:28">
      <c r="P259"/>
      <c r="Z259"/>
      <c r="AA259"/>
      <c r="AB259"/>
    </row>
    <row r="260" spans="16:28">
      <c r="P260"/>
      <c r="Z260"/>
      <c r="AA260"/>
      <c r="AB260"/>
    </row>
    <row r="261" spans="16:28">
      <c r="P261"/>
      <c r="Z261"/>
      <c r="AA261"/>
      <c r="AB261"/>
    </row>
    <row r="262" spans="16:28">
      <c r="P262"/>
      <c r="Z262"/>
      <c r="AA262"/>
      <c r="AB262"/>
    </row>
    <row r="263" spans="16:28">
      <c r="P263"/>
      <c r="Z263"/>
      <c r="AA263"/>
      <c r="AB263"/>
    </row>
    <row r="264" spans="16:28">
      <c r="P264"/>
      <c r="Z264"/>
      <c r="AA264"/>
      <c r="AB264"/>
    </row>
    <row r="265" spans="16:28">
      <c r="P265"/>
      <c r="Z265"/>
      <c r="AA265"/>
      <c r="AB265"/>
    </row>
    <row r="266" spans="16:28">
      <c r="P266"/>
      <c r="Z266"/>
      <c r="AA266"/>
      <c r="AB266"/>
    </row>
    <row r="267" spans="16:28">
      <c r="P267"/>
      <c r="Z267"/>
      <c r="AA267"/>
      <c r="AB267"/>
    </row>
    <row r="268" spans="16:28">
      <c r="P268"/>
      <c r="Z268"/>
      <c r="AA268"/>
      <c r="AB268"/>
    </row>
    <row r="269" spans="16:28">
      <c r="P269"/>
      <c r="Z269"/>
      <c r="AA269"/>
      <c r="AB269"/>
    </row>
    <row r="270" spans="16:28">
      <c r="P270"/>
      <c r="Z270"/>
      <c r="AA270"/>
      <c r="AB270"/>
    </row>
    <row r="271" spans="16:28">
      <c r="P271"/>
      <c r="Z271"/>
      <c r="AA271"/>
      <c r="AB271"/>
    </row>
    <row r="272" spans="16:28">
      <c r="P272"/>
      <c r="Z272"/>
      <c r="AA272"/>
      <c r="AB272"/>
    </row>
    <row r="273" spans="16:28">
      <c r="P273"/>
      <c r="Z273"/>
      <c r="AA273"/>
      <c r="AB273"/>
    </row>
    <row r="274" spans="16:28">
      <c r="P274"/>
      <c r="Z274"/>
      <c r="AA274"/>
      <c r="AB274"/>
    </row>
    <row r="275" spans="16:28">
      <c r="P275"/>
      <c r="Z275"/>
      <c r="AA275"/>
      <c r="AB275"/>
    </row>
    <row r="276" spans="16:28">
      <c r="P276"/>
      <c r="Z276"/>
      <c r="AA276"/>
      <c r="AB276"/>
    </row>
    <row r="277" spans="16:28">
      <c r="P277"/>
      <c r="Z277"/>
      <c r="AA277"/>
      <c r="AB277"/>
    </row>
    <row r="278" spans="16:28">
      <c r="P278"/>
      <c r="Z278"/>
      <c r="AA278"/>
      <c r="AB278"/>
    </row>
    <row r="279" spans="16:28">
      <c r="P279"/>
      <c r="Z279"/>
      <c r="AA279"/>
      <c r="AB279"/>
    </row>
    <row r="280" spans="16:28">
      <c r="P280"/>
      <c r="Z280"/>
      <c r="AA280"/>
      <c r="AB280"/>
    </row>
    <row r="281" spans="16:28">
      <c r="P281"/>
      <c r="Z281"/>
      <c r="AA281"/>
      <c r="AB281"/>
    </row>
    <row r="282" spans="16:28">
      <c r="P282"/>
      <c r="Z282"/>
      <c r="AA282"/>
      <c r="AB282"/>
    </row>
    <row r="283" spans="16:28">
      <c r="P283"/>
      <c r="Z283"/>
      <c r="AA283"/>
      <c r="AB283"/>
    </row>
    <row r="284" spans="16:28">
      <c r="P284"/>
      <c r="Z284"/>
      <c r="AA284"/>
      <c r="AB284"/>
    </row>
    <row r="285" spans="16:28">
      <c r="P285"/>
      <c r="Z285"/>
      <c r="AA285"/>
      <c r="AB285"/>
    </row>
    <row r="286" spans="16:28">
      <c r="P286"/>
      <c r="Z286"/>
      <c r="AA286"/>
      <c r="AB286"/>
    </row>
    <row r="287" spans="16:28">
      <c r="P287"/>
      <c r="Z287"/>
      <c r="AA287"/>
      <c r="AB287"/>
    </row>
    <row r="288" spans="16:28">
      <c r="P288"/>
      <c r="Z288"/>
      <c r="AA288"/>
      <c r="AB288"/>
    </row>
    <row r="289" spans="16:28">
      <c r="P289"/>
      <c r="Z289"/>
      <c r="AA289"/>
      <c r="AB289"/>
    </row>
    <row r="290" spans="16:28">
      <c r="P290"/>
      <c r="Z290"/>
      <c r="AA290"/>
      <c r="AB290"/>
    </row>
    <row r="291" spans="16:28">
      <c r="P291"/>
      <c r="Z291"/>
      <c r="AA291"/>
      <c r="AB291"/>
    </row>
    <row r="292" spans="16:28">
      <c r="P292"/>
      <c r="Z292"/>
      <c r="AA292"/>
      <c r="AB292"/>
    </row>
    <row r="293" spans="16:28">
      <c r="P293"/>
      <c r="Z293"/>
      <c r="AA293"/>
      <c r="AB293"/>
    </row>
    <row r="294" spans="16:28">
      <c r="P294"/>
      <c r="Z294"/>
      <c r="AA294"/>
      <c r="AB294"/>
    </row>
    <row r="295" spans="16:28">
      <c r="P295"/>
      <c r="Z295"/>
      <c r="AA295"/>
      <c r="AB295"/>
    </row>
    <row r="296" spans="16:28">
      <c r="P296"/>
      <c r="Z296"/>
      <c r="AA296"/>
      <c r="AB296"/>
    </row>
    <row r="297" spans="16:28">
      <c r="P297"/>
      <c r="Z297"/>
      <c r="AA297"/>
      <c r="AB297"/>
    </row>
    <row r="298" spans="16:28">
      <c r="P298"/>
      <c r="Z298"/>
      <c r="AA298"/>
      <c r="AB298"/>
    </row>
    <row r="299" spans="16:28">
      <c r="P299"/>
      <c r="Z299"/>
      <c r="AA299"/>
      <c r="AB299"/>
    </row>
    <row r="300" spans="16:28">
      <c r="P300"/>
      <c r="Z300"/>
      <c r="AA300"/>
      <c r="AB300"/>
    </row>
    <row r="301" spans="16:28">
      <c r="P301"/>
      <c r="Z301"/>
      <c r="AA301"/>
      <c r="AB301"/>
    </row>
    <row r="302" spans="16:28">
      <c r="P302"/>
      <c r="Z302"/>
      <c r="AA302"/>
      <c r="AB302"/>
    </row>
    <row r="303" spans="16:28">
      <c r="P303"/>
      <c r="Z303"/>
      <c r="AA303"/>
      <c r="AB303"/>
    </row>
    <row r="304" spans="16:28">
      <c r="P304"/>
      <c r="Z304"/>
      <c r="AA304"/>
      <c r="AB304"/>
    </row>
    <row r="305" spans="16:28">
      <c r="P305"/>
      <c r="Z305"/>
      <c r="AA305"/>
      <c r="AB305"/>
    </row>
    <row r="306" spans="16:28">
      <c r="P306"/>
      <c r="Z306"/>
      <c r="AA306"/>
      <c r="AB306"/>
    </row>
    <row r="307" spans="16:28">
      <c r="P307"/>
      <c r="Z307"/>
      <c r="AA307"/>
      <c r="AB307"/>
    </row>
    <row r="308" spans="16:28">
      <c r="P308"/>
      <c r="Z308"/>
      <c r="AA308"/>
      <c r="AB308"/>
    </row>
    <row r="309" spans="16:28">
      <c r="P309"/>
      <c r="Z309"/>
      <c r="AA309"/>
      <c r="AB309"/>
    </row>
    <row r="310" spans="16:28">
      <c r="P310"/>
      <c r="Z310"/>
      <c r="AA310"/>
      <c r="AB310"/>
    </row>
    <row r="311" spans="16:28">
      <c r="P311"/>
      <c r="Z311"/>
      <c r="AA311"/>
      <c r="AB311"/>
    </row>
    <row r="312" spans="16:28">
      <c r="P312"/>
      <c r="Z312"/>
      <c r="AA312"/>
      <c r="AB312"/>
    </row>
    <row r="313" spans="16:28">
      <c r="P313"/>
      <c r="Z313"/>
      <c r="AA313"/>
      <c r="AB313"/>
    </row>
    <row r="314" spans="16:28">
      <c r="P314"/>
      <c r="Z314"/>
      <c r="AA314"/>
      <c r="AB314"/>
    </row>
    <row r="315" spans="16:28">
      <c r="P315"/>
      <c r="Z315"/>
      <c r="AA315"/>
      <c r="AB315"/>
    </row>
    <row r="316" spans="16:28">
      <c r="P316"/>
      <c r="Z316"/>
      <c r="AA316"/>
      <c r="AB316"/>
    </row>
    <row r="317" spans="16:28">
      <c r="P317"/>
      <c r="Z317"/>
      <c r="AA317"/>
      <c r="AB317"/>
    </row>
    <row r="318" spans="16:28">
      <c r="P318"/>
      <c r="Z318"/>
      <c r="AA318"/>
      <c r="AB318"/>
    </row>
    <row r="319" spans="16:28">
      <c r="P319"/>
      <c r="Z319"/>
      <c r="AA319"/>
      <c r="AB319"/>
    </row>
    <row r="320" spans="16:28">
      <c r="P320"/>
      <c r="Z320"/>
      <c r="AA320"/>
      <c r="AB320"/>
    </row>
    <row r="321" spans="16:28">
      <c r="P321"/>
      <c r="Z321"/>
      <c r="AA321"/>
      <c r="AB321"/>
    </row>
    <row r="322" spans="16:28">
      <c r="P322"/>
      <c r="Z322"/>
      <c r="AA322"/>
      <c r="AB322"/>
    </row>
    <row r="323" spans="16:28">
      <c r="P323"/>
      <c r="Z323"/>
      <c r="AA323"/>
      <c r="AB323"/>
    </row>
    <row r="324" spans="16:28">
      <c r="P324"/>
      <c r="Z324"/>
      <c r="AA324"/>
      <c r="AB324"/>
    </row>
    <row r="325" spans="16:28">
      <c r="P325"/>
      <c r="Z325"/>
      <c r="AA325"/>
      <c r="AB325"/>
    </row>
    <row r="326" spans="16:28">
      <c r="P326"/>
      <c r="Z326"/>
      <c r="AA326"/>
      <c r="AB326"/>
    </row>
    <row r="327" spans="16:28">
      <c r="P327"/>
      <c r="Z327"/>
      <c r="AA327"/>
      <c r="AB327"/>
    </row>
    <row r="328" spans="16:28">
      <c r="P328"/>
      <c r="Z328"/>
      <c r="AA328"/>
      <c r="AB328"/>
    </row>
    <row r="329" spans="16:28">
      <c r="P329"/>
      <c r="Z329"/>
      <c r="AA329"/>
      <c r="AB329"/>
    </row>
    <row r="330" spans="16:28">
      <c r="P330"/>
      <c r="Z330"/>
      <c r="AA330"/>
      <c r="AB330"/>
    </row>
    <row r="331" spans="16:28">
      <c r="P331"/>
      <c r="Z331"/>
      <c r="AA331"/>
      <c r="AB331"/>
    </row>
    <row r="332" spans="16:28">
      <c r="P332"/>
      <c r="Z332"/>
      <c r="AA332"/>
      <c r="AB332"/>
    </row>
    <row r="333" spans="16:28">
      <c r="P333"/>
      <c r="Z333"/>
      <c r="AA333"/>
      <c r="AB333"/>
    </row>
    <row r="334" spans="16:28">
      <c r="P334"/>
      <c r="Z334"/>
      <c r="AA334"/>
      <c r="AB334"/>
    </row>
    <row r="335" spans="16:28">
      <c r="P335"/>
      <c r="Z335"/>
      <c r="AA335"/>
      <c r="AB335"/>
    </row>
    <row r="336" spans="16:28">
      <c r="P336"/>
      <c r="Z336"/>
      <c r="AA336"/>
      <c r="AB336"/>
    </row>
    <row r="337" spans="16:28">
      <c r="P337"/>
      <c r="Z337"/>
      <c r="AA337"/>
      <c r="AB337"/>
    </row>
    <row r="338" spans="16:28">
      <c r="P338"/>
      <c r="Z338"/>
      <c r="AA338"/>
      <c r="AB338"/>
    </row>
    <row r="339" spans="16:28">
      <c r="P339"/>
      <c r="Z339"/>
      <c r="AA339"/>
      <c r="AB339"/>
    </row>
    <row r="340" spans="16:28">
      <c r="P340"/>
      <c r="Z340"/>
      <c r="AA340"/>
      <c r="AB340"/>
    </row>
    <row r="341" spans="16:28">
      <c r="P341"/>
      <c r="Z341"/>
      <c r="AA341"/>
      <c r="AB341"/>
    </row>
    <row r="342" spans="16:28">
      <c r="P342"/>
      <c r="Z342"/>
      <c r="AA342"/>
      <c r="AB342"/>
    </row>
    <row r="343" spans="16:28">
      <c r="P343"/>
      <c r="Z343"/>
      <c r="AA343"/>
      <c r="AB343"/>
    </row>
    <row r="344" spans="16:28">
      <c r="P344"/>
      <c r="Z344"/>
      <c r="AA344"/>
      <c r="AB344"/>
    </row>
    <row r="345" spans="16:28">
      <c r="P345"/>
      <c r="Z345"/>
      <c r="AA345"/>
      <c r="AB345"/>
    </row>
    <row r="346" spans="16:28">
      <c r="P346"/>
      <c r="Z346"/>
      <c r="AA346"/>
      <c r="AB346"/>
    </row>
    <row r="347" spans="16:28">
      <c r="P347"/>
      <c r="Z347"/>
      <c r="AA347"/>
      <c r="AB347"/>
    </row>
    <row r="348" spans="16:28">
      <c r="P348"/>
      <c r="Z348"/>
      <c r="AA348"/>
      <c r="AB348"/>
    </row>
    <row r="349" spans="16:28">
      <c r="P349"/>
      <c r="Z349"/>
      <c r="AA349"/>
      <c r="AB349"/>
    </row>
    <row r="350" spans="16:28">
      <c r="P350"/>
      <c r="Z350"/>
      <c r="AA350"/>
      <c r="AB350"/>
    </row>
    <row r="351" spans="16:28">
      <c r="P351"/>
      <c r="Z351"/>
      <c r="AA351"/>
      <c r="AB351"/>
    </row>
    <row r="352" spans="16:28">
      <c r="P352"/>
      <c r="Z352"/>
      <c r="AA352"/>
      <c r="AB352"/>
    </row>
    <row r="353" spans="16:28">
      <c r="P353"/>
      <c r="Z353"/>
      <c r="AA353"/>
      <c r="AB353"/>
    </row>
    <row r="354" spans="16:28">
      <c r="P354"/>
      <c r="Z354"/>
      <c r="AA354"/>
      <c r="AB354"/>
    </row>
    <row r="355" spans="16:28">
      <c r="P355"/>
      <c r="Z355"/>
      <c r="AA355"/>
      <c r="AB355"/>
    </row>
    <row r="356" spans="16:28">
      <c r="P356"/>
      <c r="Z356"/>
      <c r="AA356"/>
      <c r="AB356"/>
    </row>
    <row r="357" spans="16:28">
      <c r="P357"/>
      <c r="Z357"/>
      <c r="AA357"/>
      <c r="AB357"/>
    </row>
    <row r="358" spans="16:28">
      <c r="P358"/>
      <c r="Z358"/>
      <c r="AA358"/>
      <c r="AB358"/>
    </row>
    <row r="359" spans="16:28">
      <c r="P359"/>
      <c r="Z359"/>
      <c r="AA359"/>
      <c r="AB359"/>
    </row>
    <row r="360" spans="16:28">
      <c r="P360"/>
      <c r="Z360"/>
      <c r="AA360"/>
      <c r="AB360"/>
    </row>
    <row r="361" spans="16:28">
      <c r="P361"/>
      <c r="Z361"/>
      <c r="AA361"/>
      <c r="AB361"/>
    </row>
    <row r="362" spans="16:28">
      <c r="P362"/>
      <c r="Z362"/>
      <c r="AA362"/>
      <c r="AB362"/>
    </row>
    <row r="363" spans="16:28">
      <c r="P363"/>
      <c r="Z363"/>
      <c r="AA363"/>
      <c r="AB363"/>
    </row>
    <row r="364" spans="16:28">
      <c r="P364"/>
      <c r="Z364"/>
      <c r="AA364"/>
      <c r="AB364"/>
    </row>
    <row r="365" spans="16:28">
      <c r="P365"/>
      <c r="Z365"/>
      <c r="AA365"/>
      <c r="AB365"/>
    </row>
    <row r="366" spans="16:28">
      <c r="P366"/>
      <c r="Z366"/>
      <c r="AA366"/>
      <c r="AB366"/>
    </row>
    <row r="367" spans="16:28">
      <c r="P367"/>
      <c r="Z367"/>
      <c r="AA367"/>
      <c r="AB367"/>
    </row>
    <row r="368" spans="16:28">
      <c r="P368"/>
      <c r="Z368"/>
      <c r="AA368"/>
      <c r="AB368"/>
    </row>
    <row r="369" spans="16:28">
      <c r="P369"/>
      <c r="Z369"/>
      <c r="AA369"/>
      <c r="AB369"/>
    </row>
    <row r="370" spans="16:28">
      <c r="P370"/>
      <c r="Z370"/>
      <c r="AA370"/>
      <c r="AB370"/>
    </row>
    <row r="371" spans="16:28">
      <c r="P371"/>
      <c r="Z371"/>
      <c r="AA371"/>
      <c r="AB371"/>
    </row>
    <row r="372" spans="16:28">
      <c r="P372"/>
      <c r="Z372"/>
      <c r="AA372"/>
      <c r="AB372"/>
    </row>
    <row r="373" spans="16:28">
      <c r="P373"/>
      <c r="Z373"/>
      <c r="AA373"/>
      <c r="AB373"/>
    </row>
    <row r="374" spans="16:28">
      <c r="P374"/>
      <c r="Z374"/>
      <c r="AA374"/>
      <c r="AB374"/>
    </row>
    <row r="375" spans="16:28">
      <c r="P375"/>
      <c r="Z375"/>
      <c r="AA375"/>
      <c r="AB375"/>
    </row>
    <row r="376" spans="16:28">
      <c r="P376"/>
      <c r="Z376"/>
      <c r="AA376"/>
      <c r="AB376"/>
    </row>
    <row r="377" spans="16:28">
      <c r="P377"/>
      <c r="Z377"/>
      <c r="AA377"/>
      <c r="AB377"/>
    </row>
    <row r="378" spans="16:28">
      <c r="P378"/>
      <c r="Z378"/>
      <c r="AA378"/>
      <c r="AB378"/>
    </row>
    <row r="379" spans="16:28">
      <c r="P379"/>
      <c r="Z379"/>
      <c r="AA379"/>
      <c r="AB379"/>
    </row>
    <row r="380" spans="16:28">
      <c r="P380"/>
      <c r="Z380"/>
      <c r="AA380"/>
      <c r="AB380"/>
    </row>
    <row r="381" spans="16:28">
      <c r="P381"/>
      <c r="Z381"/>
      <c r="AA381"/>
      <c r="AB381"/>
    </row>
    <row r="382" spans="16:28">
      <c r="P382"/>
      <c r="Z382"/>
      <c r="AA382"/>
      <c r="AB382"/>
    </row>
    <row r="383" spans="16:28">
      <c r="P383"/>
      <c r="Z383"/>
      <c r="AA383"/>
      <c r="AB383"/>
    </row>
    <row r="384" spans="16:28">
      <c r="P384"/>
      <c r="Z384"/>
      <c r="AA384"/>
      <c r="AB384"/>
    </row>
    <row r="385" spans="16:28">
      <c r="P385"/>
      <c r="Z385"/>
      <c r="AA385"/>
      <c r="AB385"/>
    </row>
    <row r="386" spans="16:28">
      <c r="P386"/>
      <c r="Z386"/>
      <c r="AA386"/>
      <c r="AB386"/>
    </row>
    <row r="387" spans="16:28">
      <c r="P387"/>
      <c r="Z387"/>
      <c r="AA387"/>
      <c r="AB387"/>
    </row>
    <row r="388" spans="16:28">
      <c r="P388"/>
      <c r="Z388"/>
      <c r="AA388"/>
      <c r="AB388"/>
    </row>
    <row r="389" spans="16:28">
      <c r="P389"/>
      <c r="Z389"/>
      <c r="AA389"/>
      <c r="AB389"/>
    </row>
    <row r="390" spans="16:28">
      <c r="P390"/>
      <c r="Z390"/>
      <c r="AA390"/>
      <c r="AB390"/>
    </row>
    <row r="391" spans="16:28">
      <c r="P391"/>
      <c r="Z391"/>
      <c r="AA391"/>
      <c r="AB391"/>
    </row>
    <row r="392" spans="16:28">
      <c r="P392"/>
      <c r="Z392"/>
      <c r="AA392"/>
      <c r="AB392"/>
    </row>
    <row r="393" spans="16:28">
      <c r="P393"/>
      <c r="Z393"/>
      <c r="AA393"/>
      <c r="AB393"/>
    </row>
    <row r="394" spans="16:28">
      <c r="P394"/>
      <c r="Z394"/>
      <c r="AA394"/>
      <c r="AB394"/>
    </row>
    <row r="395" spans="16:28">
      <c r="P395"/>
      <c r="Z395"/>
      <c r="AA395"/>
      <c r="AB395"/>
    </row>
    <row r="396" spans="16:28">
      <c r="P396"/>
      <c r="Z396"/>
      <c r="AA396"/>
      <c r="AB396"/>
    </row>
    <row r="397" spans="16:28">
      <c r="P397"/>
      <c r="Z397"/>
      <c r="AA397"/>
      <c r="AB397"/>
    </row>
    <row r="398" spans="16:28">
      <c r="P398"/>
      <c r="Z398"/>
      <c r="AA398"/>
      <c r="AB398"/>
    </row>
    <row r="399" spans="16:28">
      <c r="P399"/>
      <c r="Z399"/>
      <c r="AA399"/>
      <c r="AB399"/>
    </row>
    <row r="400" spans="16:28">
      <c r="P400"/>
      <c r="Z400"/>
      <c r="AA400"/>
      <c r="AB400"/>
    </row>
    <row r="401" spans="16:28">
      <c r="P401"/>
      <c r="Z401"/>
      <c r="AA401"/>
      <c r="AB401"/>
    </row>
    <row r="402" spans="16:28">
      <c r="P402"/>
      <c r="Z402"/>
      <c r="AA402"/>
      <c r="AB402"/>
    </row>
    <row r="403" spans="16:28">
      <c r="P403"/>
      <c r="Z403"/>
      <c r="AA403"/>
      <c r="AB403"/>
    </row>
    <row r="404" spans="16:28">
      <c r="P404"/>
      <c r="Z404"/>
      <c r="AA404"/>
      <c r="AB404"/>
    </row>
    <row r="405" spans="16:28">
      <c r="P405"/>
      <c r="Z405"/>
      <c r="AA405"/>
      <c r="AB405"/>
    </row>
    <row r="406" spans="16:28">
      <c r="P406"/>
      <c r="Z406"/>
      <c r="AA406"/>
      <c r="AB406"/>
    </row>
    <row r="407" spans="16:28">
      <c r="P407"/>
      <c r="Z407"/>
      <c r="AA407"/>
      <c r="AB407"/>
    </row>
    <row r="408" spans="16:28">
      <c r="P408"/>
      <c r="Z408"/>
      <c r="AA408"/>
      <c r="AB408"/>
    </row>
    <row r="409" spans="16:28">
      <c r="P409"/>
      <c r="Z409"/>
      <c r="AA409"/>
      <c r="AB409"/>
    </row>
    <row r="410" spans="16:28">
      <c r="P410"/>
      <c r="Z410"/>
      <c r="AA410"/>
      <c r="AB410"/>
    </row>
    <row r="411" spans="16:28">
      <c r="P411"/>
      <c r="Z411"/>
      <c r="AA411"/>
      <c r="AB411"/>
    </row>
    <row r="412" spans="16:28">
      <c r="P412"/>
      <c r="Z412"/>
      <c r="AA412"/>
      <c r="AB412"/>
    </row>
    <row r="413" spans="16:28">
      <c r="P413"/>
      <c r="Z413"/>
      <c r="AA413"/>
      <c r="AB413"/>
    </row>
    <row r="414" spans="16:28">
      <c r="P414"/>
      <c r="Z414"/>
      <c r="AA414"/>
      <c r="AB414"/>
    </row>
    <row r="415" spans="16:28">
      <c r="P415"/>
      <c r="Z415"/>
      <c r="AA415"/>
      <c r="AB415"/>
    </row>
    <row r="416" spans="16:28">
      <c r="P416"/>
      <c r="Z416"/>
      <c r="AA416"/>
      <c r="AB416"/>
    </row>
    <row r="417" spans="16:28">
      <c r="P417"/>
      <c r="Z417"/>
      <c r="AA417"/>
      <c r="AB417"/>
    </row>
    <row r="418" spans="16:28">
      <c r="P418"/>
      <c r="Z418"/>
      <c r="AA418"/>
      <c r="AB418"/>
    </row>
    <row r="419" spans="16:28">
      <c r="P419"/>
      <c r="Z419"/>
      <c r="AA419"/>
      <c r="AB419"/>
    </row>
    <row r="420" spans="16:28">
      <c r="P420"/>
      <c r="Z420"/>
      <c r="AA420"/>
      <c r="AB420"/>
    </row>
    <row r="421" spans="16:28">
      <c r="P421"/>
      <c r="Z421"/>
      <c r="AA421"/>
      <c r="AB421"/>
    </row>
    <row r="422" spans="16:28">
      <c r="P422"/>
      <c r="Z422"/>
      <c r="AA422"/>
      <c r="AB422"/>
    </row>
    <row r="423" spans="16:28">
      <c r="P423"/>
      <c r="Z423"/>
      <c r="AA423"/>
      <c r="AB423"/>
    </row>
    <row r="424" spans="16:28">
      <c r="P424"/>
      <c r="Z424"/>
      <c r="AA424"/>
      <c r="AB424"/>
    </row>
    <row r="425" spans="16:28">
      <c r="P425"/>
      <c r="Z425"/>
      <c r="AA425"/>
      <c r="AB425"/>
    </row>
    <row r="426" spans="16:28">
      <c r="P426"/>
      <c r="Z426"/>
      <c r="AA426"/>
      <c r="AB426"/>
    </row>
    <row r="427" spans="16:28">
      <c r="P427"/>
      <c r="Z427"/>
      <c r="AA427"/>
      <c r="AB427"/>
    </row>
    <row r="428" spans="16:28">
      <c r="P428"/>
      <c r="Z428"/>
      <c r="AA428"/>
      <c r="AB428"/>
    </row>
    <row r="429" spans="16:28">
      <c r="P429"/>
      <c r="Z429"/>
      <c r="AA429"/>
      <c r="AB429"/>
    </row>
    <row r="430" spans="16:28">
      <c r="P430"/>
      <c r="Z430"/>
      <c r="AA430"/>
      <c r="AB430"/>
    </row>
    <row r="431" spans="16:28">
      <c r="P431"/>
      <c r="Z431"/>
      <c r="AA431"/>
      <c r="AB431"/>
    </row>
    <row r="432" spans="16:28">
      <c r="P432"/>
      <c r="Z432"/>
      <c r="AA432"/>
      <c r="AB432"/>
    </row>
    <row r="433" spans="16:28">
      <c r="P433"/>
      <c r="Z433"/>
      <c r="AA433"/>
      <c r="AB433"/>
    </row>
    <row r="434" spans="16:28">
      <c r="P434"/>
      <c r="Z434"/>
      <c r="AA434"/>
      <c r="AB434"/>
    </row>
    <row r="435" spans="16:28">
      <c r="P435"/>
      <c r="Z435"/>
      <c r="AA435"/>
      <c r="AB435"/>
    </row>
    <row r="436" spans="16:28">
      <c r="P436"/>
      <c r="Z436"/>
      <c r="AA436"/>
      <c r="AB436"/>
    </row>
    <row r="437" spans="16:28">
      <c r="P437"/>
      <c r="Z437"/>
      <c r="AA437"/>
      <c r="AB437"/>
    </row>
    <row r="438" spans="16:28">
      <c r="P438"/>
      <c r="Z438"/>
      <c r="AA438"/>
      <c r="AB438"/>
    </row>
    <row r="439" spans="16:28">
      <c r="P439"/>
      <c r="Z439"/>
      <c r="AA439"/>
      <c r="AB439"/>
    </row>
    <row r="440" spans="16:28">
      <c r="P440"/>
      <c r="Z440"/>
      <c r="AA440"/>
      <c r="AB440"/>
    </row>
    <row r="441" spans="16:28">
      <c r="P441"/>
      <c r="Z441"/>
      <c r="AA441"/>
      <c r="AB441"/>
    </row>
    <row r="442" spans="16:28">
      <c r="P442"/>
      <c r="Z442"/>
      <c r="AA442"/>
      <c r="AB442"/>
    </row>
    <row r="443" spans="16:28">
      <c r="P443"/>
      <c r="Z443"/>
      <c r="AA443"/>
      <c r="AB443"/>
    </row>
    <row r="444" spans="16:28">
      <c r="P444"/>
      <c r="Z444"/>
      <c r="AA444"/>
      <c r="AB444"/>
    </row>
    <row r="445" spans="16:28">
      <c r="P445"/>
      <c r="Z445"/>
      <c r="AA445"/>
      <c r="AB445"/>
    </row>
    <row r="446" spans="16:28">
      <c r="P446"/>
      <c r="Z446"/>
      <c r="AA446"/>
      <c r="AB446"/>
    </row>
    <row r="447" spans="16:28">
      <c r="P447"/>
      <c r="Z447"/>
      <c r="AA447"/>
      <c r="AB447"/>
    </row>
    <row r="448" spans="16:28">
      <c r="P448"/>
      <c r="Z448"/>
      <c r="AA448"/>
      <c r="AB448"/>
    </row>
    <row r="449" spans="16:28">
      <c r="P449"/>
      <c r="Z449"/>
      <c r="AA449"/>
      <c r="AB449"/>
    </row>
    <row r="450" spans="16:28">
      <c r="P450"/>
      <c r="Z450"/>
      <c r="AA450"/>
      <c r="AB450"/>
    </row>
    <row r="451" spans="16:28">
      <c r="P451"/>
      <c r="Z451"/>
      <c r="AA451"/>
      <c r="AB451"/>
    </row>
    <row r="452" spans="16:28">
      <c r="P452"/>
      <c r="Z452"/>
      <c r="AA452"/>
      <c r="AB452"/>
    </row>
    <row r="453" spans="16:28">
      <c r="P453"/>
      <c r="Z453"/>
      <c r="AA453"/>
      <c r="AB453"/>
    </row>
    <row r="454" spans="16:28">
      <c r="P454"/>
      <c r="Z454"/>
      <c r="AA454"/>
      <c r="AB454"/>
    </row>
    <row r="455" spans="16:28">
      <c r="P455"/>
      <c r="Z455"/>
      <c r="AA455"/>
      <c r="AB455"/>
    </row>
    <row r="456" spans="16:28">
      <c r="P456"/>
      <c r="Z456"/>
      <c r="AA456"/>
      <c r="AB456"/>
    </row>
    <row r="457" spans="16:28">
      <c r="P457"/>
      <c r="Z457"/>
      <c r="AA457"/>
      <c r="AB457"/>
    </row>
    <row r="458" spans="16:28">
      <c r="P458"/>
      <c r="Z458"/>
      <c r="AA458"/>
      <c r="AB458"/>
    </row>
    <row r="459" spans="16:28">
      <c r="P459"/>
      <c r="Z459"/>
      <c r="AA459"/>
      <c r="AB459"/>
    </row>
    <row r="460" spans="16:28">
      <c r="P460"/>
      <c r="Z460"/>
      <c r="AA460"/>
      <c r="AB460"/>
    </row>
    <row r="461" spans="16:28">
      <c r="P461"/>
      <c r="Z461"/>
      <c r="AA461"/>
      <c r="AB461"/>
    </row>
    <row r="462" spans="16:28">
      <c r="P462"/>
      <c r="Z462"/>
      <c r="AA462"/>
      <c r="AB462"/>
    </row>
    <row r="463" spans="16:28">
      <c r="P463"/>
      <c r="Z463"/>
      <c r="AA463"/>
      <c r="AB463"/>
    </row>
    <row r="464" spans="16:28">
      <c r="P464"/>
      <c r="Z464"/>
      <c r="AA464"/>
      <c r="AB464"/>
    </row>
    <row r="465" spans="16:28">
      <c r="P465"/>
      <c r="Z465"/>
      <c r="AA465"/>
      <c r="AB465"/>
    </row>
    <row r="466" spans="16:28">
      <c r="P466"/>
      <c r="Z466"/>
      <c r="AA466"/>
      <c r="AB466"/>
    </row>
    <row r="467" spans="16:28">
      <c r="P467"/>
      <c r="Z467"/>
      <c r="AA467"/>
      <c r="AB467"/>
    </row>
    <row r="468" spans="16:28">
      <c r="P468"/>
      <c r="Z468"/>
      <c r="AA468"/>
      <c r="AB468"/>
    </row>
    <row r="469" spans="16:28">
      <c r="P469"/>
      <c r="Z469"/>
      <c r="AA469"/>
      <c r="AB469"/>
    </row>
    <row r="470" spans="16:28">
      <c r="P470"/>
      <c r="Z470"/>
      <c r="AA470"/>
      <c r="AB470"/>
    </row>
    <row r="471" spans="16:28">
      <c r="P471"/>
      <c r="Z471"/>
      <c r="AA471"/>
      <c r="AB471"/>
    </row>
    <row r="472" spans="16:28">
      <c r="P472"/>
      <c r="Z472"/>
      <c r="AA472"/>
      <c r="AB472"/>
    </row>
    <row r="473" spans="16:28">
      <c r="P473"/>
      <c r="Z473"/>
      <c r="AA473"/>
      <c r="AB473"/>
    </row>
    <row r="474" spans="16:28">
      <c r="P474"/>
      <c r="Z474"/>
      <c r="AA474"/>
      <c r="AB474"/>
    </row>
  </sheetData>
  <pageMargins left="0.7" right="0.7" top="0.75" bottom="0.75" header="0.3" footer="0.3"/>
  <customProperties>
    <customPr name="EpmWorksheetKeyString_GU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6478C-4E92-478D-8A97-6E6FE26545EB}">
  <sheetPr codeName="Sheet5">
    <pageSetUpPr fitToPage="1"/>
  </sheetPr>
  <dimension ref="A1:BO97"/>
  <sheetViews>
    <sheetView zoomScale="70" zoomScaleNormal="70" workbookViewId="0">
      <pane xSplit="6" ySplit="6" topLeftCell="G7" activePane="bottomRight" state="frozen"/>
      <selection pane="topRight" activeCell="CM1" sqref="CM1"/>
      <selection pane="bottomLeft" activeCell="A7" sqref="A7"/>
      <selection pane="bottomRight" activeCell="I2" sqref="I2"/>
    </sheetView>
  </sheetViews>
  <sheetFormatPr defaultColWidth="8.42578125" defaultRowHeight="15"/>
  <cols>
    <col min="1" max="1" width="38" style="99" customWidth="1"/>
    <col min="2" max="2" width="8.42578125" style="99" hidden="1" customWidth="1"/>
    <col min="3" max="3" width="2.85546875" style="99" customWidth="1"/>
    <col min="4" max="4" width="11.7109375" style="99" hidden="1" customWidth="1"/>
    <col min="5" max="5" width="2.85546875" style="99" customWidth="1"/>
    <col min="6" max="18" width="15" style="199" customWidth="1"/>
    <col min="19" max="19" width="20.7109375" style="198" customWidth="1"/>
    <col min="20" max="20" width="20" style="99" bestFit="1" customWidth="1"/>
    <col min="21" max="21" width="11.28515625" style="99" bestFit="1" customWidth="1"/>
    <col min="22" max="22" width="11.85546875" style="99" bestFit="1" customWidth="1"/>
    <col min="23" max="16384" width="8.42578125" style="99"/>
  </cols>
  <sheetData>
    <row r="1" spans="1:67" ht="15.75">
      <c r="A1" s="131"/>
      <c r="C1" s="132"/>
      <c r="D1" s="133"/>
      <c r="E1" s="132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6"/>
      <c r="BO1" s="137"/>
    </row>
    <row r="2" spans="1:67">
      <c r="C2" s="132"/>
      <c r="D2" s="132"/>
      <c r="E2" s="132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6"/>
    </row>
    <row r="3" spans="1:67" ht="15.75" customHeight="1">
      <c r="A3" s="138"/>
      <c r="C3" s="132"/>
      <c r="D3" s="132"/>
      <c r="E3" s="132"/>
      <c r="F3" s="135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6"/>
    </row>
    <row r="4" spans="1:67" ht="15.75">
      <c r="A4" s="131" t="s">
        <v>110</v>
      </c>
      <c r="C4" s="140"/>
      <c r="E4" s="140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42"/>
    </row>
    <row r="5" spans="1:67">
      <c r="A5" s="143"/>
      <c r="C5" s="140"/>
      <c r="D5" s="109"/>
      <c r="E5" s="140"/>
      <c r="F5" s="144" t="s">
        <v>0</v>
      </c>
      <c r="G5" s="144" t="s">
        <v>0</v>
      </c>
      <c r="H5" s="144" t="s">
        <v>0</v>
      </c>
      <c r="I5" s="144" t="s">
        <v>0</v>
      </c>
      <c r="J5" s="144" t="s">
        <v>0</v>
      </c>
      <c r="K5" s="144" t="s">
        <v>0</v>
      </c>
      <c r="L5" s="144" t="s">
        <v>0</v>
      </c>
      <c r="M5" s="144" t="s">
        <v>0</v>
      </c>
      <c r="N5" s="144" t="s">
        <v>0</v>
      </c>
      <c r="O5" s="144" t="s">
        <v>0</v>
      </c>
      <c r="P5" s="144" t="s">
        <v>0</v>
      </c>
      <c r="Q5" s="144" t="s">
        <v>0</v>
      </c>
      <c r="R5" s="144" t="s">
        <v>0</v>
      </c>
      <c r="S5" s="145" t="s">
        <v>189</v>
      </c>
    </row>
    <row r="6" spans="1:67">
      <c r="A6" s="143"/>
      <c r="C6" s="140"/>
      <c r="D6" s="109"/>
      <c r="E6" s="140"/>
      <c r="F6" s="146">
        <v>45291</v>
      </c>
      <c r="G6" s="146">
        <v>45322</v>
      </c>
      <c r="H6" s="146">
        <v>45350</v>
      </c>
      <c r="I6" s="146">
        <v>45382</v>
      </c>
      <c r="J6" s="146">
        <v>45412</v>
      </c>
      <c r="K6" s="146">
        <v>45443</v>
      </c>
      <c r="L6" s="146">
        <v>45473</v>
      </c>
      <c r="M6" s="146">
        <v>45504</v>
      </c>
      <c r="N6" s="146">
        <v>45535</v>
      </c>
      <c r="O6" s="146">
        <v>45565</v>
      </c>
      <c r="P6" s="146">
        <v>45596</v>
      </c>
      <c r="Q6" s="146">
        <v>45626</v>
      </c>
      <c r="R6" s="146">
        <v>45657</v>
      </c>
      <c r="S6" s="147" t="s">
        <v>111</v>
      </c>
    </row>
    <row r="7" spans="1:67">
      <c r="A7" s="99" t="s">
        <v>112</v>
      </c>
      <c r="C7" s="140"/>
      <c r="D7" s="148"/>
      <c r="E7" s="149"/>
      <c r="F7" s="150">
        <v>59236199.999999993</v>
      </c>
      <c r="G7" s="150">
        <v>71766499.99999997</v>
      </c>
      <c r="H7" s="150">
        <v>67926200.000000015</v>
      </c>
      <c r="I7" s="150">
        <v>60946099.999999993</v>
      </c>
      <c r="J7" s="150">
        <v>52392500</v>
      </c>
      <c r="K7" s="150">
        <v>47476599.999999985</v>
      </c>
      <c r="L7" s="150">
        <v>45373299.999999978</v>
      </c>
      <c r="M7" s="150">
        <v>43920399.99999997</v>
      </c>
      <c r="N7" s="150">
        <v>43371099.999999993</v>
      </c>
      <c r="O7" s="150">
        <v>45200099.99999997</v>
      </c>
      <c r="P7" s="150">
        <v>46104599.999999993</v>
      </c>
      <c r="Q7" s="150">
        <v>51491699.999999985</v>
      </c>
      <c r="R7" s="150">
        <v>59227699.99999997</v>
      </c>
      <c r="S7" s="151">
        <f>SUM(G7:R7)</f>
        <v>635196800</v>
      </c>
      <c r="T7" s="152">
        <v>576955550.28148592</v>
      </c>
      <c r="U7" s="153"/>
      <c r="V7" s="154"/>
    </row>
    <row r="8" spans="1:67">
      <c r="A8" s="99" t="s">
        <v>113</v>
      </c>
      <c r="C8" s="140"/>
      <c r="D8" s="148"/>
      <c r="E8" s="149"/>
      <c r="F8" s="155">
        <v>21375500</v>
      </c>
      <c r="G8" s="155">
        <v>32330700</v>
      </c>
      <c r="H8" s="155">
        <v>30137200</v>
      </c>
      <c r="I8" s="155">
        <v>24809900</v>
      </c>
      <c r="J8" s="155">
        <v>18243800</v>
      </c>
      <c r="K8" s="155">
        <v>15145400</v>
      </c>
      <c r="L8" s="155">
        <v>13843900</v>
      </c>
      <c r="M8" s="155">
        <v>13329600</v>
      </c>
      <c r="N8" s="155">
        <v>12910100</v>
      </c>
      <c r="O8" s="155">
        <v>13755000</v>
      </c>
      <c r="P8" s="155">
        <v>14886200</v>
      </c>
      <c r="Q8" s="155">
        <v>17661600</v>
      </c>
      <c r="R8" s="155">
        <v>21375500</v>
      </c>
      <c r="S8" s="156">
        <f t="shared" ref="S8:S9" si="0">SUM(G8:R8)</f>
        <v>228428900</v>
      </c>
      <c r="T8" s="152"/>
      <c r="U8" s="153"/>
      <c r="V8" s="152"/>
    </row>
    <row r="9" spans="1:67">
      <c r="A9" s="99" t="s">
        <v>114</v>
      </c>
      <c r="C9" s="140"/>
      <c r="D9" s="157"/>
      <c r="E9" s="149"/>
      <c r="F9" s="158">
        <v>37860699.999999993</v>
      </c>
      <c r="G9" s="158">
        <v>39435799.99999997</v>
      </c>
      <c r="H9" s="158">
        <v>37789000.000000015</v>
      </c>
      <c r="I9" s="158">
        <v>36136199.999999993</v>
      </c>
      <c r="J9" s="158">
        <v>34148700</v>
      </c>
      <c r="K9" s="158">
        <v>32331199.999999985</v>
      </c>
      <c r="L9" s="158">
        <v>31529399.999999978</v>
      </c>
      <c r="M9" s="158">
        <v>30590799.99999997</v>
      </c>
      <c r="N9" s="158">
        <v>30460999.999999993</v>
      </c>
      <c r="O9" s="158">
        <v>31445099.99999997</v>
      </c>
      <c r="P9" s="158">
        <v>31218399.999999993</v>
      </c>
      <c r="Q9" s="158">
        <v>33830099.999999985</v>
      </c>
      <c r="R9" s="158">
        <v>37852199.99999997</v>
      </c>
      <c r="S9" s="159">
        <f t="shared" si="0"/>
        <v>406767899.99999988</v>
      </c>
      <c r="T9" s="152"/>
      <c r="U9" s="153"/>
      <c r="V9" s="152"/>
    </row>
    <row r="10" spans="1:67">
      <c r="C10" s="140"/>
      <c r="D10" s="148"/>
      <c r="E10" s="149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59"/>
      <c r="U10" s="153"/>
      <c r="V10" s="152"/>
    </row>
    <row r="11" spans="1:67">
      <c r="A11" s="99" t="s">
        <v>115</v>
      </c>
      <c r="C11" s="140"/>
      <c r="D11" s="148"/>
      <c r="E11" s="149"/>
      <c r="F11" s="150">
        <v>14203099.999999998</v>
      </c>
      <c r="G11" s="150">
        <v>15021700.000000002</v>
      </c>
      <c r="H11" s="150">
        <v>14162599.999999998</v>
      </c>
      <c r="I11" s="150">
        <v>15468599.999999996</v>
      </c>
      <c r="J11" s="150">
        <v>13953899.999999996</v>
      </c>
      <c r="K11" s="150">
        <v>14340299.999999996</v>
      </c>
      <c r="L11" s="150">
        <v>15122599.999999994</v>
      </c>
      <c r="M11" s="150">
        <v>14393599.999999994</v>
      </c>
      <c r="N11" s="150">
        <v>14069899.999999994</v>
      </c>
      <c r="O11" s="150">
        <v>14821499.999999998</v>
      </c>
      <c r="P11" s="150">
        <v>14321899.999999996</v>
      </c>
      <c r="Q11" s="150">
        <v>14555200</v>
      </c>
      <c r="R11" s="150">
        <v>15976099.999999991</v>
      </c>
      <c r="S11" s="151">
        <f t="shared" ref="S11:S20" si="1">SUM(G11:R11)</f>
        <v>176207900</v>
      </c>
      <c r="T11" s="152">
        <v>151258200.00202581</v>
      </c>
      <c r="U11" s="153"/>
      <c r="V11" s="152"/>
    </row>
    <row r="12" spans="1:67">
      <c r="A12" s="99" t="s">
        <v>116</v>
      </c>
      <c r="C12" s="140"/>
      <c r="D12" s="148"/>
      <c r="E12" s="149"/>
      <c r="F12" s="150">
        <v>-2186400</v>
      </c>
      <c r="G12" s="150">
        <v>6500900</v>
      </c>
      <c r="H12" s="150">
        <v>6538500</v>
      </c>
      <c r="I12" s="150">
        <v>6573399.9999999991</v>
      </c>
      <c r="J12" s="150">
        <v>6612500</v>
      </c>
      <c r="K12" s="150">
        <v>6628000</v>
      </c>
      <c r="L12" s="150">
        <v>6666000</v>
      </c>
      <c r="M12" s="150">
        <v>6705300</v>
      </c>
      <c r="N12" s="150">
        <v>6739600</v>
      </c>
      <c r="O12" s="150">
        <v>6780500</v>
      </c>
      <c r="P12" s="150">
        <v>6829600</v>
      </c>
      <c r="Q12" s="150">
        <v>6864800</v>
      </c>
      <c r="R12" s="150">
        <v>6900699.9999999991</v>
      </c>
      <c r="S12" s="151">
        <f t="shared" si="1"/>
        <v>80339800</v>
      </c>
      <c r="T12" s="152"/>
      <c r="U12" s="153"/>
      <c r="V12" s="152"/>
    </row>
    <row r="13" spans="1:67">
      <c r="A13" s="99" t="s">
        <v>117</v>
      </c>
      <c r="C13" s="140"/>
      <c r="D13" s="148"/>
      <c r="E13" s="149"/>
      <c r="F13" s="150">
        <v>607200</v>
      </c>
      <c r="G13" s="150">
        <v>613000</v>
      </c>
      <c r="H13" s="150">
        <v>613200</v>
      </c>
      <c r="I13" s="150">
        <v>613600</v>
      </c>
      <c r="J13" s="150">
        <v>614000</v>
      </c>
      <c r="K13" s="150">
        <v>614400</v>
      </c>
      <c r="L13" s="150">
        <v>614800</v>
      </c>
      <c r="M13" s="150">
        <v>615200</v>
      </c>
      <c r="N13" s="150">
        <v>615600</v>
      </c>
      <c r="O13" s="150">
        <v>626100</v>
      </c>
      <c r="P13" s="150">
        <v>629700</v>
      </c>
      <c r="Q13" s="150">
        <v>631300</v>
      </c>
      <c r="R13" s="150">
        <v>635400</v>
      </c>
      <c r="S13" s="151">
        <f t="shared" si="1"/>
        <v>7436300</v>
      </c>
      <c r="T13" s="152"/>
      <c r="U13" s="153"/>
      <c r="V13" s="152"/>
    </row>
    <row r="14" spans="1:67">
      <c r="A14" s="99" t="s">
        <v>118</v>
      </c>
      <c r="C14" s="140"/>
      <c r="D14" s="148"/>
      <c r="E14" s="149"/>
      <c r="F14" s="150">
        <v>0</v>
      </c>
      <c r="G14" s="150">
        <v>0</v>
      </c>
      <c r="H14" s="150">
        <v>0</v>
      </c>
      <c r="I14" s="150">
        <v>0</v>
      </c>
      <c r="J14" s="150">
        <v>0</v>
      </c>
      <c r="K14" s="150">
        <v>0</v>
      </c>
      <c r="L14" s="150">
        <v>0</v>
      </c>
      <c r="M14" s="150">
        <v>0</v>
      </c>
      <c r="N14" s="150">
        <v>0</v>
      </c>
      <c r="O14" s="150">
        <v>0</v>
      </c>
      <c r="P14" s="150">
        <v>0</v>
      </c>
      <c r="Q14" s="150">
        <v>0</v>
      </c>
      <c r="R14" s="150">
        <v>0</v>
      </c>
      <c r="S14" s="151">
        <f t="shared" si="1"/>
        <v>0</v>
      </c>
      <c r="T14" s="152"/>
      <c r="U14" s="153"/>
      <c r="V14" s="152"/>
    </row>
    <row r="15" spans="1:67">
      <c r="A15" s="99" t="s">
        <v>119</v>
      </c>
      <c r="C15" s="140"/>
      <c r="D15" s="148"/>
      <c r="E15" s="149"/>
      <c r="F15" s="150">
        <v>83300</v>
      </c>
      <c r="G15" s="150">
        <v>83300</v>
      </c>
      <c r="H15" s="150">
        <v>83300</v>
      </c>
      <c r="I15" s="150">
        <v>83300</v>
      </c>
      <c r="J15" s="150">
        <v>83300</v>
      </c>
      <c r="K15" s="150">
        <v>83300</v>
      </c>
      <c r="L15" s="150">
        <v>83300</v>
      </c>
      <c r="M15" s="150">
        <v>83300</v>
      </c>
      <c r="N15" s="150">
        <v>83300</v>
      </c>
      <c r="O15" s="150">
        <v>83300</v>
      </c>
      <c r="P15" s="150">
        <v>83300</v>
      </c>
      <c r="Q15" s="150">
        <v>83300</v>
      </c>
      <c r="R15" s="150">
        <v>83300</v>
      </c>
      <c r="S15" s="212">
        <f t="shared" si="1"/>
        <v>999600</v>
      </c>
      <c r="T15" s="152"/>
      <c r="U15" s="153"/>
      <c r="V15" s="152"/>
    </row>
    <row r="16" spans="1:67">
      <c r="A16" s="99" t="s">
        <v>120</v>
      </c>
      <c r="C16" s="140"/>
      <c r="D16" s="148"/>
      <c r="E16" s="149"/>
      <c r="F16" s="150">
        <v>5211500</v>
      </c>
      <c r="G16" s="150">
        <v>6131100</v>
      </c>
      <c r="H16" s="150">
        <v>6393099.9999999991</v>
      </c>
      <c r="I16" s="150">
        <v>5855099.9999999981</v>
      </c>
      <c r="J16" s="150">
        <v>5571800</v>
      </c>
      <c r="K16" s="150">
        <v>5350099.9999999991</v>
      </c>
      <c r="L16" s="150">
        <v>5200300</v>
      </c>
      <c r="M16" s="150">
        <v>4879099.9999999981</v>
      </c>
      <c r="N16" s="150">
        <v>4851500.0000000009</v>
      </c>
      <c r="O16" s="150">
        <v>4917299.9999999991</v>
      </c>
      <c r="P16" s="150">
        <v>5178599.9999999991</v>
      </c>
      <c r="Q16" s="150">
        <v>5638099.9999999991</v>
      </c>
      <c r="R16" s="150">
        <v>6072699.9999999991</v>
      </c>
      <c r="S16" s="151">
        <f t="shared" si="1"/>
        <v>66038800</v>
      </c>
      <c r="T16" s="152">
        <v>32748644.474635504</v>
      </c>
      <c r="U16" s="153"/>
      <c r="V16" s="152"/>
    </row>
    <row r="17" spans="1:22">
      <c r="A17" s="99" t="s">
        <v>121</v>
      </c>
      <c r="C17" s="140"/>
      <c r="D17" s="148"/>
      <c r="E17" s="149"/>
      <c r="F17" s="161">
        <v>1609100</v>
      </c>
      <c r="G17" s="161">
        <v>-53500</v>
      </c>
      <c r="H17" s="161">
        <v>63500</v>
      </c>
      <c r="I17" s="161">
        <v>-2858700</v>
      </c>
      <c r="J17" s="161">
        <v>-789100</v>
      </c>
      <c r="K17" s="161">
        <v>-1424399.9999999998</v>
      </c>
      <c r="L17" s="161">
        <v>-1866700</v>
      </c>
      <c r="M17" s="161">
        <v>-1849200</v>
      </c>
      <c r="N17" s="161">
        <v>-1855000</v>
      </c>
      <c r="O17" s="161">
        <v>-1891899.9999999998</v>
      </c>
      <c r="P17" s="161">
        <v>-1931200</v>
      </c>
      <c r="Q17" s="161">
        <v>-1291300</v>
      </c>
      <c r="R17" s="161">
        <v>-685500</v>
      </c>
      <c r="S17" s="162">
        <f t="shared" si="1"/>
        <v>-16433000</v>
      </c>
      <c r="T17" s="152"/>
      <c r="U17" s="153"/>
      <c r="V17" s="152"/>
    </row>
    <row r="18" spans="1:22">
      <c r="A18" s="99" t="s">
        <v>122</v>
      </c>
      <c r="C18" s="140"/>
      <c r="D18" s="148"/>
      <c r="E18" s="149"/>
      <c r="F18" s="150">
        <v>2270800</v>
      </c>
      <c r="G18" s="150">
        <v>1801800</v>
      </c>
      <c r="H18" s="150">
        <v>1404200</v>
      </c>
      <c r="I18" s="150">
        <v>3189500</v>
      </c>
      <c r="J18" s="150">
        <v>1570300</v>
      </c>
      <c r="K18" s="150">
        <v>1686700</v>
      </c>
      <c r="L18" s="150">
        <v>1848900</v>
      </c>
      <c r="M18" s="150">
        <v>1731400</v>
      </c>
      <c r="N18" s="150">
        <v>1779900</v>
      </c>
      <c r="O18" s="150">
        <v>2174800</v>
      </c>
      <c r="P18" s="150">
        <v>1862000</v>
      </c>
      <c r="Q18" s="150">
        <v>1682700</v>
      </c>
      <c r="R18" s="150">
        <v>1757900</v>
      </c>
      <c r="S18" s="151">
        <f t="shared" si="1"/>
        <v>22490100</v>
      </c>
      <c r="T18" s="152"/>
      <c r="U18" s="153"/>
      <c r="V18" s="152"/>
    </row>
    <row r="19" spans="1:22">
      <c r="A19" s="99" t="s">
        <v>123</v>
      </c>
      <c r="C19" s="140"/>
      <c r="D19" s="148"/>
      <c r="E19" s="149"/>
      <c r="F19" s="163">
        <v>0</v>
      </c>
      <c r="G19" s="163">
        <v>0</v>
      </c>
      <c r="H19" s="163">
        <v>0</v>
      </c>
      <c r="I19" s="163">
        <v>0</v>
      </c>
      <c r="J19" s="163">
        <v>0</v>
      </c>
      <c r="K19" s="163">
        <v>0</v>
      </c>
      <c r="L19" s="163">
        <v>0</v>
      </c>
      <c r="M19" s="163">
        <v>0</v>
      </c>
      <c r="N19" s="163">
        <v>0</v>
      </c>
      <c r="O19" s="163">
        <v>0</v>
      </c>
      <c r="P19" s="163">
        <v>0</v>
      </c>
      <c r="Q19" s="163">
        <v>0</v>
      </c>
      <c r="R19" s="163">
        <v>0</v>
      </c>
      <c r="S19" s="164">
        <f t="shared" si="1"/>
        <v>0</v>
      </c>
      <c r="T19" s="152"/>
      <c r="U19" s="153"/>
      <c r="V19" s="152"/>
    </row>
    <row r="20" spans="1:22">
      <c r="A20" s="99" t="s">
        <v>124</v>
      </c>
      <c r="C20" s="140"/>
      <c r="D20" s="157"/>
      <c r="E20" s="149"/>
      <c r="F20" s="158">
        <v>21798600</v>
      </c>
      <c r="G20" s="158">
        <v>30098300</v>
      </c>
      <c r="H20" s="158">
        <v>29258400</v>
      </c>
      <c r="I20" s="158">
        <v>28924799.999999993</v>
      </c>
      <c r="J20" s="158">
        <v>27616699.999999996</v>
      </c>
      <c r="K20" s="158">
        <v>27278399.999999996</v>
      </c>
      <c r="L20" s="158">
        <v>27669199.999999993</v>
      </c>
      <c r="M20" s="158">
        <v>26558699.999999993</v>
      </c>
      <c r="N20" s="158">
        <v>26284799.999999993</v>
      </c>
      <c r="O20" s="158">
        <v>27511600</v>
      </c>
      <c r="P20" s="158">
        <v>26973899.999999996</v>
      </c>
      <c r="Q20" s="158">
        <v>28164100</v>
      </c>
      <c r="R20" s="158">
        <v>30740599.999999989</v>
      </c>
      <c r="S20" s="159">
        <f t="shared" si="1"/>
        <v>337079500</v>
      </c>
      <c r="T20" s="152"/>
      <c r="U20" s="153"/>
      <c r="V20" s="152"/>
    </row>
    <row r="21" spans="1:22">
      <c r="C21" s="140"/>
      <c r="D21" s="148"/>
      <c r="E21" s="149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59"/>
      <c r="T21" s="152"/>
      <c r="U21" s="153"/>
      <c r="V21" s="152"/>
    </row>
    <row r="22" spans="1:22">
      <c r="A22" s="99" t="s">
        <v>125</v>
      </c>
      <c r="C22" s="140"/>
      <c r="D22" s="165"/>
      <c r="E22" s="149"/>
      <c r="F22" s="166">
        <v>16062099.999999993</v>
      </c>
      <c r="G22" s="166">
        <v>9337499.9999999702</v>
      </c>
      <c r="H22" s="166">
        <v>8530600.0000000149</v>
      </c>
      <c r="I22" s="166">
        <v>7211400</v>
      </c>
      <c r="J22" s="166">
        <v>6532000.0000000037</v>
      </c>
      <c r="K22" s="166">
        <v>5052799.9999999888</v>
      </c>
      <c r="L22" s="166">
        <v>3860199.9999999851</v>
      </c>
      <c r="M22" s="166">
        <v>4032099.9999999776</v>
      </c>
      <c r="N22" s="166">
        <v>4176200</v>
      </c>
      <c r="O22" s="166">
        <v>3933499.9999999702</v>
      </c>
      <c r="P22" s="166">
        <v>4244499.9999999963</v>
      </c>
      <c r="Q22" s="166">
        <v>5665999.9999999851</v>
      </c>
      <c r="R22" s="166">
        <v>7111599.9999999814</v>
      </c>
      <c r="S22" s="167">
        <f>+S9-S20</f>
        <v>69688399.999999881</v>
      </c>
      <c r="T22" s="152"/>
      <c r="U22" s="153"/>
      <c r="V22" s="152"/>
    </row>
    <row r="23" spans="1:22">
      <c r="C23" s="140"/>
      <c r="D23" s="148"/>
      <c r="E23" s="149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59"/>
      <c r="U23" s="153"/>
      <c r="V23" s="152"/>
    </row>
    <row r="24" spans="1:22">
      <c r="A24" s="168" t="s">
        <v>126</v>
      </c>
      <c r="C24" s="140"/>
      <c r="D24" s="148"/>
      <c r="E24" s="149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59"/>
      <c r="U24" s="153"/>
      <c r="V24" s="152"/>
    </row>
    <row r="25" spans="1:22">
      <c r="A25" s="99" t="s">
        <v>127</v>
      </c>
      <c r="C25" s="140"/>
      <c r="D25" s="148"/>
      <c r="E25" s="149"/>
      <c r="F25" s="150">
        <v>0</v>
      </c>
      <c r="G25" s="150">
        <v>0</v>
      </c>
      <c r="H25" s="150">
        <v>0</v>
      </c>
      <c r="I25" s="150">
        <v>0</v>
      </c>
      <c r="J25" s="150">
        <v>0</v>
      </c>
      <c r="K25" s="150">
        <v>0</v>
      </c>
      <c r="L25" s="150">
        <v>0</v>
      </c>
      <c r="M25" s="150">
        <v>0</v>
      </c>
      <c r="N25" s="150">
        <v>0</v>
      </c>
      <c r="O25" s="150">
        <v>0</v>
      </c>
      <c r="P25" s="150">
        <v>0</v>
      </c>
      <c r="Q25" s="150">
        <v>0</v>
      </c>
      <c r="R25" s="150">
        <v>0</v>
      </c>
      <c r="S25" s="151">
        <f t="shared" ref="S25:S32" si="2">SUM(G25:R25)</f>
        <v>0</v>
      </c>
      <c r="T25" s="152"/>
      <c r="U25" s="153"/>
      <c r="V25" s="152"/>
    </row>
    <row r="26" spans="1:22">
      <c r="A26" s="99" t="s">
        <v>128</v>
      </c>
      <c r="C26" s="140"/>
      <c r="D26" s="148"/>
      <c r="E26" s="149"/>
      <c r="F26" s="150">
        <v>27100</v>
      </c>
      <c r="G26" s="150">
        <v>25400</v>
      </c>
      <c r="H26" s="150">
        <v>22400</v>
      </c>
      <c r="I26" s="150">
        <v>20600</v>
      </c>
      <c r="J26" s="150">
        <v>20000</v>
      </c>
      <c r="K26" s="150">
        <v>20000</v>
      </c>
      <c r="L26" s="150">
        <v>20000</v>
      </c>
      <c r="M26" s="150">
        <v>20800</v>
      </c>
      <c r="N26" s="150">
        <v>22200</v>
      </c>
      <c r="O26" s="150">
        <v>23600</v>
      </c>
      <c r="P26" s="150">
        <v>25000</v>
      </c>
      <c r="Q26" s="150">
        <v>26100</v>
      </c>
      <c r="R26" s="150">
        <v>25600</v>
      </c>
      <c r="S26" s="151">
        <f t="shared" si="2"/>
        <v>271700</v>
      </c>
      <c r="T26" s="152"/>
      <c r="U26" s="153"/>
      <c r="V26" s="152"/>
    </row>
    <row r="27" spans="1:22">
      <c r="A27" s="99" t="s">
        <v>129</v>
      </c>
      <c r="C27" s="140"/>
      <c r="D27" s="148"/>
      <c r="E27" s="149"/>
      <c r="F27" s="150">
        <v>41300</v>
      </c>
      <c r="G27" s="150">
        <v>41300</v>
      </c>
      <c r="H27" s="150">
        <v>41300</v>
      </c>
      <c r="I27" s="150">
        <v>41300</v>
      </c>
      <c r="J27" s="150">
        <v>41300</v>
      </c>
      <c r="K27" s="150">
        <v>41300</v>
      </c>
      <c r="L27" s="150">
        <v>41300</v>
      </c>
      <c r="M27" s="150">
        <v>41300</v>
      </c>
      <c r="N27" s="150">
        <v>41300</v>
      </c>
      <c r="O27" s="150">
        <v>41300</v>
      </c>
      <c r="P27" s="150">
        <v>41300</v>
      </c>
      <c r="Q27" s="150">
        <v>41300</v>
      </c>
      <c r="R27" s="150">
        <v>41300</v>
      </c>
      <c r="S27" s="151">
        <f t="shared" si="2"/>
        <v>495600</v>
      </c>
      <c r="T27" s="152"/>
      <c r="U27" s="153"/>
      <c r="V27" s="152"/>
    </row>
    <row r="28" spans="1:22">
      <c r="A28" s="169" t="s">
        <v>130</v>
      </c>
      <c r="C28" s="140"/>
      <c r="D28" s="148"/>
      <c r="E28" s="149"/>
      <c r="F28" s="150">
        <v>566600</v>
      </c>
      <c r="G28" s="150">
        <v>178700</v>
      </c>
      <c r="H28" s="150">
        <v>282500</v>
      </c>
      <c r="I28" s="150">
        <v>222700</v>
      </c>
      <c r="J28" s="150">
        <v>351600</v>
      </c>
      <c r="K28" s="150">
        <v>310000</v>
      </c>
      <c r="L28" s="150">
        <v>309500</v>
      </c>
      <c r="M28" s="150">
        <v>336300</v>
      </c>
      <c r="N28" s="150">
        <v>306000</v>
      </c>
      <c r="O28" s="150">
        <v>324200</v>
      </c>
      <c r="P28" s="150">
        <v>321600</v>
      </c>
      <c r="Q28" s="150">
        <v>355000</v>
      </c>
      <c r="R28" s="150">
        <v>566600</v>
      </c>
      <c r="S28" s="151">
        <f t="shared" si="2"/>
        <v>3864700</v>
      </c>
      <c r="T28" s="152"/>
      <c r="U28" s="153"/>
      <c r="V28" s="152"/>
    </row>
    <row r="29" spans="1:22">
      <c r="A29" s="169" t="s">
        <v>131</v>
      </c>
      <c r="C29" s="140"/>
      <c r="D29" s="148"/>
      <c r="E29" s="149"/>
      <c r="F29" s="170">
        <v>82100</v>
      </c>
      <c r="G29" s="170">
        <v>83300</v>
      </c>
      <c r="H29" s="170">
        <v>26200</v>
      </c>
      <c r="I29" s="170">
        <v>53300</v>
      </c>
      <c r="J29" s="170">
        <v>73700</v>
      </c>
      <c r="K29" s="170">
        <v>60200</v>
      </c>
      <c r="L29" s="170">
        <v>53300</v>
      </c>
      <c r="M29" s="170">
        <v>21200</v>
      </c>
      <c r="N29" s="170">
        <v>48200</v>
      </c>
      <c r="O29" s="170">
        <v>53300</v>
      </c>
      <c r="P29" s="170">
        <v>19200</v>
      </c>
      <c r="Q29" s="170">
        <v>48200</v>
      </c>
      <c r="R29" s="170">
        <v>84300</v>
      </c>
      <c r="S29" s="159">
        <f t="shared" si="2"/>
        <v>624400</v>
      </c>
      <c r="T29" s="152"/>
      <c r="U29" s="153"/>
      <c r="V29" s="152"/>
    </row>
    <row r="30" spans="1:22">
      <c r="A30" s="169" t="s">
        <v>132</v>
      </c>
      <c r="C30" s="140"/>
      <c r="D30" s="148"/>
      <c r="E30" s="149"/>
      <c r="F30" s="150">
        <v>242300</v>
      </c>
      <c r="G30" s="150">
        <v>256399.99999999997</v>
      </c>
      <c r="H30" s="150">
        <v>272100</v>
      </c>
      <c r="I30" s="150">
        <v>285000</v>
      </c>
      <c r="J30" s="150">
        <v>312200</v>
      </c>
      <c r="K30" s="150">
        <v>356000</v>
      </c>
      <c r="L30" s="150">
        <v>398800</v>
      </c>
      <c r="M30" s="150">
        <v>440400</v>
      </c>
      <c r="N30" s="150">
        <v>478800</v>
      </c>
      <c r="O30" s="150">
        <v>515900</v>
      </c>
      <c r="P30" s="150">
        <v>551400</v>
      </c>
      <c r="Q30" s="150">
        <v>585900</v>
      </c>
      <c r="R30" s="150">
        <v>607600</v>
      </c>
      <c r="S30" s="159">
        <f t="shared" si="2"/>
        <v>5060500</v>
      </c>
      <c r="T30" s="152"/>
      <c r="U30" s="153"/>
      <c r="V30" s="152"/>
    </row>
    <row r="31" spans="1:22">
      <c r="A31" s="99" t="s">
        <v>133</v>
      </c>
      <c r="C31" s="140"/>
      <c r="D31" s="148"/>
      <c r="E31" s="149"/>
      <c r="F31" s="161">
        <v>-14200</v>
      </c>
      <c r="G31" s="161">
        <v>-16200</v>
      </c>
      <c r="H31" s="161">
        <v>-2600</v>
      </c>
      <c r="I31" s="161">
        <v>-9800</v>
      </c>
      <c r="J31" s="161">
        <v>-15200</v>
      </c>
      <c r="K31" s="161">
        <v>-12400</v>
      </c>
      <c r="L31" s="161">
        <v>-10100</v>
      </c>
      <c r="M31" s="161">
        <v>-4300</v>
      </c>
      <c r="N31" s="161">
        <v>-8200</v>
      </c>
      <c r="O31" s="161">
        <v>-9100</v>
      </c>
      <c r="P31" s="161">
        <v>-100</v>
      </c>
      <c r="Q31" s="161">
        <v>-7200</v>
      </c>
      <c r="R31" s="161">
        <v>-16500</v>
      </c>
      <c r="S31" s="162">
        <f t="shared" si="2"/>
        <v>-111700</v>
      </c>
      <c r="T31" s="152"/>
      <c r="U31" s="153"/>
      <c r="V31" s="152"/>
    </row>
    <row r="32" spans="1:22">
      <c r="A32" s="99" t="s">
        <v>134</v>
      </c>
      <c r="C32" s="140"/>
      <c r="D32" s="165"/>
      <c r="E32" s="171"/>
      <c r="F32" s="166">
        <v>809400</v>
      </c>
      <c r="G32" s="166">
        <v>434700</v>
      </c>
      <c r="H32" s="166">
        <v>594700</v>
      </c>
      <c r="I32" s="166">
        <v>526100</v>
      </c>
      <c r="J32" s="166">
        <v>666600</v>
      </c>
      <c r="K32" s="166">
        <v>679500</v>
      </c>
      <c r="L32" s="166">
        <v>726400</v>
      </c>
      <c r="M32" s="166">
        <v>821900</v>
      </c>
      <c r="N32" s="166">
        <v>808300</v>
      </c>
      <c r="O32" s="166">
        <v>860800</v>
      </c>
      <c r="P32" s="166">
        <v>920200</v>
      </c>
      <c r="Q32" s="166">
        <v>967300</v>
      </c>
      <c r="R32" s="166">
        <v>1173300</v>
      </c>
      <c r="S32" s="167">
        <f t="shared" si="2"/>
        <v>9179800</v>
      </c>
      <c r="T32" s="152"/>
      <c r="U32" s="153"/>
      <c r="V32" s="152"/>
    </row>
    <row r="33" spans="1:22">
      <c r="C33" s="140"/>
      <c r="D33" s="148"/>
      <c r="E33" s="149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59"/>
      <c r="U33" s="153"/>
      <c r="V33" s="152"/>
    </row>
    <row r="34" spans="1:22">
      <c r="A34" s="168" t="s">
        <v>135</v>
      </c>
      <c r="C34" s="140"/>
      <c r="D34" s="148"/>
      <c r="E34" s="149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59"/>
      <c r="U34" s="153"/>
      <c r="V34" s="152"/>
    </row>
    <row r="35" spans="1:22" s="200" customFormat="1">
      <c r="A35" s="200" t="s">
        <v>136</v>
      </c>
      <c r="C35" s="201"/>
      <c r="D35" s="202"/>
      <c r="E35" s="203"/>
      <c r="F35" s="205">
        <v>3830000</v>
      </c>
      <c r="G35" s="205">
        <v>3830000</v>
      </c>
      <c r="H35" s="205">
        <v>3830000</v>
      </c>
      <c r="I35" s="205">
        <v>3830000</v>
      </c>
      <c r="J35" s="205">
        <v>3830000</v>
      </c>
      <c r="K35" s="205">
        <v>3830000</v>
      </c>
      <c r="L35" s="205">
        <v>3830000</v>
      </c>
      <c r="M35" s="205">
        <v>4277500</v>
      </c>
      <c r="N35" s="205">
        <v>4277500</v>
      </c>
      <c r="O35" s="205">
        <v>4277500</v>
      </c>
      <c r="P35" s="205">
        <v>4277500</v>
      </c>
      <c r="Q35" s="205">
        <v>4277500</v>
      </c>
      <c r="R35" s="205">
        <v>4277500</v>
      </c>
      <c r="S35" s="206">
        <f>SUM(G35:R35)</f>
        <v>48645000</v>
      </c>
      <c r="T35" s="202"/>
      <c r="U35" s="204"/>
      <c r="V35" s="202"/>
    </row>
    <row r="36" spans="1:22" s="200" customFormat="1">
      <c r="A36" s="200" t="s">
        <v>137</v>
      </c>
      <c r="C36" s="201"/>
      <c r="D36" s="202"/>
      <c r="E36" s="203"/>
      <c r="F36" s="205">
        <v>471977.70471175137</v>
      </c>
      <c r="G36" s="205">
        <v>484179.94171761069</v>
      </c>
      <c r="H36" s="205">
        <v>484871.1954369389</v>
      </c>
      <c r="I36" s="205">
        <v>496403.12263124541</v>
      </c>
      <c r="J36" s="205">
        <v>545301.84854122181</v>
      </c>
      <c r="K36" s="205">
        <v>583691.44608159002</v>
      </c>
      <c r="L36" s="205">
        <v>407621.26538681326</v>
      </c>
      <c r="M36" s="205">
        <v>275331.34778058401</v>
      </c>
      <c r="N36" s="205">
        <v>290614.8774109619</v>
      </c>
      <c r="O36" s="205">
        <v>285198.58419228258</v>
      </c>
      <c r="P36" s="205">
        <v>369244.94475515967</v>
      </c>
      <c r="Q36" s="205">
        <v>440504.26969641831</v>
      </c>
      <c r="R36" s="205">
        <v>475877.85662134731</v>
      </c>
      <c r="S36" s="206">
        <f t="shared" ref="S36:S41" si="3">SUM(G36:R36)</f>
        <v>5138840.7002521735</v>
      </c>
      <c r="T36" s="202"/>
      <c r="U36" s="204"/>
      <c r="V36" s="202"/>
    </row>
    <row r="37" spans="1:22">
      <c r="A37" s="99" t="s">
        <v>138</v>
      </c>
      <c r="C37" s="140"/>
      <c r="D37" s="148"/>
      <c r="E37" s="149"/>
      <c r="F37" s="150">
        <v>0</v>
      </c>
      <c r="G37" s="150">
        <v>0</v>
      </c>
      <c r="H37" s="150">
        <v>0</v>
      </c>
      <c r="I37" s="150">
        <v>0</v>
      </c>
      <c r="J37" s="150">
        <v>0</v>
      </c>
      <c r="K37" s="150">
        <v>0</v>
      </c>
      <c r="L37" s="150">
        <v>0</v>
      </c>
      <c r="M37" s="150">
        <v>0</v>
      </c>
      <c r="N37" s="150">
        <v>0</v>
      </c>
      <c r="O37" s="150">
        <v>0</v>
      </c>
      <c r="P37" s="150">
        <v>0</v>
      </c>
      <c r="Q37" s="150">
        <v>0</v>
      </c>
      <c r="R37" s="150">
        <v>0</v>
      </c>
      <c r="S37" s="151">
        <f t="shared" si="3"/>
        <v>0</v>
      </c>
      <c r="T37" s="152"/>
      <c r="U37" s="153"/>
      <c r="V37" s="152"/>
    </row>
    <row r="38" spans="1:22" s="200" customFormat="1">
      <c r="A38" s="200" t="s">
        <v>139</v>
      </c>
      <c r="C38" s="201"/>
      <c r="D38" s="202"/>
      <c r="E38" s="203"/>
      <c r="F38" s="205">
        <v>0</v>
      </c>
      <c r="G38" s="205">
        <v>0</v>
      </c>
      <c r="H38" s="205">
        <v>0</v>
      </c>
      <c r="I38" s="205">
        <v>0</v>
      </c>
      <c r="J38" s="205">
        <v>0</v>
      </c>
      <c r="K38" s="205">
        <v>0</v>
      </c>
      <c r="L38" s="205">
        <v>0</v>
      </c>
      <c r="M38" s="205">
        <v>0</v>
      </c>
      <c r="N38" s="205">
        <v>0</v>
      </c>
      <c r="O38" s="205">
        <v>0</v>
      </c>
      <c r="P38" s="205">
        <v>0</v>
      </c>
      <c r="Q38" s="205">
        <v>0</v>
      </c>
      <c r="R38" s="205">
        <v>0</v>
      </c>
      <c r="S38" s="206">
        <f t="shared" si="3"/>
        <v>0</v>
      </c>
      <c r="T38" s="202"/>
      <c r="U38" s="204"/>
      <c r="V38" s="202"/>
    </row>
    <row r="39" spans="1:22">
      <c r="A39" s="99" t="s">
        <v>140</v>
      </c>
      <c r="C39" s="140"/>
      <c r="D39" s="148"/>
      <c r="E39" s="149"/>
      <c r="F39" s="150">
        <v>61900</v>
      </c>
      <c r="G39" s="150">
        <v>61800.000000000007</v>
      </c>
      <c r="H39" s="150">
        <v>62100</v>
      </c>
      <c r="I39" s="150">
        <v>62400.000000000007</v>
      </c>
      <c r="J39" s="150">
        <v>63100</v>
      </c>
      <c r="K39" s="150">
        <v>63499.999999999993</v>
      </c>
      <c r="L39" s="150">
        <v>62800</v>
      </c>
      <c r="M39" s="150">
        <v>62400</v>
      </c>
      <c r="N39" s="150">
        <v>62199.999999999993</v>
      </c>
      <c r="O39" s="150">
        <v>62100</v>
      </c>
      <c r="P39" s="150">
        <v>61800</v>
      </c>
      <c r="Q39" s="150">
        <v>61600</v>
      </c>
      <c r="R39" s="150">
        <v>61300.000000000007</v>
      </c>
      <c r="S39" s="151">
        <f t="shared" si="3"/>
        <v>747100</v>
      </c>
      <c r="T39" s="152"/>
      <c r="U39" s="153"/>
      <c r="V39" s="152"/>
    </row>
    <row r="40" spans="1:22">
      <c r="A40" s="99" t="s">
        <v>141</v>
      </c>
      <c r="C40" s="140"/>
      <c r="D40" s="148"/>
      <c r="E40" s="149"/>
      <c r="F40" s="150">
        <v>-77300</v>
      </c>
      <c r="G40" s="150">
        <v>-81800</v>
      </c>
      <c r="H40" s="150">
        <v>-86800</v>
      </c>
      <c r="I40" s="150">
        <v>-90900</v>
      </c>
      <c r="J40" s="150">
        <v>-99500</v>
      </c>
      <c r="K40" s="150">
        <v>-113500</v>
      </c>
      <c r="L40" s="150">
        <v>-127200</v>
      </c>
      <c r="M40" s="150">
        <v>-140400</v>
      </c>
      <c r="N40" s="150">
        <v>-152700</v>
      </c>
      <c r="O40" s="150">
        <v>-164500</v>
      </c>
      <c r="P40" s="150">
        <v>-175800</v>
      </c>
      <c r="Q40" s="150">
        <v>-186800</v>
      </c>
      <c r="R40" s="150">
        <v>-193800</v>
      </c>
      <c r="S40" s="156">
        <f t="shared" si="3"/>
        <v>-1613700</v>
      </c>
      <c r="T40" s="152"/>
      <c r="U40" s="153"/>
      <c r="V40" s="152"/>
    </row>
    <row r="41" spans="1:22">
      <c r="A41" s="99" t="s">
        <v>142</v>
      </c>
      <c r="C41" s="140"/>
      <c r="D41" s="165"/>
      <c r="E41" s="149"/>
      <c r="F41" s="172">
        <v>4286577.7047117511</v>
      </c>
      <c r="G41" s="172">
        <f t="shared" ref="G41:R41" si="4">SUM(G35:G40)</f>
        <v>4294179.9417176107</v>
      </c>
      <c r="H41" s="172">
        <f t="shared" si="4"/>
        <v>4290171.1954369387</v>
      </c>
      <c r="I41" s="172">
        <f t="shared" si="4"/>
        <v>4297903.1226312453</v>
      </c>
      <c r="J41" s="172">
        <f t="shared" si="4"/>
        <v>4338901.8485412216</v>
      </c>
      <c r="K41" s="172">
        <f t="shared" si="4"/>
        <v>4363691.4460815899</v>
      </c>
      <c r="L41" s="172">
        <f t="shared" si="4"/>
        <v>4173221.2653868133</v>
      </c>
      <c r="M41" s="172">
        <f t="shared" si="4"/>
        <v>4474831.3477805844</v>
      </c>
      <c r="N41" s="172">
        <f t="shared" si="4"/>
        <v>4477614.8774109622</v>
      </c>
      <c r="O41" s="172">
        <f t="shared" si="4"/>
        <v>4460298.5841922825</v>
      </c>
      <c r="P41" s="172">
        <f t="shared" si="4"/>
        <v>4532744.9447551593</v>
      </c>
      <c r="Q41" s="172">
        <f t="shared" si="4"/>
        <v>4592804.2696964182</v>
      </c>
      <c r="R41" s="172">
        <f t="shared" si="4"/>
        <v>4620877.8566213474</v>
      </c>
      <c r="S41" s="167">
        <f t="shared" si="3"/>
        <v>52917240.700252168</v>
      </c>
      <c r="T41" s="152"/>
      <c r="U41" s="153"/>
      <c r="V41" s="152"/>
    </row>
    <row r="42" spans="1:22">
      <c r="C42" s="140"/>
      <c r="D42" s="148"/>
      <c r="E42" s="149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4"/>
      <c r="T42" s="152"/>
      <c r="U42" s="153"/>
      <c r="V42" s="152"/>
    </row>
    <row r="43" spans="1:22" ht="15.75" thickBot="1">
      <c r="A43" s="99" t="s">
        <v>143</v>
      </c>
      <c r="C43" s="140"/>
      <c r="D43" s="175"/>
      <c r="E43" s="149"/>
      <c r="F43" s="176">
        <v>12584922.295288242</v>
      </c>
      <c r="G43" s="176">
        <f t="shared" ref="G43:R43" si="5">+G22+G32-G41</f>
        <v>5478020.0582823595</v>
      </c>
      <c r="H43" s="176">
        <f t="shared" si="5"/>
        <v>4835128.8045630762</v>
      </c>
      <c r="I43" s="176">
        <f t="shared" si="5"/>
        <v>3439596.8773687547</v>
      </c>
      <c r="J43" s="176">
        <f t="shared" si="5"/>
        <v>2859698.1514587821</v>
      </c>
      <c r="K43" s="176">
        <f t="shared" si="5"/>
        <v>1368608.5539183989</v>
      </c>
      <c r="L43" s="176">
        <f t="shared" si="5"/>
        <v>413378.73461317178</v>
      </c>
      <c r="M43" s="176">
        <f t="shared" si="5"/>
        <v>379168.65221939329</v>
      </c>
      <c r="N43" s="176">
        <f t="shared" si="5"/>
        <v>506885.12258903775</v>
      </c>
      <c r="O43" s="176">
        <f t="shared" si="5"/>
        <v>334001.41580768768</v>
      </c>
      <c r="P43" s="176">
        <f t="shared" si="5"/>
        <v>631955.05524483696</v>
      </c>
      <c r="Q43" s="176">
        <f t="shared" si="5"/>
        <v>2040495.7303035669</v>
      </c>
      <c r="R43" s="176">
        <f t="shared" si="5"/>
        <v>3664022.143378634</v>
      </c>
      <c r="S43" s="177">
        <f>+S22+S32-S41</f>
        <v>25950959.299747713</v>
      </c>
      <c r="T43" s="178"/>
      <c r="U43" s="153"/>
      <c r="V43" s="152"/>
    </row>
    <row r="44" spans="1:22" ht="15.75" thickTop="1">
      <c r="C44" s="140"/>
      <c r="E44" s="149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1"/>
      <c r="T44" s="182"/>
      <c r="U44" s="152"/>
      <c r="V44" s="152"/>
    </row>
    <row r="45" spans="1:22">
      <c r="C45" s="140"/>
      <c r="E45" s="149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79"/>
      <c r="Q45" s="179"/>
      <c r="R45" s="179"/>
      <c r="S45" s="181"/>
      <c r="T45" s="183"/>
      <c r="U45" s="152"/>
      <c r="V45" s="152"/>
    </row>
    <row r="46" spans="1:22">
      <c r="C46" s="140"/>
      <c r="D46" s="140"/>
      <c r="E46" s="184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6"/>
      <c r="U46" s="152"/>
      <c r="V46" s="152"/>
    </row>
    <row r="47" spans="1:22">
      <c r="A47" s="187" t="s">
        <v>144</v>
      </c>
      <c r="C47" s="140"/>
      <c r="D47" s="140"/>
      <c r="E47" s="184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6"/>
      <c r="U47" s="152"/>
      <c r="V47" s="152"/>
    </row>
    <row r="48" spans="1:22">
      <c r="A48" s="188" t="s">
        <v>145</v>
      </c>
      <c r="C48" s="140"/>
      <c r="D48" s="188" t="s">
        <v>146</v>
      </c>
      <c r="E48" s="184"/>
      <c r="F48" s="189">
        <v>603500</v>
      </c>
      <c r="G48" s="189">
        <v>609200</v>
      </c>
      <c r="H48" s="189">
        <v>590900</v>
      </c>
      <c r="I48" s="189">
        <v>611400</v>
      </c>
      <c r="J48" s="189">
        <v>596100</v>
      </c>
      <c r="K48" s="189">
        <v>613300</v>
      </c>
      <c r="L48" s="189">
        <v>636400</v>
      </c>
      <c r="M48" s="189">
        <v>602300</v>
      </c>
      <c r="N48" s="189">
        <v>612300</v>
      </c>
      <c r="O48" s="189">
        <v>602500</v>
      </c>
      <c r="P48" s="189">
        <v>614200</v>
      </c>
      <c r="Q48" s="189">
        <v>655600</v>
      </c>
      <c r="R48" s="189">
        <v>603500</v>
      </c>
      <c r="S48" s="151">
        <f>SUM(G48:R48)</f>
        <v>7347700</v>
      </c>
      <c r="U48" s="152"/>
      <c r="V48" s="152"/>
    </row>
    <row r="49" spans="1:22">
      <c r="C49" s="140"/>
      <c r="D49" s="140"/>
      <c r="E49" s="184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90"/>
      <c r="U49" s="152"/>
      <c r="V49" s="152"/>
    </row>
    <row r="50" spans="1:22">
      <c r="C50" s="140"/>
      <c r="D50" s="140"/>
      <c r="E50" s="184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90"/>
      <c r="U50" s="152"/>
      <c r="V50" s="152"/>
    </row>
    <row r="51" spans="1:22">
      <c r="C51" s="140"/>
      <c r="D51" s="140"/>
      <c r="E51" s="140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1"/>
      <c r="Q51" s="191"/>
      <c r="R51" s="191"/>
      <c r="S51" s="192"/>
      <c r="U51" s="152"/>
      <c r="V51" s="152"/>
    </row>
    <row r="52" spans="1:22">
      <c r="C52" s="140"/>
      <c r="D52" s="140"/>
      <c r="E52" s="140"/>
      <c r="F52" s="185">
        <v>123</v>
      </c>
      <c r="G52" s="185">
        <v>124</v>
      </c>
      <c r="H52" s="185">
        <v>125</v>
      </c>
      <c r="I52" s="185">
        <v>126</v>
      </c>
      <c r="J52" s="185">
        <v>127</v>
      </c>
      <c r="K52" s="185">
        <v>128</v>
      </c>
      <c r="L52" s="185">
        <v>129</v>
      </c>
      <c r="M52" s="185">
        <v>130</v>
      </c>
      <c r="N52" s="185">
        <v>131</v>
      </c>
      <c r="O52" s="185">
        <v>132</v>
      </c>
      <c r="P52" s="185">
        <v>133</v>
      </c>
      <c r="Q52" s="185">
        <v>134</v>
      </c>
      <c r="R52" s="185">
        <v>135</v>
      </c>
      <c r="S52" s="181"/>
      <c r="U52" s="152"/>
      <c r="V52" s="152"/>
    </row>
    <row r="53" spans="1:22">
      <c r="C53" s="140"/>
      <c r="D53" s="140"/>
      <c r="E53" s="140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5"/>
      <c r="S53" s="181"/>
      <c r="U53" s="152"/>
      <c r="V53" s="152"/>
    </row>
    <row r="54" spans="1:22">
      <c r="A54" s="193" t="s">
        <v>147</v>
      </c>
      <c r="C54" s="140"/>
      <c r="D54" s="99" t="s">
        <v>148</v>
      </c>
      <c r="E54" s="140"/>
      <c r="F54" s="194">
        <v>0</v>
      </c>
      <c r="G54" s="194">
        <v>0</v>
      </c>
      <c r="H54" s="194">
        <v>0</v>
      </c>
      <c r="I54" s="194">
        <v>0</v>
      </c>
      <c r="J54" s="194">
        <v>0</v>
      </c>
      <c r="K54" s="194">
        <v>0</v>
      </c>
      <c r="L54" s="194">
        <v>0</v>
      </c>
      <c r="M54" s="194">
        <v>0</v>
      </c>
      <c r="N54" s="194">
        <v>0</v>
      </c>
      <c r="O54" s="194">
        <v>0</v>
      </c>
      <c r="P54" s="194">
        <v>0</v>
      </c>
      <c r="Q54" s="194">
        <v>0</v>
      </c>
      <c r="R54" s="194">
        <v>0</v>
      </c>
      <c r="S54" s="181">
        <f>SUM(G54:R54)</f>
        <v>0</v>
      </c>
      <c r="U54" s="152"/>
      <c r="V54" s="152"/>
    </row>
    <row r="55" spans="1:22">
      <c r="A55" s="193" t="s">
        <v>149</v>
      </c>
      <c r="C55" s="140"/>
      <c r="D55" s="99" t="s">
        <v>150</v>
      </c>
      <c r="E55" s="140"/>
      <c r="F55" s="194">
        <v>1400</v>
      </c>
      <c r="G55" s="194">
        <v>1500</v>
      </c>
      <c r="H55" s="194">
        <v>1500</v>
      </c>
      <c r="I55" s="194">
        <v>1500</v>
      </c>
      <c r="J55" s="194">
        <v>24000</v>
      </c>
      <c r="K55" s="194">
        <v>1500</v>
      </c>
      <c r="L55" s="194">
        <v>1500</v>
      </c>
      <c r="M55" s="194">
        <v>1500</v>
      </c>
      <c r="N55" s="194">
        <v>1500</v>
      </c>
      <c r="O55" s="194">
        <v>1500</v>
      </c>
      <c r="P55" s="194">
        <v>1500</v>
      </c>
      <c r="Q55" s="194">
        <v>1500</v>
      </c>
      <c r="R55" s="194">
        <v>1500</v>
      </c>
      <c r="S55" s="181">
        <f t="shared" ref="S55:S65" si="6">SUM(G55:R55)</f>
        <v>40500</v>
      </c>
      <c r="U55" s="152"/>
      <c r="V55" s="152"/>
    </row>
    <row r="56" spans="1:22">
      <c r="A56" s="99" t="s">
        <v>151</v>
      </c>
      <c r="C56" s="140"/>
      <c r="D56" s="99" t="s">
        <v>152</v>
      </c>
      <c r="E56" s="140"/>
      <c r="F56" s="194">
        <v>0</v>
      </c>
      <c r="G56" s="194">
        <v>0</v>
      </c>
      <c r="H56" s="194">
        <v>0</v>
      </c>
      <c r="I56" s="194">
        <v>0</v>
      </c>
      <c r="J56" s="194">
        <v>0</v>
      </c>
      <c r="K56" s="194">
        <v>0</v>
      </c>
      <c r="L56" s="194">
        <v>0</v>
      </c>
      <c r="M56" s="194">
        <v>0</v>
      </c>
      <c r="N56" s="194">
        <v>0</v>
      </c>
      <c r="O56" s="194">
        <v>0</v>
      </c>
      <c r="P56" s="194">
        <v>0</v>
      </c>
      <c r="Q56" s="194">
        <v>0</v>
      </c>
      <c r="R56" s="194">
        <v>0</v>
      </c>
      <c r="S56" s="181">
        <f t="shared" si="6"/>
        <v>0</v>
      </c>
      <c r="U56" s="152"/>
      <c r="V56" s="152"/>
    </row>
    <row r="57" spans="1:22">
      <c r="A57" s="99" t="s">
        <v>153</v>
      </c>
      <c r="C57" s="140"/>
      <c r="D57" s="99" t="s">
        <v>154</v>
      </c>
      <c r="E57" s="140"/>
      <c r="F57" s="194">
        <v>48500</v>
      </c>
      <c r="G57" s="194">
        <v>24000</v>
      </c>
      <c r="H57" s="194">
        <v>24000</v>
      </c>
      <c r="I57" s="194">
        <v>24000</v>
      </c>
      <c r="J57" s="194">
        <v>24000</v>
      </c>
      <c r="K57" s="194">
        <v>24000</v>
      </c>
      <c r="L57" s="194">
        <v>24000</v>
      </c>
      <c r="M57" s="194">
        <v>24000</v>
      </c>
      <c r="N57" s="194">
        <v>24000</v>
      </c>
      <c r="O57" s="194">
        <v>24000</v>
      </c>
      <c r="P57" s="194">
        <v>24000</v>
      </c>
      <c r="Q57" s="194">
        <v>24000</v>
      </c>
      <c r="R57" s="194">
        <v>49500</v>
      </c>
      <c r="S57" s="181">
        <f t="shared" si="6"/>
        <v>313500</v>
      </c>
      <c r="U57" s="152"/>
      <c r="V57" s="152"/>
    </row>
    <row r="58" spans="1:22">
      <c r="A58" s="99" t="s">
        <v>155</v>
      </c>
      <c r="C58" s="140"/>
      <c r="D58" s="99" t="s">
        <v>156</v>
      </c>
      <c r="E58" s="140"/>
      <c r="F58" s="194">
        <v>0</v>
      </c>
      <c r="G58" s="194">
        <v>0</v>
      </c>
      <c r="H58" s="194">
        <v>0</v>
      </c>
      <c r="I58" s="194">
        <v>0</v>
      </c>
      <c r="J58" s="194">
        <v>0</v>
      </c>
      <c r="K58" s="194">
        <v>0</v>
      </c>
      <c r="L58" s="194">
        <v>0</v>
      </c>
      <c r="M58" s="194">
        <v>0</v>
      </c>
      <c r="N58" s="194">
        <v>0</v>
      </c>
      <c r="O58" s="194">
        <v>0</v>
      </c>
      <c r="P58" s="194">
        <v>0</v>
      </c>
      <c r="Q58" s="194">
        <v>0</v>
      </c>
      <c r="R58" s="194">
        <v>0</v>
      </c>
      <c r="S58" s="181">
        <f t="shared" si="6"/>
        <v>0</v>
      </c>
      <c r="U58" s="152"/>
      <c r="V58" s="152"/>
    </row>
    <row r="59" spans="1:22">
      <c r="A59" s="99" t="s">
        <v>157</v>
      </c>
      <c r="C59" s="140"/>
      <c r="D59" s="99" t="s">
        <v>158</v>
      </c>
      <c r="E59" s="140"/>
      <c r="F59" s="194">
        <v>34200</v>
      </c>
      <c r="G59" s="194">
        <v>9400</v>
      </c>
      <c r="H59" s="194">
        <v>9400</v>
      </c>
      <c r="I59" s="194">
        <v>9400</v>
      </c>
      <c r="J59" s="194">
        <v>9400</v>
      </c>
      <c r="K59" s="194">
        <v>9400</v>
      </c>
      <c r="L59" s="194">
        <v>9400</v>
      </c>
      <c r="M59" s="194">
        <v>9400</v>
      </c>
      <c r="N59" s="194">
        <v>9400</v>
      </c>
      <c r="O59" s="194">
        <v>9400</v>
      </c>
      <c r="P59" s="194">
        <v>9400</v>
      </c>
      <c r="Q59" s="194">
        <v>9400</v>
      </c>
      <c r="R59" s="194">
        <v>34900</v>
      </c>
      <c r="S59" s="181">
        <f t="shared" si="6"/>
        <v>138300</v>
      </c>
      <c r="U59" s="152"/>
      <c r="V59" s="152"/>
    </row>
    <row r="60" spans="1:22">
      <c r="A60" s="99" t="s">
        <v>159</v>
      </c>
      <c r="C60" s="140"/>
      <c r="D60" s="99" t="s">
        <v>160</v>
      </c>
      <c r="E60" s="140"/>
      <c r="F60" s="194">
        <v>0</v>
      </c>
      <c r="G60" s="194">
        <v>0</v>
      </c>
      <c r="H60" s="194">
        <v>0</v>
      </c>
      <c r="I60" s="194">
        <v>0</v>
      </c>
      <c r="J60" s="194">
        <v>0</v>
      </c>
      <c r="K60" s="194">
        <v>0</v>
      </c>
      <c r="L60" s="194">
        <v>0</v>
      </c>
      <c r="M60" s="194">
        <v>0</v>
      </c>
      <c r="N60" s="194">
        <v>0</v>
      </c>
      <c r="O60" s="194">
        <v>0</v>
      </c>
      <c r="P60" s="194">
        <v>0</v>
      </c>
      <c r="Q60" s="194">
        <v>0</v>
      </c>
      <c r="R60" s="194">
        <v>0</v>
      </c>
      <c r="S60" s="181">
        <f t="shared" si="6"/>
        <v>0</v>
      </c>
      <c r="U60" s="152"/>
      <c r="V60" s="152"/>
    </row>
    <row r="61" spans="1:22">
      <c r="A61" s="99" t="s">
        <v>161</v>
      </c>
      <c r="C61" s="140"/>
      <c r="D61" s="99" t="s">
        <v>162</v>
      </c>
      <c r="E61" s="140"/>
      <c r="F61" s="194">
        <v>9700</v>
      </c>
      <c r="G61" s="194">
        <v>4800</v>
      </c>
      <c r="H61" s="194">
        <v>4800</v>
      </c>
      <c r="I61" s="194">
        <v>9900</v>
      </c>
      <c r="J61" s="194">
        <v>4800</v>
      </c>
      <c r="K61" s="194">
        <v>4800</v>
      </c>
      <c r="L61" s="194">
        <v>9900</v>
      </c>
      <c r="M61" s="194">
        <v>4800</v>
      </c>
      <c r="N61" s="194">
        <v>4800</v>
      </c>
      <c r="O61" s="194">
        <v>9900</v>
      </c>
      <c r="P61" s="194">
        <v>4800</v>
      </c>
      <c r="Q61" s="194">
        <v>4800</v>
      </c>
      <c r="R61" s="194">
        <v>9900</v>
      </c>
      <c r="S61" s="181">
        <f t="shared" si="6"/>
        <v>78000</v>
      </c>
      <c r="U61" s="152"/>
      <c r="V61" s="152"/>
    </row>
    <row r="62" spans="1:22">
      <c r="A62" s="99" t="s">
        <v>163</v>
      </c>
      <c r="C62" s="140"/>
      <c r="D62" s="99" t="s">
        <v>164</v>
      </c>
      <c r="E62" s="140"/>
      <c r="F62" s="194">
        <v>0</v>
      </c>
      <c r="G62" s="194">
        <v>0</v>
      </c>
      <c r="H62" s="194">
        <v>0</v>
      </c>
      <c r="I62" s="194">
        <v>0</v>
      </c>
      <c r="J62" s="194">
        <v>0</v>
      </c>
      <c r="K62" s="194">
        <v>0</v>
      </c>
      <c r="L62" s="194">
        <v>0</v>
      </c>
      <c r="M62" s="194">
        <v>0</v>
      </c>
      <c r="N62" s="194">
        <v>0</v>
      </c>
      <c r="O62" s="194">
        <v>0</v>
      </c>
      <c r="P62" s="194">
        <v>0</v>
      </c>
      <c r="Q62" s="194">
        <v>0</v>
      </c>
      <c r="R62" s="194">
        <v>0</v>
      </c>
      <c r="S62" s="181">
        <f t="shared" si="6"/>
        <v>0</v>
      </c>
      <c r="U62" s="152"/>
      <c r="V62" s="152"/>
    </row>
    <row r="63" spans="1:22">
      <c r="A63" s="99" t="s">
        <v>165</v>
      </c>
      <c r="C63" s="140"/>
      <c r="D63" s="99" t="s">
        <v>166</v>
      </c>
      <c r="E63" s="140"/>
      <c r="F63" s="194">
        <v>0</v>
      </c>
      <c r="G63" s="194">
        <v>0</v>
      </c>
      <c r="H63" s="194">
        <v>0</v>
      </c>
      <c r="I63" s="194">
        <v>0</v>
      </c>
      <c r="J63" s="194">
        <v>0</v>
      </c>
      <c r="K63" s="194">
        <v>0</v>
      </c>
      <c r="L63" s="194">
        <v>0</v>
      </c>
      <c r="M63" s="194">
        <v>0</v>
      </c>
      <c r="N63" s="194">
        <v>0</v>
      </c>
      <c r="O63" s="194">
        <v>0</v>
      </c>
      <c r="P63" s="194">
        <v>0</v>
      </c>
      <c r="Q63" s="194">
        <v>0</v>
      </c>
      <c r="R63" s="194">
        <v>0</v>
      </c>
      <c r="S63" s="181">
        <f t="shared" si="6"/>
        <v>0</v>
      </c>
      <c r="U63" s="152"/>
      <c r="V63" s="152"/>
    </row>
    <row r="64" spans="1:22">
      <c r="A64" s="99" t="s">
        <v>167</v>
      </c>
      <c r="C64" s="140"/>
      <c r="D64" s="99" t="s">
        <v>168</v>
      </c>
      <c r="E64" s="140"/>
      <c r="F64" s="194">
        <v>0</v>
      </c>
      <c r="G64" s="194">
        <v>0</v>
      </c>
      <c r="H64" s="194">
        <v>0</v>
      </c>
      <c r="I64" s="194">
        <v>0</v>
      </c>
      <c r="J64" s="194">
        <v>0</v>
      </c>
      <c r="K64" s="194">
        <v>0</v>
      </c>
      <c r="L64" s="194">
        <v>0</v>
      </c>
      <c r="M64" s="194">
        <v>0</v>
      </c>
      <c r="N64" s="194">
        <v>0</v>
      </c>
      <c r="O64" s="194">
        <v>0</v>
      </c>
      <c r="P64" s="194">
        <v>0</v>
      </c>
      <c r="Q64" s="194">
        <v>0</v>
      </c>
      <c r="R64" s="194">
        <v>0</v>
      </c>
      <c r="S64" s="181">
        <f t="shared" si="6"/>
        <v>0</v>
      </c>
      <c r="U64" s="152"/>
      <c r="V64" s="152"/>
    </row>
    <row r="65" spans="1:22">
      <c r="A65" s="99" t="s">
        <v>169</v>
      </c>
      <c r="C65" s="140"/>
      <c r="D65" s="99" t="s">
        <v>170</v>
      </c>
      <c r="E65" s="140"/>
      <c r="F65" s="194">
        <v>8300</v>
      </c>
      <c r="G65" s="194">
        <v>8500</v>
      </c>
      <c r="H65" s="194">
        <v>8500</v>
      </c>
      <c r="I65" s="194">
        <v>8500</v>
      </c>
      <c r="J65" s="194">
        <v>8500</v>
      </c>
      <c r="K65" s="194">
        <v>8500</v>
      </c>
      <c r="L65" s="194">
        <v>8500</v>
      </c>
      <c r="M65" s="194">
        <v>8500</v>
      </c>
      <c r="N65" s="194">
        <v>8500</v>
      </c>
      <c r="O65" s="194">
        <v>8500</v>
      </c>
      <c r="P65" s="194">
        <v>8500</v>
      </c>
      <c r="Q65" s="194">
        <v>8500</v>
      </c>
      <c r="R65" s="194">
        <v>8500</v>
      </c>
      <c r="S65" s="181">
        <f t="shared" si="6"/>
        <v>102000</v>
      </c>
      <c r="U65" s="152"/>
      <c r="V65" s="152"/>
    </row>
    <row r="66" spans="1:22">
      <c r="A66" s="195" t="s">
        <v>171</v>
      </c>
      <c r="B66" s="195"/>
      <c r="C66" s="196"/>
      <c r="D66" s="196" t="s">
        <v>172</v>
      </c>
      <c r="E66" s="196"/>
      <c r="F66" s="197">
        <v>0</v>
      </c>
      <c r="G66" s="197">
        <v>35100</v>
      </c>
      <c r="H66" s="197">
        <v>3000</v>
      </c>
      <c r="I66" s="197">
        <v>0</v>
      </c>
      <c r="J66" s="197">
        <v>28000</v>
      </c>
      <c r="K66" s="197">
        <v>12000</v>
      </c>
      <c r="L66" s="197">
        <v>0</v>
      </c>
      <c r="M66" s="197">
        <v>3000</v>
      </c>
      <c r="N66" s="197">
        <v>0</v>
      </c>
      <c r="O66" s="197">
        <v>0</v>
      </c>
      <c r="P66" s="197">
        <v>3000</v>
      </c>
      <c r="Q66" s="197">
        <v>0</v>
      </c>
      <c r="R66" s="197">
        <v>0</v>
      </c>
      <c r="S66" s="181">
        <f>SUM(G66:R66)</f>
        <v>84100</v>
      </c>
      <c r="U66" s="152"/>
      <c r="V66" s="152"/>
    </row>
    <row r="67" spans="1:22">
      <c r="A67" s="99" t="s">
        <v>173</v>
      </c>
      <c r="C67" s="140"/>
      <c r="E67" s="140"/>
      <c r="F67" s="180">
        <v>102100</v>
      </c>
      <c r="G67" s="180">
        <f t="shared" ref="G67:P67" si="7">SUM(G54:G66)</f>
        <v>83300</v>
      </c>
      <c r="H67" s="180">
        <f t="shared" si="7"/>
        <v>51200</v>
      </c>
      <c r="I67" s="180">
        <f t="shared" si="7"/>
        <v>53300</v>
      </c>
      <c r="J67" s="180">
        <f t="shared" si="7"/>
        <v>98700</v>
      </c>
      <c r="K67" s="180">
        <f t="shared" si="7"/>
        <v>60200</v>
      </c>
      <c r="L67" s="180">
        <f t="shared" si="7"/>
        <v>53300</v>
      </c>
      <c r="M67" s="180">
        <f t="shared" si="7"/>
        <v>51200</v>
      </c>
      <c r="N67" s="180">
        <f t="shared" si="7"/>
        <v>48200</v>
      </c>
      <c r="O67" s="180">
        <f t="shared" si="7"/>
        <v>53300</v>
      </c>
      <c r="P67" s="180">
        <f t="shared" si="7"/>
        <v>51200</v>
      </c>
      <c r="Q67" s="180">
        <f t="shared" ref="Q67:S67" si="8">SUM(Q54:Q66)</f>
        <v>48200</v>
      </c>
      <c r="R67" s="180">
        <f t="shared" si="8"/>
        <v>104300</v>
      </c>
      <c r="S67" s="181">
        <f t="shared" si="8"/>
        <v>756400</v>
      </c>
      <c r="U67" s="152"/>
      <c r="V67" s="152"/>
    </row>
    <row r="68" spans="1:22">
      <c r="C68" s="140"/>
      <c r="E68" s="140"/>
      <c r="F68" s="180"/>
      <c r="G68" s="180"/>
      <c r="H68" s="180"/>
      <c r="I68" s="180"/>
      <c r="J68" s="180"/>
      <c r="K68" s="180"/>
      <c r="L68" s="180"/>
      <c r="M68" s="180"/>
      <c r="N68" s="180"/>
      <c r="O68" s="180"/>
      <c r="P68" s="180"/>
      <c r="Q68" s="180"/>
      <c r="R68" s="180"/>
      <c r="S68" s="181"/>
      <c r="U68" s="152"/>
      <c r="V68" s="152"/>
    </row>
    <row r="69" spans="1:22">
      <c r="C69" s="140"/>
      <c r="E69" s="140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80"/>
      <c r="Q69" s="180"/>
      <c r="R69" s="180"/>
      <c r="S69" s="190"/>
      <c r="U69" s="152"/>
      <c r="V69" s="152"/>
    </row>
    <row r="70" spans="1:22">
      <c r="C70" s="140"/>
      <c r="D70" s="140"/>
      <c r="E70" s="140"/>
      <c r="F70" s="180"/>
      <c r="G70" s="180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90"/>
      <c r="U70" s="152"/>
      <c r="V70" s="152"/>
    </row>
    <row r="71" spans="1:22">
      <c r="C71" s="140"/>
      <c r="D71" s="140"/>
      <c r="E71" s="140"/>
      <c r="F71" s="185"/>
      <c r="G71" s="185"/>
      <c r="H71" s="185"/>
      <c r="I71" s="185"/>
      <c r="J71" s="185"/>
      <c r="K71" s="185"/>
      <c r="L71" s="185"/>
      <c r="M71" s="185"/>
      <c r="N71" s="185"/>
      <c r="O71" s="185"/>
      <c r="P71" s="185"/>
      <c r="Q71" s="185"/>
      <c r="R71" s="185"/>
      <c r="S71" s="190"/>
      <c r="U71" s="152"/>
      <c r="V71" s="152"/>
    </row>
    <row r="72" spans="1:22">
      <c r="C72" s="140"/>
      <c r="D72" s="140"/>
      <c r="E72" s="140"/>
      <c r="F72" s="185"/>
      <c r="G72" s="185"/>
      <c r="H72" s="185"/>
      <c r="I72" s="185"/>
      <c r="J72" s="185"/>
      <c r="K72" s="185"/>
      <c r="L72" s="185"/>
      <c r="M72" s="185"/>
      <c r="N72" s="185"/>
      <c r="O72" s="185"/>
      <c r="P72" s="185"/>
      <c r="Q72" s="185"/>
      <c r="R72" s="185"/>
      <c r="S72" s="190"/>
      <c r="U72" s="152"/>
      <c r="V72" s="152"/>
    </row>
    <row r="73" spans="1:22">
      <c r="C73" s="140"/>
      <c r="D73" s="140"/>
      <c r="E73" s="140"/>
      <c r="F73" s="185"/>
      <c r="G73" s="185"/>
      <c r="H73" s="185"/>
      <c r="I73" s="185"/>
      <c r="J73" s="185"/>
      <c r="K73" s="185"/>
      <c r="L73" s="185"/>
      <c r="M73" s="185"/>
      <c r="N73" s="185"/>
      <c r="O73" s="185"/>
      <c r="P73" s="185"/>
      <c r="Q73" s="185"/>
      <c r="R73" s="185"/>
      <c r="S73" s="190"/>
      <c r="U73" s="152"/>
      <c r="V73" s="152"/>
    </row>
    <row r="74" spans="1:22">
      <c r="C74" s="140"/>
      <c r="D74" s="140"/>
      <c r="E74" s="140"/>
      <c r="F74" s="185"/>
      <c r="G74" s="185"/>
      <c r="H74" s="185"/>
      <c r="I74" s="185"/>
      <c r="J74" s="185"/>
      <c r="K74" s="185"/>
      <c r="L74" s="185"/>
      <c r="M74" s="185"/>
      <c r="N74" s="185"/>
      <c r="O74" s="185"/>
      <c r="P74" s="185"/>
      <c r="Q74" s="185"/>
      <c r="R74" s="185"/>
      <c r="S74" s="190"/>
      <c r="U74" s="152"/>
      <c r="V74" s="152"/>
    </row>
    <row r="75" spans="1:22">
      <c r="C75" s="140"/>
      <c r="D75" s="140"/>
      <c r="E75" s="140"/>
      <c r="F75" s="185"/>
      <c r="G75" s="185"/>
      <c r="H75" s="185"/>
      <c r="I75" s="185"/>
      <c r="J75" s="185"/>
      <c r="K75" s="185"/>
      <c r="L75" s="185"/>
      <c r="M75" s="185"/>
      <c r="N75" s="185"/>
      <c r="O75" s="185"/>
      <c r="P75" s="185"/>
      <c r="Q75" s="185"/>
      <c r="R75" s="185"/>
      <c r="S75" s="190"/>
      <c r="U75" s="152"/>
      <c r="V75" s="152"/>
    </row>
    <row r="76" spans="1:22">
      <c r="C76" s="140"/>
      <c r="D76" s="140"/>
      <c r="E76" s="140"/>
      <c r="F76" s="185"/>
      <c r="G76" s="185"/>
      <c r="H76" s="185"/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90"/>
      <c r="U76" s="152"/>
      <c r="V76" s="152"/>
    </row>
    <row r="77" spans="1:22">
      <c r="C77" s="140"/>
      <c r="D77" s="140"/>
      <c r="E77" s="140"/>
      <c r="F77" s="185"/>
      <c r="G77" s="185"/>
      <c r="H77" s="185"/>
      <c r="I77" s="185"/>
      <c r="J77" s="185"/>
      <c r="K77" s="185"/>
      <c r="L77" s="185"/>
      <c r="M77" s="185"/>
      <c r="N77" s="185"/>
      <c r="O77" s="185"/>
      <c r="P77" s="185"/>
      <c r="Q77" s="185"/>
      <c r="R77" s="185"/>
      <c r="S77" s="190"/>
      <c r="U77" s="152"/>
      <c r="V77" s="152"/>
    </row>
    <row r="78" spans="1:22">
      <c r="C78" s="140"/>
      <c r="D78" s="140"/>
      <c r="E78" s="140"/>
      <c r="F78" s="185"/>
      <c r="G78" s="185"/>
      <c r="H78" s="185"/>
      <c r="I78" s="185"/>
      <c r="J78" s="185"/>
      <c r="K78" s="185"/>
      <c r="L78" s="185"/>
      <c r="M78" s="185"/>
      <c r="N78" s="185"/>
      <c r="O78" s="185"/>
      <c r="P78" s="185"/>
      <c r="Q78" s="185"/>
      <c r="R78" s="185"/>
      <c r="S78" s="190"/>
      <c r="U78" s="152"/>
      <c r="V78" s="152"/>
    </row>
    <row r="79" spans="1:22">
      <c r="C79" s="140"/>
      <c r="D79" s="140"/>
      <c r="E79" s="140"/>
      <c r="F79" s="185"/>
      <c r="G79" s="185"/>
      <c r="H79" s="185"/>
      <c r="I79" s="185"/>
      <c r="J79" s="185"/>
      <c r="K79" s="185"/>
      <c r="L79" s="185"/>
      <c r="M79" s="185"/>
      <c r="N79" s="185"/>
      <c r="O79" s="185"/>
      <c r="P79" s="185"/>
      <c r="Q79" s="185"/>
      <c r="R79" s="185"/>
      <c r="S79" s="190"/>
      <c r="U79" s="152"/>
      <c r="V79" s="152"/>
    </row>
    <row r="80" spans="1:22">
      <c r="C80" s="140"/>
      <c r="D80" s="140"/>
      <c r="E80" s="140"/>
      <c r="F80" s="185"/>
      <c r="G80" s="185"/>
      <c r="H80" s="185"/>
      <c r="I80" s="185"/>
      <c r="J80" s="185"/>
      <c r="K80" s="185"/>
      <c r="L80" s="185"/>
      <c r="M80" s="185"/>
      <c r="N80" s="185"/>
      <c r="O80" s="185"/>
      <c r="P80" s="185"/>
      <c r="Q80" s="185"/>
      <c r="R80" s="185"/>
      <c r="S80" s="190"/>
      <c r="U80" s="152"/>
      <c r="V80" s="152"/>
    </row>
    <row r="81" spans="3:22">
      <c r="C81" s="140"/>
      <c r="D81" s="140"/>
      <c r="E81" s="140"/>
      <c r="F81" s="185"/>
      <c r="G81" s="185"/>
      <c r="H81" s="185"/>
      <c r="I81" s="185"/>
      <c r="J81" s="185"/>
      <c r="K81" s="185"/>
      <c r="L81" s="185"/>
      <c r="M81" s="185"/>
      <c r="N81" s="185"/>
      <c r="O81" s="185"/>
      <c r="P81" s="185"/>
      <c r="Q81" s="185"/>
      <c r="R81" s="185"/>
      <c r="S81" s="190"/>
      <c r="U81" s="152"/>
      <c r="V81" s="152"/>
    </row>
    <row r="82" spans="3:22">
      <c r="C82" s="140"/>
      <c r="D82" s="140"/>
      <c r="E82" s="140"/>
      <c r="F82" s="185"/>
      <c r="G82" s="185"/>
      <c r="H82" s="185"/>
      <c r="I82" s="185"/>
      <c r="J82" s="185"/>
      <c r="K82" s="185"/>
      <c r="L82" s="185"/>
      <c r="M82" s="185"/>
      <c r="N82" s="185"/>
      <c r="O82" s="185"/>
      <c r="P82" s="185"/>
      <c r="Q82" s="185"/>
      <c r="R82" s="185"/>
      <c r="S82" s="190"/>
      <c r="U82" s="152"/>
      <c r="V82" s="152"/>
    </row>
    <row r="83" spans="3:22">
      <c r="C83" s="140"/>
      <c r="D83" s="140"/>
      <c r="E83" s="140"/>
      <c r="F83" s="185"/>
      <c r="G83" s="185"/>
      <c r="H83" s="185"/>
      <c r="I83" s="185"/>
      <c r="J83" s="185"/>
      <c r="K83" s="185"/>
      <c r="L83" s="185"/>
      <c r="M83" s="185"/>
      <c r="N83" s="185"/>
      <c r="O83" s="185"/>
      <c r="P83" s="185"/>
      <c r="Q83" s="185"/>
      <c r="R83" s="185"/>
      <c r="S83" s="190"/>
      <c r="U83" s="152"/>
      <c r="V83" s="152"/>
    </row>
    <row r="84" spans="3:22">
      <c r="C84" s="140"/>
      <c r="D84" s="140"/>
      <c r="E84" s="140"/>
      <c r="F84" s="185"/>
      <c r="G84" s="185"/>
      <c r="H84" s="185"/>
      <c r="I84" s="185"/>
      <c r="J84" s="185"/>
      <c r="K84" s="185"/>
      <c r="L84" s="185"/>
      <c r="M84" s="185"/>
      <c r="N84" s="185"/>
      <c r="O84" s="185"/>
      <c r="P84" s="185"/>
      <c r="Q84" s="185"/>
      <c r="R84" s="185"/>
      <c r="S84" s="190"/>
      <c r="U84" s="152"/>
      <c r="V84" s="152"/>
    </row>
    <row r="85" spans="3:22">
      <c r="C85" s="140"/>
      <c r="D85" s="140"/>
      <c r="E85" s="140"/>
      <c r="F85" s="185"/>
      <c r="G85" s="185"/>
      <c r="H85" s="185"/>
      <c r="I85" s="185"/>
      <c r="J85" s="185"/>
      <c r="K85" s="185"/>
      <c r="L85" s="185"/>
      <c r="M85" s="185"/>
      <c r="N85" s="185"/>
      <c r="O85" s="185"/>
      <c r="P85" s="185"/>
      <c r="Q85" s="185"/>
      <c r="R85" s="185"/>
      <c r="S85" s="190"/>
      <c r="U85" s="152"/>
      <c r="V85" s="152"/>
    </row>
    <row r="86" spans="3:22">
      <c r="C86" s="140"/>
      <c r="D86" s="140"/>
      <c r="E86" s="140"/>
      <c r="F86" s="185"/>
      <c r="G86" s="185"/>
      <c r="H86" s="185"/>
      <c r="I86" s="185"/>
      <c r="J86" s="185"/>
      <c r="K86" s="185"/>
      <c r="L86" s="185"/>
      <c r="M86" s="185"/>
      <c r="N86" s="185"/>
      <c r="O86" s="185"/>
      <c r="P86" s="185"/>
      <c r="Q86" s="185"/>
      <c r="R86" s="185"/>
      <c r="S86" s="190"/>
      <c r="U86" s="152"/>
      <c r="V86" s="152"/>
    </row>
    <row r="87" spans="3:22">
      <c r="C87" s="140"/>
      <c r="D87" s="140"/>
      <c r="E87" s="140"/>
      <c r="F87" s="185"/>
      <c r="G87" s="185"/>
      <c r="H87" s="185"/>
      <c r="I87" s="185"/>
      <c r="J87" s="185"/>
      <c r="K87" s="185"/>
      <c r="L87" s="185"/>
      <c r="M87" s="185"/>
      <c r="N87" s="185"/>
      <c r="O87" s="185"/>
      <c r="P87" s="185"/>
      <c r="Q87" s="185"/>
      <c r="R87" s="185"/>
      <c r="S87" s="190"/>
      <c r="U87" s="152"/>
      <c r="V87" s="152"/>
    </row>
    <row r="88" spans="3:22">
      <c r="C88" s="140"/>
      <c r="D88" s="140"/>
      <c r="E88" s="140"/>
      <c r="F88" s="185"/>
      <c r="G88" s="185"/>
      <c r="H88" s="185"/>
      <c r="I88" s="185"/>
      <c r="J88" s="185"/>
      <c r="K88" s="185"/>
      <c r="L88" s="185"/>
      <c r="M88" s="185"/>
      <c r="N88" s="185"/>
      <c r="O88" s="185"/>
      <c r="P88" s="185"/>
      <c r="Q88" s="185"/>
      <c r="R88" s="185"/>
      <c r="S88" s="190"/>
      <c r="U88" s="152"/>
      <c r="V88" s="152"/>
    </row>
    <row r="89" spans="3:22">
      <c r="C89" s="140"/>
      <c r="D89" s="140"/>
      <c r="E89" s="140"/>
      <c r="F89" s="185"/>
      <c r="G89" s="185"/>
      <c r="H89" s="185"/>
      <c r="I89" s="185"/>
      <c r="J89" s="185"/>
      <c r="K89" s="185"/>
      <c r="L89" s="185"/>
      <c r="M89" s="185"/>
      <c r="N89" s="185"/>
      <c r="O89" s="185"/>
      <c r="P89" s="185"/>
      <c r="Q89" s="185"/>
      <c r="R89" s="185"/>
      <c r="U89" s="152"/>
      <c r="V89" s="152"/>
    </row>
    <row r="90" spans="3:22" ht="12.75">
      <c r="C90" s="140"/>
      <c r="D90" s="140"/>
      <c r="E90" s="140"/>
      <c r="F90" s="185"/>
      <c r="G90" s="185"/>
      <c r="H90" s="185"/>
      <c r="I90" s="185"/>
      <c r="J90" s="185"/>
      <c r="K90" s="185"/>
      <c r="L90" s="185"/>
      <c r="M90" s="185"/>
      <c r="N90" s="185"/>
      <c r="O90" s="185"/>
      <c r="P90" s="185"/>
      <c r="Q90" s="185"/>
      <c r="R90" s="185"/>
    </row>
    <row r="91" spans="3:22" ht="12.75">
      <c r="C91" s="140"/>
      <c r="D91" s="140"/>
      <c r="E91" s="140"/>
      <c r="F91" s="185"/>
      <c r="G91" s="185"/>
      <c r="H91" s="185"/>
      <c r="I91" s="185"/>
      <c r="J91" s="185"/>
      <c r="K91" s="185"/>
      <c r="L91" s="185"/>
      <c r="M91" s="185"/>
      <c r="N91" s="185"/>
      <c r="O91" s="185"/>
      <c r="P91" s="185"/>
      <c r="Q91" s="185"/>
      <c r="R91" s="185"/>
    </row>
    <row r="92" spans="3:22" ht="12.75">
      <c r="C92" s="140"/>
      <c r="D92" s="140"/>
      <c r="E92" s="140"/>
      <c r="F92" s="185"/>
      <c r="G92" s="185"/>
      <c r="H92" s="185"/>
      <c r="I92" s="185"/>
      <c r="J92" s="185"/>
      <c r="K92" s="185"/>
      <c r="L92" s="185"/>
      <c r="M92" s="185"/>
      <c r="N92" s="185"/>
      <c r="O92" s="185"/>
      <c r="P92" s="185"/>
      <c r="Q92" s="185"/>
      <c r="R92" s="185"/>
    </row>
    <row r="93" spans="3:22" ht="12.75">
      <c r="C93" s="140"/>
      <c r="D93" s="140"/>
      <c r="E93" s="140"/>
      <c r="F93" s="185"/>
      <c r="G93" s="185"/>
      <c r="H93" s="185"/>
      <c r="I93" s="185"/>
      <c r="J93" s="185"/>
      <c r="K93" s="185"/>
      <c r="L93" s="185"/>
      <c r="M93" s="185"/>
      <c r="N93" s="185"/>
      <c r="O93" s="185"/>
      <c r="P93" s="185"/>
      <c r="Q93" s="185"/>
      <c r="R93" s="185"/>
    </row>
    <row r="94" spans="3:22" ht="12.75">
      <c r="C94" s="140"/>
      <c r="D94" s="140"/>
      <c r="E94" s="140"/>
      <c r="F94" s="185"/>
      <c r="G94" s="185"/>
      <c r="H94" s="185"/>
      <c r="I94" s="185"/>
      <c r="J94" s="185"/>
      <c r="K94" s="185"/>
      <c r="L94" s="185"/>
      <c r="M94" s="185"/>
      <c r="N94" s="185"/>
      <c r="O94" s="185"/>
      <c r="P94" s="185"/>
      <c r="Q94" s="185"/>
      <c r="R94" s="185"/>
    </row>
    <row r="95" spans="3:22" ht="12.75">
      <c r="C95" s="140"/>
      <c r="D95" s="140"/>
      <c r="E95" s="140"/>
      <c r="F95" s="185"/>
      <c r="G95" s="185"/>
      <c r="H95" s="185"/>
      <c r="I95" s="185"/>
      <c r="J95" s="185"/>
      <c r="K95" s="185"/>
      <c r="L95" s="185"/>
      <c r="M95" s="185"/>
      <c r="N95" s="185"/>
      <c r="O95" s="185"/>
      <c r="P95" s="185"/>
      <c r="Q95" s="185"/>
      <c r="R95" s="185"/>
    </row>
    <row r="96" spans="3:22" ht="12.75">
      <c r="C96" s="140"/>
      <c r="D96" s="140"/>
      <c r="E96" s="140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</row>
    <row r="97" spans="3:18" ht="12.75">
      <c r="C97" s="140"/>
      <c r="D97" s="140"/>
      <c r="E97" s="140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</row>
  </sheetData>
  <conditionalFormatting sqref="A48 D48">
    <cfRule type="expression" dxfId="0" priority="1">
      <formula>$S48="N"</formula>
    </cfRule>
  </conditionalFormatting>
  <pageMargins left="0.1" right="0.1" top="0.5" bottom="0.5" header="0.5" footer="0.5"/>
  <pageSetup paperSize="5" scale="67" orientation="landscape" blackAndWhite="1" r:id="rId1"/>
  <headerFooter alignWithMargins="0">
    <oddFooter>&amp;L&amp;Z&amp;F
&amp;D</oddFooter>
  </headerFooter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FB324-D7DE-483C-869D-BEFF70A9C323}">
  <sheetPr codeName="Sheet3">
    <tabColor rgb="FFFFC000"/>
    <pageSetUpPr fitToPage="1"/>
  </sheetPr>
  <dimension ref="A1:G65"/>
  <sheetViews>
    <sheetView workbookViewId="0">
      <selection activeCell="D15" sqref="D15:D21"/>
    </sheetView>
  </sheetViews>
  <sheetFormatPr defaultColWidth="8.42578125" defaultRowHeight="12.75"/>
  <cols>
    <col min="1" max="1" width="33.28515625" style="99" customWidth="1"/>
    <col min="2" max="2" width="19.7109375" style="99" customWidth="1"/>
    <col min="3" max="3" width="20.42578125" style="99" bestFit="1" customWidth="1"/>
    <col min="4" max="4" width="19.85546875" style="99" customWidth="1"/>
    <col min="5" max="5" width="30.7109375" style="99" bestFit="1" customWidth="1"/>
    <col min="6" max="6" width="10.85546875" style="99" customWidth="1"/>
    <col min="7" max="7" width="10.7109375" style="99" customWidth="1"/>
    <col min="8" max="8" width="9.85546875" style="99" customWidth="1"/>
    <col min="9" max="9" width="8.85546875" style="99" bestFit="1" customWidth="1"/>
    <col min="10" max="10" width="20.42578125" style="99" bestFit="1" customWidth="1"/>
    <col min="11" max="16384" width="8.42578125" style="99"/>
  </cols>
  <sheetData>
    <row r="1" spans="1:7" ht="13.5" thickBot="1"/>
    <row r="2" spans="1:7" ht="15">
      <c r="A2" s="340" t="s">
        <v>88</v>
      </c>
      <c r="B2" s="341"/>
      <c r="C2" s="341"/>
      <c r="D2" s="341"/>
      <c r="E2" s="342"/>
    </row>
    <row r="3" spans="1:7" ht="15">
      <c r="A3" s="343" t="s">
        <v>89</v>
      </c>
      <c r="B3" s="344"/>
      <c r="C3" s="344"/>
      <c r="D3" s="344"/>
      <c r="E3" s="345"/>
    </row>
    <row r="4" spans="1:7">
      <c r="A4" s="100"/>
      <c r="E4" s="101"/>
    </row>
    <row r="5" spans="1:7">
      <c r="A5" s="100"/>
      <c r="B5" s="102"/>
      <c r="C5" s="99" t="s">
        <v>90</v>
      </c>
      <c r="D5" s="99" t="s">
        <v>91</v>
      </c>
      <c r="E5" s="103" t="s">
        <v>188</v>
      </c>
      <c r="F5" s="102"/>
      <c r="G5" s="102"/>
    </row>
    <row r="6" spans="1:7">
      <c r="A6" s="100"/>
      <c r="E6" s="101"/>
    </row>
    <row r="7" spans="1:7">
      <c r="A7" s="100" t="s">
        <v>92</v>
      </c>
      <c r="E7" s="101"/>
    </row>
    <row r="8" spans="1:7">
      <c r="A8" s="100" t="s">
        <v>93</v>
      </c>
      <c r="E8" s="101"/>
    </row>
    <row r="9" spans="1:7">
      <c r="A9" s="100"/>
      <c r="E9" s="101"/>
    </row>
    <row r="10" spans="1:7">
      <c r="A10" s="100"/>
      <c r="E10" s="101"/>
    </row>
    <row r="11" spans="1:7">
      <c r="A11" s="100"/>
      <c r="E11" s="104" t="s">
        <v>94</v>
      </c>
      <c r="F11" s="102"/>
      <c r="G11" s="102"/>
    </row>
    <row r="12" spans="1:7">
      <c r="A12" s="105" t="s">
        <v>95</v>
      </c>
      <c r="C12" s="106" t="s">
        <v>96</v>
      </c>
      <c r="D12" s="106" t="s">
        <v>97</v>
      </c>
      <c r="E12" s="107" t="s">
        <v>98</v>
      </c>
      <c r="F12" s="102"/>
      <c r="G12" s="102"/>
    </row>
    <row r="13" spans="1:7">
      <c r="A13" s="108"/>
      <c r="C13" s="109"/>
      <c r="D13" s="109"/>
      <c r="E13" s="104"/>
      <c r="F13" s="102"/>
      <c r="G13" s="102"/>
    </row>
    <row r="14" spans="1:7">
      <c r="A14" s="100"/>
      <c r="C14" s="110"/>
      <c r="D14" s="111"/>
      <c r="E14" s="112"/>
      <c r="F14" s="102"/>
      <c r="G14" s="102"/>
    </row>
    <row r="15" spans="1:7">
      <c r="A15" s="100" t="s">
        <v>99</v>
      </c>
      <c r="C15" s="113">
        <v>832185.47550413886</v>
      </c>
      <c r="D15" s="114">
        <v>5.5399999999999998E-2</v>
      </c>
      <c r="E15" s="112">
        <f>(C15*D15)</f>
        <v>46103.075342929289</v>
      </c>
      <c r="F15" s="115"/>
      <c r="G15" s="115"/>
    </row>
    <row r="16" spans="1:7">
      <c r="A16" s="100" t="s">
        <v>100</v>
      </c>
      <c r="C16" s="116"/>
      <c r="D16" s="117" t="s">
        <v>101</v>
      </c>
      <c r="E16" s="112"/>
      <c r="F16" s="115"/>
      <c r="G16" s="115"/>
    </row>
    <row r="17" spans="1:7">
      <c r="A17" s="100" t="s">
        <v>102</v>
      </c>
      <c r="C17" s="113">
        <v>99671.443862618078</v>
      </c>
      <c r="D17" s="114">
        <v>4.8500000000000001E-2</v>
      </c>
      <c r="E17" s="112">
        <f>(C17*D17)</f>
        <v>4834.0650273369765</v>
      </c>
      <c r="F17" s="115"/>
      <c r="G17" s="115"/>
    </row>
    <row r="18" spans="1:7">
      <c r="A18" s="100"/>
      <c r="C18" s="116"/>
      <c r="D18" s="111"/>
      <c r="E18" s="112"/>
      <c r="F18" s="115"/>
      <c r="G18" s="115"/>
    </row>
    <row r="19" spans="1:7">
      <c r="A19" s="100" t="s">
        <v>103</v>
      </c>
      <c r="C19" s="113">
        <v>27528.181226768535</v>
      </c>
      <c r="D19" s="114">
        <v>2.53E-2</v>
      </c>
      <c r="E19" s="112">
        <f>(C19*D19)</f>
        <v>696.46298503724393</v>
      </c>
      <c r="F19" s="115"/>
      <c r="G19" s="115"/>
    </row>
    <row r="20" spans="1:7">
      <c r="A20" s="100"/>
      <c r="C20" s="118"/>
      <c r="D20" s="111"/>
      <c r="E20" s="119"/>
      <c r="F20" s="115"/>
      <c r="G20" s="115"/>
    </row>
    <row r="21" spans="1:7">
      <c r="A21" s="100" t="s">
        <v>104</v>
      </c>
      <c r="C21" s="110">
        <f>SUM(C15:C19)</f>
        <v>959385.10059352545</v>
      </c>
      <c r="D21" s="111"/>
      <c r="E21" s="112">
        <f>SUM(E15:E19)</f>
        <v>51633.603355303509</v>
      </c>
      <c r="F21" s="115"/>
      <c r="G21" s="115"/>
    </row>
    <row r="22" spans="1:7">
      <c r="A22" s="100"/>
      <c r="C22" s="110"/>
      <c r="D22" s="111"/>
      <c r="E22" s="120"/>
      <c r="F22" s="102"/>
      <c r="G22" s="102"/>
    </row>
    <row r="23" spans="1:7">
      <c r="A23" s="100" t="s">
        <v>105</v>
      </c>
      <c r="C23" s="110"/>
      <c r="D23" s="111"/>
      <c r="E23" s="121">
        <v>52917.240700252165</v>
      </c>
      <c r="F23" s="115"/>
      <c r="G23" s="102"/>
    </row>
    <row r="24" spans="1:7">
      <c r="A24" s="100"/>
      <c r="C24" s="110"/>
      <c r="D24" s="111"/>
      <c r="E24" s="119"/>
      <c r="F24" s="102"/>
      <c r="G24" s="102"/>
    </row>
    <row r="25" spans="1:7">
      <c r="A25" s="100"/>
      <c r="C25" s="110"/>
      <c r="D25" s="111"/>
      <c r="E25" s="112"/>
      <c r="F25" s="102"/>
      <c r="G25" s="102"/>
    </row>
    <row r="26" spans="1:7" ht="13.5" thickBot="1">
      <c r="A26" s="100" t="s">
        <v>106</v>
      </c>
      <c r="C26" s="110"/>
      <c r="D26" s="111"/>
      <c r="E26" s="122">
        <f>E21-E23</f>
        <v>-1283.6373449486564</v>
      </c>
      <c r="F26" s="102"/>
      <c r="G26" s="102"/>
    </row>
    <row r="27" spans="1:7" ht="13.5" thickTop="1">
      <c r="A27" s="100"/>
      <c r="C27" s="110"/>
      <c r="D27" s="111"/>
      <c r="E27" s="112"/>
      <c r="F27" s="102"/>
      <c r="G27" s="102"/>
    </row>
    <row r="28" spans="1:7">
      <c r="A28" s="100"/>
      <c r="C28" s="110"/>
      <c r="D28" s="111"/>
      <c r="E28" s="112"/>
      <c r="F28" s="102"/>
      <c r="G28" s="102"/>
    </row>
    <row r="29" spans="1:7" ht="13.5" thickBot="1">
      <c r="A29" s="100" t="s">
        <v>107</v>
      </c>
      <c r="B29" s="123">
        <v>0.25345000000000001</v>
      </c>
      <c r="C29" s="110"/>
      <c r="D29" s="111"/>
      <c r="E29" s="124">
        <f>(E26*B29)</f>
        <v>-325.33788507723699</v>
      </c>
      <c r="F29" s="102"/>
      <c r="G29" s="102"/>
    </row>
    <row r="30" spans="1:7" ht="13.5" thickTop="1">
      <c r="A30" s="100"/>
      <c r="E30" s="125"/>
    </row>
    <row r="31" spans="1:7">
      <c r="A31" s="100"/>
      <c r="E31" s="101"/>
    </row>
    <row r="32" spans="1:7" ht="13.5" thickBot="1">
      <c r="A32" s="126"/>
      <c r="B32" s="127"/>
      <c r="C32" s="127"/>
      <c r="D32" s="127"/>
      <c r="E32" s="128"/>
    </row>
    <row r="34" spans="1:5" ht="13.5" thickBot="1"/>
    <row r="35" spans="1:5" ht="15">
      <c r="A35" s="340" t="s">
        <v>88</v>
      </c>
      <c r="B35" s="341"/>
      <c r="C35" s="341"/>
      <c r="D35" s="341"/>
      <c r="E35" s="342"/>
    </row>
    <row r="36" spans="1:5" ht="15">
      <c r="A36" s="343" t="s">
        <v>89</v>
      </c>
      <c r="B36" s="344"/>
      <c r="C36" s="344"/>
      <c r="D36" s="344"/>
      <c r="E36" s="345"/>
    </row>
    <row r="37" spans="1:5">
      <c r="A37" s="100"/>
      <c r="E37" s="101"/>
    </row>
    <row r="38" spans="1:5">
      <c r="A38" s="100"/>
      <c r="B38" s="102"/>
      <c r="C38" s="99" t="s">
        <v>90</v>
      </c>
      <c r="D38" s="129" t="s">
        <v>108</v>
      </c>
      <c r="E38" s="130" t="s">
        <v>190</v>
      </c>
    </row>
    <row r="39" spans="1:5">
      <c r="A39" s="100"/>
      <c r="E39" s="101"/>
    </row>
    <row r="40" spans="1:5">
      <c r="A40" s="100" t="s">
        <v>92</v>
      </c>
      <c r="E40" s="101"/>
    </row>
    <row r="41" spans="1:5">
      <c r="A41" s="100" t="s">
        <v>109</v>
      </c>
      <c r="E41" s="101"/>
    </row>
    <row r="42" spans="1:5">
      <c r="A42" s="100"/>
      <c r="E42" s="101"/>
    </row>
    <row r="43" spans="1:5">
      <c r="A43" s="100"/>
      <c r="E43" s="101"/>
    </row>
    <row r="44" spans="1:5">
      <c r="A44" s="100"/>
      <c r="E44" s="104" t="s">
        <v>94</v>
      </c>
    </row>
    <row r="45" spans="1:5">
      <c r="A45" s="105" t="s">
        <v>95</v>
      </c>
      <c r="C45" s="106" t="s">
        <v>96</v>
      </c>
      <c r="D45" s="106" t="s">
        <v>97</v>
      </c>
      <c r="E45" s="107" t="s">
        <v>98</v>
      </c>
    </row>
    <row r="46" spans="1:5">
      <c r="A46" s="108"/>
      <c r="C46" s="109"/>
      <c r="D46" s="109"/>
      <c r="E46" s="104"/>
    </row>
    <row r="47" spans="1:5">
      <c r="A47" s="100"/>
      <c r="C47" s="110"/>
      <c r="D47" s="111"/>
      <c r="E47" s="112"/>
    </row>
    <row r="48" spans="1:5">
      <c r="A48" s="100" t="s">
        <v>99</v>
      </c>
      <c r="C48" s="113">
        <v>847120.93356210203</v>
      </c>
      <c r="D48" s="114">
        <v>5.2600000000000001E-2</v>
      </c>
      <c r="E48" s="112">
        <f>(C48*D48)</f>
        <v>44558.561105366571</v>
      </c>
    </row>
    <row r="49" spans="1:5">
      <c r="A49" s="100" t="s">
        <v>100</v>
      </c>
      <c r="C49" s="116"/>
      <c r="D49" s="117" t="s">
        <v>101</v>
      </c>
      <c r="E49" s="112"/>
    </row>
    <row r="50" spans="1:5">
      <c r="A50" s="100" t="s">
        <v>102</v>
      </c>
      <c r="C50" s="113">
        <v>122324.09910646523</v>
      </c>
      <c r="D50" s="114">
        <v>3.85E-2</v>
      </c>
      <c r="E50" s="112">
        <f>(C50*D50)</f>
        <v>4709.4778155989115</v>
      </c>
    </row>
    <row r="51" spans="1:5">
      <c r="A51" s="100"/>
      <c r="C51" s="116"/>
      <c r="D51" s="111"/>
      <c r="E51" s="112"/>
    </row>
    <row r="52" spans="1:5">
      <c r="A52" s="100" t="s">
        <v>103</v>
      </c>
      <c r="C52" s="113">
        <v>27055.296033084</v>
      </c>
      <c r="D52" s="114">
        <v>2.52E-2</v>
      </c>
      <c r="E52" s="112">
        <f>(C52*D52)</f>
        <v>681.79346003371677</v>
      </c>
    </row>
    <row r="53" spans="1:5">
      <c r="A53" s="100"/>
      <c r="C53" s="118"/>
      <c r="D53" s="111"/>
      <c r="E53" s="119"/>
    </row>
    <row r="54" spans="1:5">
      <c r="A54" s="100" t="s">
        <v>104</v>
      </c>
      <c r="C54" s="110">
        <f>SUM(C48:C52)</f>
        <v>996500.32870165131</v>
      </c>
      <c r="D54" s="111"/>
      <c r="E54" s="112">
        <f>SUM(E48:E52)</f>
        <v>49949.8323809992</v>
      </c>
    </row>
    <row r="55" spans="1:5">
      <c r="A55" s="100"/>
      <c r="C55" s="110"/>
      <c r="D55" s="111"/>
      <c r="E55" s="120"/>
    </row>
    <row r="56" spans="1:5">
      <c r="A56" s="100" t="s">
        <v>105</v>
      </c>
      <c r="C56" s="110"/>
      <c r="D56" s="111"/>
      <c r="E56" s="121">
        <v>52917.240700252165</v>
      </c>
    </row>
    <row r="57" spans="1:5">
      <c r="A57" s="100"/>
      <c r="C57" s="110"/>
      <c r="D57" s="111"/>
      <c r="E57" s="119"/>
    </row>
    <row r="58" spans="1:5">
      <c r="A58" s="100"/>
      <c r="C58" s="110"/>
      <c r="D58" s="111"/>
      <c r="E58" s="112"/>
    </row>
    <row r="59" spans="1:5" ht="13.5" thickBot="1">
      <c r="A59" s="100" t="s">
        <v>106</v>
      </c>
      <c r="C59" s="110"/>
      <c r="D59" s="111"/>
      <c r="E59" s="122">
        <f>E54-E56</f>
        <v>-2967.4083192529652</v>
      </c>
    </row>
    <row r="60" spans="1:5" ht="13.5" thickTop="1">
      <c r="A60" s="100"/>
      <c r="C60" s="110"/>
      <c r="D60" s="111"/>
      <c r="E60" s="112"/>
    </row>
    <row r="61" spans="1:5">
      <c r="A61" s="100"/>
      <c r="C61" s="110"/>
      <c r="D61" s="111"/>
      <c r="E61" s="112"/>
    </row>
    <row r="62" spans="1:5" ht="13.5" thickBot="1">
      <c r="A62" s="100" t="s">
        <v>107</v>
      </c>
      <c r="B62" s="123">
        <v>0.25345000000000001</v>
      </c>
      <c r="C62" s="110"/>
      <c r="D62" s="111"/>
      <c r="E62" s="124">
        <f>(E59*B62)</f>
        <v>-752.08963851466399</v>
      </c>
    </row>
    <row r="63" spans="1:5" ht="13.5" thickTop="1">
      <c r="A63" s="100"/>
      <c r="E63" s="125"/>
    </row>
    <row r="64" spans="1:5">
      <c r="A64" s="100"/>
      <c r="E64" s="101"/>
    </row>
    <row r="65" spans="1:5" ht="13.5" thickBot="1">
      <c r="A65" s="126"/>
      <c r="B65" s="127"/>
      <c r="C65" s="127"/>
      <c r="D65" s="127"/>
      <c r="E65" s="128"/>
    </row>
  </sheetData>
  <mergeCells count="4">
    <mergeCell ref="A2:E2"/>
    <mergeCell ref="A3:E3"/>
    <mergeCell ref="A35:E35"/>
    <mergeCell ref="A36:E36"/>
  </mergeCells>
  <printOptions horizontalCentered="1"/>
  <pageMargins left="0.25" right="0.25" top="0.5" bottom="0.5" header="0.5" footer="0.5"/>
  <pageSetup scale="84" orientation="portrait" r:id="rId1"/>
  <headerFooter alignWithMargins="0">
    <oddFooter>&amp;R&amp;F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2" ma:contentTypeDescription="Create a new document." ma:contentTypeScope="" ma:versionID="e5268eab065339c051eaf8aaeff5f44b">
  <xsd:schema xmlns:xsd="http://www.w3.org/2001/XMLSchema" xmlns:xs="http://www.w3.org/2001/XMLSchema" xmlns:p="http://schemas.microsoft.com/office/2006/metadata/properties" xmlns:ns2="9bbac886-2f20-4c15-ac8f-bd6773befed2" targetNamespace="http://schemas.microsoft.com/office/2006/metadata/properties" ma:root="true" ma:fieldsID="8de529939eb037e419d1462f88b80023" ns2:_="">
    <xsd:import namespace="9bbac886-2f20-4c15-ac8f-bd6773bef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FEF7F6F-7985-48B5-A8FA-9D6CBD35CBE6}"/>
</file>

<file path=customXml/itemProps2.xml><?xml version="1.0" encoding="utf-8"?>
<ds:datastoreItem xmlns:ds="http://schemas.openxmlformats.org/officeDocument/2006/customXml" ds:itemID="{AE42AD19-CC88-4B7B-A505-47C4BF9F791B}"/>
</file>

<file path=customXml/itemProps3.xml><?xml version="1.0" encoding="utf-8"?>
<ds:datastoreItem xmlns:ds="http://schemas.openxmlformats.org/officeDocument/2006/customXml" ds:itemID="{2A19496A-8756-42D0-B63D-53D28DB947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Summary</vt:lpstr>
      <vt:lpstr>Scenario</vt:lpstr>
      <vt:lpstr>Variance to Rate Case</vt:lpstr>
      <vt:lpstr>IncomeStmt Scenario</vt:lpstr>
      <vt:lpstr>Rate Case</vt:lpstr>
      <vt:lpstr>IncomeStmt Rate Case</vt:lpstr>
      <vt:lpstr>Int Synch</vt:lpstr>
      <vt:lpstr>Interest_synch</vt:lpstr>
      <vt:lpstr>'IncomeStmt Rate Case'!Print_Area</vt:lpstr>
      <vt:lpstr>'IncomeStmt Scenario'!Print_Area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Heinrich, Joshua R.</dc:creator>
  <cp:lastModifiedBy>Kelley, Amanda M.</cp:lastModifiedBy>
  <dcterms:created xsi:type="dcterms:W3CDTF">2023-04-19T20:37:04Z</dcterms:created>
  <dcterms:modified xsi:type="dcterms:W3CDTF">2023-05-09T20:35:57Z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a83f872e-d8d7-43ac-9961-0f2ad31e50e5_Enabled">
    <vt:lpwstr>true</vt:lpwstr>
  </property>
  <property fmtid="{D5CDD505-2E9C-101B-9397-08002B2CF9AE}" pid="5" name="MSIP_Label_a83f872e-d8d7-43ac-9961-0f2ad31e50e5_SetDate">
    <vt:lpwstr>2023-04-19T21:17:39Z</vt:lpwstr>
  </property>
  <property fmtid="{D5CDD505-2E9C-101B-9397-08002B2CF9AE}" pid="6" name="MSIP_Label_a83f872e-d8d7-43ac-9961-0f2ad31e50e5_Method">
    <vt:lpwstr>Standard</vt:lpwstr>
  </property>
  <property fmtid="{D5CDD505-2E9C-101B-9397-08002B2CF9AE}" pid="7" name="MSIP_Label_a83f872e-d8d7-43ac-9961-0f2ad31e50e5_Name">
    <vt:lpwstr>a83f872e-d8d7-43ac-9961-0f2ad31e50e5</vt:lpwstr>
  </property>
  <property fmtid="{D5CDD505-2E9C-101B-9397-08002B2CF9AE}" pid="8" name="MSIP_Label_a83f872e-d8d7-43ac-9961-0f2ad31e50e5_SiteId">
    <vt:lpwstr>fa8c194a-f8e2-43c5-bc39-b637579e39e0</vt:lpwstr>
  </property>
  <property fmtid="{D5CDD505-2E9C-101B-9397-08002B2CF9AE}" pid="9" name="MSIP_Label_a83f872e-d8d7-43ac-9961-0f2ad31e50e5_ActionId">
    <vt:lpwstr>a381dfb6-7be8-42a5-8706-da947b658551</vt:lpwstr>
  </property>
  <property fmtid="{D5CDD505-2E9C-101B-9397-08002B2CF9AE}" pid="10" name="MSIP_Label_a83f872e-d8d7-43ac-9961-0f2ad31e50e5_ContentBits">
    <vt:lpwstr>0</vt:lpwstr>
  </property>
  <property fmtid="{D5CDD505-2E9C-101B-9397-08002B2CF9AE}" pid="11" name="ContentTypeId">
    <vt:lpwstr>0x0101001B9469E761E20748A773F85B33816D32</vt:lpwstr>
  </property>
</Properties>
</file>