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ustomProperty10.bin" ContentType="application/vnd.openxmlformats-officedocument.spreadsheetml.customProperty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omments5.xml" ContentType="application/vnd.openxmlformats-officedocument.spreadsheetml.comments+xml"/>
  <Override PartName="/xl/threadedComments/threadedComment4.xml" ContentType="application/vnd.ms-excel.threadedcomments+xml"/>
  <Override PartName="/xl/customProperty17.bin" ContentType="application/vnd.openxmlformats-officedocument.spreadsheetml.customProperty"/>
  <Override PartName="/xl/drawings/drawing4.xml" ContentType="application/vnd.openxmlformats-officedocument.drawing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5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gulatory Coordination Group\Tison Vega\Filing Work Area\2023PGS_RC\Discovery\OPC's 8th_POD\Attachments\POD_95\"/>
    </mc:Choice>
  </mc:AlternateContent>
  <xr:revisionPtr revIDLastSave="0" documentId="13_ncr:1_{AF883AA9-5686-45E8-9921-D5DB37E357C0}" xr6:coauthVersionLast="47" xr6:coauthVersionMax="47" xr10:uidLastSave="{00000000-0000-0000-0000-000000000000}"/>
  <bookViews>
    <workbookView xWindow="-23655" yWindow="2670" windowWidth="21600" windowHeight="11385" tabRatio="680" firstSheet="9" activeTab="9" xr2:uid="{8F97C69E-B242-43B2-87C5-96B14064C75F}"/>
    <workbookView xWindow="-28920" yWindow="75" windowWidth="29040" windowHeight="15840" firstSheet="9" activeTab="9" xr2:uid="{0B86E015-698D-4838-8D00-1A7C18A46D33}"/>
  </bookViews>
  <sheets>
    <sheet name="vs Q3F" sheetId="15" state="hidden" r:id="rId1"/>
    <sheet name="vs LTF" sheetId="1" state="hidden" r:id="rId2"/>
    <sheet name="Revenue" sheetId="11" state="hidden" r:id="rId3"/>
    <sheet name="Opportunties" sheetId="14" state="hidden" r:id="rId4"/>
    <sheet name="Alliance-PGS" sheetId="3" state="hidden" r:id="rId5"/>
    <sheet name="Alliance-DevCo" sheetId="13" state="hidden" r:id="rId6"/>
    <sheet name="NoPetro" sheetId="5" state="hidden" r:id="rId7"/>
    <sheet name="IT Costs" sheetId="2" state="hidden" r:id="rId8"/>
    <sheet name="Gator" sheetId="7" state="hidden" r:id="rId9"/>
    <sheet name="Q3F Interest Schedules RP" sheetId="26" r:id="rId10"/>
    <sheet name="LTF Interest Schedules RP Upd" sheetId="29" r:id="rId11"/>
    <sheet name="LTF Interest Schedules RP" sheetId="27" r:id="rId12"/>
    <sheet name="LTF Interest Schedules PM" sheetId="30" r:id="rId13"/>
    <sheet name="LTF Interest Schedules" sheetId="25" state="hidden" r:id="rId14"/>
    <sheet name="Q3F Interest Schedules" sheetId="23" state="hidden" r:id="rId15"/>
    <sheet name="BS Sheet Details" sheetId="24" state="hidden" r:id="rId16"/>
    <sheet name="Recon" sheetId="4" state="hidden" r:id="rId17"/>
    <sheet name="LTF to Bud Interest Rate" sheetId="16" state="hidden" r:id="rId18"/>
    <sheet name="Interest Charts" sheetId="17" state="hidden" r:id="rId19"/>
    <sheet name="Interest Exp Table" sheetId="21" state="hidden" r:id="rId20"/>
    <sheet name="Q3F vs Budget - Project Changes" sheetId="22" state="hidden" r:id="rId21"/>
    <sheet name="Q3F to Bud Interest Rate" sheetId="18" state="hidden" r:id="rId22"/>
    <sheet name="LTD Details" sheetId="20" state="hidden" r:id="rId23"/>
    <sheet name="Interest Rate Impact" sheetId="8" state="hidden" r:id="rId24"/>
    <sheet name="Interest Balance Impact" sheetId="9" state="hidden" r:id="rId25"/>
    <sheet name="WAM_ FINAL" sheetId="10" state="hidden" r:id="rId26"/>
    <sheet name="TGO" sheetId="12" state="hidden" r:id="rId27"/>
  </sheets>
  <definedNames>
    <definedName name="\C" localSheetId="3">#REF!</definedName>
    <definedName name="\C">#REF!</definedName>
    <definedName name="\J">#REF!</definedName>
    <definedName name="\K">#REF!</definedName>
    <definedName name="\L">#REF!</definedName>
    <definedName name="\ll">#REF!</definedName>
    <definedName name="\M">#REF!</definedName>
    <definedName name="\N">#REF!</definedName>
    <definedName name="\O">#REF!</definedName>
    <definedName name="\P" localSheetId="3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 localSheetId="3">#REF!</definedName>
    <definedName name="\Z">#REF!</definedName>
    <definedName name="_070">#REF!</definedName>
    <definedName name="_070new">#REF!</definedName>
    <definedName name="_097_ALLOC">#REF!</definedName>
    <definedName name="_12MEACT">#REF!</definedName>
    <definedName name="_12MEBUD">#REF!</definedName>
    <definedName name="_1999GOAL7" localSheetId="3">#REF!</definedName>
    <definedName name="_1999GOAL7">#REF!</definedName>
    <definedName name="_2015_Salary">#REF!</definedName>
    <definedName name="_4TH_QUARTER">"$AC$4:$AN$45"</definedName>
    <definedName name="_99_03GOAL" localSheetId="3">#REF!</definedName>
    <definedName name="_99_03GOAL">#REF!</definedName>
    <definedName name="_APR40" localSheetId="3">#REF!</definedName>
    <definedName name="_APR40">#REF!</definedName>
    <definedName name="_AUG40" localSheetId="3">#REF!</definedName>
    <definedName name="_AUG40">#REF!</definedName>
    <definedName name="_BSA2">#REF!</definedName>
    <definedName name="_BSL2">#REF!</definedName>
    <definedName name="_CAP2">#REF!</definedName>
    <definedName name="_CFL2">#REF!</definedName>
    <definedName name="_DEC40">#REF!</definedName>
    <definedName name="_xlnm._FilterDatabase" localSheetId="25" hidden="1">'WAM_ FINAL'!$A$6:$J$15</definedName>
    <definedName name="_IST2">#REF!</definedName>
    <definedName name="_JAN40">#REF!</definedName>
    <definedName name="_JUL40">#REF!</definedName>
    <definedName name="_JUN40">#REF!</definedName>
    <definedName name="_Key1" localSheetId="3" hidden="1">#REF!</definedName>
    <definedName name="_Key1" localSheetId="25" hidden="1">#REF!</definedName>
    <definedName name="_Key1" hidden="1">#REF!</definedName>
    <definedName name="_MAR40">"MARWHLFPC"</definedName>
    <definedName name="_MAY40" localSheetId="3">#REF!</definedName>
    <definedName name="_MAY40">#REF!</definedName>
    <definedName name="_NOV40" localSheetId="3">#REF!</definedName>
    <definedName name="_NOV40">#REF!</definedName>
    <definedName name="_OCT40" localSheetId="3">#REF!</definedName>
    <definedName name="_OCT40">#REF!</definedName>
    <definedName name="_Order1" hidden="1">255</definedName>
    <definedName name="_Regression_Int">1</definedName>
    <definedName name="_SEP40" localSheetId="3">#REF!</definedName>
    <definedName name="_SEP40">#REF!</definedName>
    <definedName name="_Sort" localSheetId="3" hidden="1">#REF!</definedName>
    <definedName name="_Sort" localSheetId="25" hidden="1">#REF!</definedName>
    <definedName name="_Sort" hidden="1">#REF!</definedName>
    <definedName name="_xlchart.v1.0" hidden="1">'Interest Charts'!$A$29:$A$33</definedName>
    <definedName name="_xlchart.v1.1" hidden="1">'Interest Charts'!$B$29:$B$33</definedName>
    <definedName name="_xlchart.v1.2" hidden="1">'Interest Charts'!$A$21:$A$25</definedName>
    <definedName name="_xlchart.v1.3" hidden="1">'Interest Charts'!$B$21:$B$25</definedName>
    <definedName name="ACCOUNT">#REF!</definedName>
    <definedName name="ACCOUNT_18">#REF!</definedName>
    <definedName name="ACCOUNT_19">#REF!</definedName>
    <definedName name="ACCOUNT_20">#REF!</definedName>
    <definedName name="ACCOUNT_21">#REF!</definedName>
    <definedName name="ACCOUNT_DESCR_OVER_3">#REF!</definedName>
    <definedName name="ACCOUNT_ID">#REF!</definedName>
    <definedName name="ACCOUNT_ID_F">#REF!</definedName>
    <definedName name="ACCOUNT_ID_Q1F">#REF!</definedName>
    <definedName name="ACCOUNT_ID1">#REF!</definedName>
    <definedName name="ACCOUNT_OVER_3">#REF!</definedName>
    <definedName name="ACCT_VARIANCE">#REF!</definedName>
    <definedName name="ACT_AMOUNT">#REF!</definedName>
    <definedName name="ACT_MONTH_NUMBER">#REF!</definedName>
    <definedName name="ACT_PROJECT_DESCRIPTION">#REF!</definedName>
    <definedName name="ACT_SUMMARY_PROJECT_DESCRIPTION">#REF!</definedName>
    <definedName name="ActiveScenario">#REF!</definedName>
    <definedName name="adds">#REF!</definedName>
    <definedName name="After_Tax_WACC">#REF!</definedName>
    <definedName name="AFUDC_Debt">#REF!</definedName>
    <definedName name="AFUDC_multiplier">#REF!</definedName>
    <definedName name="AFUDC_Total">#REF!</definedName>
    <definedName name="ALLOWALOC" localSheetId="3">#REF!</definedName>
    <definedName name="ALLOWALOC">#REF!</definedName>
    <definedName name="ALLOWBB4HPP" localSheetId="3">#REF!</definedName>
    <definedName name="ALLOWBB4HPP">#REF!</definedName>
    <definedName name="AMOUNT">#REF!</definedName>
    <definedName name="Analysis_of_921_Account">#REF!</definedName>
    <definedName name="anscount">6</definedName>
    <definedName name="AP_OTHER">#REF!</definedName>
    <definedName name="Apr" localSheetId="3">#REF!</definedName>
    <definedName name="Apr">#REF!</definedName>
    <definedName name="APRJE" localSheetId="3">#REF!</definedName>
    <definedName name="APRJE">#REF!</definedName>
    <definedName name="APRJE2" localSheetId="3">#REF!</definedName>
    <definedName name="APRJE2">#REF!</definedName>
    <definedName name="APRJE3" localSheetId="3">#REF!</definedName>
    <definedName name="APRJE3">#REF!</definedName>
    <definedName name="APRRET" localSheetId="3">#REF!</definedName>
    <definedName name="APRRET">#REF!</definedName>
    <definedName name="APRWHLFPC" localSheetId="3">#REF!</definedName>
    <definedName name="APRWHLFPC">#REF!</definedName>
    <definedName name="APRWHLFTM" localSheetId="3">#REF!</definedName>
    <definedName name="APRWHLFTM">#REF!</definedName>
    <definedName name="APRWHLSTC">#REF!</definedName>
    <definedName name="APRWHLWAU">#REF!</definedName>
    <definedName name="ary_Asset_Data">#REF!</definedName>
    <definedName name="ary_Asset_Data_Name">#REF!</definedName>
    <definedName name="ary_Asset_Header">#REF!</definedName>
    <definedName name="ary_Asset_Name_Model">#REF!</definedName>
    <definedName name="ary_Asset_Table">#REF!</definedName>
    <definedName name="ary_Bonus_Dep_Table">#REF!</definedName>
    <definedName name="ary_Bonus_Dep_Year">#REF!</definedName>
    <definedName name="ary_BS_Data_Monthly">#REF!</definedName>
    <definedName name="ary_Cap_Ex_Draw_Sch">#REF!</definedName>
    <definedName name="ary_Capex_Schedule">#REF!</definedName>
    <definedName name="ary_Case_DrpDn">#REF!</definedName>
    <definedName name="ary_Cost_Est_Baseline">#REF!</definedName>
    <definedName name="ary_Cost_Est_Header">#REF!</definedName>
    <definedName name="ary_Cost_Est_Total">#REF!</definedName>
    <definedName name="Ary_Cust_Chg_Rates">#REF!</definedName>
    <definedName name="Ary_CustChg_By_Tariff">#REF!</definedName>
    <definedName name="ary_Demand_Profile_Name">#REF!</definedName>
    <definedName name="ary_Dep_Sch_Tax">#REF!</definedName>
    <definedName name="ary_Division">#REF!</definedName>
    <definedName name="Ary_Fin_CW_Monthly">#REF!</definedName>
    <definedName name="ary_Financial_BS">#REF!</definedName>
    <definedName name="ary_Financial_BS_Header">#REF!</definedName>
    <definedName name="ary_Financial_CW">#REF!</definedName>
    <definedName name="ary_Financial_CW_Header">#REF!</definedName>
    <definedName name="ary_Financial_IS">#REF!</definedName>
    <definedName name="ary_Financial_IS_Header">#REF!</definedName>
    <definedName name="ary_IDC_Options">#REF!</definedName>
    <definedName name="Ary_Inc_Cust_Cnt">#REF!</definedName>
    <definedName name="ary_Inc_Customers_Com">#REF!</definedName>
    <definedName name="ary_Inc_Customers_Res">#REF!</definedName>
    <definedName name="ary_IND_Annual_Demand_1">#REF!</definedName>
    <definedName name="ary_IND_Annual_Demand_2">#REF!</definedName>
    <definedName name="ary_IND_Annual_Demand_3">#REF!</definedName>
    <definedName name="ary_IND_Annual_Demand_4">#REF!</definedName>
    <definedName name="ary_IS_Data_Monthly">#REF!</definedName>
    <definedName name="ary_Month_Names">#REF!</definedName>
    <definedName name="ary_PGS_Tariff_Data">#REF!</definedName>
    <definedName name="ary_PGS_Tariff_Name">#REF!</definedName>
    <definedName name="Ary_PP_DefTax">#REF!</definedName>
    <definedName name="Ary_PP_Dep">#REF!</definedName>
    <definedName name="Ary_PP_OM">#REF!</definedName>
    <definedName name="Ary_PP_Payments">#REF!</definedName>
    <definedName name="Ary_PP_Taxcurret">#REF!</definedName>
    <definedName name="Ary_PP_TV">#REF!</definedName>
    <definedName name="ary_PPLan_Bud_Class">#REF!</definedName>
    <definedName name="Ary_PPlan_Charge_Data">#REF!</definedName>
    <definedName name="ary_PPLan_Job_Task">#REF!</definedName>
    <definedName name="ary_PPlan_land">#REF!</definedName>
    <definedName name="ary_PPlan_Output">#REF!</definedName>
    <definedName name="ary_Qaunt">#REF!</definedName>
    <definedName name="ary_Reg_UnReg">#REF!</definedName>
    <definedName name="Ary_Rev_By_Tariff">#REF!</definedName>
    <definedName name="ary_Scen_Man_Asset">#REF!</definedName>
    <definedName name="ary_Short_Term_Debt_Rates">#REF!</definedName>
    <definedName name="ary_Special_Asset_Rates">#REF!</definedName>
    <definedName name="Ary_Therms_By_Tariff">#REF!</definedName>
    <definedName name="ary_Timeline">#REF!</definedName>
    <definedName name="ary_Timeline_Date">#REF!</definedName>
    <definedName name="ary_Timeline_EO_Day">#REF!</definedName>
    <definedName name="ary_Timeline_Year">#REF!</definedName>
    <definedName name="ary_Yes_No">#REF!</definedName>
    <definedName name="ASSUMPTIONS">#REF!</definedName>
    <definedName name="Aug" localSheetId="3">#REF!</definedName>
    <definedName name="Aug">#REF!</definedName>
    <definedName name="AUGFPC" localSheetId="3">#REF!</definedName>
    <definedName name="AUGFPC">#REF!</definedName>
    <definedName name="AUGJE" localSheetId="3">#REF!</definedName>
    <definedName name="AUGJE">#REF!</definedName>
    <definedName name="AUGJE2" localSheetId="3">#REF!</definedName>
    <definedName name="AUGJE2">#REF!</definedName>
    <definedName name="AUGJE3" localSheetId="3">#REF!</definedName>
    <definedName name="AUGJE3">#REF!</definedName>
    <definedName name="AUGRET" localSheetId="3">#REF!</definedName>
    <definedName name="AUGRET">#REF!</definedName>
    <definedName name="AUGWHLFPC" localSheetId="3">#REF!</definedName>
    <definedName name="AUGWHLFPC">#REF!</definedName>
    <definedName name="AUGWHLFTM" localSheetId="3">#REF!</definedName>
    <definedName name="AUGWHLFTM">#REF!</definedName>
    <definedName name="AUGWHLSTC">#REF!</definedName>
    <definedName name="AUGWHLWAU">#REF!</definedName>
    <definedName name="_xlnm.Auto_Close" localSheetId="13">#REF!</definedName>
    <definedName name="_xlnm.Auto_Close" localSheetId="12">#REF!</definedName>
    <definedName name="_xlnm.Auto_Close" localSheetId="11">#REF!</definedName>
    <definedName name="_xlnm.Auto_Close" localSheetId="10">#REF!</definedName>
    <definedName name="_xlnm.Auto_Close" localSheetId="3">#REF!</definedName>
    <definedName name="_xlnm.Auto_Close" localSheetId="9">#REF!</definedName>
    <definedName name="_xlnm.Auto_Close" localSheetId="21">#REF!</definedName>
    <definedName name="_xlnm.Auto_Close" localSheetId="0">#REF!</definedName>
    <definedName name="_xlnm.Auto_Close">#REF!</definedName>
    <definedName name="_xlnm.Auto_Close2" localSheetId="13">#REF!</definedName>
    <definedName name="_xlnm.Auto_Close2" localSheetId="12">#REF!</definedName>
    <definedName name="_xlnm.Auto_Close2" localSheetId="11">#REF!</definedName>
    <definedName name="_xlnm.Auto_Close2" localSheetId="10">#REF!</definedName>
    <definedName name="_xlnm.Auto_Close2" localSheetId="9">#REF!</definedName>
    <definedName name="_xlnm.Auto_Close2" localSheetId="21">#REF!</definedName>
    <definedName name="_xlnm.Auto_Close2" localSheetId="0">#REF!</definedName>
    <definedName name="_xlnm.Auto_Close2">#REF!</definedName>
    <definedName name="B_PLAN_1">#REF!</definedName>
    <definedName name="B_PLAN_2">#REF!</definedName>
    <definedName name="B_PLAN_3">#REF!</definedName>
    <definedName name="B_PLAN_4">#REF!</definedName>
    <definedName name="BALANCE_FGIO">#REF!</definedName>
    <definedName name="Base_Year" localSheetId="3">#REF!</definedName>
    <definedName name="Base_Year">#REF!</definedName>
    <definedName name="base02" localSheetId="3">#REF!</definedName>
    <definedName name="base02">#REF!</definedName>
    <definedName name="base04" localSheetId="3">#REF!</definedName>
    <definedName name="base04">#REF!</definedName>
    <definedName name="BENEFITS_EXP">#REF!</definedName>
    <definedName name="BG_Del">15</definedName>
    <definedName name="BG_Ins">4</definedName>
    <definedName name="BG_Mod">6</definedName>
    <definedName name="Blanket_Cont_Rate">#REF!</definedName>
    <definedName name="BMGHIndex">"O"</definedName>
    <definedName name="BO_Total_Com">#REF!</definedName>
    <definedName name="BO_Total_Ind">#REF!</definedName>
    <definedName name="BO_Total_Res">#REF!</definedName>
    <definedName name="Bonus_Dep_Flag">#REF!</definedName>
    <definedName name="Bonus_Dep_Switch">#REF!</definedName>
    <definedName name="BS_Forecast">#REF!</definedName>
    <definedName name="BS_Plan">#REF!</definedName>
    <definedName name="BS_Plan2">#REF!</definedName>
    <definedName name="BSMap">#REF!</definedName>
    <definedName name="BTLTAX">#REF!</definedName>
    <definedName name="BTLTAXES">#REF!</definedName>
    <definedName name="BTLTXBUD">#REF!</definedName>
    <definedName name="BUD_APR">#REF!</definedName>
    <definedName name="BUD_AUG">#REF!</definedName>
    <definedName name="BUD_FEB">#REF!</definedName>
    <definedName name="BUD_JAN">#REF!</definedName>
    <definedName name="BUD_JUL">#REF!</definedName>
    <definedName name="BUD_JUN">#REF!</definedName>
    <definedName name="BUD_MAR">#REF!</definedName>
    <definedName name="BUD_MAY">#REF!</definedName>
    <definedName name="BUD_PROJECT_DESCRIPTION">#REF!</definedName>
    <definedName name="BUD_SUMMARY_PROJECT_DESCRIPTION">#REF!</definedName>
    <definedName name="BUDGET">#REF!</definedName>
    <definedName name="BUDGET_YEAR" localSheetId="3">#REF!</definedName>
    <definedName name="BUDGET_YEAR">#REF!</definedName>
    <definedName name="BUDGET2000">#REF!</definedName>
    <definedName name="BUDGETYEAR" localSheetId="3">#REF!</definedName>
    <definedName name="BUDGETYEAR">#REF!</definedName>
    <definedName name="Buyout_DateTag" localSheetId="5">#REF!</definedName>
    <definedName name="Buyout_DateTag">#REF!</definedName>
    <definedName name="Buyout_Delta_IRR" localSheetId="5">#REF!</definedName>
    <definedName name="Buyout_Delta_IRR">#REF!</definedName>
    <definedName name="Buyout_Price" localSheetId="5">#REF!</definedName>
    <definedName name="Buyout_Price">#REF!</definedName>
    <definedName name="Buyout_Year" localSheetId="5">#REF!</definedName>
    <definedName name="Buyout_Year">#REF!</definedName>
    <definedName name="Cap_Ex_Esc_Rate">#REF!</definedName>
    <definedName name="Cap_Ex_Land">#REF!</definedName>
    <definedName name="Cap_Ex_PGS_Total">#REF!</definedName>
    <definedName name="Cap_Ex_Project_Total">#REF!</definedName>
    <definedName name="Cap_Interest_Multiplier">#REF!</definedName>
    <definedName name="Cap_Lease_Trigg">#REF!</definedName>
    <definedName name="capital" localSheetId="3">#REF!</definedName>
    <definedName name="capital">#REF!</definedName>
    <definedName name="capital_479" localSheetId="3">#REF!</definedName>
    <definedName name="capital_479">#REF!</definedName>
    <definedName name="CAPSTRUC">#REF!</definedName>
    <definedName name="CAPTRUEUP" localSheetId="3">#REF!</definedName>
    <definedName name="CAPTRUEUP">#REF!</definedName>
    <definedName name="CASHFLS">#REF!</definedName>
    <definedName name="CBWorkbookPriority">-1818492550</definedName>
    <definedName name="CF_Forecast">#REF!</definedName>
    <definedName name="CF_Plan2">#REF!</definedName>
    <definedName name="CIAC_COM_Total">#REF!</definedName>
    <definedName name="CIAC_EC_Cost_Per_Customer">#REF!</definedName>
    <definedName name="CIAC_EC_Total">#REF!</definedName>
    <definedName name="CIAC_Project_Total">#REF!</definedName>
    <definedName name="CIQWBGuid" localSheetId="3" hidden="1">"4603d683-3e68-4932-85ab-1f598e093cb1"</definedName>
    <definedName name="CIQWBGuid" hidden="1">"4603d683-3e68-4932-85ab-1f598e093cb1"</definedName>
    <definedName name="CM_FOR">#REF!</definedName>
    <definedName name="CM_FOR_SHORT" localSheetId="3">#REF!</definedName>
    <definedName name="CM_FOR_SHORT">#REF!</definedName>
    <definedName name="CM_FORECAST" localSheetId="3">#REF!</definedName>
    <definedName name="CM_FORECAST">#REF!</definedName>
    <definedName name="CM_NAME" localSheetId="3">#REF!</definedName>
    <definedName name="CM_NAME">#REF!</definedName>
    <definedName name="CMACT">#REF!</definedName>
    <definedName name="CMBUD">#REF!</definedName>
    <definedName name="COM_Demand_Stagger">#REF!</definedName>
    <definedName name="Common_Equity_Per">#REF!</definedName>
    <definedName name="Common_Equity_Rate">#REF!</definedName>
    <definedName name="Company" localSheetId="3">#REF!</definedName>
    <definedName name="Company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truction_Date_Tag_End">#REF!</definedName>
    <definedName name="Construction_Date_Tag_Srt">#REF!</definedName>
    <definedName name="Construction_Debt_Service_Flag">#REF!</definedName>
    <definedName name="Construction_Loan_Financed">#REF!</definedName>
    <definedName name="CONTENTS">#REF!</definedName>
    <definedName name="COS_Adj_Rate">#REF!</definedName>
    <definedName name="cost_breakdown_per_space" localSheetId="3">#REF!</definedName>
    <definedName name="cost_breakdown_per_space">#REF!</definedName>
    <definedName name="Cost_Center" localSheetId="3">#REF!</definedName>
    <definedName name="Cost_Center">#REF!</definedName>
    <definedName name="COST_CENTER_20">#REF!</definedName>
    <definedName name="COST_CENTER_21">#REF!</definedName>
    <definedName name="COST_CENTER_F">#REF!</definedName>
    <definedName name="COST_CENTER_OVER_3">#REF!</definedName>
    <definedName name="COST_CENTER_Q1F">#REF!</definedName>
    <definedName name="COST_CENTER1">#REF!</definedName>
    <definedName name="Cost_Estimate_Total_COM">#REF!</definedName>
    <definedName name="Cost_Estimate_Total_Res">#REF!</definedName>
    <definedName name="Cost_MS_COM">#REF!</definedName>
    <definedName name="Cost_MS_RES">#REF!</definedName>
    <definedName name="Cost_SL_Plastic_COM">#REF!</definedName>
    <definedName name="Cost_SL_Plastic_RES">#REF!</definedName>
    <definedName name="Cost_SL_Steel_COM">#REF!</definedName>
    <definedName name="Cost_SL_Steel_RES">#REF!</definedName>
    <definedName name="Cost_Summary" localSheetId="3">#REF!</definedName>
    <definedName name="Cost_Summary">#REF!</definedName>
    <definedName name="CT_4_2">#REF!</definedName>
    <definedName name="CURRENT_YEAR" localSheetId="3">#REF!</definedName>
    <definedName name="CURRENT_YEAR">#REF!</definedName>
    <definedName name="CYFGSGF">#REF!</definedName>
    <definedName name="DAT">#REF!</definedName>
    <definedName name="dcMonthsinYear">12</definedName>
    <definedName name="Debt_Per">#REF!</definedName>
    <definedName name="Dec" localSheetId="3">#REF!</definedName>
    <definedName name="Dec">#REF!</definedName>
    <definedName name="DEC_18">#REF!</definedName>
    <definedName name="DEC_Proj">#REF!</definedName>
    <definedName name="DECJE" localSheetId="3">#REF!</definedName>
    <definedName name="DECJE">#REF!</definedName>
    <definedName name="DECJE2" localSheetId="3">#REF!</definedName>
    <definedName name="DECJE2">#REF!</definedName>
    <definedName name="DECJE3">#REF!</definedName>
    <definedName name="DECRET" localSheetId="3">#REF!</definedName>
    <definedName name="DECRET">#REF!</definedName>
    <definedName name="DECWHLFPC" localSheetId="3">#REF!</definedName>
    <definedName name="DECWHLFPC">#REF!</definedName>
    <definedName name="DECWHLFTM" localSheetId="3">#REF!</definedName>
    <definedName name="DECWHLFTM">#REF!</definedName>
    <definedName name="DECWHLSTC">#REF!</definedName>
    <definedName name="DECWHLWAU">#REF!</definedName>
    <definedName name="DIST">#REF!</definedName>
    <definedName name="DISTLIST">#REF!</definedName>
    <definedName name="DIT_PERM_Differences">#REF!</definedName>
    <definedName name="Div_ID">#REF!</definedName>
    <definedName name="Dividend_Payout_Per">#REF!</definedName>
    <definedName name="DocketNum">#REF!</definedName>
    <definedName name="Download">#REF!</definedName>
    <definedName name="DOWNLOAD_1099">#REF!</definedName>
    <definedName name="EC_Flag">#REF!</definedName>
    <definedName name="Effective_Income_Tax_Rate" localSheetId="3">#REF!</definedName>
    <definedName name="Effective_Income_Tax_Rate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MERA_ACT_MONTH">#REF!</definedName>
    <definedName name="EMERA_FORECAST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c_date_Tag_1">#REF!</definedName>
    <definedName name="ESOP_GOAL">#REF!</definedName>
    <definedName name="ESOPWP">#REF!</definedName>
    <definedName name="ev.Calculation">-4105</definedName>
    <definedName name="EV__EVCOM_OPTIONS__" localSheetId="3" hidden="1">10</definedName>
    <definedName name="EV__EVCOM_OPTIONS__" hidden="1">8</definedName>
    <definedName name="EV__EXPOPTIONS__" localSheetId="3" hidden="1">1</definedName>
    <definedName name="EV__EXPOPTIONS__" hidden="1">0</definedName>
    <definedName name="EV__LASTREFTIME__" localSheetId="3" hidden="1">"(GMT-05:00)09/09/2015 01:50:42 PM"</definedName>
    <definedName name="EV__LASTREFTIME__" hidden="1">"(GMT-05:00)1/17/2017 4:51:59 PM"</definedName>
    <definedName name="EV__MAXEXPCOLS__" hidden="1">100</definedName>
    <definedName name="EV__MAXEXPROWS__" hidden="1">1000</definedName>
    <definedName name="EV__MEMORYCVW__" localSheetId="3" hidden="1">0</definedName>
    <definedName name="EV__MEMORYCVW__" hidden="1">1</definedName>
    <definedName name="EV__MEMORYCVW__11_OM_SEND_REC_REPORT1" hidden="1">"[TECOLABOR"</definedName>
    <definedName name="EV__MEMORYCVW__11_OM_SEND_REC_REPORT1_CATEGORY" hidden="1">"[WKG_BUDGET"</definedName>
    <definedName name="EV__MEMORYCVW__11_OM_SEND_REC_REPORT1_COST_CENTER" hidden="1">"[ALL_COST_CENTERS"</definedName>
    <definedName name="EV__MEMORYCVW__11_OM_SEND_REC_REPORT1_ENTITY" hidden="1">"[E_2002"</definedName>
    <definedName name="EV__MEMORYCVW__11_OM_SEND_REC_REPORT1_I_ENTITY" hidden="1">"[IE_NA"</definedName>
    <definedName name="EV__MEMORYCVW__11_OM_SEND_REC_REPORT1_IC_COST_CENTER" hidden="1">"[ICC_NA"</definedName>
    <definedName name="EV__MEMORYCVW__11_OM_SEND_REC_REPORT1_L_ACCOUNT" hidden="1">"[A_ALL_COST_TYPES"</definedName>
    <definedName name="EV__MEMORYCVW__11_OM_SEND_REC_REPORT1_L_DATASRC" hidden="1">"[INPUT"</definedName>
    <definedName name="EV__MEMORYCVW__11_OM_SEND_REC_REPORT1_MEASURES" hidden="1">"[PERIODIC"</definedName>
    <definedName name="EV__MEMORYCVW__11_OM_SEND_REC_REPORT1_PAYSCALE_GROUP" hidden="1">"[PG_NA"</definedName>
    <definedName name="EV__MEMORYCVW__11_OM_SEND_REC_REPORT1_RPTCURRENCY" hidden="1">"[LC"</definedName>
    <definedName name="EV__MEMORYCVW__11_OM_SEND_REC_REPORT1_TIME" hidden="1">"[2017.TOTAL"</definedName>
    <definedName name="EV__MEMORYCVW__2015_ASSESSMENTS_VS_2014_BUDGETS_FROM_TEC_SUPPORT_SERVICES.XLSX" hidden="1">"[PLANNING"</definedName>
    <definedName name="EV__MEMORYCVW__2015_ASSESSMENTS_VS_2014_BUDGETS_FROM_TEC_SUPPORT_SERVICES.XLSX_ACCOUNT" hidden="1">"[A_STAT"</definedName>
    <definedName name="EV__MEMORYCVW__2015_ASSESSMENTS_VS_2014_BUDGETS_FROM_TEC_SUPPORT_SERVICES.XLSX_CATEGORY" hidden="1">"[ACTUAL"</definedName>
    <definedName name="EV__MEMORYCVW__2015_ASSESSMENTS_VS_2014_BUDGETS_FROM_TEC_SUPPORT_SERVICES.XLSX_COST_CENTER" hidden="1">"[Corp_Communications"</definedName>
    <definedName name="EV__MEMORYCVW__2015_ASSESSMENTS_VS_2014_BUDGETS_FROM_TEC_SUPPORT_SERVICES.XLSX_ENTITY" hidden="1">"[E_2201"</definedName>
    <definedName name="EV__MEMORYCVW__2015_ASSESSMENTS_VS_2014_BUDGETS_FROM_TEC_SUPPORT_SERVICES.XLSX_MEASURES" hidden="1">"[YTD"</definedName>
    <definedName name="EV__MEMORYCVW__2015_ASSESSMENTS_VS_2014_BUDGETS_FROM_TEC_SUPPORT_SERVICES.XLSX_P_DATASOURCE" hidden="1">"[INPUT"</definedName>
    <definedName name="EV__MEMORYCVW__2015_ASSESSMENTS_VS_2014_BUDGETS_FROM_TEC_SUPPORT_SERVICES.XLSX_RPTCURRENCY" hidden="1">"[LC"</definedName>
    <definedName name="EV__MEMORYCVW__2015_ASSESSMENTS_VS_2014_BUDGETS_FROM_TEC_SUPPORT_SERVICES.XLSX_TIME" hidden="1">"[2014.TOTAL"</definedName>
    <definedName name="EV__MEMORYCVW__2015_ASSESSMENTS_VS_2014_BUDGETS_FROM_TEC_SUPPORT_SERVICES_3M_REDUCTIONS.XLSX" hidden="1">"[TECOLABOR"</definedName>
    <definedName name="EV__MEMORYCVW__2015_ASSESSMENTS_VS_2014_BUDGETS_FROM_TEC_SUPPORT_SERVICES_3M_REDUCTIONS.XLSX_ACCOUNT" hidden="1">"[A_STAT"</definedName>
    <definedName name="EV__MEMORYCVW__2015_ASSESSMENTS_VS_2014_BUDGETS_FROM_TEC_SUPPORT_SERVICES_3M_REDUCTIONS.XLSX_CATEGORY" hidden="1">"[WKG_BUDGET"</definedName>
    <definedName name="EV__MEMORYCVW__2015_ASSESSMENTS_VS_2014_BUDGETS_FROM_TEC_SUPPORT_SERVICES_3M_REDUCTIONS.XLSX_COST_CENTER" hidden="1">"[CC_130044"</definedName>
    <definedName name="EV__MEMORYCVW__2015_ASSESSMENTS_VS_2014_BUDGETS_FROM_TEC_SUPPORT_SERVICES_3M_REDUCTIONS.XLSX_ENTITY" hidden="1">"[E_2002"</definedName>
    <definedName name="EV__MEMORYCVW__2015_ASSESSMENTS_VS_2014_BUDGETS_FROM_TEC_SUPPORT_SERVICES_3M_REDUCTIONS.XLSX_I_ENTITY" hidden="1">"[IE_NA"</definedName>
    <definedName name="EV__MEMORYCVW__2015_ASSESSMENTS_VS_2014_BUDGETS_FROM_TEC_SUPPORT_SERVICES_3M_REDUCTIONS.XLSX_IC_COST_CENTER" hidden="1">"[ICC_NA"</definedName>
    <definedName name="EV__MEMORYCVW__2015_ASSESSMENTS_VS_2014_BUDGETS_FROM_TEC_SUPPORT_SERVICES_3M_REDUCTIONS.XLSX_L_ACCOUNT" hidden="1">"[A_ALL_STAT_ACCOUNTS"</definedName>
    <definedName name="EV__MEMORYCVW__2015_ASSESSMENTS_VS_2014_BUDGETS_FROM_TEC_SUPPORT_SERVICES_3M_REDUCTIONS.XLSX_L_DATASRC" hidden="1">"[INPUT"</definedName>
    <definedName name="EV__MEMORYCVW__2015_ASSESSMENTS_VS_2014_BUDGETS_FROM_TEC_SUPPORT_SERVICES_3M_REDUCTIONS.XLSX_MEASURES" hidden="1">"[PERIODIC"</definedName>
    <definedName name="EV__MEMORYCVW__2015_ASSESSMENTS_VS_2014_BUDGETS_FROM_TEC_SUPPORT_SERVICES_3M_REDUCTIONS.XLSX_P_DATASOURCE" hidden="1">"[INPUT"</definedName>
    <definedName name="EV__MEMORYCVW__2015_ASSESSMENTS_VS_2014_BUDGETS_FROM_TEC_SUPPORT_SERVICES_3M_REDUCTIONS.XLSX_PAYSCALE_GROUP" hidden="1">"[TOTAL_PAYSCALEGROUPS"</definedName>
    <definedName name="EV__MEMORYCVW__2015_ASSESSMENTS_VS_2014_BUDGETS_FROM_TEC_SUPPORT_SERVICES_3M_REDUCTIONS.XLSX_RPTCURRENCY" hidden="1">"[LC"</definedName>
    <definedName name="EV__MEMORYCVW__2015_ASSESSMENTS_VS_2014_BUDGETS_FROM_TEC_SUPPORT_SERVICES_3M_REDUCTIONS.XLSX_TIME" hidden="1">"[2015.TOTAL"</definedName>
    <definedName name="EV__MEMORYCVW__2015_ASSESSMENTS_VS_2014_BUDGETS_FROM_TSI_SERVICES_AND_TSI_CORP..XLSX" hidden="1">"[TECOLABOR"</definedName>
    <definedName name="EV__MEMORYCVW__2015_ASSESSMENTS_VS_2014_BUDGETS_FROM_TSI_SERVICES_AND_TSI_CORP..XLSX_ACCOUNT" hidden="1">"[A_STAT"</definedName>
    <definedName name="EV__MEMORYCVW__2015_ASSESSMENTS_VS_2014_BUDGETS_FROM_TSI_SERVICES_AND_TSI_CORP..XLSX_CATEGORY" hidden="1">"[ACTUAL"</definedName>
    <definedName name="EV__MEMORYCVW__2015_ASSESSMENTS_VS_2014_BUDGETS_FROM_TSI_SERVICES_AND_TSI_CORP..XLSX_COST_CENTER" hidden="1">"[CC_130047"</definedName>
    <definedName name="EV__MEMORYCVW__2015_ASSESSMENTS_VS_2014_BUDGETS_FROM_TSI_SERVICES_AND_TSI_CORP..XLSX_ENTITY" hidden="1">"[E_2002"</definedName>
    <definedName name="EV__MEMORYCVW__2015_ASSESSMENTS_VS_2014_BUDGETS_FROM_TSI_SERVICES_AND_TSI_CORP..XLSX_MEASURES" hidden="1">"[YTD"</definedName>
    <definedName name="EV__MEMORYCVW__2015_ASSESSMENTS_VS_2014_BUDGETS_FROM_TSI_SERVICES_AND_TSI_CORP..XLSX_P_DATASOURCE" hidden="1">"[INPUT"</definedName>
    <definedName name="EV__MEMORYCVW__2015_ASSESSMENTS_VS_2014_BUDGETS_FROM_TSI_SERVICES_AND_TSI_CORP..XLSX_RPTCURRENCY" hidden="1">"[LC"</definedName>
    <definedName name="EV__MEMORYCVW__2015_ASSESSMENTS_VS_2014_BUDGETS_FROM_TSI_SERVICES_AND_TSI_CORP..XLSX_TIME" hidden="1">"[2014.TOTAL"</definedName>
    <definedName name="EV__MEMORYCVW__2015_ASSESSMENTS_VS_2014_BUDGETS_FROM_TSI_SERVICES_AND_TSI_CORP.XLSX" hidden="1">"[TECOLABOR"</definedName>
    <definedName name="EV__MEMORYCVW__2015_ASSESSMENTS_VS_2014_BUDGETS_FROM_TSI_SERVICES_AND_TSI_CORP.XLSX_ACCOUNT" hidden="1">"[LIAB_AND_CAP"</definedName>
    <definedName name="EV__MEMORYCVW__2015_ASSESSMENTS_VS_2014_BUDGETS_FROM_TSI_SERVICES_AND_TSI_CORP.XLSX_P_DATASOURCE" hidden="1">"[INPUT"</definedName>
    <definedName name="EV__MEMORYCVW__2015_ASSESSMENTS_VS_2014_BUDGETS_FROM_TSI_SERVICES_AND_TSI_CORP_3M_REDUCTIONS.XLSX" hidden="1">"[PLANNING"</definedName>
    <definedName name="EV__MEMORYCVW__2015_ASSESSMENTS_VS_2014_BUDGETS_FROM_TSI_SERVICES_AND_TSI_CORP_3M_REDUCTIONS.XLSX_I_ENTITY" hidden="1">"[IE_NA"</definedName>
    <definedName name="EV__MEMORYCVW__2015_ASSESSMENTS_VS_2014_BUDGETS_FROM_TSI_SERVICES_AND_TSI_CORP_3M_REDUCTIONS.XLSX_IC_COST_CENTER" hidden="1">"[ICC_NA"</definedName>
    <definedName name="EV__MEMORYCVW__2015_ASSESSMENTS_VS_2014_BUDGETS_FROM_TSI_SERVICES_AND_TSI_CORP_3M_REDUCTIONS.XLSX_L_ACCOUNT" hidden="1">"[A_ALL_STAT_ACCOUNTS"</definedName>
    <definedName name="EV__MEMORYCVW__2015_ASSESSMENTS_VS_2014_BUDGETS_FROM_TSI_SERVICES_AND_TSI_CORP_3M_REDUCTIONS.XLSX_L_DATASRC" hidden="1">"[INPUT"</definedName>
    <definedName name="EV__MEMORYCVW__2015_ASSESSMENTS_VS_2014_BUDGETS_FROM_TSI_SERVICES_AND_TSI_CORP_3M_REDUCTIONS.XLSX_PAYSCALE_GROUP" hidden="1">"[TOTAL_PAYSCALEGROUPS"</definedName>
    <definedName name="EV__MEMORYCVW__2015_BUDGET_DIRECT_AND_ALLOCABLE_COSTS_TO_NMGC_OPERATIONS_OCT_3_2014.XLSX" hidden="1">"[PLANNING"</definedName>
    <definedName name="EV__MEMORYCVW__2015_BUDGET_DIRECT_AND_ALLOCABLE_COSTS_TO_NMGC_OPERATIONS_SEPT_30_2014.XLSX" hidden="1">"[PLANNING"</definedName>
    <definedName name="EV__MEMORYCVW__2015_BUDGET_DIRECT_COSTS_TO_NMGC_OPERATIONS.XLSX" hidden="1">"[PLANNING"</definedName>
    <definedName name="EV__MEMORYCVW__2015_BUDGET_DIRECT_COSTS_TO_NMGC_OPERATIONS.XLSX_ACCOUNT" hidden="1">"[Std_Reporting_TE01"</definedName>
    <definedName name="EV__MEMORYCVW__2015_BUDGET_DIRECT_COSTS_TO_NMGC_OPERATIONS.XLSX_CATEGORY" hidden="1">"[ACTUAL"</definedName>
    <definedName name="EV__MEMORYCVW__2015_BUDGET_DIRECT_COSTS_TO_NMGC_OPERATIONS.XLSX_COST_CENTER" hidden="1">"[CC_108100"</definedName>
    <definedName name="EV__MEMORYCVW__2015_BUDGET_DIRECT_COSTS_TO_NMGC_OPERATIONS.XLSX_ENTITY" hidden="1">"[E_2001"</definedName>
    <definedName name="EV__MEMORYCVW__2015_BUDGET_DIRECT_COSTS_TO_NMGC_OPERATIONS.XLSX_MEASURES" hidden="1">"[YTD"</definedName>
    <definedName name="EV__MEMORYCVW__2015_BUDGET_DIRECT_COSTS_TO_NMGC_OPERATIONS.XLSX_P_DATASOURCE" hidden="1">"[TOTAL"</definedName>
    <definedName name="EV__MEMORYCVW__2015_BUDGET_DIRECT_COSTS_TO_NMGC_OPERATIONS.XLSX_RPTCURRENCY" hidden="1">"[LC"</definedName>
    <definedName name="EV__MEMORYCVW__2015_BUDGET_DIRECT_COSTS_TO_NMGC_OPERATIONS.XLSX_TIME" hidden="1">"[2015.TOTAL"</definedName>
    <definedName name="EV__MEMORYCVW__2015_IT_COST_ALLOCATION_VS_2014_01122015.XLSX" hidden="1">"[PLANNING"</definedName>
    <definedName name="EV__MEMORYCVW__2015_IT_COST_ALLOCATION_VS_2014_01122015.XLSX_ACCOUNT" hidden="1">"[LIAB_AND_CAP"</definedName>
    <definedName name="EV__MEMORYCVW__2015_IT_COST_ALLOCATION_VS_2014_01122015.XLSX_CATEGORY" hidden="1">"[ACTUAL"</definedName>
    <definedName name="EV__MEMORYCVW__2015_IT_COST_ALLOCATION_VS_2014_01122015.XLSX_COST_CENTER" hidden="1">"[CC_130055"</definedName>
    <definedName name="EV__MEMORYCVW__2015_IT_COST_ALLOCATION_VS_2014_01122015.XLSX_ENTITY" hidden="1">"[E_2002"</definedName>
    <definedName name="EV__MEMORYCVW__2015_IT_COST_ALLOCATION_VS_2014_01122015.XLSX_MEASURES" hidden="1">"[YTD"</definedName>
    <definedName name="EV__MEMORYCVW__2015_IT_COST_ALLOCATION_VS_2014_01122015.XLSX_P_DATASOURCE" hidden="1">"[INPUT"</definedName>
    <definedName name="EV__MEMORYCVW__2015_IT_COST_ALLOCATION_VS_2014_01122015.XLSX_RPTCURRENCY" hidden="1">"[LC"</definedName>
    <definedName name="EV__MEMORYCVW__2015_IT_COST_ALLOCATION_VS_2014_01122015.XLSX_TIME" hidden="1">"[2015.TOTAL"</definedName>
    <definedName name="EV__MEMORYCVW__2015_PLAN_STATUS_BY_CC.XLSX" hidden="1">"[PLANNING"</definedName>
    <definedName name="EV__MEMORYCVW__2015_PLAN_STATUS_BY_CC.XLSX_I_ENTITY" hidden="1">"[IE_NA"</definedName>
    <definedName name="EV__MEMORYCVW__2015_PLAN_STATUS_BY_CC.XLSX_IC_COST_CENTER" hidden="1">"[ICC_NA"</definedName>
    <definedName name="EV__MEMORYCVW__2015_PLAN_STATUS_BY_CC.XLSX_L_ACCOUNT" hidden="1">"[A_ALL_COST_TYPES"</definedName>
    <definedName name="EV__MEMORYCVW__2015_PLAN_STATUS_BY_CC.XLSX_L_DATASRC" hidden="1">"[INPUT"</definedName>
    <definedName name="EV__MEMORYCVW__2015_PLAN_STATUS_BY_CC.XLSX_PAYSCALE_GROUP" hidden="1">"[UP_101_UNION_0010"</definedName>
    <definedName name="EV__MEMORYCVW__2015_REV_ASSESSMENTS_VS_2015_ORIG_BUDGETS_FROM_TSI_SERVICES_AND_TSI_CORP_3M_REDUCTIONS.XLSX" hidden="1">"[PLANNING"</definedName>
    <definedName name="EV__MEMORYCVW__2015_REVISED_ASSESSMENTS_VS_2015_ORIG_BUDGETS_FROM_TSI_SERVICES_AND_TSI_CORP_AFTER_3M_REDUCTIONS.XLSX" hidden="1">"[PLANNING"</definedName>
    <definedName name="EV__MEMORYCVW__2015_REVISED_ASSESSMENTS_VS_2015_ORIG_BUDGETS_FROM_TSI_SERVICES_AND_TSI_CORP_AFTER_3M_REDUCTIONS.XLSX_ACCOUNT" hidden="1">"[A_STAT"</definedName>
    <definedName name="EV__MEMORYCVW__2015_REVISED_ASSESSMENTS_VS_2015_ORIG_BUDGETS_FROM_TSI_SERVICES_AND_TSI_CORP_AFTER_3M_REDUCTIONS.XLSX_CATEGORY" hidden="1">"[ACTUAL"</definedName>
    <definedName name="EV__MEMORYCVW__2015_REVISED_ASSESSMENTS_VS_2015_ORIG_BUDGETS_FROM_TSI_SERVICES_AND_TSI_CORP_AFTER_3M_REDUCTIONS.XLSX_COST_CENTER" hidden="1">"[CC_130045"</definedName>
    <definedName name="EV__MEMORYCVW__2015_REVISED_ASSESSMENTS_VS_2015_ORIG_BUDGETS_FROM_TSI_SERVICES_AND_TSI_CORP_AFTER_3M_REDUCTIONS.XLSX_ENTITY" hidden="1">"[E_2002"</definedName>
    <definedName name="EV__MEMORYCVW__2015_REVISED_ASSESSMENTS_VS_2015_ORIG_BUDGETS_FROM_TSI_SERVICES_AND_TSI_CORP_AFTER_3M_REDUCTIONS.XLSX_MEASURES" hidden="1">"[PERIODIC"</definedName>
    <definedName name="EV__MEMORYCVW__2015_REVISED_ASSESSMENTS_VS_2015_ORIG_BUDGETS_FROM_TSI_SERVICES_AND_TSI_CORP_AFTER_3M_REDUCTIONS.XLSX_P_DATASOURCE" hidden="1">"[Allocable"</definedName>
    <definedName name="EV__MEMORYCVW__2015_REVISED_ASSESSMENTS_VS_2015_ORIG_BUDGETS_FROM_TSI_SERVICES_AND_TSI_CORP_AFTER_3M_REDUCTIONS.XLSX_RPTCURRENCY" hidden="1">"[LC"</definedName>
    <definedName name="EV__MEMORYCVW__2015_REVISED_ASSESSMENTS_VS_2015_ORIG_BUDGETS_FROM_TSI_SERVICES_AND_TSI_CORP_AFTER_3M_REDUCTIONS.XLSX_TIME" hidden="1">"[2015.TOTAL"</definedName>
    <definedName name="EV__MEMORYCVW__2015_REVISED_NMG_OM_BUDGET_FROM_TSI_ALLOCABLE_AND_TSI__TEC_DIRECT_JAN_13.XLSX" hidden="1">"[PLANNING"</definedName>
    <definedName name="EV__MEMORYCVW__2015_REVISED_NMG_OM_BUDGET_FROM_TSI_ALLOCABLE_AND_TSI__TEC_DIRECT_JAN_13.XLSX_ACCOUNT" hidden="1">"[A_STAT"</definedName>
    <definedName name="EV__MEMORYCVW__2015_REVISED_NMG_OM_BUDGET_FROM_TSI_ALLOCABLE_AND_TSI__TEC_DIRECT_JAN_13.XLSX_CATEGORY" hidden="1">"[FORECAST"</definedName>
    <definedName name="EV__MEMORYCVW__2015_REVISED_NMG_OM_BUDGET_FROM_TSI_ALLOCABLE_AND_TSI__TEC_DIRECT_JAN_13.XLSX_COST_CENTER" hidden="1">"[CC_130048"</definedName>
    <definedName name="EV__MEMORYCVW__2015_REVISED_NMG_OM_BUDGET_FROM_TSI_ALLOCABLE_AND_TSI__TEC_DIRECT_JAN_13.XLSX_ENTITY" hidden="1">"[E_2002"</definedName>
    <definedName name="EV__MEMORYCVW__2015_REVISED_NMG_OM_BUDGET_FROM_TSI_ALLOCABLE_AND_TSI__TEC_DIRECT_JAN_13.XLSX_MEASURES" hidden="1">"[PERIODIC"</definedName>
    <definedName name="EV__MEMORYCVW__2015_REVISED_NMG_OM_BUDGET_FROM_TSI_ALLOCABLE_AND_TSI__TEC_DIRECT_JAN_13.XLSX_P_DATASOURCE" hidden="1">"[Allocable"</definedName>
    <definedName name="EV__MEMORYCVW__2015_REVISED_NMG_OM_BUDGET_FROM_TSI_ALLOCABLE_AND_TSI__TEC_DIRECT_JAN_13.XLSX_RPTCURRENCY" hidden="1">"[LC"</definedName>
    <definedName name="EV__MEMORYCVW__2015_REVISED_NMG_OM_BUDGET_FROM_TSI_ALLOCABLE_AND_TSI__TEC_DIRECT_JAN_13.XLSX_TIME" hidden="1">"[2015.TOTAL"</definedName>
    <definedName name="EV__MEMORYCVW__2015_RVS_ASSESSMENTS_VS_2015_ORG_BUDGETS_FROM_TSI_SERVICES_AND_TSI_CORP_3M_REDUCTIONS.XLSX" hidden="1">"[PLANNING"</definedName>
    <definedName name="EV__MEMORYCVW__2015_RVS_ASSESSMENTS_VS_2015_ORG_BUDGETS_FROM_TSI_SERVICES_AND_TSI_CORP_3M_REDUCTIONS.XLSX_ACCOUNT" hidden="1">"[OM_OTH_EX"</definedName>
    <definedName name="EV__MEMORYCVW__2015_RVS_ASSESSMENTS_VS_2015_ORG_BUDGETS_FROM_TSI_SERVICES_AND_TSI_CORP_3M_REDUCTIONS.XLSX_CATEGORY" hidden="1">"[FORECAST"</definedName>
    <definedName name="EV__MEMORYCVW__2015_RVS_ASSESSMENTS_VS_2015_ORG_BUDGETS_FROM_TSI_SERVICES_AND_TSI_CORP_3M_REDUCTIONS.XLSX_COST_CENTER" hidden="1">"[CC_130098"</definedName>
    <definedName name="EV__MEMORYCVW__2015_RVS_ASSESSMENTS_VS_2015_ORG_BUDGETS_FROM_TSI_SERVICES_AND_TSI_CORP_3M_REDUCTIONS.XLSX_ENTITY" hidden="1">"[E_2002"</definedName>
    <definedName name="EV__MEMORYCVW__2015_RVS_ASSESSMENTS_VS_2015_ORG_BUDGETS_FROM_TSI_SERVICES_AND_TSI_CORP_3M_REDUCTIONS.XLSX_I_ENTITY" hidden="1">"[IE_NA"</definedName>
    <definedName name="EV__MEMORYCVW__2015_RVS_ASSESSMENTS_VS_2015_ORG_BUDGETS_FROM_TSI_SERVICES_AND_TSI_CORP_3M_REDUCTIONS.XLSX_IC_COST_CENTER" hidden="1">"[ICC_NA"</definedName>
    <definedName name="EV__MEMORYCVW__2015_RVS_ASSESSMENTS_VS_2015_ORG_BUDGETS_FROM_TSI_SERVICES_AND_TSI_CORP_3M_REDUCTIONS.XLSX_L_ACCOUNT" hidden="1">"[A_ALL_STAT_ACCOUNTS"</definedName>
    <definedName name="EV__MEMORYCVW__2015_RVS_ASSESSMENTS_VS_2015_ORG_BUDGETS_FROM_TSI_SERVICES_AND_TSI_CORP_3M_REDUCTIONS.XLSX_L_DATASRC" hidden="1">"[INPUT"</definedName>
    <definedName name="EV__MEMORYCVW__2015_RVS_ASSESSMENTS_VS_2015_ORG_BUDGETS_FROM_TSI_SERVICES_AND_TSI_CORP_3M_REDUCTIONS.XLSX_MEASURES" hidden="1">"[PERIODIC"</definedName>
    <definedName name="EV__MEMORYCVW__2015_RVS_ASSESSMENTS_VS_2015_ORG_BUDGETS_FROM_TSI_SERVICES_AND_TSI_CORP_3M_REDUCTIONS.XLSX_P_DATASOURCE" hidden="1">"[Allocable"</definedName>
    <definedName name="EV__MEMORYCVW__2015_RVS_ASSESSMENTS_VS_2015_ORG_BUDGETS_FROM_TSI_SERVICES_AND_TSI_CORP_3M_REDUCTIONS.XLSX_PAYSCALE_GROUP" hidden="1">"[TOTAL_PAYSCALEGROUPS"</definedName>
    <definedName name="EV__MEMORYCVW__2015_RVS_ASSESSMENTS_VS_2015_ORG_BUDGETS_FROM_TSI_SERVICES_AND_TSI_CORP_3M_REDUCTIONS.XLSX_RPTCURRENCY" hidden="1">"[LC"</definedName>
    <definedName name="EV__MEMORYCVW__2015_RVS_ASSESSMENTS_VS_2015_ORG_BUDGETS_FROM_TSI_SERVICES_AND_TSI_CORP_3M_REDUCTIONS.XLSX_TIME" hidden="1">"[2015.TOTAL"</definedName>
    <definedName name="EV__MEMORYCVW__2015_TSI_ALLOCABLE_BUDGET_TO_FORECAST.XLSX" hidden="1">"[PLANNING"</definedName>
    <definedName name="EV__MEMORYCVW__2015_TSI_ALLOCABLE_BUDGET_TO_FORECAST.XLSX_ACCOUNT" hidden="1">"[A_STAT"</definedName>
    <definedName name="EV__MEMORYCVW__2015_TSI_ALLOCABLE_BUDGET_TO_FORECAST.XLSX_CATEGORY" hidden="1">"[WKG_BUDGET"</definedName>
    <definedName name="EV__MEMORYCVW__2015_TSI_ALLOCABLE_BUDGET_TO_FORECAST.XLSX_COST_CENTER" hidden="1">"[CC_130058"</definedName>
    <definedName name="EV__MEMORYCVW__2015_TSI_ALLOCABLE_BUDGET_TO_FORECAST.XLSX_ENTITY" hidden="1">"[E_2002"</definedName>
    <definedName name="EV__MEMORYCVW__2015_TSI_ALLOCABLE_BUDGET_TO_FORECAST.XLSX_MEASURES" hidden="1">"[PERIODIC"</definedName>
    <definedName name="EV__MEMORYCVW__2015_TSI_ALLOCABLE_BUDGET_TO_FORECAST.XLSX_P_DATASOURCE" hidden="1">"[INPUT"</definedName>
    <definedName name="EV__MEMORYCVW__2015_TSI_ALLOCABLE_BUDGET_TO_FORECAST.XLSX_RPTCURRENCY" hidden="1">"[LC"</definedName>
    <definedName name="EV__MEMORYCVW__2015_TSI_ALLOCABLE_BUDGET_TO_FORECAST.XLSX_TIME" hidden="1">"[2015.TOTAL"</definedName>
    <definedName name="EV__MEMORYCVW__2015_TSI_PARENT_ALLOCATIONS.XLSM" hidden="1">"[PLANNING"</definedName>
    <definedName name="EV__MEMORYCVW__2015_TSI_PARENT_ALLOCATIONS.XLSM_ACCOUNT" hidden="1">"[A_STAT"</definedName>
    <definedName name="EV__MEMORYCVW__2015_TSI_PARENT_ALLOCATIONS.XLSM_CATEGORY" hidden="1">"[ACTUAL"</definedName>
    <definedName name="EV__MEMORYCVW__2015_TSI_PARENT_ALLOCATIONS.XLSM_COST_CENTER" hidden="1">"[CC_130045"</definedName>
    <definedName name="EV__MEMORYCVW__2015_TSI_PARENT_ALLOCATIONS.XLSM_ENTITY" hidden="1">"[E_2002"</definedName>
    <definedName name="EV__MEMORYCVW__2015_TSI_PARENT_ALLOCATIONS.XLSM_MEASURES" hidden="1">"[PERIODIC"</definedName>
    <definedName name="EV__MEMORYCVW__2015_TSI_PARENT_ALLOCATIONS.XLSM_P_DATASOURCE" hidden="1">"[Allocable"</definedName>
    <definedName name="EV__MEMORYCVW__2015_TSI_PARENT_ALLOCATIONS.XLSM_RPTCURRENCY" hidden="1">"[LC"</definedName>
    <definedName name="EV__MEMORYCVW__2015_TSI_PARENT_ALLOCATIONS.XLSM_TIME" hidden="1">"[2015.TOTAL"</definedName>
    <definedName name="EV__MEMORYCVW__2016_NMGC_DIRECT_NONLABOR_BUDGET.XLSX" hidden="1">"[PLANNING"</definedName>
    <definedName name="EV__MEMORYCVW__2016_NMGC_DIRECT_NONLABOR_BUDGET.XLSX_ACCOUNT" hidden="1">"[OM_OTH_EX"</definedName>
    <definedName name="EV__MEMORYCVW__2016_NMGC_DIRECT_NONLABOR_BUDGET.XLSX_CATEGORY" hidden="1">"[FORECAST"</definedName>
    <definedName name="EV__MEMORYCVW__2016_NMGC_DIRECT_NONLABOR_BUDGET.XLSX_COST_CENTER" hidden="1">"[CC_130080"</definedName>
    <definedName name="EV__MEMORYCVW__2016_NMGC_DIRECT_NONLABOR_BUDGET.XLSX_ENTITY" hidden="1">"[E_2002"</definedName>
    <definedName name="EV__MEMORYCVW__2016_NMGC_DIRECT_NONLABOR_BUDGET.XLSX_MEASURES" hidden="1">"[PERIODIC"</definedName>
    <definedName name="EV__MEMORYCVW__2016_NMGC_DIRECT_NONLABOR_BUDGET.XLSX_P_DATASOURCE" hidden="1">"[Allocable"</definedName>
    <definedName name="EV__MEMORYCVW__2016_NMGC_DIRECT_NONLABOR_BUDGET.XLSX_RPTCURRENCY" hidden="1">"[LC"</definedName>
    <definedName name="EV__MEMORYCVW__2016_NMGC_DIRECT_NONLABOR_BUDGET.XLSX_TIME" hidden="1">"[2015.TOTAL"</definedName>
    <definedName name="EV__MEMORYCVW__2016_STOCK_COMP_AND_BOD_FEES_ANALYSIS.XLSX" hidden="1">"[PLANNING"</definedName>
    <definedName name="EV__MEMORYCVW__2016_STOCK_COMP_AND_BOD_FEES_ANALYSIS.XLSX_ACCOUNT" hidden="1">"[OM_OTH_EX"</definedName>
    <definedName name="EV__MEMORYCVW__2016_STOCK_COMP_AND_BOD_FEES_ANALYSIS.XLSX_CATEGORY" hidden="1">"[ACTUAL"</definedName>
    <definedName name="EV__MEMORYCVW__2016_STOCK_COMP_AND_BOD_FEES_ANALYSIS.XLSX_COST_CENTER" hidden="1">"[CC_130062"</definedName>
    <definedName name="EV__MEMORYCVW__2016_STOCK_COMP_AND_BOD_FEES_ANALYSIS.XLSX_ENTITY" hidden="1">"[E_2002"</definedName>
    <definedName name="EV__MEMORYCVW__2016_STOCK_COMP_AND_BOD_FEES_ANALYSIS.XLSX_MEASURES" hidden="1">"[PERIODIC"</definedName>
    <definedName name="EV__MEMORYCVW__2016_STOCK_COMP_AND_BOD_FEES_ANALYSIS.XLSX_P_DATASOURCE" hidden="1">"[Allocable"</definedName>
    <definedName name="EV__MEMORYCVW__2016_STOCK_COMP_AND_BOD_FEES_ANALYSIS.XLSX_RPTCURRENCY" hidden="1">"[LC"</definedName>
    <definedName name="EV__MEMORYCVW__2016_STOCK_COMP_AND_BOD_FEES_ANALYSIS.XLSX_TIME" hidden="1">"[2016.TOTAL"</definedName>
    <definedName name="EV__MEMORYCVW__2016_TEC_CORP_SERVICES_PLAN_VS_2016_TARGET_OCT_9.XLSX" hidden="1">"[PLANNING"</definedName>
    <definedName name="EV__MEMORYCVW__2016_TEC_CORP_SERVICES_PLAN_VS_2016_TARGET_OCT_9.XLSX_ACCOUNT" hidden="1">"[CNT_OPS"</definedName>
    <definedName name="EV__MEMORYCVW__2016_TEC_CORP_SERVICES_PLAN_VS_2016_TARGET_OCT_9.XLSX_CATEGORY" hidden="1">"[ACTUAL"</definedName>
    <definedName name="EV__MEMORYCVW__2016_TEC_CORP_SERVICES_PLAN_VS_2016_TARGET_OCT_9.XLSX_COST_CENTER" hidden="1">"[ALL_COST_CENTERS"</definedName>
    <definedName name="EV__MEMORYCVW__2016_TEC_CORP_SERVICES_PLAN_VS_2016_TARGET_OCT_9.XLSX_ENTITY" hidden="1">"[E_2002"</definedName>
    <definedName name="EV__MEMORYCVW__2016_TEC_CORP_SERVICES_PLAN_VS_2016_TARGET_OCT_9.XLSX_I_ENTITY" hidden="1">"[IE_NA"</definedName>
    <definedName name="EV__MEMORYCVW__2016_TEC_CORP_SERVICES_PLAN_VS_2016_TARGET_OCT_9.XLSX_IC_COST_CENTER" hidden="1">"[ICC_NA"</definedName>
    <definedName name="EV__MEMORYCVW__2016_TEC_CORP_SERVICES_PLAN_VS_2016_TARGET_OCT_9.XLSX_L_ACCOUNT" hidden="1">"[A_ALL_COST_TYPES"</definedName>
    <definedName name="EV__MEMORYCVW__2016_TEC_CORP_SERVICES_PLAN_VS_2016_TARGET_OCT_9.XLSX_L_DATASRC" hidden="1">"[INPUT"</definedName>
    <definedName name="EV__MEMORYCVW__2016_TEC_CORP_SERVICES_PLAN_VS_2016_TARGET_OCT_9.XLSX_MEASURES" hidden="1">"[PERIODIC"</definedName>
    <definedName name="EV__MEMORYCVW__2016_TEC_CORP_SERVICES_PLAN_VS_2016_TARGET_OCT_9.XLSX_P_DATASOURCE" hidden="1">"[Allocable"</definedName>
    <definedName name="EV__MEMORYCVW__2016_TEC_CORP_SERVICES_PLAN_VS_2016_TARGET_OCT_9.XLSX_PAYSCALE_GROUP" hidden="1">"[PG_NA"</definedName>
    <definedName name="EV__MEMORYCVW__2016_TEC_CORP_SERVICES_PLAN_VS_2016_TARGET_OCT_9.XLSX_RPTCURRENCY" hidden="1">"[LC"</definedName>
    <definedName name="EV__MEMORYCVW__2016_TEC_CORP_SERVICES_PLAN_VS_2016_TARGET_OCT_9.XLSX_TIME" hidden="1">"[2016.TOTAL"</definedName>
    <definedName name="EV__MEMORYCVW__2016_THOMPSON_REUTERS_SOFTWARE_MAINTENANCE.XLSX" hidden="1">"[PLANNING"</definedName>
    <definedName name="EV__MEMORYCVW__2016_THOMPSON_REUTERS_SOFTWARE_MAINTENANCE.XLSX_ACCOUNT" hidden="1">"[OM_OTH_EX"</definedName>
    <definedName name="EV__MEMORYCVW__2016_THOMPSON_REUTERS_SOFTWARE_MAINTENANCE.XLSX_CATEGORY" hidden="1">"[FORECAST"</definedName>
    <definedName name="EV__MEMORYCVW__2016_THOMPSON_REUTERS_SOFTWARE_MAINTENANCE.XLSX_COST_CENTER" hidden="1">"[CC_130098"</definedName>
    <definedName name="EV__MEMORYCVW__2016_THOMPSON_REUTERS_SOFTWARE_MAINTENANCE.XLSX_ENTITY" hidden="1">"[E_2002"</definedName>
    <definedName name="EV__MEMORYCVW__2016_THOMPSON_REUTERS_SOFTWARE_MAINTENANCE.XLSX_MEASURES" hidden="1">"[PERIODIC"</definedName>
    <definedName name="EV__MEMORYCVW__2016_THOMPSON_REUTERS_SOFTWARE_MAINTENANCE.XLSX_P_DATASOURCE" hidden="1">"[Allocable"</definedName>
    <definedName name="EV__MEMORYCVW__2016_THOMPSON_REUTERS_SOFTWARE_MAINTENANCE.XLSX_RPTCURRENCY" hidden="1">"[LC"</definedName>
    <definedName name="EV__MEMORYCVW__2016_THOMPSON_REUTERS_SOFTWARE_MAINTENANCE.XLSX_TIME" hidden="1">"[2016.TOTAL"</definedName>
    <definedName name="EV__MEMORYCVW__2016_VS_2015_TSI_HEADCOUNT.XLSX" hidden="1">"[TECOLABOR"</definedName>
    <definedName name="EV__MEMORYCVW__2016_VS_2015_TSI_HEADCOUNT.XLSX_ACCOUNT" hidden="1">"[OM_OTH_EX"</definedName>
    <definedName name="EV__MEMORYCVW__2016_VS_2015_TSI_HEADCOUNT.XLSX_CATEGORY" hidden="1">"[WKG_BUDGET"</definedName>
    <definedName name="EV__MEMORYCVW__2016_VS_2015_TSI_HEADCOUNT.XLSX_COST_CENTER" hidden="1">"[Corporate_TSI"</definedName>
    <definedName name="EV__MEMORYCVW__2016_VS_2015_TSI_HEADCOUNT.XLSX_ENTITY" hidden="1">"[E_2002"</definedName>
    <definedName name="EV__MEMORYCVW__2016_VS_2015_TSI_HEADCOUNT.XLSX_I_ENTITY" hidden="1">"[IE_NA"</definedName>
    <definedName name="EV__MEMORYCVW__2016_VS_2015_TSI_HEADCOUNT.XLSX_IC_COST_CENTER" hidden="1">"[ICC_NA"</definedName>
    <definedName name="EV__MEMORYCVW__2016_VS_2015_TSI_HEADCOUNT.XLSX_L_ACCOUNT" hidden="1">"[A_ALL_STAT_ACCOUNTS"</definedName>
    <definedName name="EV__MEMORYCVW__2016_VS_2015_TSI_HEADCOUNT.XLSX_L_DATASRC" hidden="1">"[INPUT"</definedName>
    <definedName name="EV__MEMORYCVW__2016_VS_2015_TSI_HEADCOUNT.XLSX_MEASURES" hidden="1">"[PERIODIC"</definedName>
    <definedName name="EV__MEMORYCVW__2016_VS_2015_TSI_HEADCOUNT.XLSX_P_DATASOURCE" hidden="1">"[Allocable"</definedName>
    <definedName name="EV__MEMORYCVW__2016_VS_2015_TSI_HEADCOUNT.XLSX_PAYSCALE_GROUP" hidden="1">"[TOTAL_PAYSCALEGROUPS"</definedName>
    <definedName name="EV__MEMORYCVW__2016_VS_2015_TSI_HEADCOUNT.XLSX_RPTCURRENCY" hidden="1">"[LC"</definedName>
    <definedName name="EV__MEMORYCVW__2016_VS_2015_TSI_HEADCOUNT.XLSX_TIME" hidden="1">"[2014.TOTAL"</definedName>
    <definedName name="EV__MEMORYCVW__2017_ADMINISTRATIVE_SERVICES_HEADCOUNT.XLSX" hidden="1">"[PLANNING"</definedName>
    <definedName name="EV__MEMORYCVW__2017_ADMINISTRATIVE_SERVICES_HEADCOUNT.XLSX_ACCOUNT" hidden="1">"[Std_Reporting_TE01"</definedName>
    <definedName name="EV__MEMORYCVW__2017_ADMINISTRATIVE_SERVICES_HEADCOUNT.XLSX_CATEGORY" hidden="1">"[ACTUAL"</definedName>
    <definedName name="EV__MEMORYCVW__2017_ADMINISTRATIVE_SERVICES_HEADCOUNT.XLSX_COST_CENTER" hidden="1">"[CC_130048"</definedName>
    <definedName name="EV__MEMORYCVW__2017_ADMINISTRATIVE_SERVICES_HEADCOUNT.XLSX_ENTITY" hidden="1">"[E_2002"</definedName>
    <definedName name="EV__MEMORYCVW__2017_ADMINISTRATIVE_SERVICES_HEADCOUNT.XLSX_MEASURES" hidden="1">"[PERIODIC"</definedName>
    <definedName name="EV__MEMORYCVW__2017_ADMINISTRATIVE_SERVICES_HEADCOUNT.XLSX_P_DATASOURCE" hidden="1">"[FINAL_CC"</definedName>
    <definedName name="EV__MEMORYCVW__2017_ADMINISTRATIVE_SERVICES_HEADCOUNT.XLSX_RPTCURRENCY" hidden="1">"[LC"</definedName>
    <definedName name="EV__MEMORYCVW__2017_ADMINISTRATIVE_SERVICES_HEADCOUNT.XLSX_TIME" hidden="1">"[2017.TOTAL"</definedName>
    <definedName name="EV__MEMORYCVW__2017_DRAFT_TSI_CORP_SERVICES_PLAN_VS_2016_BUDGET.XLSX" hidden="1">"[TECOLABOR"</definedName>
    <definedName name="EV__MEMORYCVW__2017_DRAFT_TSI_CORP_SERVICES_PLAN_VS_2016_BUDGET.XLSX_CATEGORY" hidden="1">"[WKG_BUDGET"</definedName>
    <definedName name="EV__MEMORYCVW__2017_DRAFT_TSI_CORP_SERVICES_PLAN_VS_2016_BUDGET.XLSX_COST_CENTER" hidden="1">"[CC_233046"</definedName>
    <definedName name="EV__MEMORYCVW__2017_DRAFT_TSI_CORP_SERVICES_PLAN_VS_2016_BUDGET.XLSX_ENTITY" hidden="1">"[E_2201"</definedName>
    <definedName name="EV__MEMORYCVW__2017_DRAFT_TSI_CORP_SERVICES_PLAN_VS_2016_BUDGET.XLSX_I_ENTITY" hidden="1">"[IE_NA"</definedName>
    <definedName name="EV__MEMORYCVW__2017_DRAFT_TSI_CORP_SERVICES_PLAN_VS_2016_BUDGET.XLSX_IC_COST_CENTER" hidden="1">"[ICC_NA"</definedName>
    <definedName name="EV__MEMORYCVW__2017_DRAFT_TSI_CORP_SERVICES_PLAN_VS_2016_BUDGET.XLSX_L_ACCOUNT" hidden="1">"[A_ALL_STAT_ACCOUNTS"</definedName>
    <definedName name="EV__MEMORYCVW__2017_DRAFT_TSI_CORP_SERVICES_PLAN_VS_2016_BUDGET.XLSX_L_DATASRC" hidden="1">"[INPUT"</definedName>
    <definedName name="EV__MEMORYCVW__2017_DRAFT_TSI_CORP_SERVICES_PLAN_VS_2016_BUDGET.XLSX_MEASURES" hidden="1">"[PERIODIC"</definedName>
    <definedName name="EV__MEMORYCVW__2017_DRAFT_TSI_CORP_SERVICES_PLAN_VS_2016_BUDGET.XLSX_PAYSCALE_GROUP" hidden="1">"[UP_110_UNION_0010"</definedName>
    <definedName name="EV__MEMORYCVW__2017_DRAFT_TSI_CORP_SERVICES_PLAN_VS_2016_BUDGET.XLSX_RPTCURRENCY" hidden="1">"[LC"</definedName>
    <definedName name="EV__MEMORYCVW__2017_DRAFT_TSI_CORP_SERVICES_PLAN_VS_2016_BUDGET.XLSX_TIME" hidden="1">"[2017.TOTAL"</definedName>
    <definedName name="EV__MEMORYCVW__2017_OM_CONTINGENCY_PLANNING_SUMMARY.XLSX" hidden="1">"[PLANNING"</definedName>
    <definedName name="EV__MEMORYCVW__2017_OM_CONTINGENCY_PLANNING_SUMMARY.XLSX_ACCOUNT" hidden="1">"[AmmortCF"</definedName>
    <definedName name="EV__MEMORYCVW__2017_OM_CONTINGENCY_PLANNING_SUMMARY.XLSX_CATEGORY" hidden="1">"[ACTUAL"</definedName>
    <definedName name="EV__MEMORYCVW__2017_OM_CONTINGENCY_PLANNING_SUMMARY.XLSX_COST_CENTER" hidden="1">"[CC_390445"</definedName>
    <definedName name="EV__MEMORYCVW__2017_OM_CONTINGENCY_PLANNING_SUMMARY.XLSX_ENTITY" hidden="1">"[E_2301"</definedName>
    <definedName name="EV__MEMORYCVW__2017_OM_CONTINGENCY_PLANNING_SUMMARY.XLSX_MEASURES" hidden="1">"[YTD"</definedName>
    <definedName name="EV__MEMORYCVW__2017_OM_CONTINGENCY_PLANNING_SUMMARY.XLSX_P_DATASOURCE" hidden="1">"[INPUT"</definedName>
    <definedName name="EV__MEMORYCVW__2017_OM_CONTINGENCY_PLANNING_SUMMARY.XLSX_RPTCURRENCY" hidden="1">"[LC"</definedName>
    <definedName name="EV__MEMORYCVW__2017_OM_CONTINGENCY_PLANNING_SUMMARY.XLSX_TIME" hidden="1">"[2017.TOTAL"</definedName>
    <definedName name="EV__MEMORYCVW__2017_PSP_SCORECARD_TSI_COST_GOAL.XLSX" hidden="1">"[PLANNING"</definedName>
    <definedName name="EV__MEMORYCVW__2017_PSP_SCORECARD_TSI_COST_GOAL.XLSX_ACCOUNT" hidden="1">"[Std_Reporting_TE01"</definedName>
    <definedName name="EV__MEMORYCVW__2017_PSP_SCORECARD_TSI_COST_GOAL.XLSX_CATEGORY" hidden="1">"[FORECAST"</definedName>
    <definedName name="EV__MEMORYCVW__2017_PSP_SCORECARD_TSI_COST_GOAL.XLSX_COST_CENTER" hidden="1">"[Corporate_TSI"</definedName>
    <definedName name="EV__MEMORYCVW__2017_PSP_SCORECARD_TSI_COST_GOAL.XLSX_ENTITY" hidden="1">"[E_2002"</definedName>
    <definedName name="EV__MEMORYCVW__2017_PSP_SCORECARD_TSI_COST_GOAL.XLSX_MEASURES" hidden="1">"[PERIODIC"</definedName>
    <definedName name="EV__MEMORYCVW__2017_PSP_SCORECARD_TSI_COST_GOAL.XLSX_P_DATASOURCE" hidden="1">"[Allocable"</definedName>
    <definedName name="EV__MEMORYCVW__2017_PSP_SCORECARD_TSI_COST_GOAL.XLSX_RPTCURRENCY" hidden="1">"[LC"</definedName>
    <definedName name="EV__MEMORYCVW__2017_PSP_SCORECARD_TSI_COST_GOAL.XLSX_TIME" hidden="1">"[2018.TOTAL"</definedName>
    <definedName name="EV__MEMORYCVW__2018_2026_V_3_15_17.XLSX" hidden="1">"[PLANNING"</definedName>
    <definedName name="EV__MEMORYCVW__2018_2026_V_3_17_17.XLSX" hidden="1">"[PLANNING"</definedName>
    <definedName name="EV__MEMORYCVW__2018_2026_V_3_21_17.XLSX" hidden="1">"[PLANNING"</definedName>
    <definedName name="EV__MEMORYCVW__2018_2026_V_4_17_17.XLSX" hidden="1">"[PLANNING"</definedName>
    <definedName name="EV__MEMORYCVW__2018_BUDGET_EMERA_COMPANIES_SUMMARY_NOT_IN_BPC.XLSX" hidden="1">"[PLANNING"</definedName>
    <definedName name="EV__MEMORYCVW__2018_BUDGET_EMERA_COMPANIES_SUMMARY_NOT_IN_BPC.XLSX_ACCOUNT" hidden="1">"[Std_Reporting_TE01"</definedName>
    <definedName name="EV__MEMORYCVW__2018_BUDGET_EMERA_COMPANIES_SUMMARY_NOT_IN_BPC.XLSX_CATEGORY" hidden="1">"[ACTUAL"</definedName>
    <definedName name="EV__MEMORYCVW__2018_BUDGET_EMERA_COMPANIES_SUMMARY_NOT_IN_BPC.XLSX_COST_CENTER" hidden="1">"[CC_100098"</definedName>
    <definedName name="EV__MEMORYCVW__2018_BUDGET_EMERA_COMPANIES_SUMMARY_NOT_IN_BPC.XLSX_ENTITY" hidden="1">"[E_2001"</definedName>
    <definedName name="EV__MEMORYCVW__2018_BUDGET_EMERA_COMPANIES_SUMMARY_NOT_IN_BPC.XLSX_MEASURES" hidden="1">"[PERIODIC"</definedName>
    <definedName name="EV__MEMORYCVW__2018_BUDGET_EMERA_COMPANIES_SUMMARY_NOT_IN_BPC.XLSX_P_DATASOURCE" hidden="1">"[Allocable"</definedName>
    <definedName name="EV__MEMORYCVW__2018_BUDGET_EMERA_COMPANIES_SUMMARY_NOT_IN_BPC.XLSX_RPTCURRENCY" hidden="1">"[LC"</definedName>
    <definedName name="EV__MEMORYCVW__2018_BUDGET_EMERA_COMPANIES_SUMMARY_NOT_IN_BPC.XLSX_TIME" hidden="1">"[2017.TOTAL"</definedName>
    <definedName name="EV__MEMORYCVW__2018_BUDGET_TSI_ALLOCATION_EXPLANATION.XLSX" hidden="1">"[TECOLABOR"</definedName>
    <definedName name="EV__MEMORYCVW__2018_BUDGET_TSI_ALLOCATION_EXPLANATION.XLSX_CATEGORY" hidden="1">"[WKG_BUDGET"</definedName>
    <definedName name="EV__MEMORYCVW__2018_BUDGET_TSI_ALLOCATION_EXPLANATION.XLSX_COST_CENTER" hidden="1">"[CC_139012"</definedName>
    <definedName name="EV__MEMORYCVW__2018_BUDGET_TSI_ALLOCATION_EXPLANATION.XLSX_ENTITY" hidden="1">"[E_2002"</definedName>
    <definedName name="EV__MEMORYCVW__2018_BUDGET_TSI_ALLOCATION_EXPLANATION.XLSX_I_ENTITY" hidden="1">"[IE_NA"</definedName>
    <definedName name="EV__MEMORYCVW__2018_BUDGET_TSI_ALLOCATION_EXPLANATION.XLSX_IC_COST_CENTER" hidden="1">"[ICC_NA"</definedName>
    <definedName name="EV__MEMORYCVW__2018_BUDGET_TSI_ALLOCATION_EXPLANATION.XLSX_L_ACCOUNT" hidden="1">"[A_ALL_STAT_ACCOUNTS"</definedName>
    <definedName name="EV__MEMORYCVW__2018_BUDGET_TSI_ALLOCATION_EXPLANATION.XLSX_L_DATASRC" hidden="1">"[INPUT"</definedName>
    <definedName name="EV__MEMORYCVW__2018_BUDGET_TSI_ALLOCATION_EXPLANATION.XLSX_MEASURES" hidden="1">"[PERIODIC"</definedName>
    <definedName name="EV__MEMORYCVW__2018_BUDGET_TSI_ALLOCATION_EXPLANATION.XLSX_PAYSCALE_GROUP" hidden="1">"[TOTAL_PAYSCALEGROUPS"</definedName>
    <definedName name="EV__MEMORYCVW__2018_BUDGET_TSI_ALLOCATION_EXPLANATION.XLSX_RPTCURRENCY" hidden="1">"[LC"</definedName>
    <definedName name="EV__MEMORYCVW__2018_BUDGET_TSI_ALLOCATION_EXPLANATION.XLSX_TIME" hidden="1">"[2018.TOTAL"</definedName>
    <definedName name="EV__MEMORYCVW__2018_TSI_BUDGET_EMERA_NSP_ALLOCATIONS.XLSX" hidden="1">"[PLANNING"</definedName>
    <definedName name="EV__MEMORYCVW__2018_TSI_BUDGET_EMERA_NSP_ALLOCATIONS.XLSX_ACCOUNT" hidden="1">"[Std_Reporting_TE01"</definedName>
    <definedName name="EV__MEMORYCVW__2018_TSI_BUDGET_EMERA_NSP_ALLOCATIONS.XLSX_CATEGORY" hidden="1">"[FORECAST"</definedName>
    <definedName name="EV__MEMORYCVW__2018_TSI_BUDGET_EMERA_NSP_ALLOCATIONS.XLSX_COST_CENTER" hidden="1">"[CC_230001"</definedName>
    <definedName name="EV__MEMORYCVW__2018_TSI_BUDGET_EMERA_NSP_ALLOCATIONS.XLSX_ENTITY" hidden="1">"[E_2201"</definedName>
    <definedName name="EV__MEMORYCVW__2018_TSI_BUDGET_EMERA_NSP_ALLOCATIONS.XLSX_MEASURES" hidden="1">"[PERIODIC"</definedName>
    <definedName name="EV__MEMORYCVW__2018_TSI_BUDGET_EMERA_NSP_ALLOCATIONS.XLSX_P_DATASOURCE" hidden="1">"[Allocable"</definedName>
    <definedName name="EV__MEMORYCVW__2018_TSI_BUDGET_EMERA_NSP_ALLOCATIONS.XLSX_RPTCURRENCY" hidden="1">"[LC"</definedName>
    <definedName name="EV__MEMORYCVW__2018_TSI_BUDGET_EMERA_NSP_ALLOCATIONS.XLSX_TIME" hidden="1">"[2018.TOTAL"</definedName>
    <definedName name="EV__MEMORYCVW__5_YEAR__ASSESSMENTS_FROM_TEC_SUPPORT_SERVICES_JACKIE.XLSX" hidden="1">"[TECOLABOR"</definedName>
    <definedName name="EV__MEMORYCVW__5_YEAR__ASSESSMENTS_FROM_TEC_SUPPORT_SERVICES_JACKIE.XLSX_CATEGORY" hidden="1">"[WKG_BUDGET"</definedName>
    <definedName name="EV__MEMORYCVW__5_YEAR__ASSESSMENTS_FROM_TEC_SUPPORT_SERVICES_JACKIE.XLSX_COST_CENTER" hidden="1">"[CC_131004"</definedName>
    <definedName name="EV__MEMORYCVW__5_YEAR__ASSESSMENTS_FROM_TEC_SUPPORT_SERVICES_JACKIE.XLSX_ENTITY" hidden="1">"[E_2002"</definedName>
    <definedName name="EV__MEMORYCVW__5_YEAR__ASSESSMENTS_FROM_TEC_SUPPORT_SERVICES_JACKIE.XLSX_I_ENTITY" hidden="1">"[IE_NA"</definedName>
    <definedName name="EV__MEMORYCVW__5_YEAR__ASSESSMENTS_FROM_TEC_SUPPORT_SERVICES_JACKIE.XLSX_IC_COST_CENTER" hidden="1">"[ICC_NA"</definedName>
    <definedName name="EV__MEMORYCVW__5_YEAR__ASSESSMENTS_FROM_TEC_SUPPORT_SERVICES_JACKIE.XLSX_L_ACCOUNT" hidden="1">"[A_ALL_STAT_ACCOUNTS"</definedName>
    <definedName name="EV__MEMORYCVW__5_YEAR__ASSESSMENTS_FROM_TEC_SUPPORT_SERVICES_JACKIE.XLSX_L_DATASRC" hidden="1">"[INPUT"</definedName>
    <definedName name="EV__MEMORYCVW__5_YEAR__ASSESSMENTS_FROM_TEC_SUPPORT_SERVICES_JACKIE.XLSX_MEASURES" hidden="1">"[PERIODIC"</definedName>
    <definedName name="EV__MEMORYCVW__5_YEAR__ASSESSMENTS_FROM_TEC_SUPPORT_SERVICES_JACKIE.XLSX_PAYSCALE_GROUP" hidden="1">"[TOTAL_PAYSCALEGROUPS"</definedName>
    <definedName name="EV__MEMORYCVW__5_YEAR__ASSESSMENTS_FROM_TEC_SUPPORT_SERVICES_JACKIE.XLSX_RPTCURRENCY" hidden="1">"[LC"</definedName>
    <definedName name="EV__MEMORYCVW__5_YEAR__ASSESSMENTS_FROM_TEC_SUPPORT_SERVICES_JACKIE.XLSX_TIME" hidden="1">"[2015.TOTAL"</definedName>
    <definedName name="EV__MEMORYCVW__5_YEAR_ASSESSMENTS_TSI_SERVICES_AND_TSI_CORP.XLSX" hidden="1">"[PLANNING"</definedName>
    <definedName name="EV__MEMORYCVW__ALL_EXPENSE_ACCOUNTS_TSI_ALLOCABLE1" hidden="1">"[PLANNING"</definedName>
    <definedName name="EV__MEMORYCVW__ALL_EXPENSE_ACCOUNTS_TSI_ALLOCABLE1_ACCOUNT" hidden="1">"[A_STAT"</definedName>
    <definedName name="EV__MEMORYCVW__ALL_EXPENSE_ACCOUNTS_TSI_ALLOCABLE1_CATEGORY" hidden="1">"[ACTUAL"</definedName>
    <definedName name="EV__MEMORYCVW__ALL_EXPENSE_ACCOUNTS_TSI_ALLOCABLE1_COST_CENTER" hidden="1">"[CC_234061"</definedName>
    <definedName name="EV__MEMORYCVW__ALL_EXPENSE_ACCOUNTS_TSI_ALLOCABLE1_ENTITY" hidden="1">"[E_2201"</definedName>
    <definedName name="EV__MEMORYCVW__ALL_EXPENSE_ACCOUNTS_TSI_ALLOCABLE1_MEASURES" hidden="1">"[YTD"</definedName>
    <definedName name="EV__MEMORYCVW__ALL_EXPENSE_ACCOUNTS_TSI_ALLOCABLE1_P_DATASOURCE" hidden="1">"[INPUT"</definedName>
    <definedName name="EV__MEMORYCVW__ALL_EXPENSE_ACCOUNTS_TSI_ALLOCABLE1_RPTCURRENCY" hidden="1">"[LC"</definedName>
    <definedName name="EV__MEMORYCVW__ALL_EXPENSE_ACCOUNTS_TSI_ALLOCABLE1_TIME" hidden="1">"[2015.TOTAL"</definedName>
    <definedName name="EV__MEMORYCVW__ALLOCATION_SHARED_SERV1" hidden="1">"[PLANNING"</definedName>
    <definedName name="EV__MEMORYCVW__ALLOCATION_SHARED_SERV1_ACCOUNT" hidden="1">"[NET_INCOME"</definedName>
    <definedName name="EV__MEMORYCVW__ALLOCATION_SHARED_SERV1_CATEGORY" hidden="1">"[ACTUAL"</definedName>
    <definedName name="EV__MEMORYCVW__ALLOCATION_SHARED_SERV1_COST_CENTER" hidden="1">"[CC_130050"</definedName>
    <definedName name="EV__MEMORYCVW__ALLOCATION_SHARED_SERV1_ENTITY" hidden="1">"[E_2002"</definedName>
    <definedName name="EV__MEMORYCVW__ALLOCATION_SHARED_SERV1_MEASURES" hidden="1">"[PERIODIC"</definedName>
    <definedName name="EV__MEMORYCVW__ALLOCATION_SHARED_SERV1_P_DATASOURCE" hidden="1">"[TOTAL_REST"</definedName>
    <definedName name="EV__MEMORYCVW__ALLOCATION_SHARED_SERV1_RPTCURRENCY" hidden="1">"[LC"</definedName>
    <definedName name="EV__MEMORYCVW__ALLOCATION_SHARED_SERV1_TIME" hidden="1">"[2016.TOTAL"</definedName>
    <definedName name="EV__MEMORYCVW__APPROVAL_STATUS_REVIEW1" hidden="1">"[TECOLABOR"</definedName>
    <definedName name="EV__MEMORYCVW__APPROVAL_STATUS_REVIEW1_CATEGORY" hidden="1">"[WKG_BUDGET"</definedName>
    <definedName name="EV__MEMORYCVW__APPROVAL_STATUS_REVIEW1_COST_CENTER" hidden="1">"[CC_131528"</definedName>
    <definedName name="EV__MEMORYCVW__APPROVAL_STATUS_REVIEW1_ENTITY" hidden="1">"[E_2002"</definedName>
    <definedName name="EV__MEMORYCVW__APPROVAL_STATUS_REVIEW1_I_ENTITY" hidden="1">"[IE_NA"</definedName>
    <definedName name="EV__MEMORYCVW__APPROVAL_STATUS_REVIEW1_IC_COST_CENTER" hidden="1">"[ICC_NA"</definedName>
    <definedName name="EV__MEMORYCVW__APPROVAL_STATUS_REVIEW1_L_ACCOUNT" hidden="1">"[A_ALL_COST_TYPES"</definedName>
    <definedName name="EV__MEMORYCVW__APPROVAL_STATUS_REVIEW1_L_DATASRC" hidden="1">"[INPUT"</definedName>
    <definedName name="EV__MEMORYCVW__APPROVAL_STATUS_REVIEW1_MEASURES" hidden="1">"[PERIODIC"</definedName>
    <definedName name="EV__MEMORYCVW__APPROVAL_STATUS_REVIEW1_PAYSCALE_GROUP" hidden="1">"[UP_101_UNION_0010"</definedName>
    <definedName name="EV__MEMORYCVW__APPROVAL_STATUS_REVIEW1_RPTCURRENCY" hidden="1">"[LC"</definedName>
    <definedName name="EV__MEMORYCVW__APPROVAL_STATUS_REVIEW1_TIME" hidden="1">"[2015.TOTAL"</definedName>
    <definedName name="EV__MEMORYCVW__BOOK1" hidden="1">"[PLANNING"</definedName>
    <definedName name="EV__MEMORYCVW__BOOK1_ACCOUNT" hidden="1">"[AmmortCF"</definedName>
    <definedName name="EV__MEMORYCVW__BOOK1_CATEGORY" hidden="1">"[ACTUAL"</definedName>
    <definedName name="EV__MEMORYCVW__BOOK1_COST_CENTER" hidden="1">"[CC_390445"</definedName>
    <definedName name="EV__MEMORYCVW__BOOK1_ENTITY" hidden="1">"[E_2301"</definedName>
    <definedName name="EV__MEMORYCVW__BOOK1_I_ENTITY" hidden="1">"[IE_NA"</definedName>
    <definedName name="EV__MEMORYCVW__BOOK1_IC_COST_CENTER" hidden="1">"[ICC_NA"</definedName>
    <definedName name="EV__MEMORYCVW__BOOK1_L_ACCOUNT" hidden="1">"[A_ALL_STAT_ACCOUNTS"</definedName>
    <definedName name="EV__MEMORYCVW__BOOK1_L_DATASRC" hidden="1">"[INPUT"</definedName>
    <definedName name="EV__MEMORYCVW__BOOK1_MEASURES" hidden="1">"[YTD"</definedName>
    <definedName name="EV__MEMORYCVW__BOOK1_P_DATASOURCE" hidden="1">"[INPUT"</definedName>
    <definedName name="EV__MEMORYCVW__BOOK1_PAYSCALE_GROUP" hidden="1">"[TOTAL_PAYSCALEGROUPS"</definedName>
    <definedName name="EV__MEMORYCVW__BOOK1_RPTCURRENCY" hidden="1">"[LC"</definedName>
    <definedName name="EV__MEMORYCVW__BOOK1_TIME" hidden="1">"[2017.TOTAL"</definedName>
    <definedName name="EV__MEMORYCVW__BOOK2" hidden="1">"[PLANNING"</definedName>
    <definedName name="EV__MEMORYCVW__BOOK2.XLSX" hidden="1">"[PLANNING"</definedName>
    <definedName name="EV__MEMORYCVW__BOOK2.XLSX_ACCOUNT" hidden="1">"[OM_OTH_EX"</definedName>
    <definedName name="EV__MEMORYCVW__BOOK2.XLSX_CATEGORY" hidden="1">"[FORECAST"</definedName>
    <definedName name="EV__MEMORYCVW__BOOK2.XLSX_COST_CENTER" hidden="1">"[CC_100062"</definedName>
    <definedName name="EV__MEMORYCVW__BOOK2.XLSX_ENTITY" hidden="1">"[E_2001"</definedName>
    <definedName name="EV__MEMORYCVW__BOOK2.XLSX_MEASURES" hidden="1">"[PERIODIC"</definedName>
    <definedName name="EV__MEMORYCVW__BOOK2.XLSX_P_DATASOURCE" hidden="1">"[Allocable"</definedName>
    <definedName name="EV__MEMORYCVW__BOOK2.XLSX_RPTCURRENCY" hidden="1">"[LC"</definedName>
    <definedName name="EV__MEMORYCVW__BOOK2.XLSX_TIME" hidden="1">"[2016.TOTAL"</definedName>
    <definedName name="EV__MEMORYCVW__BOOK2_ACCOUNT" hidden="1">"[A_STAT"</definedName>
    <definedName name="EV__MEMORYCVW__BOOK2_CATEGORY" hidden="1">"[FORECAST"</definedName>
    <definedName name="EV__MEMORYCVW__BOOK2_COST_CENTER" hidden="1">"[CorpSvc_Ops"</definedName>
    <definedName name="EV__MEMORYCVW__BOOK2_ENTITY" hidden="1">"[E_2201"</definedName>
    <definedName name="EV__MEMORYCVW__BOOK2_I_ENTITY" hidden="1">"[IE_NA"</definedName>
    <definedName name="EV__MEMORYCVW__BOOK2_IC_COST_CENTER" hidden="1">"[ICC_NA"</definedName>
    <definedName name="EV__MEMORYCVW__BOOK2_L_ACCOUNT" hidden="1">"[A_ALL_STAT_ACCOUNTS"</definedName>
    <definedName name="EV__MEMORYCVW__BOOK2_L_DATASRC" hidden="1">"[INPUT"</definedName>
    <definedName name="EV__MEMORYCVW__BOOK2_MEASURES" hidden="1">"[YTD"</definedName>
    <definedName name="EV__MEMORYCVW__BOOK2_P_DATASOURCE" hidden="1">"[INPUT"</definedName>
    <definedName name="EV__MEMORYCVW__BOOK2_PAYSCALE_GROUP" hidden="1">"[TOTAL_PAYSCALEGROUPS"</definedName>
    <definedName name="EV__MEMORYCVW__BOOK2_RPTCURRENCY" hidden="1">"[LC"</definedName>
    <definedName name="EV__MEMORYCVW__BOOK2_TIME" hidden="1">"[2014.TOTAL"</definedName>
    <definedName name="EV__MEMORYCVW__BOOK3" hidden="1">"[PLANNING"</definedName>
    <definedName name="EV__MEMORYCVW__BOOK3_ACCOUNT" hidden="1">"[AmmortCF"</definedName>
    <definedName name="EV__MEMORYCVW__BOOK3_CATEGORY" hidden="1">"[ACTUAL"</definedName>
    <definedName name="EV__MEMORYCVW__BOOK3_COST_CENTER" hidden="1">"[CC_390445"</definedName>
    <definedName name="EV__MEMORYCVW__BOOK3_ENTITY" hidden="1">"[E_2301"</definedName>
    <definedName name="EV__MEMORYCVW__BOOK3_I_ENTITY" hidden="1">"[IE_NA"</definedName>
    <definedName name="EV__MEMORYCVW__BOOK3_IC_COST_CENTER" hidden="1">"[ICC_NA"</definedName>
    <definedName name="EV__MEMORYCVW__BOOK3_L_ACCOUNT" hidden="1">"[A_ALL_STAT_ACCOUNTS"</definedName>
    <definedName name="EV__MEMORYCVW__BOOK3_L_DATASRC" hidden="1">"[INPUT"</definedName>
    <definedName name="EV__MEMORYCVW__BOOK3_MEASURES" hidden="1">"[YTD"</definedName>
    <definedName name="EV__MEMORYCVW__BOOK3_P_DATASOURCE" hidden="1">"[INPUT"</definedName>
    <definedName name="EV__MEMORYCVW__BOOK3_PAYSCALE_GROUP" hidden="1">"[TOTAL_PAYSCALEGROUPS"</definedName>
    <definedName name="EV__MEMORYCVW__BOOK3_RPTCURRENCY" hidden="1">"[LC"</definedName>
    <definedName name="EV__MEMORYCVW__BOOK3_TIME" hidden="1">"[2017.TOTAL"</definedName>
    <definedName name="EV__MEMORYCVW__BOOK4" hidden="1">"[PLANNING"</definedName>
    <definedName name="EV__MEMORYCVW__BOOK4_ACCOUNT" hidden="1">"[Std_Reporting_TE01"</definedName>
    <definedName name="EV__MEMORYCVW__BOOK4_CATEGORY" hidden="1">"[ACTUAL"</definedName>
    <definedName name="EV__MEMORYCVW__BOOK4_COST_CENTER" hidden="1">"[Corporate_TSI"</definedName>
    <definedName name="EV__MEMORYCVW__BOOK4_ENTITY" hidden="1">"[E_2002"</definedName>
    <definedName name="EV__MEMORYCVW__BOOK4_I_ENTITY" hidden="1">"[IE_NA"</definedName>
    <definedName name="EV__MEMORYCVW__BOOK4_IC_COST_CENTER" hidden="1">"[ICC_NA"</definedName>
    <definedName name="EV__MEMORYCVW__BOOK4_L_ACCOUNT" hidden="1">"[A_ALL_STAT_ACCOUNTS"</definedName>
    <definedName name="EV__MEMORYCVW__BOOK4_L_DATASRC" hidden="1">"[INPUT"</definedName>
    <definedName name="EV__MEMORYCVW__BOOK4_MEASURES" hidden="1">"[PERIODIC"</definedName>
    <definedName name="EV__MEMORYCVW__BOOK4_P_DATASOURCE" hidden="1">"[FINAL_CC"</definedName>
    <definedName name="EV__MEMORYCVW__BOOK4_PAYSCALE_GROUP" hidden="1">"[TOTAL_PAYSCALEGROUPS"</definedName>
    <definedName name="EV__MEMORYCVW__BOOK4_RPTCURRENCY" hidden="1">"[LC"</definedName>
    <definedName name="EV__MEMORYCVW__BOOK4_TIME" hidden="1">"[2017.TOTAL"</definedName>
    <definedName name="EV__MEMORYCVW__BOOK5" hidden="1">"[PLANNING"</definedName>
    <definedName name="EV__MEMORYCVW__BOOK5.XLSX" hidden="1">"[PLANNING"</definedName>
    <definedName name="EV__MEMORYCVW__BOOK5_ACCOUNT" hidden="1">"[OM_OTH_EX"</definedName>
    <definedName name="EV__MEMORYCVW__BOOK5_CATEGORY" hidden="1">"[FORECAST"</definedName>
    <definedName name="EV__MEMORYCVW__BOOK5_COST_CENTER" hidden="1">"[CC_262004"</definedName>
    <definedName name="EV__MEMORYCVW__BOOK5_ENTITY" hidden="1">"[E_2201"</definedName>
    <definedName name="EV__MEMORYCVW__BOOK5_MEASURES" hidden="1">"[PERIODIC"</definedName>
    <definedName name="EV__MEMORYCVW__BOOK5_P_DATASOURCE" hidden="1">"[Allocable"</definedName>
    <definedName name="EV__MEMORYCVW__BOOK5_RPTCURRENCY" hidden="1">"[LC"</definedName>
    <definedName name="EV__MEMORYCVW__BOOK5_TIME" hidden="1">"[2016.TOTAL"</definedName>
    <definedName name="EV__MEMORYCVW__BOOK6" hidden="1">"[TECOLABOR"</definedName>
    <definedName name="EV__MEMORYCVW__BOOK6_CATEGORY" hidden="1">"[ACTUAL"</definedName>
    <definedName name="EV__MEMORYCVW__BOOK6_COST_CENTER" hidden="1">"[Corporate_TSI"</definedName>
    <definedName name="EV__MEMORYCVW__BOOK6_ENTITY" hidden="1">"[E_2002"</definedName>
    <definedName name="EV__MEMORYCVW__BOOK6_I_ENTITY" hidden="1">"[IE_NA"</definedName>
    <definedName name="EV__MEMORYCVW__BOOK6_IC_COST_CENTER" hidden="1">"[ICC_NA"</definedName>
    <definedName name="EV__MEMORYCVW__BOOK6_L_ACCOUNT" hidden="1">"[A_ALL_STAT_ACCOUNTS"</definedName>
    <definedName name="EV__MEMORYCVW__BOOK6_L_DATASRC" hidden="1">"[INPUT"</definedName>
    <definedName name="EV__MEMORYCVW__BOOK6_MEASURES" hidden="1">"[PERIODIC"</definedName>
    <definedName name="EV__MEMORYCVW__BOOK6_PAYSCALE_GROUP" hidden="1">"[TOTAL_PAYSCALEGROUPS"</definedName>
    <definedName name="EV__MEMORYCVW__BOOK6_RPTCURRENCY" hidden="1">"[LC"</definedName>
    <definedName name="EV__MEMORYCVW__BOOK6_TIME" hidden="1">"[2017.TOTAL"</definedName>
    <definedName name="EV__MEMORYCVW__COMPLIANCE_CODE_OF_CONDUCT_COST_DISTRIBUTION_JULY_2016.XLSX" hidden="1">"[TECOLABOR"</definedName>
    <definedName name="EV__MEMORYCVW__COMPLIANCE_CODE_OF_CONDUCT_COST_DISTRIBUTION_JULY_2016.XLSX_CATEGORY" hidden="1">"[WKG_BUDGET"</definedName>
    <definedName name="EV__MEMORYCVW__COMPLIANCE_CODE_OF_CONDUCT_COST_DISTRIBUTION_JULY_2016.XLSX_COST_CENTER" hidden="1">"[CC_130086"</definedName>
    <definedName name="EV__MEMORYCVW__COMPLIANCE_CODE_OF_CONDUCT_COST_DISTRIBUTION_JULY_2016.XLSX_ENTITY" hidden="1">"[E_2002"</definedName>
    <definedName name="EV__MEMORYCVW__COMPLIANCE_CODE_OF_CONDUCT_COST_DISTRIBUTION_JULY_2016.XLSX_I_ENTITY" hidden="1">"[IE_NA"</definedName>
    <definedName name="EV__MEMORYCVW__COMPLIANCE_CODE_OF_CONDUCT_COST_DISTRIBUTION_JULY_2016.XLSX_IC_COST_CENTER" hidden="1">"[ICC_NA"</definedName>
    <definedName name="EV__MEMORYCVW__COMPLIANCE_CODE_OF_CONDUCT_COST_DISTRIBUTION_JULY_2016.XLSX_L_ACCOUNT" hidden="1">"[A_ALL_COST_TYPES"</definedName>
    <definedName name="EV__MEMORYCVW__COMPLIANCE_CODE_OF_CONDUCT_COST_DISTRIBUTION_JULY_2016.XLSX_L_DATASRC" hidden="1">"[INPUT"</definedName>
    <definedName name="EV__MEMORYCVW__COMPLIANCE_CODE_OF_CONDUCT_COST_DISTRIBUTION_JULY_2016.XLSX_MEASURES" hidden="1">"[PERIODIC"</definedName>
    <definedName name="EV__MEMORYCVW__COMPLIANCE_CODE_OF_CONDUCT_COST_DISTRIBUTION_JULY_2016.XLSX_PAYSCALE_GROUP" hidden="1">"[PG_NA"</definedName>
    <definedName name="EV__MEMORYCVW__COMPLIANCE_CODE_OF_CONDUCT_COST_DISTRIBUTION_JULY_2016.XLSX_RPTCURRENCY" hidden="1">"[LC"</definedName>
    <definedName name="EV__MEMORYCVW__COMPLIANCE_CODE_OF_CONDUCT_COST_DISTRIBUTION_JULY_2016.XLSX_TIME" hidden="1">"[2015.TOTAL"</definedName>
    <definedName name="EV__MEMORYCVW__COST_CENTER_ENTITY_LEVEL_EXPENSE_REPORT_ALLOCNONALLOC1" hidden="1">"[PLANNING"</definedName>
    <definedName name="EV__MEMORYCVW__COST_CENTER_ENTITY_LEVEL_EXPENSE_REPORT_ALLOCNONALLOC1_ACCOUNT" hidden="1">"[LIAB_AND_CAP"</definedName>
    <definedName name="EV__MEMORYCVW__COST_CENTER_ENTITY_LEVEL_EXPENSE_REPORT_ALLOCNONALLOC1_CATEGORY" hidden="1">"[ACTUAL"</definedName>
    <definedName name="EV__MEMORYCVW__COST_CENTER_ENTITY_LEVEL_EXPENSE_REPORT_ALLOCNONALLOC1_COST_CENTER" hidden="1">"[Info_Technology"</definedName>
    <definedName name="EV__MEMORYCVW__COST_CENTER_ENTITY_LEVEL_EXPENSE_REPORT_ALLOCNONALLOC1_ENTITY" hidden="1">"[E_2201"</definedName>
    <definedName name="EV__MEMORYCVW__COST_CENTER_ENTITY_LEVEL_EXPENSE_REPORT_ALLOCNONALLOC1_MEASURES" hidden="1">"[YTD"</definedName>
    <definedName name="EV__MEMORYCVW__COST_CENTER_ENTITY_LEVEL_EXPENSE_REPORT_ALLOCNONALLOC1_P_DATASOURCE" hidden="1">"[INPUT"</definedName>
    <definedName name="EV__MEMORYCVW__COST_CENTER_ENTITY_LEVEL_EXPENSE_REPORT_ALLOCNONALLOC1_RPTCURRENCY" hidden="1">"[LC"</definedName>
    <definedName name="EV__MEMORYCVW__COST_CENTER_ENTITY_LEVEL_EXPENSE_REPORT_ALLOCNONALLOC1_TIME" hidden="1">"[2015.TOTAL"</definedName>
    <definedName name="EV__MEMORYCVW__EXPENSE_REPORT_BYCC1" hidden="1">"[PLANNING"</definedName>
    <definedName name="EV__MEMORYCVW__EXPENSE_REPORT_BYCC1_ACCOUNT" hidden="1">"[AmmortCF"</definedName>
    <definedName name="EV__MEMORYCVW__EXPENSE_REPORT_BYCC1_CATEGORY" hidden="1">"[ACTUAL"</definedName>
    <definedName name="EV__MEMORYCVW__EXPENSE_REPORT_BYCC1_COST_CENTER" hidden="1">"[Corporate_PGS_NC"</definedName>
    <definedName name="EV__MEMORYCVW__EXPENSE_REPORT_BYCC1_ENTITY" hidden="1">"[E_2301"</definedName>
    <definedName name="EV__MEMORYCVW__EXPENSE_REPORT_BYCC1_MEASURES" hidden="1">"[YTD"</definedName>
    <definedName name="EV__MEMORYCVW__EXPENSE_REPORT_BYCC1_P_DATASOURCE" hidden="1">"[INPUT"</definedName>
    <definedName name="EV__MEMORYCVW__EXPENSE_REPORT_BYCC1_RPTCURRENCY" hidden="1">"[LC"</definedName>
    <definedName name="EV__MEMORYCVW__EXPENSE_REPORT_BYCC1_TIME" hidden="1">"[2016.TOTAL"</definedName>
    <definedName name="EV__MEMORYCVW__EXPENSE_REPORT_VARIANCE1" hidden="1">"[PLANNING"</definedName>
    <definedName name="EV__MEMORYCVW__EXPENSE_REPORT_VARIANCE1_ACCOUNT" hidden="1">"[AmmortCF"</definedName>
    <definedName name="EV__MEMORYCVW__EXPENSE_REPORT_VARIANCE1_CATEGORY" hidden="1">"[ACTUAL"</definedName>
    <definedName name="EV__MEMORYCVW__EXPENSE_REPORT_VARIANCE1_COST_CENTER" hidden="1">"[Corporate_PGS_NC"</definedName>
    <definedName name="EV__MEMORYCVW__EXPENSE_REPORT_VARIANCE1_ENTITY" hidden="1">"[E_2301"</definedName>
    <definedName name="EV__MEMORYCVW__EXPENSE_REPORT_VARIANCE1_MEASURES" hidden="1">"[YTD"</definedName>
    <definedName name="EV__MEMORYCVW__EXPENSE_REPORT_VARIANCE1_P_DATASOURCE" hidden="1">"[INPUT"</definedName>
    <definedName name="EV__MEMORYCVW__EXPENSE_REPORT_VARIANCE1_RPTCURRENCY" hidden="1">"[LC"</definedName>
    <definedName name="EV__MEMORYCVW__EXPENSE_REPORT_VARIANCE1_TIME" hidden="1">"[2017.TOTAL"</definedName>
    <definedName name="EV__MEMORYCVW__EXPENSE_REPORT_VARIANCE2" hidden="1">"[PLANNING"</definedName>
    <definedName name="EV__MEMORYCVW__EXPENSE_REPORT_VARIANCE2_ACCOUNT" hidden="1">"[Std_Reporting_TE01"</definedName>
    <definedName name="EV__MEMORYCVW__EXPENSE_REPORT_VARIANCE2_CATEGORY" hidden="1">"[ACTUAL"</definedName>
    <definedName name="EV__MEMORYCVW__EXPENSE_REPORT_VARIANCE2_COST_CENTER" hidden="1">"[Corp_Svcs_CHRO"</definedName>
    <definedName name="EV__MEMORYCVW__EXPENSE_REPORT_VARIANCE2_ENTITY" hidden="1">"[E_2002"</definedName>
    <definedName name="EV__MEMORYCVW__EXPENSE_REPORT_VARIANCE2_MEASURES" hidden="1">"[PERIODIC"</definedName>
    <definedName name="EV__MEMORYCVW__EXPENSE_REPORT_VARIANCE2_P_DATASOURCE" hidden="1">"[FINAL_CC"</definedName>
    <definedName name="EV__MEMORYCVW__EXPENSE_REPORT_VARIANCE2_RPTCURRENCY" hidden="1">"[LC"</definedName>
    <definedName name="EV__MEMORYCVW__EXPENSE_REPORT_VARIANCE2_TIME" hidden="1">"[2017.TOTAL"</definedName>
    <definedName name="EV__MEMORYCVW__EXPENSE_REPORT1" hidden="1">"[PLANNING"</definedName>
    <definedName name="EV__MEMORYCVW__EXPENSE_REPORT1_ACCOUNT" hidden="1">"[NET_INCOME"</definedName>
    <definedName name="EV__MEMORYCVW__EXPENSE_REPORT1_CATEGORY" hidden="1">"[ACTUAL"</definedName>
    <definedName name="EV__MEMORYCVW__EXPENSE_REPORT1_COST_CENTER" hidden="1">"[CC_131528"</definedName>
    <definedName name="EV__MEMORYCVW__EXPENSE_REPORT1_ENTITY" hidden="1">"[E_2002"</definedName>
    <definedName name="EV__MEMORYCVW__EXPENSE_REPORT1_MEASURES" hidden="1">"[PERIODIC"</definedName>
    <definedName name="EV__MEMORYCVW__EXPENSE_REPORT1_P_DATASOURCE" hidden="1">"[TOTAL_REST"</definedName>
    <definedName name="EV__MEMORYCVW__EXPENSE_REPORT1_RPTCURRENCY" hidden="1">"[LC"</definedName>
    <definedName name="EV__MEMORYCVW__EXPENSE_REPORT1_TIME" hidden="1">"[2017.TOTAL"</definedName>
    <definedName name="EV__MEMORYCVW__EXPENSE_VARIANCE_REPORT1" hidden="1">"[PLANNING"</definedName>
    <definedName name="EV__MEMORYCVW__EXPENSE_VARIANCE_REPORT1_ACCOUNT" hidden="1">"[A_STAT"</definedName>
    <definedName name="EV__MEMORYCVW__EXPENSE_VARIANCE_REPORT1_CATEGORY" hidden="1">"[ACTUAL"</definedName>
    <definedName name="EV__MEMORYCVW__EXPENSE_VARIANCE_REPORT1_COST_CENTER" hidden="1">"[CorpSvc_Ops"</definedName>
    <definedName name="EV__MEMORYCVW__EXPENSE_VARIANCE_REPORT1_ENTITY" hidden="1">"[E_2201"</definedName>
    <definedName name="EV__MEMORYCVW__EXPENSE_VARIANCE_REPORT1_MEASURES" hidden="1">"[YTD"</definedName>
    <definedName name="EV__MEMORYCVW__EXPENSE_VARIANCE_REPORT1_P_DATASOURCE" hidden="1">"[INPUT"</definedName>
    <definedName name="EV__MEMORYCVW__EXPENSE_VARIANCE_REPORT1_RPTCURRENCY" hidden="1">"[LC"</definedName>
    <definedName name="EV__MEMORYCVW__EXPENSE_VARIANCE_REPORT1_TIME" hidden="1">"[2014.TOTAL"</definedName>
    <definedName name="EV__MEMORYCVW__EXPENSES_TE_NONALLOCABLE1" hidden="1">"[PLANNING"</definedName>
    <definedName name="EV__MEMORYCVW__EXPENSES_TE_NONALLOCABLE1_ACCOUNT" hidden="1">"[NET_INCOME"</definedName>
    <definedName name="EV__MEMORYCVW__EXPENSES_TE_NONALLOCABLE1_CATEGORY" hidden="1">"[WKG_BUDGET"</definedName>
    <definedName name="EV__MEMORYCVW__EXPENSES_TE_NONALLOCABLE1_COST_CENTER" hidden="1">"[CC_100080"</definedName>
    <definedName name="EV__MEMORYCVW__EXPENSES_TE_NONALLOCABLE1_ENTITY" hidden="1">"[E_2001"</definedName>
    <definedName name="EV__MEMORYCVW__EXPENSES_TE_NONALLOCABLE1_MEASURES" hidden="1">"[PERIODIC"</definedName>
    <definedName name="EV__MEMORYCVW__EXPENSES_TE_NONALLOCABLE1_P_DATASOURCE" hidden="1">"[TOTAL_REST"</definedName>
    <definedName name="EV__MEMORYCVW__EXPENSES_TE_NONALLOCABLE1_RPTCURRENCY" hidden="1">"[LC"</definedName>
    <definedName name="EV__MEMORYCVW__EXPENSES_TE_NONALLOCABLE1_TIME" hidden="1">"[2017.TOTAL"</definedName>
    <definedName name="EV__MEMORYCVW__EXPENSES_TSI_ALLOCABLE1" hidden="1">"[PLANNING"</definedName>
    <definedName name="EV__MEMORYCVW__EXPENSES_TSI_ALLOCABLE1_ACCOUNT" hidden="1">"[NET_INCOME"</definedName>
    <definedName name="EV__MEMORYCVW__EXPENSES_TSI_ALLOCABLE1_CATEGORY" hidden="1">"[ACTUAL"</definedName>
    <definedName name="EV__MEMORYCVW__EXPENSES_TSI_ALLOCABLE1_COST_CENTER" hidden="1">"[CC_130051"</definedName>
    <definedName name="EV__MEMORYCVW__EXPENSES_TSI_ALLOCABLE1_ENTITY" hidden="1">"[E_2002"</definedName>
    <definedName name="EV__MEMORYCVW__EXPENSES_TSI_ALLOCABLE1_MEASURES" hidden="1">"[PERIODIC"</definedName>
    <definedName name="EV__MEMORYCVW__EXPENSES_TSI_ALLOCABLE1_P_DATASOURCE" hidden="1">"[TOTAL_REST"</definedName>
    <definedName name="EV__MEMORYCVW__EXPENSES_TSI_ALLOCABLE1_RPTCURRENCY" hidden="1">"[LC"</definedName>
    <definedName name="EV__MEMORYCVW__EXPENSES_TSI_ALLOCABLE1_TIME" hidden="1">"[2017.TOTAL"</definedName>
    <definedName name="EV__MEMORYCVW__FINAL_2016_TSI_EFFIC__PROCS_IMPRV_OM_5_YR_FORECAST.XLSX" hidden="1">"[PLANNING"</definedName>
    <definedName name="EV__MEMORYCVW__FINAL_2016_TSI_EFFIC__PROCS_IMPRV_OM_5_YR_FORECAST.XLSX_ACCOUNT" hidden="1">"[Std_Reporting_TE01"</definedName>
    <definedName name="EV__MEMORYCVW__FINAL_2016_TSI_EFFIC__PROCS_IMPRV_OM_5_YR_FORECAST.XLSX_CATEGORY" hidden="1">"[ACTUAL"</definedName>
    <definedName name="EV__MEMORYCVW__FINAL_2016_TSI_EFFIC__PROCS_IMPRV_OM_5_YR_FORECAST.XLSX_COST_CENTER" hidden="1">"[CC_130073"</definedName>
    <definedName name="EV__MEMORYCVW__FINAL_2016_TSI_EFFIC__PROCS_IMPRV_OM_5_YR_FORECAST.XLSX_ENTITY" hidden="1">"[E_2002"</definedName>
    <definedName name="EV__MEMORYCVW__FINAL_2016_TSI_EFFIC__PROCS_IMPRV_OM_5_YR_FORECAST.XLSX_MEASURES" hidden="1">"[PERIODIC"</definedName>
    <definedName name="EV__MEMORYCVW__FINAL_2016_TSI_EFFIC__PROCS_IMPRV_OM_5_YR_FORECAST.XLSX_P_DATASOURCE" hidden="1">"[FINAL_CC"</definedName>
    <definedName name="EV__MEMORYCVW__FINAL_2016_TSI_EFFIC__PROCS_IMPRV_OM_5_YR_FORECAST.XLSX_RPTCURRENCY" hidden="1">"[LC"</definedName>
    <definedName name="EV__MEMORYCVW__FINAL_2016_TSI_EFFIC__PROCS_IMPRV_OM_5_YR_FORECAST.XLSX_TIME" hidden="1">"[2016.TOTAL"</definedName>
    <definedName name="EV__MEMORYCVW__FUNCRES.XLAM" hidden="1">"[TECOLABOR"</definedName>
    <definedName name="EV__MEMORYCVW__FUNCRES.XLAM_ACCOUNT" hidden="1">"[Std_Reporting_TE01"</definedName>
    <definedName name="EV__MEMORYCVW__FUNCRES.XLAM_CATEGORY" hidden="1">"[WKG_BUDGET"</definedName>
    <definedName name="EV__MEMORYCVW__FUNCRES.XLAM_COST_CENTER" hidden="1">"[CC_137000"</definedName>
    <definedName name="EV__MEMORYCVW__FUNCRES.XLAM_ENTITY" hidden="1">"[E_2002"</definedName>
    <definedName name="EV__MEMORYCVW__FUNCRES.XLAM_I_ENTITY" hidden="1">"[IE_NA"</definedName>
    <definedName name="EV__MEMORYCVW__FUNCRES.XLAM_IC_COST_CENTER" hidden="1">"[ICC_NA"</definedName>
    <definedName name="EV__MEMORYCVW__FUNCRES.XLAM_L_ACCOUNT" hidden="1">"[A_ALL_STAT_ACCOUNTS"</definedName>
    <definedName name="EV__MEMORYCVW__FUNCRES.XLAM_L_DATASRC" hidden="1">"[RECEIVE"</definedName>
    <definedName name="EV__MEMORYCVW__FUNCRES.XLAM_MEASURES" hidden="1">"[PERIODIC"</definedName>
    <definedName name="EV__MEMORYCVW__FUNCRES.XLAM_P_DATASOURCE" hidden="1">"[FINAL_CC"</definedName>
    <definedName name="EV__MEMORYCVW__FUNCRES.XLAM_PAYSCALE_GROUP" hidden="1">"[PG_NA"</definedName>
    <definedName name="EV__MEMORYCVW__FUNCRES.XLAM_RPTCURRENCY" hidden="1">"[LC"</definedName>
    <definedName name="EV__MEMORYCVW__FUNCRES.XLAM_TIME" hidden="1">"[2016.TOTAL"</definedName>
    <definedName name="EV__MEMORYCVW__HEADCOUNT_DETAIL_REPORT1" hidden="1">"[TECOLABOR"</definedName>
    <definedName name="EV__MEMORYCVW__HEADCOUNT_DETAIL_REPORT1_CATEGORY" hidden="1">"[FNL_BUDGET"</definedName>
    <definedName name="EV__MEMORYCVW__HEADCOUNT_DETAIL_REPORT1_COST_CENTER" hidden="1">"[Corporate_Services"</definedName>
    <definedName name="EV__MEMORYCVW__HEADCOUNT_DETAIL_REPORT1_ENTITY" hidden="1">"[E_2201"</definedName>
    <definedName name="EV__MEMORYCVW__HEADCOUNT_DETAIL_REPORT1_I_ENTITY" hidden="1">"[IE_NA"</definedName>
    <definedName name="EV__MEMORYCVW__HEADCOUNT_DETAIL_REPORT1_IC_COST_CENTER" hidden="1">"[ICC_NA"</definedName>
    <definedName name="EV__MEMORYCVW__HEADCOUNT_DETAIL_REPORT1_L_ACCOUNT" hidden="1">"[A_ALL_STAT_ACCOUNTS"</definedName>
    <definedName name="EV__MEMORYCVW__HEADCOUNT_DETAIL_REPORT1_L_DATASRC" hidden="1">"[INPUT"</definedName>
    <definedName name="EV__MEMORYCVW__HEADCOUNT_DETAIL_REPORT1_MEASURES" hidden="1">"[PERIODIC"</definedName>
    <definedName name="EV__MEMORYCVW__HEADCOUNT_DETAIL_REPORT1_PAYSCALE_GROUP" hidden="1">"[TOTAL_PAYSCALEGROUPS"</definedName>
    <definedName name="EV__MEMORYCVW__HEADCOUNT_DETAIL_REPORT1_RPTCURRENCY" hidden="1">"[LC"</definedName>
    <definedName name="EV__MEMORYCVW__HEADCOUNT_DETAIL_REPORT1_TIME" hidden="1">"[2014.TOTAL"</definedName>
    <definedName name="EV__MEMORYCVW__HEADCOUNT_REVIEW_INPUT_SCHEDULE.XLTX" hidden="1">"[LABOR"</definedName>
    <definedName name="EV__MEMORYCVW__HEADCOUNT_REVIEW_INPUT_SCHEDULE.XLTX_CATEGORY" hidden="1">"[ACTUAL"</definedName>
    <definedName name="EV__MEMORYCVW__HEADCOUNT_REVIEW_INPUT_SCHEDULE.XLTX_COST_CENTER" hidden="1">"[CC_NA"</definedName>
    <definedName name="EV__MEMORYCVW__HEADCOUNT_REVIEW_INPUT_SCHEDULE.XLTX_ENTITY" hidden="1">"[TECO_LEGAL"</definedName>
    <definedName name="EV__MEMORYCVW__HEADCOUNT_REVIEW_INPUT_SCHEDULE.XLTX_IC_COST_CENTER" hidden="1">"[ALL_ICC_COST_CENTER"</definedName>
    <definedName name="EV__MEMORYCVW__HEADCOUNT_REVIEW_INPUT_SCHEDULE.XLTX_L_ACCOUNT" hidden="1">"[A_ALL_STAT_ACCOUNTS"</definedName>
    <definedName name="EV__MEMORYCVW__HEADCOUNT_REVIEW_INPUT_SCHEDULE.XLTX_L_DATASRC" hidden="1">"[FINAL"</definedName>
    <definedName name="EV__MEMORYCVW__HEADCOUNT_REVIEW_INPUT_SCHEDULE.XLTX_MEASURES" hidden="1">"[PERIODIC"</definedName>
    <definedName name="EV__MEMORYCVW__HEADCOUNT_REVIEW_INPUT_SCHEDULE.XLTX_PAYSCALE_GROUP" hidden="1">"[TOTAL_PAYSCALEGROUPS"</definedName>
    <definedName name="EV__MEMORYCVW__HEADCOUNT_REVIEW_INPUT_SCHEDULE.XLTX_RPTCURRENCY" hidden="1">"[LC"</definedName>
    <definedName name="EV__MEMORYCVW__HEADCOUNT_REVIEW_INPUT_SCHEDULE.XLTX_TIME" hidden="1">"[2005.TOTAL"</definedName>
    <definedName name="EV__MEMORYCVW__HEADCOUNT_REVIEW_INPUT_SCHEDULE1" hidden="1">"[TECOLABOR"</definedName>
    <definedName name="EV__MEMORYCVW__HEADCOUNT_REVIEW_INPUT_SCHEDULE1_CATEGORY" hidden="1">"[WKG_BUDGET"</definedName>
    <definedName name="EV__MEMORYCVW__HEADCOUNT_REVIEW_INPUT_SCHEDULE1_COST_CENTER" hidden="1">"[CC_254003"</definedName>
    <definedName name="EV__MEMORYCVW__HEADCOUNT_REVIEW_INPUT_SCHEDULE1_ENTITY" hidden="1">"[E_2201"</definedName>
    <definedName name="EV__MEMORYCVW__HEADCOUNT_REVIEW_INPUT_SCHEDULE1_I_ENTITY" hidden="1">"[IE_NA"</definedName>
    <definedName name="EV__MEMORYCVW__HEADCOUNT_REVIEW_INPUT_SCHEDULE1_IC_COST_CENTER" hidden="1">"[ICC_NA"</definedName>
    <definedName name="EV__MEMORYCVW__HEADCOUNT_REVIEW_INPUT_SCHEDULE1_L_ACCOUNT" hidden="1">"[A_ALL_STAT_ACCOUNTS"</definedName>
    <definedName name="EV__MEMORYCVW__HEADCOUNT_REVIEW_INPUT_SCHEDULE1_L_DATASRC" hidden="1">"[INPUT"</definedName>
    <definedName name="EV__MEMORYCVW__HEADCOUNT_REVIEW_INPUT_SCHEDULE1_MEASURES" hidden="1">"[PERIODIC"</definedName>
    <definedName name="EV__MEMORYCVW__HEADCOUNT_REVIEW_INPUT_SCHEDULE1_PAYSCALE_GROUP" hidden="1">"[TOTAL_PAYSCALEGROUPS"</definedName>
    <definedName name="EV__MEMORYCVW__HEADCOUNT_REVIEW_INPUT_SCHEDULE1_RPTCURRENCY" hidden="1">"[LC"</definedName>
    <definedName name="EV__MEMORYCVW__HEADCOUNT_REVIEW_INPUT_SCHEDULE1_TIME" hidden="1">"[2017.TOTAL"</definedName>
    <definedName name="EV__MEMORYCVW__INCOME_STATEMENT_REPORT1" hidden="1">"[PLANNING"</definedName>
    <definedName name="EV__MEMORYCVW__INCOME_STATEMENT_REPORT1_ACCOUNT" hidden="1">"[Std_Reporting_TE01"</definedName>
    <definedName name="EV__MEMORYCVW__INCOME_STATEMENT_REPORT1_CATEGORY" hidden="1">"[ACTUAL"</definedName>
    <definedName name="EV__MEMORYCVW__INCOME_STATEMENT_REPORT1_COST_CENTER" hidden="1">"[CC_130058"</definedName>
    <definedName name="EV__MEMORYCVW__INCOME_STATEMENT_REPORT1_ENTITY" hidden="1">"[E_2002"</definedName>
    <definedName name="EV__MEMORYCVW__INCOME_STATEMENT_REPORT1_MEASURES" hidden="1">"[YTD"</definedName>
    <definedName name="EV__MEMORYCVW__INCOME_STATEMENT_REPORT1_P_DATASOURCE" hidden="1">"[TOTAL"</definedName>
    <definedName name="EV__MEMORYCVW__INCOME_STATEMENT_REPORT1_RPTCURRENCY" hidden="1">"[LC"</definedName>
    <definedName name="EV__MEMORYCVW__INCOME_STATEMENT_REPORT1_TIME" hidden="1">"[2014.TOTAL"</definedName>
    <definedName name="EV__MEMORYCVW__LABOR_BUDGET_REVIEW_SIGN_OFF.XLTX" hidden="1">"[TECOLABOR"</definedName>
    <definedName name="EV__MEMORYCVW__LABOR_BUDGET_REVIEW_SIGN_OFF1" hidden="1">"[TECOLABOR"</definedName>
    <definedName name="EV__MEMORYCVW__LABOR_BUDGET_REVIEW_SIGN_OFF1.XLSX" hidden="1">"[TECOLABOR"</definedName>
    <definedName name="EV__MEMORYCVW__LABOR_BUDGET_REVIEW_SIGN_OFF1_CATEGORY" hidden="1">"[WKG_BUDGET"</definedName>
    <definedName name="EV__MEMORYCVW__LABOR_BUDGET_REVIEW_SIGN_OFF1_COST_CENTER" hidden="1">"[Corp_Svcs_CHRO"</definedName>
    <definedName name="EV__MEMORYCVW__LABOR_BUDGET_REVIEW_SIGN_OFF1_ENTITY" hidden="1">"[E_2002"</definedName>
    <definedName name="EV__MEMORYCVW__LABOR_BUDGET_REVIEW_SIGN_OFF1_I_ENTITY" hidden="1">"[IE_NA"</definedName>
    <definedName name="EV__MEMORYCVW__LABOR_BUDGET_REVIEW_SIGN_OFF1_IC_COST_CENTER" hidden="1">"[ICC_NA"</definedName>
    <definedName name="EV__MEMORYCVW__LABOR_BUDGET_REVIEW_SIGN_OFF1_L_ACCOUNT" hidden="1">"[A_ALL_STAT_ACCOUNTS"</definedName>
    <definedName name="EV__MEMORYCVW__LABOR_BUDGET_REVIEW_SIGN_OFF1_L_DATASRC" hidden="1">"[INPUT"</definedName>
    <definedName name="EV__MEMORYCVW__LABOR_BUDGET_REVIEW_SIGN_OFF1_MEASURES" hidden="1">"[PERIODIC"</definedName>
    <definedName name="EV__MEMORYCVW__LABOR_BUDGET_REVIEW_SIGN_OFF1_PAYSCALE_GROUP" hidden="1">"[TOTAL_PAYSCALEGROUPS"</definedName>
    <definedName name="EV__MEMORYCVW__LABOR_BUDGET_REVIEW_SIGN_OFF1_RPTCURRENCY" hidden="1">"[LC"</definedName>
    <definedName name="EV__MEMORYCVW__LABOR_BUDGET_REVIEW_SIGN_OFF1_TIME" hidden="1">"[2016.TOTAL"</definedName>
    <definedName name="EV__MEMORYCVW__LABOR_BUDGET_REVIEW_SIGN_OFF2" hidden="1">"[TECOLABOR"</definedName>
    <definedName name="EV__MEMORYCVW__LABOR_DISTRIBUTION_BY_COST_CENTER1" hidden="1">"[TECOLABOR"</definedName>
    <definedName name="EV__MEMORYCVW__LABOR_DISTRIBUTION_BY_COST_CENTER1_CATEGORY" hidden="1">"[WKG_BUDGET"</definedName>
    <definedName name="EV__MEMORYCVW__LABOR_DISTRIBUTION_BY_COST_CENTER1_COST_CENTER" hidden="1">"[Corporate_TSI"</definedName>
    <definedName name="EV__MEMORYCVW__LABOR_DISTRIBUTION_BY_COST_CENTER1_ENTITY" hidden="1">"[E_2002"</definedName>
    <definedName name="EV__MEMORYCVW__LABOR_DISTRIBUTION_BY_COST_CENTER1_I_ENTITY" hidden="1">"[IE_NA"</definedName>
    <definedName name="EV__MEMORYCVW__LABOR_DISTRIBUTION_BY_COST_CENTER1_IC_COST_CENTER" hidden="1">"[ICC_NA"</definedName>
    <definedName name="EV__MEMORYCVW__LABOR_DISTRIBUTION_BY_COST_CENTER1_L_ACCOUNT" hidden="1">"[A_ALL_COST_TYPES"</definedName>
    <definedName name="EV__MEMORYCVW__LABOR_DISTRIBUTION_BY_COST_CENTER1_L_DATASRC" hidden="1">"[INPUT"</definedName>
    <definedName name="EV__MEMORYCVW__LABOR_DISTRIBUTION_BY_COST_CENTER1_MEASURES" hidden="1">"[PERIODIC"</definedName>
    <definedName name="EV__MEMORYCVW__LABOR_DISTRIBUTION_BY_COST_CENTER1_PAYSCALE_GROUP" hidden="1">"[PG_NA"</definedName>
    <definedName name="EV__MEMORYCVW__LABOR_DISTRIBUTION_BY_COST_CENTER1_RPTCURRENCY" hidden="1">"[LC"</definedName>
    <definedName name="EV__MEMORYCVW__LABOR_DISTRIBUTION_BY_COST_CENTER1_TIME" hidden="1">"[2014.TOTAL"</definedName>
    <definedName name="EV__MEMORYCVW__LABOR_DISTRIBUTION_BY_COST_TYPE1" hidden="1">"[TECOLABOR"</definedName>
    <definedName name="EV__MEMORYCVW__LABOR_DISTRIBUTION_BY_COST_TYPE1_CATEGORY" hidden="1">"[WKG_BUDGET"</definedName>
    <definedName name="EV__MEMORYCVW__LABOR_DISTRIBUTION_BY_COST_TYPE1_COST_CENTER" hidden="1">"[CC_130079"</definedName>
    <definedName name="EV__MEMORYCVW__LABOR_DISTRIBUTION_BY_COST_TYPE1_ENTITY" hidden="1">"[E_2002"</definedName>
    <definedName name="EV__MEMORYCVW__LABOR_DISTRIBUTION_BY_COST_TYPE1_I_ENTITY" hidden="1">"[IE_NA"</definedName>
    <definedName name="EV__MEMORYCVW__LABOR_DISTRIBUTION_BY_COST_TYPE1_IC_COST_CENTER" hidden="1">"[ICC_NA"</definedName>
    <definedName name="EV__MEMORYCVW__LABOR_DISTRIBUTION_BY_COST_TYPE1_L_ACCOUNT" hidden="1">"[A_ALL_COST_TYPES"</definedName>
    <definedName name="EV__MEMORYCVW__LABOR_DISTRIBUTION_BY_COST_TYPE1_L_DATASRC" hidden="1">"[INPUT"</definedName>
    <definedName name="EV__MEMORYCVW__LABOR_DISTRIBUTION_BY_COST_TYPE1_MEASURES" hidden="1">"[PERIODIC"</definedName>
    <definedName name="EV__MEMORYCVW__LABOR_DISTRIBUTION_BY_COST_TYPE1_PAYSCALE_GROUP" hidden="1">"[PG_NA"</definedName>
    <definedName name="EV__MEMORYCVW__LABOR_DISTRIBUTION_BY_COST_TYPE1_RPTCURRENCY" hidden="1">"[LC"</definedName>
    <definedName name="EV__MEMORYCVW__LABOR_DISTRIBUTION_BY_COST_TYPE1_TIME" hidden="1">"[2016.TOTAL"</definedName>
    <definedName name="EV__MEMORYCVW__LABOR_PLANNING_MENU.XLSM" hidden="1">"[TECOLABOR"</definedName>
    <definedName name="EV__MEMORYCVW__LABOR_PLANNING_MENU.XLSM_CATEGORY" hidden="1">"[WKG_BUDGET"</definedName>
    <definedName name="EV__MEMORYCVW__LABOR_PLANNING_MENU.XLSM_COST_CENTER" hidden="1">"[CC_240299"</definedName>
    <definedName name="EV__MEMORYCVW__LABOR_PLANNING_MENU.XLSM_ENTITY" hidden="1">"[E_2201"</definedName>
    <definedName name="EV__MEMORYCVW__LABOR_PLANNING_MENU.XLSM_I_ENTITY" hidden="1">"[IE_NA"</definedName>
    <definedName name="EV__MEMORYCVW__LABOR_PLANNING_MENU.XLSM_IC_COST_CENTER" hidden="1">"[ICC_NA"</definedName>
    <definedName name="EV__MEMORYCVW__LABOR_PLANNING_MENU.XLSM_L_ACCOUNT" hidden="1">"[A_ALL_STAT_ACCOUNTS"</definedName>
    <definedName name="EV__MEMORYCVW__LABOR_PLANNING_MENU.XLSM_L_DATASRC" hidden="1">"[INPUT"</definedName>
    <definedName name="EV__MEMORYCVW__LABOR_PLANNING_MENU.XLSM_MEASURES" hidden="1">"[PERIODIC"</definedName>
    <definedName name="EV__MEMORYCVW__LABOR_PLANNING_MENU.XLSM_PAYSCALE_GROUP" hidden="1">"[TOTAL_PAYSCALEGROUPS"</definedName>
    <definedName name="EV__MEMORYCVW__LABOR_PLANNING_MENU.XLSM_RPTCURRENCY" hidden="1">"[LC"</definedName>
    <definedName name="EV__MEMORYCVW__LABOR_PLANNING_MENU.XLSM_TIME" hidden="1">"[2012.TOTAL"</definedName>
    <definedName name="EV__MEMORYCVW__LABOR_PLANNING_MENU1" hidden="1">"[TECOLABOR"</definedName>
    <definedName name="EV__MEMORYCVW__LABOR_PLANNING_MENU1_CATEGORY" hidden="1">"[WKG_BUDGET"</definedName>
    <definedName name="EV__MEMORYCVW__LABOR_PLANNING_MENU1_COST_CENTER" hidden="1">"[CC_130094"</definedName>
    <definedName name="EV__MEMORYCVW__LABOR_PLANNING_MENU1_ENTITY" hidden="1">"[E_2002"</definedName>
    <definedName name="EV__MEMORYCVW__LABOR_PLANNING_MENU1_I_ENTITY" hidden="1">"[IE_NA"</definedName>
    <definedName name="EV__MEMORYCVW__LABOR_PLANNING_MENU1_IC_COST_CENTER" hidden="1">"[ICC_NA"</definedName>
    <definedName name="EV__MEMORYCVW__LABOR_PLANNING_MENU1_L_ACCOUNT" hidden="1">"[A_ALL_STAT_ACCOUNTS"</definedName>
    <definedName name="EV__MEMORYCVW__LABOR_PLANNING_MENU1_L_DATASRC" hidden="1">"[INPUT"</definedName>
    <definedName name="EV__MEMORYCVW__LABOR_PLANNING_MENU1_MEASURES" hidden="1">"[PERIODIC"</definedName>
    <definedName name="EV__MEMORYCVW__LABOR_PLANNING_MENU1_PAYSCALE_GROUP" hidden="1">"[TOTAL_PAYSCALEGROUPS"</definedName>
    <definedName name="EV__MEMORYCVW__LABOR_PLANNING_MENU1_RPTCURRENCY" hidden="1">"[LC"</definedName>
    <definedName name="EV__MEMORYCVW__LABOR_PLANNING_MENU1_TIME" hidden="1">"[2017.TOTAL"</definedName>
    <definedName name="EV__MEMORYCVW__LABOR_PLANNING_MENU2" hidden="1">"[TECOLABOR"</definedName>
    <definedName name="EV__MEMORYCVW__LABOR_PLANNING_MENU2_CATEGORY" hidden="1">"[WKG_BUDGET"</definedName>
    <definedName name="EV__MEMORYCVW__LABOR_PLANNING_MENU2_COST_CENTER" hidden="1">"[CC_304400"</definedName>
    <definedName name="EV__MEMORYCVW__LABOR_PLANNING_MENU2_ENTITY" hidden="1">"[E_2301"</definedName>
    <definedName name="EV__MEMORYCVW__LABOR_PLANNING_MENU2_I_ENTITY" hidden="1">"[IE_NA"</definedName>
    <definedName name="EV__MEMORYCVW__LABOR_PLANNING_MENU2_IC_COST_CENTER" hidden="1">"[ICC_NA"</definedName>
    <definedName name="EV__MEMORYCVW__LABOR_PLANNING_MENU2_L_ACCOUNT" hidden="1">"[A_ALL_STAT_ACCOUNTS"</definedName>
    <definedName name="EV__MEMORYCVW__LABOR_PLANNING_MENU2_L_DATASRC" hidden="1">"[INPUT"</definedName>
    <definedName name="EV__MEMORYCVW__LABOR_PLANNING_MENU2_MEASURES" hidden="1">"[PERIODIC"</definedName>
    <definedName name="EV__MEMORYCVW__LABOR_PLANNING_MENU2_PAYSCALE_GROUP" hidden="1">"[UP_101_UNION_0010"</definedName>
    <definedName name="EV__MEMORYCVW__LABOR_PLANNING_MENU2_RPTCURRENCY" hidden="1">"[LC"</definedName>
    <definedName name="EV__MEMORYCVW__LABOR_PLANNING_MENU2_TIME" hidden="1">"[2012.TOTAL"</definedName>
    <definedName name="EV__MEMORYCVW__OM_SEND_REC_REPORT1" hidden="1">"[TECOLABOR"</definedName>
    <definedName name="EV__MEMORYCVW__OM_SEND_REC_REPORT1_CATEGORY" hidden="1">"[FCST_7_5"</definedName>
    <definedName name="EV__MEMORYCVW__OM_SEND_REC_REPORT1_COST_CENTER" hidden="1">"[Corporate_TSI"</definedName>
    <definedName name="EV__MEMORYCVW__OM_SEND_REC_REPORT1_ENTITY" hidden="1">"[E_2002"</definedName>
    <definedName name="EV__MEMORYCVW__OM_SEND_REC_REPORT1_I_ENTITY" hidden="1">"[IE_NA"</definedName>
    <definedName name="EV__MEMORYCVW__OM_SEND_REC_REPORT1_IC_COST_CENTER" hidden="1">"[ICC_NA"</definedName>
    <definedName name="EV__MEMORYCVW__OM_SEND_REC_REPORT1_L_ACCOUNT" hidden="1">"[A_ALL_STAT_ACCOUNTS"</definedName>
    <definedName name="EV__MEMORYCVW__OM_SEND_REC_REPORT1_L_DATASRC" hidden="1">"[INPUT"</definedName>
    <definedName name="EV__MEMORYCVW__OM_SEND_REC_REPORT1_MEASURES" hidden="1">"[PERIODIC"</definedName>
    <definedName name="EV__MEMORYCVW__OM_SEND_REC_REPORT1_PAYSCALE_GROUP" hidden="1">"[TOTAL_PAYSCALEGROUPS"</definedName>
    <definedName name="EV__MEMORYCVW__OM_SEND_REC_REPORT1_RPTCURRENCY" hidden="1">"[LC"</definedName>
    <definedName name="EV__MEMORYCVW__OM_SEND_REC_REPORT1_TIME" hidden="1">"[2015.TOTAL"</definedName>
    <definedName name="EV__MEMORYCVW__OM_SEND_REC_REPORT2" hidden="1">"[TECOLABOR"</definedName>
    <definedName name="EV__MEMORYCVW__OM_SEND_REC_REPORT2_CATEGORY" hidden="1">"[WKG_BUDGET"</definedName>
    <definedName name="EV__MEMORYCVW__OM_SEND_REC_REPORT2_COST_CENTER" hidden="1">"[Corporate_TSI"</definedName>
    <definedName name="EV__MEMORYCVW__OM_SEND_REC_REPORT2_ENTITY" hidden="1">"[E_2002"</definedName>
    <definedName name="EV__MEMORYCVW__OM_SEND_REC_REPORT2_I_ENTITY" hidden="1">"[IE_NA"</definedName>
    <definedName name="EV__MEMORYCVW__OM_SEND_REC_REPORT2_IC_COST_CENTER" hidden="1">"[ICC_NA"</definedName>
    <definedName name="EV__MEMORYCVW__OM_SEND_REC_REPORT2_L_ACCOUNT" hidden="1">"[A_ALL_COST_TYPES"</definedName>
    <definedName name="EV__MEMORYCVW__OM_SEND_REC_REPORT2_L_DATASRC" hidden="1">"[INPUT"</definedName>
    <definedName name="EV__MEMORYCVW__OM_SEND_REC_REPORT2_MEASURES" hidden="1">"[PERIODIC"</definedName>
    <definedName name="EV__MEMORYCVW__OM_SEND_REC_REPORT2_PAYSCALE_GROUP" hidden="1">"[PG_NA"</definedName>
    <definedName name="EV__MEMORYCVW__OM_SEND_REC_REPORT2_RPTCURRENCY" hidden="1">"[LC"</definedName>
    <definedName name="EV__MEMORYCVW__OM_SEND_REC_REPORT2_TIME" hidden="1">"[2014.TOTAL"</definedName>
    <definedName name="EV__MEMORYCVW__OM_SEND_REC_VARIANCE1" hidden="1">"[TECOLABOR"</definedName>
    <definedName name="EV__MEMORYCVW__OM_SEND_REC_VARIANCE1_CATEGORY" hidden="1">"[WKG_BUDGET"</definedName>
    <definedName name="EV__MEMORYCVW__OM_SEND_REC_VARIANCE1_COST_CENTER" hidden="1">"[CC_108100"</definedName>
    <definedName name="EV__MEMORYCVW__OM_SEND_REC_VARIANCE1_ENTITY" hidden="1">"[E_2001"</definedName>
    <definedName name="EV__MEMORYCVW__OM_SEND_REC_VARIANCE1_I_ENTITY" hidden="1">"[IE_NA"</definedName>
    <definedName name="EV__MEMORYCVW__OM_SEND_REC_VARIANCE1_IC_COST_CENTER" hidden="1">"[ICC_NA"</definedName>
    <definedName name="EV__MEMORYCVW__OM_SEND_REC_VARIANCE1_L_ACCOUNT" hidden="1">"[A_ALL_STAT_ACCOUNTS"</definedName>
    <definedName name="EV__MEMORYCVW__OM_SEND_REC_VARIANCE1_L_DATASRC" hidden="1">"[INPUT"</definedName>
    <definedName name="EV__MEMORYCVW__OM_SEND_REC_VARIANCE1_MEASURES" hidden="1">"[PERIODIC"</definedName>
    <definedName name="EV__MEMORYCVW__OM_SEND_REC_VARIANCE1_PAYSCALE_GROUP" hidden="1">"[TOTAL_PAYSCALEGROUPS"</definedName>
    <definedName name="EV__MEMORYCVW__OM_SEND_REC_VARIANCE1_RPTCURRENCY" hidden="1">"[LC"</definedName>
    <definedName name="EV__MEMORYCVW__OM_SEND_REC_VARIANCE1_TIME" hidden="1">"[2016.TOTAL"</definedName>
    <definedName name="EV__MEMORYCVW__PAYROLL_ASSUMPTIONS_AT_CORPORATE_LEVEL1" hidden="1">"[TECOLABOR"</definedName>
    <definedName name="EV__MEMORYCVW__PAYROLL_ASSUMPTIONS_AT_CORPORATE_LEVEL1_CATEGORY" hidden="1">"[ACTUAL"</definedName>
    <definedName name="EV__MEMORYCVW__PAYROLL_ASSUMPTIONS_AT_CORPORATE_LEVEL1_COST_CENTER" hidden="1">"[CC_410321"</definedName>
    <definedName name="EV__MEMORYCVW__PAYROLL_ASSUMPTIONS_AT_CORPORATE_LEVEL1_ENTITY" hidden="1">"[E_9000"</definedName>
    <definedName name="EV__MEMORYCVW__PAYROLL_ASSUMPTIONS_AT_CORPORATE_LEVEL1_I_ENTITY" hidden="1">"[ALL_IE_ENTITIES"</definedName>
    <definedName name="EV__MEMORYCVW__PAYROLL_ASSUMPTIONS_AT_CORPORATE_LEVEL1_IC_COST_CENTER" hidden="1">"[ALL_ICC_COST_CENTER"</definedName>
    <definedName name="EV__MEMORYCVW__PAYROLL_ASSUMPTIONS_AT_CORPORATE_LEVEL1_L_ACCOUNT" hidden="1">"[A_ALL_STAT_ACCOUNTS"</definedName>
    <definedName name="EV__MEMORYCVW__PAYROLL_ASSUMPTIONS_AT_CORPORATE_LEVEL1_L_DATASRC" hidden="1">"[FINAL"</definedName>
    <definedName name="EV__MEMORYCVW__PAYROLL_ASSUMPTIONS_AT_CORPORATE_LEVEL1_MEASURES" hidden="1">"[PERIODIC"</definedName>
    <definedName name="EV__MEMORYCVW__PAYROLL_ASSUMPTIONS_AT_CORPORATE_LEVEL1_PAYSCALE_GROUP" hidden="1">"[UP_101_EXEMPT"</definedName>
    <definedName name="EV__MEMORYCVW__PAYROLL_ASSUMPTIONS_AT_CORPORATE_LEVEL1_RPTCURRENCY" hidden="1">"[LC"</definedName>
    <definedName name="EV__MEMORYCVW__PAYROLL_ASSUMPTIONS_AT_CORPORATE_LEVEL1_TIME" hidden="1">"[2012.TOTAL"</definedName>
    <definedName name="EV__MEMORYCVW__PGS_STANDARD_BUDGET_TEMPLATE_2_2_15_V1.XLSM" hidden="1">"[PLANNING"</definedName>
    <definedName name="EV__MEMORYCVW__PGS_STANDARD_BUDGET_TEMPLATE_2_2_15_V1.XLSM_ACCOUNT" hidden="1">"[AmmortCF"</definedName>
    <definedName name="EV__MEMORYCVW__PGS_STANDARD_BUDGET_TEMPLATE_2_2_15_V1.XLSM_CATEGORY" hidden="1">"[ACTUAL"</definedName>
    <definedName name="EV__MEMORYCVW__PGS_STANDARD_BUDGET_TEMPLATE_2_2_15_V1.XLSM_COST_CENTER" hidden="1">"[CC_390445"</definedName>
    <definedName name="EV__MEMORYCVW__PGS_STANDARD_BUDGET_TEMPLATE_2_2_15_V1.XLSM_ENTITY" hidden="1">"[E_2301"</definedName>
    <definedName name="EV__MEMORYCVW__PGS_STANDARD_BUDGET_TEMPLATE_2_2_15_V1.XLSM_MEASURES" hidden="1">"[YTD"</definedName>
    <definedName name="EV__MEMORYCVW__PGS_STANDARD_BUDGET_TEMPLATE_2_2_15_V1.XLSM_P_DATASOURCE" hidden="1">"[INPUT"</definedName>
    <definedName name="EV__MEMORYCVW__PGS_STANDARD_BUDGET_TEMPLATE_2_2_15_V1.XLSM_RPTCURRENCY" hidden="1">"[LC"</definedName>
    <definedName name="EV__MEMORYCVW__PGS_STANDARD_BUDGET_TEMPLATE_2_2_15_V1.XLSM_TIME" hidden="1">"[2017.TOTAL"</definedName>
    <definedName name="EV__MEMORYCVW__PGS_TO_NMGC.XLSX" hidden="1">"[PLANNING"</definedName>
    <definedName name="EV__MEMORYCVW__PGS_TO_NMGC.XLSX_ACCOUNT" hidden="1">"[NET_INCOME"</definedName>
    <definedName name="EV__MEMORYCVW__PGS_TO_NMGC.XLSX_CATEGORY" hidden="1">"[WKG_BUDGET"</definedName>
    <definedName name="EV__MEMORYCVW__PGS_TO_NMGC.XLSX_COST_CENTER" hidden="1">"[CC_233045"</definedName>
    <definedName name="EV__MEMORYCVW__PGS_TO_NMGC.XLSX_ENTITY" hidden="1">"[E_2201"</definedName>
    <definedName name="EV__MEMORYCVW__PGS_TO_NMGC.XLSX_MEASURES" hidden="1">"[PERIODIC"</definedName>
    <definedName name="EV__MEMORYCVW__PGS_TO_NMGC.XLSX_P_DATASOURCE" hidden="1">"[TOTAL_REST"</definedName>
    <definedName name="EV__MEMORYCVW__PGS_TO_NMGC.XLSX_RPTCURRENCY" hidden="1">"[LC"</definedName>
    <definedName name="EV__MEMORYCVW__PGS_TO_NMGC.XLSX_TIME" hidden="1">"[2017.TOTAL"</definedName>
    <definedName name="EV__MEMORYCVW__PLANNING_PROCESS_MENU1" hidden="1">"[PLANNING"</definedName>
    <definedName name="EV__MEMORYCVW__PLANNING_PROCESS_MENU1_ACCOUNT" hidden="1">"[AmmortCF"</definedName>
    <definedName name="EV__MEMORYCVW__PLANNING_PROCESS_MENU1_CATEGORY" hidden="1">"[ACTUAL"</definedName>
    <definedName name="EV__MEMORYCVW__PLANNING_PROCESS_MENU1_COST_CENTER" hidden="1">"[Corporate_PGS_NC"</definedName>
    <definedName name="EV__MEMORYCVW__PLANNING_PROCESS_MENU1_ENTITY" hidden="1">"[E_2301"</definedName>
    <definedName name="EV__MEMORYCVW__PLANNING_PROCESS_MENU1_MEASURES" hidden="1">"[YTD"</definedName>
    <definedName name="EV__MEMORYCVW__PLANNING_PROCESS_MENU1_P_DATASOURCE" hidden="1">"[INPUT"</definedName>
    <definedName name="EV__MEMORYCVW__PLANNING_PROCESS_MENU1_RPTCURRENCY" hidden="1">"[LC"</definedName>
    <definedName name="EV__MEMORYCVW__PLANNING_PROCESS_MENU1_TIME" hidden="1">"[2017.TOTAL"</definedName>
    <definedName name="EV__MEMORYCVW__PLANNING_PROCESS_MENU2" hidden="1">"[PLANNING"</definedName>
    <definedName name="EV__MEMORYCVW__PLANNING_PROCESS_MENU2_ACCOUNT" hidden="1">"[Std_Reporting_TE01"</definedName>
    <definedName name="EV__MEMORYCVW__PLANNING_PROCESS_MENU2_CATEGORY" hidden="1">"[ACTUAL"</definedName>
    <definedName name="EV__MEMORYCVW__PLANNING_PROCESS_MENU2_COST_CENTER" hidden="1">"[CC_130062"</definedName>
    <definedName name="EV__MEMORYCVW__PLANNING_PROCESS_MENU2_ENTITY" hidden="1">"[E_2002"</definedName>
    <definedName name="EV__MEMORYCVW__PLANNING_PROCESS_MENU2_MEASURES" hidden="1">"[PERIODIC"</definedName>
    <definedName name="EV__MEMORYCVW__PLANNING_PROCESS_MENU2_P_DATASOURCE" hidden="1">"[FINAL_CC"</definedName>
    <definedName name="EV__MEMORYCVW__PLANNING_PROCESS_MENU2_RPTCURRENCY" hidden="1">"[LC"</definedName>
    <definedName name="EV__MEMORYCVW__PLANNING_PROCESS_MENU2_TIME" hidden="1">"[2016.TOTAL"</definedName>
    <definedName name="EV__MEMORYCVW__PRINT_SHOP_CHARGES_2015_AUGUST.XLSX" hidden="1">"[PLANNING"</definedName>
    <definedName name="EV__MEMORYCVW__PRINT_SHOP_CHARGES_2015_AUGUST.XLSX_ACCOUNT" hidden="1">"[Std_Reporting_TE01"</definedName>
    <definedName name="EV__MEMORYCVW__PRINT_SHOP_CHARGES_2015_AUGUST.XLSX_CATEGORY" hidden="1">"[ACTUAL"</definedName>
    <definedName name="EV__MEMORYCVW__PRINT_SHOP_CHARGES_2015_AUGUST.XLSX_COST_CENTER" hidden="1">"[CC_100071"</definedName>
    <definedName name="EV__MEMORYCVW__PRINT_SHOP_CHARGES_2015_AUGUST.XLSX_ENTITY" hidden="1">"[E_2001"</definedName>
    <definedName name="EV__MEMORYCVW__PRINT_SHOP_CHARGES_2015_AUGUST.XLSX_MEASURES" hidden="1">"[PERIODIC"</definedName>
    <definedName name="EV__MEMORYCVW__PRINT_SHOP_CHARGES_2015_AUGUST.XLSX_P_DATASOURCE" hidden="1">"[Allocable"</definedName>
    <definedName name="EV__MEMORYCVW__PRINT_SHOP_CHARGES_2015_AUGUST.XLSX_RPTCURRENCY" hidden="1">"[LC"</definedName>
    <definedName name="EV__MEMORYCVW__PRINT_SHOP_CHARGES_2015_AUGUST.XLSX_TIME" hidden="1">"[2016.TOTAL"</definedName>
    <definedName name="EV__MEMORYCVW__REVIEW_AND_APPROVAL1" hidden="1">"[TECOLABOR"</definedName>
    <definedName name="EV__MEMORYCVW__REVIEW_AND_APPROVAL1_CATEGORY" hidden="1">"[WKG_BUDGET"</definedName>
    <definedName name="EV__MEMORYCVW__REVIEW_AND_APPROVAL1_COST_CENTER" hidden="1">"[CC_505994"</definedName>
    <definedName name="EV__MEMORYCVW__REVIEW_AND_APPROVAL1_ENTITY" hidden="1">"[E_2502"</definedName>
    <definedName name="EV__MEMORYCVW__REVIEW_AND_APPROVAL1_I_ENTITY" hidden="1">"[IE_NA"</definedName>
    <definedName name="EV__MEMORYCVW__REVIEW_AND_APPROVAL1_IC_COST_CENTER" hidden="1">"[ICC_NA"</definedName>
    <definedName name="EV__MEMORYCVW__REVIEW_AND_APPROVAL1_L_ACCOUNT" hidden="1">"[A_ALL_STAT_ACCOUNTS"</definedName>
    <definedName name="EV__MEMORYCVW__REVIEW_AND_APPROVAL1_L_DATASRC" hidden="1">"[RECEIVE"</definedName>
    <definedName name="EV__MEMORYCVW__REVIEW_AND_APPROVAL1_MEASURES" hidden="1">"[PERIODIC"</definedName>
    <definedName name="EV__MEMORYCVW__REVIEW_AND_APPROVAL1_PAYSCALE_GROUP" hidden="1">"[PG_NA"</definedName>
    <definedName name="EV__MEMORYCVW__REVIEW_AND_APPROVAL1_RPTCURRENCY" hidden="1">"[LC"</definedName>
    <definedName name="EV__MEMORYCVW__REVIEW_AND_APPROVAL1_TIME" hidden="1">"[2016.TOTAL"</definedName>
    <definedName name="EV__MEMORYCVW__SHARED_SERVICES_TSI_ALLOCATION1" hidden="1">"[PLANNING"</definedName>
    <definedName name="EV__MEMORYCVW__SHARED_SERVICES_TSI_ALLOCATION1_ACCOUNT" hidden="1">"[LIAB_AND_CAP"</definedName>
    <definedName name="EV__MEMORYCVW__SHARED_SERVICES_TSI_ALLOCATION1_CATEGORY" hidden="1">"[ACTUAL"</definedName>
    <definedName name="EV__MEMORYCVW__SHARED_SERVICES_TSI_ALLOCATION1_COST_CENTER" hidden="1">"[CC_230001"</definedName>
    <definedName name="EV__MEMORYCVW__SHARED_SERVICES_TSI_ALLOCATION1_ENTITY" hidden="1">"[E_2201"</definedName>
    <definedName name="EV__MEMORYCVW__SHARED_SERVICES_TSI_ALLOCATION1_MEASURES" hidden="1">"[YTD"</definedName>
    <definedName name="EV__MEMORYCVW__SHARED_SERVICES_TSI_ALLOCATION1_P_DATASOURCE" hidden="1">"[INPUT"</definedName>
    <definedName name="EV__MEMORYCVW__SHARED_SERVICES_TSI_ALLOCATION1_RPTCURRENCY" hidden="1">"[LC"</definedName>
    <definedName name="EV__MEMORYCVW__SHARED_SERVICES_TSI_ALLOCATION1_TIME" hidden="1">"[2015.TOTAL"</definedName>
    <definedName name="EV__MEMORYCVW__TSI_2016_BUDGET_BY_COST_CENTER.XLSX" hidden="1">"[PLANNING"</definedName>
    <definedName name="EV__MEMORYCVW__TSI_2016_BUDGET_BY_COST_CENTER.XLSX_ACCOUNT" hidden="1">"[OM_OTH_EX"</definedName>
    <definedName name="EV__MEMORYCVW__TSI_2016_BUDGET_BY_COST_CENTER.XLSX_CATEGORY" hidden="1">"[FORECAST"</definedName>
    <definedName name="EV__MEMORYCVW__TSI_2016_BUDGET_BY_COST_CENTER.XLSX_COST_CENTER" hidden="1">"[Finance_TSI"</definedName>
    <definedName name="EV__MEMORYCVW__TSI_2016_BUDGET_BY_COST_CENTER.XLSX_ENTITY" hidden="1">"[E_2002"</definedName>
    <definedName name="EV__MEMORYCVW__TSI_2016_BUDGET_BY_COST_CENTER.XLSX_MEASURES" hidden="1">"[PERIODIC"</definedName>
    <definedName name="EV__MEMORYCVW__TSI_2016_BUDGET_BY_COST_CENTER.XLSX_P_DATASOURCE" hidden="1">"[Allocable"</definedName>
    <definedName name="EV__MEMORYCVW__TSI_2016_BUDGET_BY_COST_CENTER.XLSX_RPTCURRENCY" hidden="1">"[LC"</definedName>
    <definedName name="EV__MEMORYCVW__TSI_2016_BUDGET_BY_COST_CENTER.XLSX_TIME" hidden="1">"[2015.TOTAL"</definedName>
    <definedName name="EV__MEMORYCVW__TSI_EXPENSE_REPORT1" hidden="1">"[PLANNING"</definedName>
    <definedName name="EV__MEMORYCVW__TSI_EXPENSE_REPORT1_ACCOUNT" hidden="1">"[A_STAT"</definedName>
    <definedName name="EV__MEMORYCVW__TSI_EXPENSE_REPORT1_CATEGORY" hidden="1">"[ACTUAL"</definedName>
    <definedName name="EV__MEMORYCVW__TSI_EXPENSE_REPORT1_COST_CENTER" hidden="1">"[CC_232030"</definedName>
    <definedName name="EV__MEMORYCVW__TSI_EXPENSE_REPORT1_ENTITY" hidden="1">"[E_2201"</definedName>
    <definedName name="EV__MEMORYCVW__TSI_EXPENSE_REPORT1_MEASURES" hidden="1">"[YTD"</definedName>
    <definedName name="EV__MEMORYCVW__TSI_EXPENSE_REPORT1_P_DATASOURCE" hidden="1">"[INPUT"</definedName>
    <definedName name="EV__MEMORYCVW__TSI_EXPENSE_REPORT1_RPTCURRENCY" hidden="1">"[LC"</definedName>
    <definedName name="EV__MEMORYCVW__TSI_EXPENSE_REPORT1_TIME" hidden="1">"[2015.TOTAL"</definedName>
    <definedName name="EV__MEMORYCVW__TSI_EXPENSE_VARIANCE_REPORT1" hidden="1">"[PLANNING"</definedName>
    <definedName name="EV__MEMORYCVW__TSI_EXPENSE_VARIANCE_REPORT1_ACCOUNT" hidden="1">"[A_STAT"</definedName>
    <definedName name="EV__MEMORYCVW__TSI_EXPENSE_VARIANCE_REPORT1_CATEGORY" hidden="1">"[ACTUAL"</definedName>
    <definedName name="EV__MEMORYCVW__TSI_EXPENSE_VARIANCE_REPORT1_COST_CENTER" hidden="1">"[CC_234519"</definedName>
    <definedName name="EV__MEMORYCVW__TSI_EXPENSE_VARIANCE_REPORT1_ENTITY" hidden="1">"[E_2201"</definedName>
    <definedName name="EV__MEMORYCVW__TSI_EXPENSE_VARIANCE_REPORT1_I_ENTITY" hidden="1">"[IE_NA"</definedName>
    <definedName name="EV__MEMORYCVW__TSI_EXPENSE_VARIANCE_REPORT1_IC_COST_CENTER" hidden="1">"[ICC_NA"</definedName>
    <definedName name="EV__MEMORYCVW__TSI_EXPENSE_VARIANCE_REPORT1_L_ACCOUNT" hidden="1">"[A_ALL_STAT_ACCOUNTS"</definedName>
    <definedName name="EV__MEMORYCVW__TSI_EXPENSE_VARIANCE_REPORT1_L_DATASRC" hidden="1">"[RECEIVE"</definedName>
    <definedName name="EV__MEMORYCVW__TSI_EXPENSE_VARIANCE_REPORT1_MEASURES" hidden="1">"[YTD"</definedName>
    <definedName name="EV__MEMORYCVW__TSI_EXPENSE_VARIANCE_REPORT1_P_DATASOURCE" hidden="1">"[INPUT"</definedName>
    <definedName name="EV__MEMORYCVW__TSI_EXPENSE_VARIANCE_REPORT1_PAYSCALE_GROUP" hidden="1">"[PG_NA"</definedName>
    <definedName name="EV__MEMORYCVW__TSI_EXPENSE_VARIANCE_REPORT1_RPTCURRENCY" hidden="1">"[LC"</definedName>
    <definedName name="EV__MEMORYCVW__TSI_EXPENSE_VARIANCE_REPORT1_TIME" hidden="1">"[2015.TOTAL"</definedName>
    <definedName name="EV__MEMORYCVW__TSI_LABOR_SENT_2015_BUDGET.XLSX" hidden="1">"[CONSOLIDATION"</definedName>
    <definedName name="EV__MEMORYCVW__TSI_LABOR_SENT_2015_BUDGET.XLSX_ACCOUNT" hidden="1">"[TRIAL_BALANCE"</definedName>
    <definedName name="EV__MEMORYCVW__TSI_LABOR_SENT_2015_BUDGET.XLSX_CATEGORY" hidden="1">"[ACTUAL"</definedName>
    <definedName name="EV__MEMORYCVW__TSI_LABOR_SENT_2015_BUDGET.XLSX_COST_CENTER" hidden="1">"[ALL_COST_CENTERS"</definedName>
    <definedName name="EV__MEMORYCVW__TSI_LABOR_SENT_2015_BUDGET.XLSX_ENTITY" hidden="1">"[E_9000"</definedName>
    <definedName name="EV__MEMORYCVW__TSI_LABOR_SENT_2015_BUDGET.XLSX_I_ENTITY" hidden="1">"[ALL_IE_ENTITIES"</definedName>
    <definedName name="EV__MEMORYCVW__TSI_LABOR_SENT_2015_BUDGET.XLSX_MEASURES" hidden="1">"[YTD"</definedName>
    <definedName name="EV__MEMORYCVW__TSI_LABOR_SENT_2015_BUDGET.XLSX_P_DATASOURCE" hidden="1">"[TOTAL_REST"</definedName>
    <definedName name="EV__MEMORYCVW__TSI_LABOR_SENT_2015_BUDGET.XLSX_RPTCURRENCY" hidden="1">"[USD"</definedName>
    <definedName name="EV__MEMORYCVW__TSI_LABOR_SENT_2015_BUDGET.XLSX_TIME" hidden="1">"[2011.DEC"</definedName>
    <definedName name="EV__MEMORYCVW__TSI_TE_TEC_2018_BUDGET_RECON_TOTAL_SPEND.XLSX" hidden="1">"[PLANNING"</definedName>
    <definedName name="EV__MEMORYCVW__TSI_TE_TEC_2018_BUDGET_RECON_TOTAL_SPEND.XLSX_ACCOUNT" hidden="1">"[Std_Reporting_TE01"</definedName>
    <definedName name="EV__MEMORYCVW__TSI_TE_TEC_2018_BUDGET_RECON_TOTAL_SPEND.XLSX_CATEGORY" hidden="1">"[FORECAST"</definedName>
    <definedName name="EV__MEMORYCVW__TSI_TE_TEC_2018_BUDGET_RECON_TOTAL_SPEND.XLSX_COST_CENTER" hidden="1">"[CC_130050"</definedName>
    <definedName name="EV__MEMORYCVW__TSI_TE_TEC_2018_BUDGET_RECON_TOTAL_SPEND.XLSX_ENTITY" hidden="1">"[E_2002"</definedName>
    <definedName name="EV__MEMORYCVW__TSI_TE_TEC_2018_BUDGET_RECON_TOTAL_SPEND.XLSX_MEASURES" hidden="1">"[PERIODIC"</definedName>
    <definedName name="EV__MEMORYCVW__TSI_TE_TEC_2018_BUDGET_RECON_TOTAL_SPEND.XLSX_P_DATASOURCE" hidden="1">"[Allocable"</definedName>
    <definedName name="EV__MEMORYCVW__TSI_TE_TEC_2018_BUDGET_RECON_TOTAL_SPEND.XLSX_RPTCURRENCY" hidden="1">"[LC"</definedName>
    <definedName name="EV__MEMORYCVW__TSI_TE_TEC_2018_BUDGET_RECON_TOTAL_SPEND.XLSX_TIME" hidden="1">"[2017.TOTAL"</definedName>
    <definedName name="EV__MEMORYCVW__WORKSHEET_IN_BPCFRAMERCONTROL" hidden="1">"[LABOR"</definedName>
    <definedName name="EV__MEMORYCVW__WORKSHEET_IN_BPCFRAMERCONTROL_CATEGORY" hidden="1">"[WKG_BUDGET"</definedName>
    <definedName name="EV__MEMORYCVW__WORKSHEET_IN_BPCFRAMERCONTROL_COST_CENTER" hidden="1">"[CC_221200"</definedName>
    <definedName name="EV__MEMORYCVW__WORKSHEET_IN_BPCFRAMERCONTROL_ENTITY" hidden="1">"[E_2008"</definedName>
    <definedName name="EV__MEMORYCVW__WORKSHEET_IN_BPCFRAMERCONTROL_IC_COST_CENTER" hidden="1">"[ICC_NA"</definedName>
    <definedName name="EV__MEMORYCVW__WORKSHEET_IN_BPCFRAMERCONTROL_L_ACCOUNT" hidden="1">"[A_ALL_STAT_ACCOUNTS"</definedName>
    <definedName name="EV__MEMORYCVW__WORKSHEET_IN_BPCFRAMERCONTROL_L_DATASRC" hidden="1">"[INPUT"</definedName>
    <definedName name="EV__MEMORYCVW__WORKSHEET_IN_BPCFRAMERCONTROL_MEASURES" hidden="1">"[PERIODIC"</definedName>
    <definedName name="EV__MEMORYCVW__WORKSHEET_IN_BPCFRAMERCONTROL_PAYSCALE_GROUP" hidden="1">"[UP1_NCNE"</definedName>
    <definedName name="EV__MEMORYCVW__WORKSHEET_IN_BPCFRAMERCONTROL_RPTCURRENCY" hidden="1">"[LC"</definedName>
    <definedName name="EV__MEMORYCVW__WORKSHEET_IN_BPCFRAMERCONTROL_TIME" hidden="1">"[2012.TOTAL"</definedName>
    <definedName name="EV__WBEVMODE__" hidden="1">0</definedName>
    <definedName name="EV__WBREFOPTIONS__" localSheetId="3" hidden="1">7</definedName>
    <definedName name="EV__WBREFOPTIONS__" hidden="1">134217743</definedName>
    <definedName name="EV__WBVERSION__" hidden="1">0</definedName>
    <definedName name="EV_LASTREFTIME_Jul" hidden="1">"(GMT-05:00)7/18/2017 2:28:35 PM"</definedName>
    <definedName name="EXP_2018A_AMOUNT" localSheetId="3">#REF!</definedName>
    <definedName name="EXP_2018A_AMOUNT">#REF!</definedName>
    <definedName name="EXP_2019A_AMOUNT">#REF!</definedName>
    <definedName name="EXP_2019B_AMOUNT" localSheetId="3">#REF!</definedName>
    <definedName name="EXP_2019B_AMOUNT">#REF!</definedName>
    <definedName name="EXP_2019F_AMOUNT" localSheetId="3">#REF!</definedName>
    <definedName name="EXP_2019F_AMOUNT">#REF!</definedName>
    <definedName name="EXP_2020B_AMOUNT">#REF!</definedName>
    <definedName name="EXP_2020F_AMOUNT">#REF!</definedName>
    <definedName name="EXP_2020Q1F_AMOUNT">#REF!</definedName>
    <definedName name="EXP_2021B_AMOUNT">#REF!</definedName>
    <definedName name="EXP_ACCOUNT_ID" localSheetId="3">#REF!</definedName>
    <definedName name="EXP_ACCOUNT_ID">#REF!</definedName>
    <definedName name="EXP_COST_CENTER" localSheetId="3">#REF!</definedName>
    <definedName name="EXP_COST_CENTER">#REF!</definedName>
    <definedName name="EXPACT_ACCOUNT">#REF!</definedName>
    <definedName name="EXPACT_COST_CENTER">#REF!</definedName>
    <definedName name="EXPACT_MTD">#REF!</definedName>
    <definedName name="EXPACT_QTD">#REF!</definedName>
    <definedName name="EXPACT_YTD">#REF!</definedName>
    <definedName name="EXPBUD_ACCOUNT" localSheetId="3">#REF!</definedName>
    <definedName name="EXPBUD_ACCOUNT">#REF!</definedName>
    <definedName name="EXPBUD_COST_CENTER" localSheetId="3">#REF!</definedName>
    <definedName name="EXPBUD_COST_CENTER">#REF!</definedName>
    <definedName name="EXPBUD_PM_YTD">#REF!</definedName>
    <definedName name="EXPBUD_TOTAL" localSheetId="3">#REF!</definedName>
    <definedName name="EXPBUD_TOTAL">#REF!</definedName>
    <definedName name="EXPBUD_YTD" localSheetId="3">#REF!</definedName>
    <definedName name="EXPBUD_YTD">#REF!</definedName>
    <definedName name="EXPBUD20_ACCOUNT" localSheetId="3">#REF!</definedName>
    <definedName name="EXPBUD20_ACCOUNT">#REF!</definedName>
    <definedName name="EXPBUD20_COST_CENTER" localSheetId="3">#REF!</definedName>
    <definedName name="EXPBUD20_COST_CENTER">#REF!</definedName>
    <definedName name="EXPBUD20_MTD">#REF!</definedName>
    <definedName name="EXPBUD20_QTD">#REF!</definedName>
    <definedName name="EXPBUD20_TOTAL" localSheetId="3">#REF!</definedName>
    <definedName name="EXPBUD20_TOTAL">#REF!</definedName>
    <definedName name="EXPBUD20_YTD" localSheetId="3">#REF!</definedName>
    <definedName name="EXPBUD20_YTD">#REF!</definedName>
    <definedName name="EXPBUDRC_ACCOUNT" localSheetId="3">#REF!</definedName>
    <definedName name="EXPBUDRC_ACCOUNT">#REF!</definedName>
    <definedName name="EXPBUDRC_COST_CENTER" localSheetId="3">#REF!</definedName>
    <definedName name="EXPBUDRC_COST_CENTER">#REF!</definedName>
    <definedName name="EXPBUDRC_TOTAL" localSheetId="3">#REF!</definedName>
    <definedName name="EXPBUDRC_TOTAL">#REF!</definedName>
    <definedName name="EXPBUDRC_YTD" localSheetId="3">#REF!</definedName>
    <definedName name="EXPBUDRC_YTD">#REF!</definedName>
    <definedName name="EXPEM21_ACCOUNT" localSheetId="3">#REF!</definedName>
    <definedName name="EXPEM21_ACCOUNT">#REF!</definedName>
    <definedName name="EXPEM21_COST_CENTER" localSheetId="3">#REF!</definedName>
    <definedName name="EXPEM21_COST_CENTER">#REF!</definedName>
    <definedName name="EXPEM21_YTD" localSheetId="3">#REF!</definedName>
    <definedName name="EXPEM21_YTD">#REF!</definedName>
    <definedName name="EXPEMERA_ACCOUNT">#REF!</definedName>
    <definedName name="EXPEMERA_COST_CENTER">#REF!</definedName>
    <definedName name="EXPEMERA_MTD">#REF!</definedName>
    <definedName name="EXPEMERA_TOTAL">#REF!</definedName>
    <definedName name="EXPEMERA_YTD">#REF!</definedName>
    <definedName name="EXPEMERAPRIOR_COST_CENTER" localSheetId="3">#REF!</definedName>
    <definedName name="EXPEMERAPRIOR_COST_CENTER">#REF!</definedName>
    <definedName name="EXPFOR_ACCOUNT" localSheetId="3">#REF!</definedName>
    <definedName name="EXPFOR_ACCOUNT">#REF!</definedName>
    <definedName name="EXPFOR_COST_CENTER" localSheetId="3">#REF!</definedName>
    <definedName name="EXPFOR_COST_CENTER">#REF!</definedName>
    <definedName name="EXPFOR_PM_YTD">#REF!</definedName>
    <definedName name="EXPFOR_YTD" localSheetId="3">#REF!</definedName>
    <definedName name="EXPFOR_YTD">#REF!</definedName>
    <definedName name="EXPFORCAST_COST_CENTER" localSheetId="3">#REF!</definedName>
    <definedName name="EXPFORCAST_COST_CENTER">#REF!</definedName>
    <definedName name="EXPFORECAST_COST_CENTER" localSheetId="3">#REF!</definedName>
    <definedName name="EXPFORECAST_COST_CENTER">#REF!</definedName>
    <definedName name="EXPHLFOR_ACCOUNT">#REF!</definedName>
    <definedName name="EXPHLFOR_COST_CENTER">#REF!</definedName>
    <definedName name="EXPHLFOR_MTD" localSheetId="3">#REF!</definedName>
    <definedName name="EXPHLFOR_MTD">#REF!</definedName>
    <definedName name="EXPHLFOR_PM_YTD">#REF!</definedName>
    <definedName name="EXPHLFOR_QTD" localSheetId="3">#REF!</definedName>
    <definedName name="EXPHLFOR_QTD">#REF!</definedName>
    <definedName name="EXPHLFOR_TOTAL">#REF!</definedName>
    <definedName name="EXPHLFOR_YTD" localSheetId="3">#REF!</definedName>
    <definedName name="EXPHLFOR_YTD">#REF!</definedName>
    <definedName name="EXPPY_ACCOUNT" localSheetId="3">#REF!</definedName>
    <definedName name="EXPPY_ACCOUNT">#REF!</definedName>
    <definedName name="EXPPY_COST_CENTER" localSheetId="3">#REF!</definedName>
    <definedName name="EXPPY_COST_CENTER">#REF!</definedName>
    <definedName name="EXPPY_TOTAL">#REF!</definedName>
    <definedName name="EXPPY_YTD" localSheetId="3">#REF!</definedName>
    <definedName name="EXPPY_YTD">#REF!</definedName>
    <definedName name="EXPQ1_ACCOUNT" localSheetId="3">#REF!</definedName>
    <definedName name="EXPQ1_ACCOUNT">#REF!</definedName>
    <definedName name="EXPQ1_COST_CENTER" localSheetId="3">#REF!</definedName>
    <definedName name="EXPQ1_COST_CENTER">#REF!</definedName>
    <definedName name="EXPQ1_MTD" localSheetId="3">#REF!</definedName>
    <definedName name="EXPQ1_MTD">#REF!</definedName>
    <definedName name="EXPQ1_QTD">#REF!</definedName>
    <definedName name="EXPQ1_YTD">#REF!</definedName>
    <definedName name="EXPQ3_ACCOUNT" localSheetId="3">#REF!</definedName>
    <definedName name="EXPQ3_ACCOUNT">#REF!</definedName>
    <definedName name="EXPQ3_COST_CENTER" localSheetId="3">#REF!</definedName>
    <definedName name="EXPQ3_COST_CENTER">#REF!</definedName>
    <definedName name="EXPQ3_MTD" localSheetId="3">#REF!</definedName>
    <definedName name="EXPQ3_MTD">#REF!</definedName>
    <definedName name="EXPQ3_QTD" localSheetId="3">#REF!</definedName>
    <definedName name="EXPQ3_QTD">#REF!</definedName>
    <definedName name="EXPQ3_TOTAL" localSheetId="3">#REF!</definedName>
    <definedName name="EXPQ3_TOTAL">#REF!</definedName>
    <definedName name="EXPQ3_YTD" localSheetId="3">#REF!</definedName>
    <definedName name="EXPQ3_YTD">#REF!</definedName>
    <definedName name="EXPREFOR_COST_CENTER" localSheetId="3">#REF!</definedName>
    <definedName name="EXPREFOR_COST_CENTER">#REF!</definedName>
    <definedName name="f" localSheetId="13">#REF!</definedName>
    <definedName name="f" localSheetId="12">#REF!</definedName>
    <definedName name="f" localSheetId="11">#REF!</definedName>
    <definedName name="f" localSheetId="10">#REF!</definedName>
    <definedName name="f" localSheetId="3">#REF!</definedName>
    <definedName name="f" localSheetId="9">#REF!</definedName>
    <definedName name="f" localSheetId="21">#REF!</definedName>
    <definedName name="f" localSheetId="0">#REF!</definedName>
    <definedName name="f">#REF!</definedName>
    <definedName name="Feb" localSheetId="3">#REF!</definedName>
    <definedName name="Feb">#REF!</definedName>
    <definedName name="FEBJE" localSheetId="3">#REF!</definedName>
    <definedName name="FEBJE">#REF!</definedName>
    <definedName name="FEBJE2" localSheetId="3">#REF!</definedName>
    <definedName name="FEBJE2">#REF!</definedName>
    <definedName name="FEBJE3" localSheetId="3">#REF!</definedName>
    <definedName name="FEBJE3">#REF!</definedName>
    <definedName name="FEBRET" localSheetId="3">#REF!</definedName>
    <definedName name="FEBRET">#REF!</definedName>
    <definedName name="FEBWHLFPC" localSheetId="3">#REF!</definedName>
    <definedName name="FEBWHLFPC">#REF!</definedName>
    <definedName name="FEBWHLFTM" localSheetId="3">#REF!</definedName>
    <definedName name="FEBWHLFTM">#REF!</definedName>
    <definedName name="FEBWHLSTC">#REF!</definedName>
    <definedName name="FEBWHLWAU">#REF!</definedName>
    <definedName name="Federal_Income_Tax_Rate">#REF!</definedName>
    <definedName name="FERC">#REF!</definedName>
    <definedName name="FERC_18">#REF!</definedName>
    <definedName name="FERC_18_True">#REF!</definedName>
    <definedName name="FERC_19">#REF!</definedName>
    <definedName name="FERC_19_True">#REF!</definedName>
    <definedName name="FERC_FGIO">#REF!</definedName>
    <definedName name="FOR_ACCOUNT" localSheetId="3">#REF!</definedName>
    <definedName name="FOR_ACCOUNT">#REF!</definedName>
    <definedName name="FOR_COST_CENTER" localSheetId="3">#REF!</definedName>
    <definedName name="FOR_COST_CENTER">#REF!</definedName>
    <definedName name="FOR_STRAT_PLAN_PRESENTATION_SUMMARY">#REF!</definedName>
    <definedName name="FOR_TOTAL" localSheetId="3">#REF!</definedName>
    <definedName name="FOR_TOTAL">#REF!</definedName>
    <definedName name="FOR_YEAR">#REF!</definedName>
    <definedName name="FOR_YTD" localSheetId="3">#REF!</definedName>
    <definedName name="FOR_YTD">#REF!</definedName>
    <definedName name="FORE_VS_FORE">#REF!</definedName>
    <definedName name="FORFRINGE_ACCOUNT" localSheetId="3">#REF!</definedName>
    <definedName name="FORFRINGE_ACCOUNT">#REF!</definedName>
    <definedName name="FORFRINGE_COST_CENTER" localSheetId="3">#REF!</definedName>
    <definedName name="FORFRINGE_COST_CENTER">#REF!</definedName>
    <definedName name="FORFRINGE_YTD" localSheetId="3">#REF!</definedName>
    <definedName name="FORFRINGE_YTD">#REF!</definedName>
    <definedName name="FORRECON_ACCOUNT" localSheetId="3">#REF!</definedName>
    <definedName name="FORRECON_ACCOUNT">#REF!</definedName>
    <definedName name="FORRECON_TOTAL" localSheetId="3">#REF!</definedName>
    <definedName name="FORRECON_TOTAL">#REF!</definedName>
    <definedName name="FRINGE18_ACCOUNT">#REF!</definedName>
    <definedName name="FRINGE18_COST_CENTER">#REF!</definedName>
    <definedName name="FRINGE18_MTD">#REF!</definedName>
    <definedName name="FRINGE18_TOTAL">#REF!</definedName>
    <definedName name="FRINGE18_YTD">#REF!</definedName>
    <definedName name="FRINGE19_ACCOUNT">#REF!</definedName>
    <definedName name="FRINGE19_COST_CENTER">#REF!</definedName>
    <definedName name="FRINGE19_MTD">#REF!</definedName>
    <definedName name="FRINGE19_YTD">#REF!</definedName>
    <definedName name="FRINGE20_ACCOUNT">#REF!</definedName>
    <definedName name="FRINGE20_COST_CENTER">#REF!</definedName>
    <definedName name="FRINGE20_YTD">#REF!</definedName>
    <definedName name="FRINGEACT_ACCOUNT" localSheetId="3">#REF!</definedName>
    <definedName name="FRINGEACT_ACCOUNT">#REF!</definedName>
    <definedName name="FRINGEACT_COST_CENTER" localSheetId="3">#REF!</definedName>
    <definedName name="FRINGEACT_COST_CENTER">#REF!</definedName>
    <definedName name="FRINGEACT_EMERA">#REF!</definedName>
    <definedName name="FRINGEACT_Q3">#REF!</definedName>
    <definedName name="FRINGEACT_YTD" localSheetId="3">#REF!</definedName>
    <definedName name="FRINGEACT_YTD">#REF!</definedName>
    <definedName name="FRINGEPY_COST_CENTER">#REF!</definedName>
    <definedName name="g" localSheetId="13">#REF!</definedName>
    <definedName name="g" localSheetId="12">#REF!</definedName>
    <definedName name="g" localSheetId="11">#REF!</definedName>
    <definedName name="g" localSheetId="10">#REF!</definedName>
    <definedName name="g" localSheetId="9">#REF!</definedName>
    <definedName name="g" localSheetId="21">#REF!</definedName>
    <definedName name="g" localSheetId="0">#REF!</definedName>
    <definedName name="g">#REF!</definedName>
    <definedName name="Gem">#REF!</definedName>
    <definedName name="Gem_Simp">#REF!</definedName>
    <definedName name="Gem1_">#REF!</definedName>
    <definedName name="GL" localSheetId="3">#REF!</definedName>
    <definedName name="GL">#REF!</definedName>
    <definedName name="GOAL7" localSheetId="3">#REF!</definedName>
    <definedName name="GOAL7">#REF!</definedName>
    <definedName name="GOAL7ACT" localSheetId="3">#REF!</definedName>
    <definedName name="GOAL7ACT">#REF!</definedName>
    <definedName name="GOAL7BUD">#REF!</definedName>
    <definedName name="h" localSheetId="3">#REF!,#REF!</definedName>
    <definedName name="h">#REF!,#REF!</definedName>
    <definedName name="hn.ModelVersion">1</definedName>
    <definedName name="hn.NoUpload">0</definedName>
    <definedName name="IDC_Flag">#REF!</definedName>
    <definedName name="inputs">{"Inputs 1","Base",FALSE,"INPUTS";"Inputs 2","Base",FALSE,"INPUTS";"Inputs 3","Base",FALSE,"INPUTS";"Inputs 4","Base",FALSE,"INPUTS";"Inputs 5","Base",FALSE,"INPUTS"}</definedName>
    <definedName name="Interest_Constr_Loan">#REF!</definedName>
    <definedName name="INTERESTRECLASS" localSheetId="3">#REF!</definedName>
    <definedName name="INTERESTRECLASS">#REF!</definedName>
    <definedName name="INTEX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EX_PROVIDED_DIVIDEND" hidden="1">"c19252"</definedName>
    <definedName name="IQ_INDEXCONSTITUENT_CLOSEPRICE" hidden="1">"c19241"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L_EPS_EST" hidden="1">"c24729"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LT_DEBT" hidden="1">"c2086"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ISTING_CURRENCY" hidden="1">"c2127"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42619.5177662037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LASTCLOSE" hidden="1">"c1855"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_w_Annuity_TV" localSheetId="5">#REF!</definedName>
    <definedName name="IRR_w_Annuity_TV">#REF!</definedName>
    <definedName name="IRR_w_Book_TV" localSheetId="5">#REF!</definedName>
    <definedName name="IRR_w_Book_TV">#REF!</definedName>
    <definedName name="IRR_wo_TV" localSheetId="5">#REF!</definedName>
    <definedName name="IRR_wo_TV">#REF!</definedName>
    <definedName name="IS_Forecast">#REF!</definedName>
    <definedName name="IS_Monthly">#REF!</definedName>
    <definedName name="IS_Plan">#REF!</definedName>
    <definedName name="IS_Plan2">#REF!</definedName>
    <definedName name="IS2_">#REF!</definedName>
    <definedName name="Jan" localSheetId="3">#REF!</definedName>
    <definedName name="Jan">#REF!</definedName>
    <definedName name="JANJE2" localSheetId="3">#REF!</definedName>
    <definedName name="JANJE2">#REF!</definedName>
    <definedName name="JANJE3" localSheetId="3">#REF!</definedName>
    <definedName name="JANJE3">#REF!</definedName>
    <definedName name="JANRET" localSheetId="3">#REF!</definedName>
    <definedName name="JANRET">#REF!</definedName>
    <definedName name="JANWHLFPC" localSheetId="3">#REF!</definedName>
    <definedName name="JANWHLFPC">#REF!</definedName>
    <definedName name="JANWHLFTM" localSheetId="3">#REF!</definedName>
    <definedName name="JANWHLFTM">#REF!</definedName>
    <definedName name="JANWHLSTC">#REF!</definedName>
    <definedName name="JANWHLWAU">#REF!</definedName>
    <definedName name="Jul">#REF!</definedName>
    <definedName name="JULJE" localSheetId="3">#REF!</definedName>
    <definedName name="JULJE">#REF!</definedName>
    <definedName name="JULJE2" localSheetId="3">#REF!</definedName>
    <definedName name="JULJE2">#REF!</definedName>
    <definedName name="JULJE3" localSheetId="3">#REF!</definedName>
    <definedName name="JULJE3">#REF!</definedName>
    <definedName name="JULRET" localSheetId="3">#REF!</definedName>
    <definedName name="JULRET">#REF!</definedName>
    <definedName name="JULWHLFPC" localSheetId="3">#REF!</definedName>
    <definedName name="JULWHLFPC">#REF!</definedName>
    <definedName name="JULWHLFTM" localSheetId="3">#REF!</definedName>
    <definedName name="JULWHLFTM">#REF!</definedName>
    <definedName name="JULWHLSTC">#REF!</definedName>
    <definedName name="JULWHLWAU">#REF!</definedName>
    <definedName name="Jun">#REF!</definedName>
    <definedName name="JUNJE" localSheetId="3">#REF!</definedName>
    <definedName name="JUNJE">#REF!</definedName>
    <definedName name="JUNJE2" localSheetId="3">#REF!</definedName>
    <definedName name="JUNJE2">#REF!</definedName>
    <definedName name="JUNJE3" localSheetId="3">#REF!</definedName>
    <definedName name="JUNJE3">#REF!</definedName>
    <definedName name="JUNPG2" localSheetId="3">#REF!</definedName>
    <definedName name="JUNPG2">#REF!</definedName>
    <definedName name="JUNREDO1" localSheetId="3">#REF!</definedName>
    <definedName name="JUNREDO1">#REF!</definedName>
    <definedName name="JUNRET" localSheetId="3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K2_WBEVMODE">0</definedName>
    <definedName name="Last_Row" localSheetId="13">IF('LTF Interest Schedules'!Values_Entered,Header_Row+'LTF Interest Schedules'!Number_of_Payments,Header_Row)</definedName>
    <definedName name="Last_Row" localSheetId="12">IF('LTF Interest Schedules PM'!Values_Entered,Header_Row+'LTF Interest Schedules PM'!Number_of_Payments,Header_Row)</definedName>
    <definedName name="Last_Row" localSheetId="11">IF('LTF Interest Schedules RP'!Values_Entered,Header_Row+'LTF Interest Schedules RP'!Number_of_Payments,Header_Row)</definedName>
    <definedName name="Last_Row" localSheetId="10">IF('LTF Interest Schedules RP Upd'!Values_Entered,Header_Row+'LTF Interest Schedules RP Upd'!Number_of_Payments,Header_Row)</definedName>
    <definedName name="Last_Row" localSheetId="3">IF([0]!Values_Entered,Header_Row+[0]!Number_of_Payments,Header_Row)</definedName>
    <definedName name="Last_Row" localSheetId="9">IF('Q3F Interest Schedules RP'!Values_Entered,Header_Row+'Q3F Interest Schedules RP'!Number_of_Payments,Header_Row)</definedName>
    <definedName name="Last_Row" localSheetId="21">IF('Q3F to Bud Interest Rate'!Values_Entered,Header_Row+'Q3F to Bud Interest Rate'!Number_of_Payments,Header_Row)</definedName>
    <definedName name="Last_Row" localSheetId="0">IF('vs Q3F'!Values_Entered,Header_Row+'vs Q3F'!Number_of_Payments,Header_Row)</definedName>
    <definedName name="Last_Row">IF(Values_Entered,Header_Row+Number_of_Payments,Header_Row)</definedName>
    <definedName name="Last_Tow2" localSheetId="13">IF('LTF Interest Schedules'!Values_Entered,Header_Row+'LTF Interest Schedules'!Number_of_Payments,Header_Row)</definedName>
    <definedName name="Last_Tow2" localSheetId="12">IF('LTF Interest Schedules PM'!Values_Entered,Header_Row+'LTF Interest Schedules PM'!Number_of_Payments,Header_Row)</definedName>
    <definedName name="Last_Tow2" localSheetId="11">IF('LTF Interest Schedules RP'!Values_Entered,Header_Row+'LTF Interest Schedules RP'!Number_of_Payments,Header_Row)</definedName>
    <definedName name="Last_Tow2" localSheetId="10">IF('LTF Interest Schedules RP Upd'!Values_Entered,Header_Row+'LTF Interest Schedules RP Upd'!Number_of_Payments,Header_Row)</definedName>
    <definedName name="Last_Tow2" localSheetId="9">IF('Q3F Interest Schedules RP'!Values_Entered,Header_Row+'Q3F Interest Schedules RP'!Number_of_Payments,Header_Row)</definedName>
    <definedName name="Last_Tow2" localSheetId="21">IF('Q3F to Bud Interest Rate'!Values_Entered,Header_Row+'Q3F to Bud Interest Rate'!Number_of_Payments,Header_Row)</definedName>
    <definedName name="Last_Tow2" localSheetId="0">IF('vs Q3F'!Values_Entered,Header_Row+'vs Q3F'!Number_of_Payments,Header_Row)</definedName>
    <definedName name="Last_Tow2">IF([0]!Values_Entered,Header_Row+[0]!Number_of_Payments,Header_Row)</definedName>
    <definedName name="limcount">1</definedName>
    <definedName name="ListOffset">1</definedName>
    <definedName name="Loan_Term_Construction">#REF!</definedName>
    <definedName name="lstAnnualRetirementDates">#REF!</definedName>
    <definedName name="lstCaseInputSelection">#REF!</definedName>
    <definedName name="lstDiscreteCapitalProjects">#REF!</definedName>
    <definedName name="lstInServiceDates">#REF!</definedName>
    <definedName name="lstScenarios">#REF!</definedName>
    <definedName name="lstTimeline">#REF!</definedName>
    <definedName name="LT_Debt_Rate">#REF!</definedName>
    <definedName name="MACROS">#REF!</definedName>
    <definedName name="Mar" localSheetId="3">#REF!</definedName>
    <definedName name="Mar">#REF!</definedName>
    <definedName name="MARJE" localSheetId="3">#REF!</definedName>
    <definedName name="MARJE">#REF!</definedName>
    <definedName name="MARJE2" localSheetId="3">#REF!</definedName>
    <definedName name="MARJE2">#REF!</definedName>
    <definedName name="MARJE3" localSheetId="3">#REF!</definedName>
    <definedName name="MARJE3">#REF!</definedName>
    <definedName name="MARJE4" localSheetId="3">#REF!</definedName>
    <definedName name="MARJE4">#REF!</definedName>
    <definedName name="MARJEADJ" localSheetId="3">#REF!</definedName>
    <definedName name="MARJEADJ">#REF!</definedName>
    <definedName name="MARRET" localSheetId="3">#REF!</definedName>
    <definedName name="MARRET">#REF!</definedName>
    <definedName name="MARWHLFPC" localSheetId="3">#REF!</definedName>
    <definedName name="MARWHLFPC">#REF!</definedName>
    <definedName name="MARWHLFTM" localSheetId="3">#REF!</definedName>
    <definedName name="MARWHLFTM">#REF!</definedName>
    <definedName name="MARWHLSTC">#REF!</definedName>
    <definedName name="MARWHLWAU">#REF!</definedName>
    <definedName name="May">#REF!</definedName>
    <definedName name="MAYJE" localSheetId="3">#REF!</definedName>
    <definedName name="MAYJE">#REF!</definedName>
    <definedName name="MAYJE2" localSheetId="3">#REF!</definedName>
    <definedName name="MAYJE2">#REF!</definedName>
    <definedName name="MAYJE3" localSheetId="3">#REF!</definedName>
    <definedName name="MAYJE3">#REF!</definedName>
    <definedName name="MAYJE4" localSheetId="3">#REF!</definedName>
    <definedName name="MAYJE4">#REF!</definedName>
    <definedName name="MAYREDO1" localSheetId="3">#REF!</definedName>
    <definedName name="MAYREDO1">#REF!</definedName>
    <definedName name="MAYRET" localSheetId="3">#REF!</definedName>
    <definedName name="MAYRET">#REF!</definedName>
    <definedName name="MAYWHLFPC" localSheetId="3">#REF!</definedName>
    <definedName name="MAYWHLFPC">#REF!</definedName>
    <definedName name="MAYWHLFTM">#REF!</definedName>
    <definedName name="MAYWHLSTC">#REF!</definedName>
    <definedName name="MAYWHLWAU">#REF!</definedName>
    <definedName name="MEMO">#REF!</definedName>
    <definedName name="MEP_Charge">#REF!</definedName>
    <definedName name="MEP_DateTag_End">#REF!</definedName>
    <definedName name="MEP_DateTag_End_Off">#REF!</definedName>
    <definedName name="MEP_DateTag_Start">#REF!</definedName>
    <definedName name="MEP_DateTag_Start_Off">#REF!</definedName>
    <definedName name="MEP_Flag">#REF!</definedName>
    <definedName name="MEP_Max_Charge">#REF!</definedName>
    <definedName name="MEP_Switch">#REF!</definedName>
    <definedName name="MEP_Term">#REF!</definedName>
    <definedName name="MEWarning" hidden="1">1</definedName>
    <definedName name="MMMNMGC">#REF!</definedName>
    <definedName name="MMMPGS">#REF!</definedName>
    <definedName name="MMMPipeline">#REF!</definedName>
    <definedName name="MMMTEC">#REF!</definedName>
    <definedName name="Month_Summary" localSheetId="3">#REF!</definedName>
    <definedName name="Month_Summary">#REF!</definedName>
    <definedName name="new">#REF!</definedName>
    <definedName name="NM">#REF!</definedName>
    <definedName name="NM_Simp">#REF!</definedName>
    <definedName name="NM1_">#REF!</definedName>
    <definedName name="NOL_Limit">#REF!</definedName>
    <definedName name="NOL_Limit_Per">#REF!</definedName>
    <definedName name="NOL_Limitation">#REF!</definedName>
    <definedName name="NONREC" localSheetId="3">#REF!</definedName>
    <definedName name="NONREC">#REF!</definedName>
    <definedName name="Nov" localSheetId="3">#REF!</definedName>
    <definedName name="Nov">#REF!</definedName>
    <definedName name="NOVJE" localSheetId="3">#REF!</definedName>
    <definedName name="NOVJE">#REF!</definedName>
    <definedName name="NOVJE2" localSheetId="3">#REF!</definedName>
    <definedName name="NOVJE2">#REF!</definedName>
    <definedName name="NOVJE3" localSheetId="3">#REF!</definedName>
    <definedName name="NOVJE3">#REF!</definedName>
    <definedName name="NOVRET" localSheetId="3">#REF!</definedName>
    <definedName name="NOVRET">#REF!</definedName>
    <definedName name="NOVWHLFPC" localSheetId="3">#REF!</definedName>
    <definedName name="NOVWHLFPC">#REF!</definedName>
    <definedName name="NOVWHLFTM" localSheetId="3">#REF!</definedName>
    <definedName name="NOVWHLFTM">#REF!</definedName>
    <definedName name="NOVWHLSTC">#REF!</definedName>
    <definedName name="NOVWHLWAU">#REF!</definedName>
    <definedName name="NPV_Rate">#REF!</definedName>
    <definedName name="Number_of_Payments" localSheetId="13">MATCH(0.01,End_Bal,-1)+1</definedName>
    <definedName name="Number_of_Payments" localSheetId="12">MATCH(0.01,End_Bal,-1)+1</definedName>
    <definedName name="Number_of_Payments" localSheetId="11">MATCH(0.01,End_Bal,-1)+1</definedName>
    <definedName name="Number_of_Payments" localSheetId="10">MATCH(0.01,End_Bal,-1)+1</definedName>
    <definedName name="Number_of_Payments" localSheetId="9">MATCH(0.01,End_Bal,-1)+1</definedName>
    <definedName name="Number_of_Payments" localSheetId="21">MATCH(0.01,End_Bal,-1)+1</definedName>
    <definedName name="Number_of_Payments" localSheetId="0">MATCH(0.01,End_Bal,-1)+1</definedName>
    <definedName name="Number_of_Payments">MATCH(0.01,End_Bal,-1)+1</definedName>
    <definedName name="Oct" localSheetId="3">#REF!</definedName>
    <definedName name="Oct">#REF!</definedName>
    <definedName name="OCTJE" localSheetId="3">#REF!</definedName>
    <definedName name="OCTJE">#REF!</definedName>
    <definedName name="OCTJE2" localSheetId="3">#REF!</definedName>
    <definedName name="OCTJE2">#REF!</definedName>
    <definedName name="OCTJE3" localSheetId="3">#REF!</definedName>
    <definedName name="OCTJE3">#REF!</definedName>
    <definedName name="OCTRET" localSheetId="3">#REF!</definedName>
    <definedName name="OCTRET">#REF!</definedName>
    <definedName name="octwhlfpc" localSheetId="3">#REF!</definedName>
    <definedName name="octwhlfpc">#REF!</definedName>
    <definedName name="octwhlftm" localSheetId="3">#REF!</definedName>
    <definedName name="octwhlftm">#REF!</definedName>
    <definedName name="octwhlstc">#REF!</definedName>
    <definedName name="octwhlwau">#REF!</definedName>
    <definedName name="OM_OFF_Trig">#REF!</definedName>
    <definedName name="OORACT">#REF!</definedName>
    <definedName name="OORBUD">#REF!</definedName>
    <definedName name="OORSSGOAL">#REF!</definedName>
    <definedName name="OTHER_CF">#REF!</definedName>
    <definedName name="OTHER_CR">#REF!</definedName>
    <definedName name="Ownership_Per_TEC">#REF!</definedName>
    <definedName name="PagePrint">#REF!</definedName>
    <definedName name="Part">#REF!</definedName>
    <definedName name="Part_Simp">#REF!</definedName>
    <definedName name="Part1">#REF!</definedName>
    <definedName name="Payment_Date" localSheetId="13">DATE(YEAR(Loan_Start),MONTH(Loan_Start)+Payment_Number,DAY(Loan_Start))</definedName>
    <definedName name="Payment_Date" localSheetId="12">DATE(YEAR(Loan_Start),MONTH(Loan_Start)+Payment_Number,DAY(Loan_Start))</definedName>
    <definedName name="Payment_Date" localSheetId="11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9">DATE(YEAR(Loan_Start),MONTH(Loan_Start)+Payment_Number,DAY(Loan_Start))</definedName>
    <definedName name="Payment_Date" localSheetId="21">DATE(YEAR(Loan_Start),MONTH(Loan_Start)+Payment_Number,DAY(Loan_Start))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ROLL_INPUTS" localSheetId="3">#REF!</definedName>
    <definedName name="PAYROLL_INPUTS">#REF!</definedName>
    <definedName name="PAYROLL_INPUTS1" localSheetId="3">#REF!</definedName>
    <definedName name="PAYROLL_INPUTS1">#REF!</definedName>
    <definedName name="PAYROLL_INPUTS2" localSheetId="3">#REF!</definedName>
    <definedName name="PAYROLL_INPUTS2">#REF!</definedName>
    <definedName name="PAYROLL_INPUTS3">#REF!</definedName>
    <definedName name="PE_C_MO">#REF!</definedName>
    <definedName name="PE_C_QTR">#REF!</definedName>
    <definedName name="PE_C_YTD">#REF!</definedName>
    <definedName name="PE_CPYIS">#REF!</definedName>
    <definedName name="PGIII_10" localSheetId="3">#REF!</definedName>
    <definedName name="PGIII_10">#REF!</definedName>
    <definedName name="PGIII_11" localSheetId="3">#REF!</definedName>
    <definedName name="PGIII_11">#REF!</definedName>
    <definedName name="PGIII_12" localSheetId="3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GS">#REF!</definedName>
    <definedName name="PGS_Insurance_Rate">#REF!</definedName>
    <definedName name="PGS_OSS_Net_Income">#REF!</definedName>
    <definedName name="PGS_Rate_G_A">#REF!</definedName>
    <definedName name="PGS_Rate_Supv_OverHead">#REF!</definedName>
    <definedName name="PGS_Simp">#REF!</definedName>
    <definedName name="PGS_Tariff_Esc">#REF!</definedName>
    <definedName name="PGS_TR_CSLS_Name">#REF!</definedName>
    <definedName name="PGS_TR_GS1_Con_Max">#REF!</definedName>
    <definedName name="PGS_TR_GS1_Con_Min">#REF!</definedName>
    <definedName name="PGS_TR_GS1_Name">#REF!</definedName>
    <definedName name="PGS_TR_GS2_Con_Max">#REF!</definedName>
    <definedName name="PGS_TR_GS2_Con_Min">#REF!</definedName>
    <definedName name="PGS_TR_GS2_Name">#REF!</definedName>
    <definedName name="PGS_TR_GS3_Con_Max">#REF!</definedName>
    <definedName name="PGS_TR_GS3_Con_Min">#REF!</definedName>
    <definedName name="PGS_TR_GS3_Name">#REF!</definedName>
    <definedName name="PGS_TR_GS4_Con_Max">#REF!</definedName>
    <definedName name="PGS_TR_GS4_Con_Min">#REF!</definedName>
    <definedName name="PGS_TR_GS4_Name">#REF!</definedName>
    <definedName name="PGS_TR_GS5_Con_Max">#REF!</definedName>
    <definedName name="PGS_TR_GS5_Con_Min">#REF!</definedName>
    <definedName name="PGS_TR_GS5_Name">#REF!</definedName>
    <definedName name="PGS_TR_IS_Con_Max">#REF!</definedName>
    <definedName name="PGS_TR_IS_Con_Min">#REF!</definedName>
    <definedName name="PGS_TR_IS_Name">#REF!</definedName>
    <definedName name="PGS_TR_ISLV_Con_Max">#REF!</definedName>
    <definedName name="PGS_TR_ISLV_Con_Min">#REF!</definedName>
    <definedName name="PGS_TR_ISLV_Name">#REF!</definedName>
    <definedName name="PGS_TR_RS1_Con_Max">#REF!</definedName>
    <definedName name="PGS_TR_RS1_Name">#REF!</definedName>
    <definedName name="PGS_TR_RS2_Con_Max">#REF!</definedName>
    <definedName name="PGS_TR_RS2_Name">#REF!</definedName>
    <definedName name="PGS_TR_RS3_Con_Max">#REF!</definedName>
    <definedName name="PGS_TR_RS3_Name">#REF!</definedName>
    <definedName name="PGS_TR_SGS_Con_Max">#REF!</definedName>
    <definedName name="PGS_TR_SGS_Con_Min">#REF!</definedName>
    <definedName name="PGS_TR_SGS_Name">#REF!</definedName>
    <definedName name="PGS_TR_SIS_Con_Max">#REF!</definedName>
    <definedName name="PGS_TR_SIS_Con_Min">#REF!</definedName>
    <definedName name="PGS_TR_SIS_Name">#REF!</definedName>
    <definedName name="PGS1_">#REF!</definedName>
    <definedName name="PKDH">#REF!</definedName>
    <definedName name="PLANBOOK" localSheetId="3">#REF!</definedName>
    <definedName name="PLANBOOK">#REF!</definedName>
    <definedName name="PLANBOOK_CF1" localSheetId="3">#REF!</definedName>
    <definedName name="PLANBOOK_CF1">#REF!</definedName>
    <definedName name="PLANBOOK_CF2" localSheetId="3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ine1">#REF!</definedName>
    <definedName name="PLine2">#REF!</definedName>
    <definedName name="PLine3">#REF!</definedName>
    <definedName name="PLine4">#REF!</definedName>
    <definedName name="PLNQTBS1" localSheetId="3">#REF!</definedName>
    <definedName name="PLNQTBS1">#REF!</definedName>
    <definedName name="PLNQTBS2" localSheetId="3">#REF!</definedName>
    <definedName name="PLNQTBS2">#REF!</definedName>
    <definedName name="PM_NAME" localSheetId="3">#REF!</definedName>
    <definedName name="PM_NAME">#REF!</definedName>
    <definedName name="PM_NAME_MINUS_1">#REF!</definedName>
    <definedName name="PreBid_Date_Tag_End">#REF!</definedName>
    <definedName name="PreBid_Date_Tag_Start">#REF!</definedName>
    <definedName name="PRESBSA1" localSheetId="3">#REF!</definedName>
    <definedName name="PRESBSA1">#REF!</definedName>
    <definedName name="PRESBSA2" localSheetId="3">#REF!</definedName>
    <definedName name="PRESBSA2">#REF!</definedName>
    <definedName name="PRESCAP">#REF!</definedName>
    <definedName name="PRESCFLW" localSheetId="3">#REF!</definedName>
    <definedName name="PRESCFLW">#REF!</definedName>
    <definedName name="_xlnm.Print_Area" localSheetId="20">'Q3F vs Budget - Project Changes'!$A$1:$J$48</definedName>
    <definedName name="Print_Area_Reset" localSheetId="13">OFFSET(Full_Print,0,0,'LTF Interest Schedules'!Last_Row)</definedName>
    <definedName name="Print_Area_Reset" localSheetId="12">OFFSET(Full_Print,0,0,'LTF Interest Schedules PM'!Last_Row)</definedName>
    <definedName name="Print_Area_Reset" localSheetId="11">OFFSET(Full_Print,0,0,'LTF Interest Schedules RP'!Last_Row)</definedName>
    <definedName name="Print_Area_Reset" localSheetId="10">OFFSET(Full_Print,0,0,'LTF Interest Schedules RP Upd'!Last_Row)</definedName>
    <definedName name="Print_Area_Reset" localSheetId="9">OFFSET(Full_Print,0,0,'Q3F Interest Schedules RP'!Last_Row)</definedName>
    <definedName name="Print_Area_Reset" localSheetId="21">OFFSET(Full_Print,0,0,'Q3F to Bud Interest Rate'!Last_Row)</definedName>
    <definedName name="Print_Area_Reset" localSheetId="0">OFFSET(Full_Print,0,0,'vs Q3F'!Last_Row)</definedName>
    <definedName name="Print_Area_Reset">OFFSET(Full_Print,0,0,Last_Row)</definedName>
    <definedName name="print046S" localSheetId="3">#REF!</definedName>
    <definedName name="print046S">#REF!</definedName>
    <definedName name="print070" localSheetId="3">#REF!</definedName>
    <definedName name="print070">#REF!</definedName>
    <definedName name="PrintRange" localSheetId="3">#REF!,#REF!</definedName>
    <definedName name="PrintRange">#REF!,#REF!</definedName>
    <definedName name="PrintRangeC1" localSheetId="3">#REF!</definedName>
    <definedName name="PrintRangeC1">#REF!</definedName>
    <definedName name="PRIORFOR_ACCOUNT">#REF!</definedName>
    <definedName name="PRIORFOR_COST_CENTER">#REF!</definedName>
    <definedName name="PRIORFOR_TOTAL">#REF!</definedName>
    <definedName name="Proj_Zip">#REF!</definedName>
    <definedName name="Project_Annuity" localSheetId="5">#REF!</definedName>
    <definedName name="Project_Annuity">#REF!</definedName>
    <definedName name="Project_Date_End">#REF!</definedName>
    <definedName name="Project_Date_Start">#REF!</definedName>
    <definedName name="Project_Date_Tag_Start">#REF!</definedName>
    <definedName name="Project_DateTag_End">#REF!</definedName>
    <definedName name="Project_DateTag_Start">#REF!</definedName>
    <definedName name="Project_ID">#REF!</definedName>
    <definedName name="Project_Loan_Date_End">#REF!</definedName>
    <definedName name="Project_Loan_Date_Srt">#REF!</definedName>
    <definedName name="Project_Loan_Term">#REF!</definedName>
    <definedName name="Project_Month_End">#REF!</definedName>
    <definedName name="Project_Month_Start">#REF!</definedName>
    <definedName name="Project_Name">#REF!</definedName>
    <definedName name="Project_Serv_Date_End">#REF!</definedName>
    <definedName name="Project_Serv_Year_End">#REF!</definedName>
    <definedName name="Project_Term">#REF!</definedName>
    <definedName name="Project_Year_End">#REF!</definedName>
    <definedName name="Project_Year_Start">#REF!</definedName>
    <definedName name="Property_Tax_NBV_Percent">#REF!</definedName>
    <definedName name="Property_Tax_Rate">#REF!</definedName>
    <definedName name="Property_Tax_Rate_Real">#REF!</definedName>
    <definedName name="proposed_definitions" localSheetId="3">#REF!</definedName>
    <definedName name="proposed_definitions">#REF!</definedName>
    <definedName name="proposed_presentation" localSheetId="3">#REF!</definedName>
    <definedName name="proposed_presentation">#REF!</definedName>
    <definedName name="proposed_recovery" localSheetId="3">#REF!</definedName>
    <definedName name="proposed_recovery">#REF!</definedName>
    <definedName name="PYBS">#REF!</definedName>
    <definedName name="PYEGYASSTS">#REF!</definedName>
    <definedName name="PYEGYLIABS">#REF!</definedName>
    <definedName name="PYISWP">#REF!</definedName>
    <definedName name="random">#REF!</definedName>
    <definedName name="Rate_Case_COM_Dist_Inc_1">#REF!</definedName>
    <definedName name="Rate_Case_COM_Dist_Inc_2">#REF!</definedName>
    <definedName name="Rate_Case_COM_Inc_1">#REF!</definedName>
    <definedName name="Rate_Case_COM_Inc_2">#REF!</definedName>
    <definedName name="Rate_Case_DateTag">#REF!</definedName>
    <definedName name="Rate_Case_DateTag_2">#REF!</definedName>
    <definedName name="Rate_Case_Flag">#REF!</definedName>
    <definedName name="Rate_Case_IND_Dist_Inc">#REF!</definedName>
    <definedName name="Rate_Case_IND_Dist_Inc_2">#REF!</definedName>
    <definedName name="Rate_Case_IND_Inc">#REF!</definedName>
    <definedName name="Rate_Case_IND_Inc_2">#REF!</definedName>
    <definedName name="Rate_Case_Month">#REF!</definedName>
    <definedName name="Rate_Case_Month_2">#REF!</definedName>
    <definedName name="Rate_Case_RES_Dist_Inc_1">#REF!</definedName>
    <definedName name="Rate_Case_RES_Dist_Inc_2">#REF!</definedName>
    <definedName name="Rate_Case_RES_Inc">#REF!</definedName>
    <definedName name="Rate_Case_RES_Inc_1">#REF!</definedName>
    <definedName name="Rate_Case_RES_Inc_2">#REF!</definedName>
    <definedName name="Rate_Case_Switch">#REF!</definedName>
    <definedName name="Rate_Case_Year">#REF!</definedName>
    <definedName name="Rate_Case_Year_2">#REF!</definedName>
    <definedName name="RECON_ASSETS">#REF!</definedName>
    <definedName name="RECON_LIABILITIES">#REF!</definedName>
    <definedName name="RECON_OF_BOOKS" localSheetId="3">#REF!</definedName>
    <definedName name="RECON_OF_BOOKS">#REF!</definedName>
    <definedName name="RECON_SUMMARY">#REF!</definedName>
    <definedName name="RECONACT_ACCOUNT">#REF!</definedName>
    <definedName name="RECONACT_MTD">#REF!</definedName>
    <definedName name="RECONACT_QTD">#REF!</definedName>
    <definedName name="RECONACT_YTD">#REF!</definedName>
    <definedName name="RECONBUD_ACCOUNT" localSheetId="3">#REF!</definedName>
    <definedName name="RECONBUD_ACCOUNT">#REF!</definedName>
    <definedName name="RECONBUD_MTD">#REF!</definedName>
    <definedName name="RECONBUD_PM_YTD">#REF!</definedName>
    <definedName name="RECONBUD_QTD">#REF!</definedName>
    <definedName name="RECONBUD_TOTAL" localSheetId="3">#REF!</definedName>
    <definedName name="RECONBUD_TOTAL">#REF!</definedName>
    <definedName name="RECONBUD_YTD" localSheetId="3">#REF!</definedName>
    <definedName name="RECONBUD_YTD">#REF!</definedName>
    <definedName name="RECONBUD20_ACCOUNT" localSheetId="3">#REF!</definedName>
    <definedName name="RECONBUD20_ACCOUNT">#REF!</definedName>
    <definedName name="RECONBUD20_MTD">#REF!</definedName>
    <definedName name="RECONBUD20_QTD">#REF!</definedName>
    <definedName name="RECONBUD20_TOTAL" localSheetId="3">#REF!</definedName>
    <definedName name="RECONBUD20_TOTAL">#REF!</definedName>
    <definedName name="RECONBUD20_YTD" localSheetId="3">#REF!</definedName>
    <definedName name="RECONBUD20_YTD">#REF!</definedName>
    <definedName name="RECONBUDRC_ACCOUNT" localSheetId="3">#REF!</definedName>
    <definedName name="RECONBUDRC_ACCOUNT">#REF!</definedName>
    <definedName name="RECONBUDRC_YTD" localSheetId="3">#REF!</definedName>
    <definedName name="RECONBUDRC_YTD">#REF!</definedName>
    <definedName name="RECONEM21_ACCOUNT" localSheetId="3">#REF!</definedName>
    <definedName name="RECONEM21_ACCOUNT">#REF!</definedName>
    <definedName name="RECONEM21_YTD" localSheetId="3">#REF!</definedName>
    <definedName name="RECONEM21_YTD">#REF!</definedName>
    <definedName name="RECONEMERA_ACCOUNT">#REF!</definedName>
    <definedName name="RECONEMERA_MTD">#REF!</definedName>
    <definedName name="RECONEMERA_TOTAL">#REF!</definedName>
    <definedName name="RECONEMERA_YTD">#REF!</definedName>
    <definedName name="RECONFOR_ACCOUNT" localSheetId="3">#REF!</definedName>
    <definedName name="RECONFOR_ACCOUNT">#REF!</definedName>
    <definedName name="RECONFOR_PM_YTD">#REF!</definedName>
    <definedName name="RECONFOR_TOTAL">#REF!</definedName>
    <definedName name="RECONFOR_YTD" localSheetId="3">#REF!</definedName>
    <definedName name="RECONFOR_YTD">#REF!</definedName>
    <definedName name="RECONHLFOR_ACCOUNT">#REF!</definedName>
    <definedName name="RECONHLFOR_MTD" localSheetId="3">#REF!</definedName>
    <definedName name="RECONHLFOR_MTD">#REF!</definedName>
    <definedName name="RECONHLFOR_PM_YTD">#REF!</definedName>
    <definedName name="RECONHLFOR_QTD" localSheetId="3">#REF!</definedName>
    <definedName name="RECONHLFOR_QTD">#REF!</definedName>
    <definedName name="RECONHLFOR_TOTAL">#REF!</definedName>
    <definedName name="RECONHLFOR_YTD" localSheetId="3">#REF!</definedName>
    <definedName name="RECONHLFOR_YTD">#REF!</definedName>
    <definedName name="RECONPRIORFOR_ACCOUNT">#REF!</definedName>
    <definedName name="RECONPRIORFOR_TOTAL">#REF!</definedName>
    <definedName name="RECONPY_ACCOUNT" localSheetId="3">#REF!</definedName>
    <definedName name="RECONPY_ACCOUNT">#REF!</definedName>
    <definedName name="RECONPY_TOTAL">#REF!</definedName>
    <definedName name="RECONPY_YTD" localSheetId="3">#REF!</definedName>
    <definedName name="RECONPY_YTD">#REF!</definedName>
    <definedName name="RECONQ1_ACCOUNT" localSheetId="3">#REF!</definedName>
    <definedName name="RECONQ1_ACCOUNT">#REF!</definedName>
    <definedName name="RECONQ1_MTD" localSheetId="3">#REF!</definedName>
    <definedName name="RECONQ1_MTD">#REF!</definedName>
    <definedName name="RECONQ1_QTD" localSheetId="3">#REF!</definedName>
    <definedName name="RECONQ1_QTD">#REF!</definedName>
    <definedName name="RECONQ1_YTD">#REF!</definedName>
    <definedName name="RECONQ3_ACCOUNT" localSheetId="3">#REF!</definedName>
    <definedName name="RECONQ3_ACCOUNT">#REF!</definedName>
    <definedName name="RECONQ3_TOTAL" localSheetId="3">#REF!</definedName>
    <definedName name="RECONQ3_TOTAL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FORECASTYEAR" localSheetId="3">#REF!</definedName>
    <definedName name="REFORECASTYEAR">#REF!</definedName>
    <definedName name="Reg_Switch">#REF!</definedName>
    <definedName name="REGTAX">#REF!</definedName>
    <definedName name="RES_Demand_Stagger">#REF!</definedName>
    <definedName name="rev153data" localSheetId="3">#REF!</definedName>
    <definedName name="rev153data">#REF!</definedName>
    <definedName name="rev451data" localSheetId="3">#REF!</definedName>
    <definedName name="rev451data">#REF!</definedName>
    <definedName name="rngScenario">#REF!</definedName>
    <definedName name="Round_By" localSheetId="3">#REF!</definedName>
    <definedName name="Round_By">#REF!</definedName>
    <definedName name="sally">#REF!</definedName>
    <definedName name="SAPBEXhrIndnt">1</definedName>
    <definedName name="SAPBEXrevision">1</definedName>
    <definedName name="Scenario_Num">#REF!</definedName>
    <definedName name="sencount">1</definedName>
    <definedName name="Sep" localSheetId="3">#REF!</definedName>
    <definedName name="Sep">#REF!</definedName>
    <definedName name="SEPJE" localSheetId="3">#REF!</definedName>
    <definedName name="SEPJE">#REF!</definedName>
    <definedName name="SEPJE2" localSheetId="3">#REF!</definedName>
    <definedName name="SEPJE2">#REF!</definedName>
    <definedName name="SEPJE3" localSheetId="3">#REF!</definedName>
    <definedName name="SEPJE3">#REF!</definedName>
    <definedName name="sepret" localSheetId="3">#REF!</definedName>
    <definedName name="sepret">#REF!</definedName>
    <definedName name="sepwhlfpc" localSheetId="3">#REF!</definedName>
    <definedName name="sepwhlfpc">#REF!</definedName>
    <definedName name="sepwhlftm" localSheetId="3">#REF!</definedName>
    <definedName name="sepwhlftm">#REF!</definedName>
    <definedName name="sepwhlstc">#REF!</definedName>
    <definedName name="sepwhlwau">#REF!</definedName>
    <definedName name="shit">{"'O&amp;M 2000'!$A$1:$T$24"}</definedName>
    <definedName name="Short_Term_Debt_Fin_Per">#REF!</definedName>
    <definedName name="sht_Title_Fin_Stmt" localSheetId="5">#REF!</definedName>
    <definedName name="sht_Title_Fin_Stmt">#REF!</definedName>
    <definedName name="Special_Asset_Count">#REF!</definedName>
    <definedName name="Special_Asset_GA_Rate">#REF!</definedName>
    <definedName name="Special_Asset_Inservice_DateTag">#REF!</definedName>
    <definedName name="Special_Asset_Inservice_Year">#REF!</definedName>
    <definedName name="Special_PreBid_Switch">#REF!</definedName>
    <definedName name="Start2">#REF!</definedName>
    <definedName name="Start64" localSheetId="3">#REF!</definedName>
    <definedName name="Start64">#REF!</definedName>
    <definedName name="Start65" localSheetId="3">#REF!</definedName>
    <definedName name="Start65">#REF!</definedName>
    <definedName name="State_Income_Tax_Rate">#REF!</definedName>
    <definedName name="STRAT17_AMOUNT">#REF!</definedName>
    <definedName name="STRAT17_STRAT_PLAN_CATEGORIES">#REF!</definedName>
    <definedName name="STRAT17_STRAT_PLAN_SUMMARY">#REF!</definedName>
    <definedName name="STRAT17_YEAR">#REF!</definedName>
    <definedName name="STRAT18_AMOUNT">#REF!</definedName>
    <definedName name="STRAT18_STRAT_PLAN_CATEGORIES">#REF!</definedName>
    <definedName name="STRAT18_STRAT_PLAN_SUMMARY">#REF!</definedName>
    <definedName name="STRAT18_YEAR">#REF!</definedName>
    <definedName name="summary" localSheetId="3">#REF!</definedName>
    <definedName name="summary">#REF!</definedName>
    <definedName name="SUPRESS" localSheetId="3">#REF!</definedName>
    <definedName name="SUPRESS">#REF!</definedName>
    <definedName name="SUPRESS2">#REF!</definedName>
    <definedName name="SURV">#REF!</definedName>
    <definedName name="Surv_support">#REF!</definedName>
    <definedName name="sysCheck">#REF!</definedName>
    <definedName name="sysMakeWHoleButton">#REF!</definedName>
    <definedName name="sysmakewholerate">#REF!</definedName>
    <definedName name="sysNOLCheck">#REF!</definedName>
    <definedName name="TABLE" localSheetId="3">#REF!</definedName>
    <definedName name="TABLE">#REF!</definedName>
    <definedName name="TAMPA_ELECTRIC__COMPANY">"MARWHLFPC"</definedName>
    <definedName name="Tax_Loss_Corporate_Switch">#REF!</definedName>
    <definedName name="TAXRATE">#REF!</definedName>
    <definedName name="TAXUP">#REF!</definedName>
    <definedName name="TEC">#REF!</definedName>
    <definedName name="TEC_alloc_by_vp" localSheetId="3">#REF!</definedName>
    <definedName name="TEC_alloc_by_vp">#REF!</definedName>
    <definedName name="TEC_Simp">#REF!</definedName>
    <definedName name="TEC1_">#REF!</definedName>
    <definedName name="Terminal_Book_Value">#REF!</definedName>
    <definedName name="TextRefCopyRangeCount">10</definedName>
    <definedName name="TOLERANCE">#REF!</definedName>
    <definedName name="TOTAL_19">#REF!</definedName>
    <definedName name="TOTAL_20">#REF!</definedName>
    <definedName name="TOTAL_21">#REF!</definedName>
    <definedName name="TOTAL_OVER_3">#REF!</definedName>
    <definedName name="Total_Payment" localSheetId="13">Scheduled_Payment+Extra_Payment</definedName>
    <definedName name="Total_Payment" localSheetId="12">Scheduled_Payment+Extra_Payment</definedName>
    <definedName name="Total_Payment" localSheetId="11">Scheduled_Payment+Extra_Payment</definedName>
    <definedName name="Total_Payment" localSheetId="10">Scheduled_Payment+Extra_Payment</definedName>
    <definedName name="Total_Payment" localSheetId="9">Scheduled_Payment+Extra_Payment</definedName>
    <definedName name="Total_Payment" localSheetId="21">Scheduled_Payment+Extra_Payment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VG">#REF!</definedName>
    <definedName name="TR_Interest_Rate_Cap_Per" localSheetId="5">#REF!</definedName>
    <definedName name="TR_Interest_Rate_Cap_Per">#REF!</definedName>
    <definedName name="TRANS_SEP_Cost_Study">#REF!</definedName>
    <definedName name="TRANS_SEP_Production">#REF!</definedName>
    <definedName name="TRANS_SEP_Transmission">#REF!</definedName>
    <definedName name="TRUEUP" localSheetId="3">#REF!</definedName>
    <definedName name="TRUEUP">#REF!</definedName>
    <definedName name="TSI">#REF!</definedName>
    <definedName name="TSI_Simp">#REF!</definedName>
    <definedName name="TSI1_">#REF!</definedName>
    <definedName name="TV_Def_Tax_Switch">#REF!</definedName>
    <definedName name="Umpire">40237.7891203704</definedName>
    <definedName name="Unit_Conversion">#REF!</definedName>
    <definedName name="USGAAP">#REF!</definedName>
    <definedName name="USGAAP2">#REF!</definedName>
    <definedName name="USGAAPMapping">#REF!</definedName>
    <definedName name="Values_Entered" localSheetId="13">IF(Loan_Amount*Interest_Rate*Loan_Years*Loan_Start&gt;0,1,0)</definedName>
    <definedName name="Values_Entered" localSheetId="12">IF(Loan_Amount*Interest_Rate*Loan_Years*Loan_Start&gt;0,1,0)</definedName>
    <definedName name="Values_Entered" localSheetId="11">IF(Loan_Amount*Interest_Rate*Loan_Years*Loan_Start&gt;0,1,0)</definedName>
    <definedName name="Values_Entered" localSheetId="10">IF(Loan_Amount*Interest_Rate*Loan_Years*Loan_Start&gt;0,1,0)</definedName>
    <definedName name="Values_Entered" localSheetId="9">IF(Loan_Amount*Interest_Rate*Loan_Years*Loan_Start&gt;0,1,0)</definedName>
    <definedName name="Values_Entered" localSheetId="21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_OM_Esc_Rate">#REF!</definedName>
    <definedName name="VPOOR98F" localSheetId="3">#REF!</definedName>
    <definedName name="VPOOR98F">#REF!</definedName>
    <definedName name="VPOOR99" localSheetId="3">#REF!</definedName>
    <definedName name="VPOOR99">#REF!</definedName>
    <definedName name="WC_AVG">#REF!</definedName>
    <definedName name="WOR_APR">#REF!</definedName>
    <definedName name="WOR_AUG">#REF!</definedName>
    <definedName name="WOR_DEC">#REF!</definedName>
    <definedName name="WOR_FEB">#REF!</definedName>
    <definedName name="WOR_JAN">#REF!</definedName>
    <definedName name="WOR_JUL">#REF!</definedName>
    <definedName name="WOR_JUN">#REF!</definedName>
    <definedName name="WOR_MAR">#REF!</definedName>
    <definedName name="WOR_MAY">#REF!</definedName>
    <definedName name="WOR_NOV">#REF!</definedName>
    <definedName name="WOR_OCT">#REF!</definedName>
    <definedName name="WOR_PROJECT_SUMMARY">#REF!</definedName>
    <definedName name="WOR_SEP">#REF!</definedName>
    <definedName name="WOR_TOTAL">#REF!</definedName>
    <definedName name="WOR_YEAR">#REF!</definedName>
    <definedName name="XRefColumnsCount">1</definedName>
    <definedName name="XRefCopyRangeCount">4</definedName>
    <definedName name="XRefPasteRangeCount">1</definedName>
    <definedName name="Yes_No">#REF!</definedName>
    <definedName name="YTD_BASE_REV">#REF!</definedName>
    <definedName name="YTD_NCE" localSheetId="3">#REF!</definedName>
    <definedName name="YTD_NCE">#REF!</definedName>
    <definedName name="YTD_Summary" localSheetId="3">#REF!</definedName>
    <definedName name="YTD_Summary">#REF!</definedName>
    <definedName name="YTDACT">#REF!</definedName>
    <definedName name="YTDBUD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30" l="1"/>
  <c r="D53" i="30" s="1"/>
  <c r="C52" i="30"/>
  <c r="B52" i="30"/>
  <c r="D61" i="30"/>
  <c r="D62" i="30" s="1"/>
  <c r="C61" i="30"/>
  <c r="B61" i="30"/>
  <c r="D57" i="30"/>
  <c r="C57" i="30"/>
  <c r="B57" i="30"/>
  <c r="M61" i="30"/>
  <c r="L61" i="30"/>
  <c r="K61" i="30"/>
  <c r="J61" i="30"/>
  <c r="I61" i="30"/>
  <c r="H61" i="30"/>
  <c r="G61" i="30"/>
  <c r="F61" i="30"/>
  <c r="E61" i="30"/>
  <c r="M57" i="30"/>
  <c r="L57" i="30"/>
  <c r="K57" i="30"/>
  <c r="J57" i="30"/>
  <c r="I57" i="30"/>
  <c r="H57" i="30"/>
  <c r="G57" i="30"/>
  <c r="F57" i="30"/>
  <c r="E57" i="30"/>
  <c r="M52" i="30"/>
  <c r="M53" i="30" s="1"/>
  <c r="L52" i="30"/>
  <c r="K52" i="30"/>
  <c r="J52" i="30"/>
  <c r="I52" i="30"/>
  <c r="H52" i="30"/>
  <c r="G52" i="30"/>
  <c r="F52" i="30"/>
  <c r="E52" i="30"/>
  <c r="E53" i="30"/>
  <c r="K93" i="30"/>
  <c r="M90" i="30"/>
  <c r="F88" i="30"/>
  <c r="F93" i="30" s="1"/>
  <c r="M86" i="30"/>
  <c r="K86" i="30"/>
  <c r="C86" i="30"/>
  <c r="M85" i="30"/>
  <c r="L85" i="30"/>
  <c r="K85" i="30"/>
  <c r="J85" i="30"/>
  <c r="I85" i="30"/>
  <c r="H85" i="30"/>
  <c r="G85" i="30"/>
  <c r="F85" i="30"/>
  <c r="E85" i="30"/>
  <c r="D85" i="30"/>
  <c r="C85" i="30"/>
  <c r="B85" i="30"/>
  <c r="M84" i="30"/>
  <c r="K84" i="30"/>
  <c r="H84" i="30"/>
  <c r="H86" i="30" s="1"/>
  <c r="H90" i="30" s="1"/>
  <c r="F84" i="30"/>
  <c r="F86" i="30" s="1"/>
  <c r="F90" i="30" s="1"/>
  <c r="E84" i="30"/>
  <c r="E86" i="30" s="1"/>
  <c r="E90" i="30" s="1"/>
  <c r="C84" i="30"/>
  <c r="B84" i="30"/>
  <c r="B86" i="30" s="1"/>
  <c r="B90" i="30" s="1"/>
  <c r="H82" i="30"/>
  <c r="B82" i="30"/>
  <c r="M81" i="30"/>
  <c r="L81" i="30"/>
  <c r="K81" i="30"/>
  <c r="J81" i="30"/>
  <c r="I81" i="30"/>
  <c r="H81" i="30"/>
  <c r="G81" i="30"/>
  <c r="F81" i="30"/>
  <c r="E81" i="30"/>
  <c r="D81" i="30"/>
  <c r="C81" i="30"/>
  <c r="B81" i="30"/>
  <c r="M80" i="30"/>
  <c r="M82" i="30" s="1"/>
  <c r="K80" i="30"/>
  <c r="K82" i="30" s="1"/>
  <c r="J80" i="30"/>
  <c r="J82" i="30" s="1"/>
  <c r="H80" i="30"/>
  <c r="E80" i="30"/>
  <c r="E82" i="30" s="1"/>
  <c r="B80" i="30"/>
  <c r="F77" i="30"/>
  <c r="M76" i="30"/>
  <c r="L76" i="30"/>
  <c r="K76" i="30"/>
  <c r="J76" i="30"/>
  <c r="I76" i="30"/>
  <c r="I77" i="30" s="1"/>
  <c r="H76" i="30"/>
  <c r="G76" i="30"/>
  <c r="F76" i="30"/>
  <c r="E76" i="30"/>
  <c r="D76" i="30"/>
  <c r="C76" i="30"/>
  <c r="B76" i="30"/>
  <c r="M75" i="30"/>
  <c r="M77" i="30" s="1"/>
  <c r="K75" i="30"/>
  <c r="K77" i="30" s="1"/>
  <c r="I75" i="30"/>
  <c r="H75" i="30"/>
  <c r="H77" i="30" s="1"/>
  <c r="F75" i="30"/>
  <c r="C75" i="30"/>
  <c r="C77" i="30" s="1"/>
  <c r="F69" i="30"/>
  <c r="L64" i="30"/>
  <c r="I64" i="30"/>
  <c r="I69" i="30" s="1"/>
  <c r="G64" i="30"/>
  <c r="G88" i="30" s="1"/>
  <c r="G93" i="30" s="1"/>
  <c r="F64" i="30"/>
  <c r="D64" i="30"/>
  <c r="D88" i="30" s="1"/>
  <c r="L62" i="30"/>
  <c r="L66" i="30" s="1"/>
  <c r="M60" i="30"/>
  <c r="L60" i="30"/>
  <c r="L84" i="30" s="1"/>
  <c r="L86" i="30" s="1"/>
  <c r="K60" i="30"/>
  <c r="K62" i="30" s="1"/>
  <c r="J60" i="30"/>
  <c r="J84" i="30" s="1"/>
  <c r="J86" i="30" s="1"/>
  <c r="I60" i="30"/>
  <c r="H60" i="30"/>
  <c r="H62" i="30" s="1"/>
  <c r="G60" i="30"/>
  <c r="G84" i="30" s="1"/>
  <c r="G86" i="30" s="1"/>
  <c r="F60" i="30"/>
  <c r="F62" i="30" s="1"/>
  <c r="E60" i="30"/>
  <c r="D60" i="30"/>
  <c r="D84" i="30" s="1"/>
  <c r="D86" i="30" s="1"/>
  <c r="C60" i="30"/>
  <c r="C62" i="30" s="1"/>
  <c r="B60" i="30"/>
  <c r="B62" i="30" s="1"/>
  <c r="L58" i="30"/>
  <c r="D58" i="30"/>
  <c r="C58" i="30"/>
  <c r="M56" i="30"/>
  <c r="L56" i="30"/>
  <c r="L80" i="30" s="1"/>
  <c r="K56" i="30"/>
  <c r="J56" i="30"/>
  <c r="I56" i="30"/>
  <c r="H56" i="30"/>
  <c r="H58" i="30" s="1"/>
  <c r="G56" i="30"/>
  <c r="G58" i="30" s="1"/>
  <c r="F56" i="30"/>
  <c r="F80" i="30" s="1"/>
  <c r="F82" i="30" s="1"/>
  <c r="E56" i="30"/>
  <c r="D56" i="30"/>
  <c r="D80" i="30" s="1"/>
  <c r="C56" i="30"/>
  <c r="C80" i="30" s="1"/>
  <c r="C82" i="30" s="1"/>
  <c r="B56" i="30"/>
  <c r="M51" i="30"/>
  <c r="L51" i="30"/>
  <c r="L75" i="30" s="1"/>
  <c r="L77" i="30" s="1"/>
  <c r="K51" i="30"/>
  <c r="J51" i="30"/>
  <c r="I51" i="30"/>
  <c r="I53" i="30" s="1"/>
  <c r="H51" i="30"/>
  <c r="H53" i="30" s="1"/>
  <c r="G51" i="30"/>
  <c r="G75" i="30" s="1"/>
  <c r="G77" i="30" s="1"/>
  <c r="F51" i="30"/>
  <c r="E51" i="30"/>
  <c r="E75" i="30" s="1"/>
  <c r="E77" i="30" s="1"/>
  <c r="D51" i="30"/>
  <c r="D75" i="30" s="1"/>
  <c r="D77" i="30" s="1"/>
  <c r="C51" i="30"/>
  <c r="B51" i="30"/>
  <c r="B75" i="30" s="1"/>
  <c r="B77" i="30" s="1"/>
  <c r="M40" i="30"/>
  <c r="L40" i="30"/>
  <c r="K40" i="30"/>
  <c r="K64" i="30" s="1"/>
  <c r="K88" i="30" s="1"/>
  <c r="J40" i="30"/>
  <c r="J64" i="30" s="1"/>
  <c r="I40" i="30"/>
  <c r="H40" i="30"/>
  <c r="H64" i="30" s="1"/>
  <c r="H69" i="30" s="1"/>
  <c r="G40" i="30"/>
  <c r="G45" i="30" s="1"/>
  <c r="F40" i="30"/>
  <c r="F45" i="30" s="1"/>
  <c r="E40" i="30"/>
  <c r="D40" i="30"/>
  <c r="C40" i="30"/>
  <c r="C64" i="30" s="1"/>
  <c r="C88" i="30" s="1"/>
  <c r="C93" i="30" s="1"/>
  <c r="B40" i="30"/>
  <c r="B64" i="30" s="1"/>
  <c r="B38" i="30"/>
  <c r="I37" i="30"/>
  <c r="F37" i="30"/>
  <c r="C37" i="30"/>
  <c r="M36" i="30"/>
  <c r="L36" i="30"/>
  <c r="K36" i="30"/>
  <c r="J36" i="30"/>
  <c r="J38" i="30" s="1"/>
  <c r="I36" i="30"/>
  <c r="I38" i="30" s="1"/>
  <c r="I42" i="30" s="1"/>
  <c r="H36" i="30"/>
  <c r="G36" i="30"/>
  <c r="F36" i="30"/>
  <c r="E36" i="30"/>
  <c r="D36" i="30"/>
  <c r="C36" i="30"/>
  <c r="B36" i="30"/>
  <c r="I34" i="30"/>
  <c r="M33" i="30"/>
  <c r="L33" i="30"/>
  <c r="K33" i="30"/>
  <c r="J33" i="30"/>
  <c r="J34" i="30" s="1"/>
  <c r="J42" i="30" s="1"/>
  <c r="I33" i="30"/>
  <c r="H33" i="30"/>
  <c r="G33" i="30"/>
  <c r="F33" i="30"/>
  <c r="E33" i="30"/>
  <c r="C33" i="30"/>
  <c r="M32" i="30"/>
  <c r="L32" i="30"/>
  <c r="L34" i="30" s="1"/>
  <c r="K32" i="30"/>
  <c r="J32" i="30"/>
  <c r="I32" i="30"/>
  <c r="H32" i="30"/>
  <c r="H34" i="30" s="1"/>
  <c r="G32" i="30"/>
  <c r="G34" i="30" s="1"/>
  <c r="F32" i="30"/>
  <c r="F34" i="30" s="1"/>
  <c r="E32" i="30"/>
  <c r="D32" i="30"/>
  <c r="C32" i="30"/>
  <c r="B32" i="30"/>
  <c r="K29" i="30"/>
  <c r="F29" i="30"/>
  <c r="M28" i="30"/>
  <c r="K28" i="30"/>
  <c r="J28" i="30"/>
  <c r="H28" i="30"/>
  <c r="E28" i="30"/>
  <c r="C28" i="30"/>
  <c r="M27" i="30"/>
  <c r="M29" i="30" s="1"/>
  <c r="L27" i="30"/>
  <c r="L29" i="30" s="1"/>
  <c r="K27" i="30"/>
  <c r="K45" i="30" s="1"/>
  <c r="J27" i="30"/>
  <c r="I27" i="30"/>
  <c r="I29" i="30" s="1"/>
  <c r="H27" i="30"/>
  <c r="H29" i="30" s="1"/>
  <c r="G27" i="30"/>
  <c r="F27" i="30"/>
  <c r="E27" i="30"/>
  <c r="D27" i="30"/>
  <c r="D29" i="30" s="1"/>
  <c r="C27" i="30"/>
  <c r="B27" i="30"/>
  <c r="C18" i="30"/>
  <c r="M16" i="30"/>
  <c r="M21" i="30" s="1"/>
  <c r="H16" i="30"/>
  <c r="H21" i="30" s="1"/>
  <c r="F16" i="30"/>
  <c r="F21" i="30" s="1"/>
  <c r="E16" i="30"/>
  <c r="E21" i="30" s="1"/>
  <c r="B16" i="30"/>
  <c r="B21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J14" i="30"/>
  <c r="J18" i="30" s="1"/>
  <c r="F14" i="30"/>
  <c r="F18" i="30" s="1"/>
  <c r="C14" i="30"/>
  <c r="M13" i="30"/>
  <c r="M37" i="30" s="1"/>
  <c r="L13" i="30"/>
  <c r="L37" i="30" s="1"/>
  <c r="L38" i="30" s="1"/>
  <c r="K13" i="30"/>
  <c r="K37" i="30" s="1"/>
  <c r="J13" i="30"/>
  <c r="J37" i="30" s="1"/>
  <c r="I13" i="30"/>
  <c r="H13" i="30"/>
  <c r="H37" i="30" s="1"/>
  <c r="G13" i="30"/>
  <c r="F13" i="30"/>
  <c r="E13" i="30"/>
  <c r="E37" i="30" s="1"/>
  <c r="D13" i="30"/>
  <c r="D37" i="30" s="1"/>
  <c r="D38" i="30" s="1"/>
  <c r="C13" i="30"/>
  <c r="B13" i="30"/>
  <c r="B37" i="30" s="1"/>
  <c r="M12" i="30"/>
  <c r="L12" i="30"/>
  <c r="L16" i="30" s="1"/>
  <c r="K12" i="30"/>
  <c r="J12" i="30"/>
  <c r="J16" i="30" s="1"/>
  <c r="J21" i="30" s="1"/>
  <c r="I12" i="30"/>
  <c r="I14" i="30" s="1"/>
  <c r="I18" i="30" s="1"/>
  <c r="H12" i="30"/>
  <c r="H14" i="30" s="1"/>
  <c r="H18" i="30" s="1"/>
  <c r="G12" i="30"/>
  <c r="G16" i="30" s="1"/>
  <c r="F12" i="30"/>
  <c r="E12" i="30"/>
  <c r="D12" i="30"/>
  <c r="D16" i="30" s="1"/>
  <c r="C12" i="30"/>
  <c r="C16" i="30" s="1"/>
  <c r="C21" i="30" s="1"/>
  <c r="B12" i="30"/>
  <c r="B14" i="30" s="1"/>
  <c r="B18" i="30" s="1"/>
  <c r="M5" i="30"/>
  <c r="H5" i="30"/>
  <c r="G5" i="30"/>
  <c r="E5" i="30"/>
  <c r="M4" i="30"/>
  <c r="L4" i="30"/>
  <c r="L28" i="30" s="1"/>
  <c r="K4" i="30"/>
  <c r="J4" i="30"/>
  <c r="I4" i="30"/>
  <c r="I28" i="30" s="1"/>
  <c r="H4" i="30"/>
  <c r="G4" i="30"/>
  <c r="G28" i="30" s="1"/>
  <c r="G29" i="30" s="1"/>
  <c r="F4" i="30"/>
  <c r="F28" i="30" s="1"/>
  <c r="E4" i="30"/>
  <c r="D4" i="30"/>
  <c r="D28" i="30" s="1"/>
  <c r="C4" i="30"/>
  <c r="B4" i="30"/>
  <c r="B28" i="30" s="1"/>
  <c r="M3" i="30"/>
  <c r="L3" i="30"/>
  <c r="L5" i="30" s="1"/>
  <c r="K3" i="30"/>
  <c r="K5" i="30" s="1"/>
  <c r="J3" i="30"/>
  <c r="J5" i="30" s="1"/>
  <c r="I3" i="30"/>
  <c r="I5" i="30" s="1"/>
  <c r="H3" i="30"/>
  <c r="G3" i="30"/>
  <c r="F3" i="30"/>
  <c r="F5" i="30" s="1"/>
  <c r="E3" i="30"/>
  <c r="D3" i="30"/>
  <c r="D5" i="30" s="1"/>
  <c r="C3" i="30"/>
  <c r="C5" i="30" s="1"/>
  <c r="B3" i="30"/>
  <c r="A1" i="30"/>
  <c r="R4" i="26"/>
  <c r="R5" i="29"/>
  <c r="R4" i="29"/>
  <c r="R3" i="29"/>
  <c r="M85" i="29"/>
  <c r="L85" i="29"/>
  <c r="K85" i="29"/>
  <c r="J85" i="29"/>
  <c r="I85" i="29"/>
  <c r="H85" i="29"/>
  <c r="H86" i="29" s="1"/>
  <c r="G85" i="29"/>
  <c r="G86" i="29" s="1"/>
  <c r="F85" i="29"/>
  <c r="E85" i="29"/>
  <c r="D85" i="29"/>
  <c r="C85" i="29"/>
  <c r="B85" i="29"/>
  <c r="M81" i="29"/>
  <c r="L81" i="29"/>
  <c r="K81" i="29"/>
  <c r="J81" i="29"/>
  <c r="I81" i="29"/>
  <c r="H81" i="29"/>
  <c r="G81" i="29"/>
  <c r="F81" i="29"/>
  <c r="E81" i="29"/>
  <c r="D81" i="29"/>
  <c r="C81" i="29"/>
  <c r="B81" i="29"/>
  <c r="M76" i="29"/>
  <c r="L76" i="29"/>
  <c r="K76" i="29"/>
  <c r="J76" i="29"/>
  <c r="J77" i="29" s="1"/>
  <c r="I76" i="29"/>
  <c r="H76" i="29"/>
  <c r="G76" i="29"/>
  <c r="F76" i="29"/>
  <c r="E76" i="29"/>
  <c r="D76" i="29"/>
  <c r="C76" i="29"/>
  <c r="B76" i="29"/>
  <c r="M88" i="29"/>
  <c r="L88" i="29"/>
  <c r="K88" i="29"/>
  <c r="J88" i="29"/>
  <c r="I88" i="29"/>
  <c r="H88" i="29"/>
  <c r="H93" i="29" s="1"/>
  <c r="G88" i="29"/>
  <c r="F88" i="29"/>
  <c r="E88" i="29"/>
  <c r="D88" i="29"/>
  <c r="C88" i="29"/>
  <c r="B88" i="29"/>
  <c r="M84" i="29"/>
  <c r="M86" i="29" s="1"/>
  <c r="L84" i="29"/>
  <c r="L86" i="29" s="1"/>
  <c r="K84" i="29"/>
  <c r="K86" i="29" s="1"/>
  <c r="J84" i="29"/>
  <c r="I84" i="29"/>
  <c r="H84" i="29"/>
  <c r="G84" i="29"/>
  <c r="F84" i="29"/>
  <c r="F86" i="29" s="1"/>
  <c r="E84" i="29"/>
  <c r="E86" i="29" s="1"/>
  <c r="D84" i="29"/>
  <c r="D86" i="29" s="1"/>
  <c r="C84" i="29"/>
  <c r="C86" i="29" s="1"/>
  <c r="B84" i="29"/>
  <c r="M80" i="29"/>
  <c r="L80" i="29"/>
  <c r="K80" i="29"/>
  <c r="J80" i="29"/>
  <c r="I80" i="29"/>
  <c r="H80" i="29"/>
  <c r="G80" i="29"/>
  <c r="F80" i="29"/>
  <c r="F82" i="29" s="1"/>
  <c r="E80" i="29"/>
  <c r="D80" i="29"/>
  <c r="C80" i="29"/>
  <c r="B80" i="29"/>
  <c r="M75" i="29"/>
  <c r="M77" i="29" s="1"/>
  <c r="L75" i="29"/>
  <c r="L77" i="29" s="1"/>
  <c r="K75" i="29"/>
  <c r="K77" i="29" s="1"/>
  <c r="J75" i="29"/>
  <c r="I75" i="29"/>
  <c r="H75" i="29"/>
  <c r="G75" i="29"/>
  <c r="F75" i="29"/>
  <c r="F77" i="29" s="1"/>
  <c r="E75" i="29"/>
  <c r="E77" i="29" s="1"/>
  <c r="D75" i="29"/>
  <c r="D77" i="29" s="1"/>
  <c r="C75" i="29"/>
  <c r="C77" i="29" s="1"/>
  <c r="B75" i="29"/>
  <c r="B93" i="29" s="1"/>
  <c r="J93" i="29"/>
  <c r="J86" i="29"/>
  <c r="I86" i="29"/>
  <c r="B86" i="29"/>
  <c r="M82" i="29"/>
  <c r="L82" i="29"/>
  <c r="K82" i="29"/>
  <c r="J82" i="29"/>
  <c r="I82" i="29"/>
  <c r="H82" i="29"/>
  <c r="G82" i="29"/>
  <c r="E82" i="29"/>
  <c r="D82" i="29"/>
  <c r="C82" i="29"/>
  <c r="B82" i="29"/>
  <c r="I77" i="29"/>
  <c r="H77" i="29"/>
  <c r="M13" i="29"/>
  <c r="L13" i="29"/>
  <c r="K13" i="29"/>
  <c r="J13" i="29"/>
  <c r="I13" i="29"/>
  <c r="H13" i="29"/>
  <c r="G13" i="29"/>
  <c r="F13" i="29"/>
  <c r="F33" i="29" s="1"/>
  <c r="E13" i="29"/>
  <c r="D13" i="29"/>
  <c r="C13" i="29"/>
  <c r="B13" i="29"/>
  <c r="M4" i="29"/>
  <c r="L4" i="29"/>
  <c r="K4" i="29"/>
  <c r="J4" i="29"/>
  <c r="I4" i="29"/>
  <c r="H4" i="29"/>
  <c r="H28" i="29" s="1"/>
  <c r="H29" i="29" s="1"/>
  <c r="G4" i="29"/>
  <c r="F4" i="29"/>
  <c r="E4" i="29"/>
  <c r="D4" i="29"/>
  <c r="C4" i="29"/>
  <c r="B4" i="29"/>
  <c r="B28" i="29" s="1"/>
  <c r="M61" i="29"/>
  <c r="L61" i="29"/>
  <c r="K61" i="29"/>
  <c r="J61" i="29"/>
  <c r="I61" i="29"/>
  <c r="I37" i="29" s="1"/>
  <c r="H61" i="29"/>
  <c r="H37" i="29" s="1"/>
  <c r="G61" i="29"/>
  <c r="F61" i="29"/>
  <c r="E61" i="29"/>
  <c r="D61" i="29"/>
  <c r="C61" i="29"/>
  <c r="B61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B62" i="29" s="1"/>
  <c r="M57" i="29"/>
  <c r="L57" i="29"/>
  <c r="K57" i="29"/>
  <c r="J57" i="29"/>
  <c r="I57" i="29"/>
  <c r="H57" i="29"/>
  <c r="G57" i="29"/>
  <c r="G58" i="29" s="1"/>
  <c r="F57" i="29"/>
  <c r="F58" i="29" s="1"/>
  <c r="E57" i="29"/>
  <c r="D57" i="29"/>
  <c r="C57" i="29"/>
  <c r="B57" i="29"/>
  <c r="M56" i="29"/>
  <c r="L56" i="29"/>
  <c r="K56" i="29"/>
  <c r="J56" i="29"/>
  <c r="J58" i="29" s="1"/>
  <c r="I56" i="29"/>
  <c r="H56" i="29"/>
  <c r="G56" i="29"/>
  <c r="F56" i="29"/>
  <c r="E56" i="29"/>
  <c r="D56" i="29"/>
  <c r="C56" i="29"/>
  <c r="C58" i="29" s="1"/>
  <c r="B56" i="29"/>
  <c r="B58" i="29" s="1"/>
  <c r="M52" i="29"/>
  <c r="L52" i="29"/>
  <c r="K52" i="29"/>
  <c r="J52" i="29"/>
  <c r="I52" i="29"/>
  <c r="H52" i="29"/>
  <c r="G52" i="29"/>
  <c r="F52" i="29"/>
  <c r="E52" i="29"/>
  <c r="D52" i="29"/>
  <c r="C52" i="29"/>
  <c r="M51" i="29"/>
  <c r="L51" i="29"/>
  <c r="K51" i="29"/>
  <c r="K53" i="29" s="1"/>
  <c r="J51" i="29"/>
  <c r="I51" i="29"/>
  <c r="H51" i="29"/>
  <c r="H53" i="29" s="1"/>
  <c r="G51" i="29"/>
  <c r="F51" i="29"/>
  <c r="F53" i="29" s="1"/>
  <c r="E51" i="29"/>
  <c r="D51" i="29"/>
  <c r="C51" i="29"/>
  <c r="C53" i="29" s="1"/>
  <c r="B52" i="29"/>
  <c r="B51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M3" i="29"/>
  <c r="L3" i="29"/>
  <c r="K3" i="29"/>
  <c r="J3" i="29"/>
  <c r="I3" i="29"/>
  <c r="H3" i="29"/>
  <c r="G3" i="29"/>
  <c r="F3" i="29"/>
  <c r="E3" i="29"/>
  <c r="D3" i="29"/>
  <c r="C3" i="29"/>
  <c r="B3" i="29"/>
  <c r="D28" i="27"/>
  <c r="M64" i="29"/>
  <c r="L64" i="29"/>
  <c r="K64" i="29"/>
  <c r="J64" i="29"/>
  <c r="I64" i="29"/>
  <c r="H64" i="29"/>
  <c r="G64" i="29"/>
  <c r="F64" i="29"/>
  <c r="E64" i="29"/>
  <c r="D64" i="29"/>
  <c r="C64" i="29"/>
  <c r="B64" i="29"/>
  <c r="M58" i="29"/>
  <c r="E58" i="29"/>
  <c r="J53" i="29"/>
  <c r="M37" i="29"/>
  <c r="E37" i="29"/>
  <c r="E38" i="29" s="1"/>
  <c r="C37" i="29"/>
  <c r="M33" i="29"/>
  <c r="L33" i="29"/>
  <c r="K33" i="29"/>
  <c r="J33" i="29"/>
  <c r="I33" i="29"/>
  <c r="H33" i="29"/>
  <c r="G33" i="29"/>
  <c r="D28" i="29"/>
  <c r="G28" i="29"/>
  <c r="L28" i="29"/>
  <c r="M40" i="29"/>
  <c r="M45" i="29" s="1"/>
  <c r="L40" i="29"/>
  <c r="K40" i="29"/>
  <c r="J40" i="29"/>
  <c r="I40" i="29"/>
  <c r="H40" i="29"/>
  <c r="G40" i="29"/>
  <c r="F40" i="29"/>
  <c r="E40" i="29"/>
  <c r="E45" i="29" s="1"/>
  <c r="D40" i="29"/>
  <c r="C40" i="29"/>
  <c r="B40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M32" i="29"/>
  <c r="L32" i="29"/>
  <c r="K32" i="29"/>
  <c r="J32" i="29"/>
  <c r="I32" i="29"/>
  <c r="H32" i="29"/>
  <c r="H45" i="29" s="1"/>
  <c r="G32" i="29"/>
  <c r="F32" i="29"/>
  <c r="E32" i="29"/>
  <c r="D32" i="29"/>
  <c r="C32" i="29"/>
  <c r="B32" i="29"/>
  <c r="C27" i="29"/>
  <c r="D27" i="29"/>
  <c r="E27" i="29"/>
  <c r="F27" i="29"/>
  <c r="G27" i="29"/>
  <c r="H27" i="29"/>
  <c r="I27" i="29"/>
  <c r="J27" i="29"/>
  <c r="K27" i="29"/>
  <c r="L27" i="29"/>
  <c r="M27" i="29"/>
  <c r="B27" i="29"/>
  <c r="G16" i="29"/>
  <c r="C33" i="29"/>
  <c r="C34" i="29" s="1"/>
  <c r="D33" i="29"/>
  <c r="D34" i="29" s="1"/>
  <c r="E33" i="29"/>
  <c r="E34" i="29" s="1"/>
  <c r="G37" i="29"/>
  <c r="G38" i="29" s="1"/>
  <c r="J37" i="29"/>
  <c r="J38" i="29" s="1"/>
  <c r="K37" i="29"/>
  <c r="L37" i="29"/>
  <c r="B37" i="29"/>
  <c r="B38" i="29" s="1"/>
  <c r="L5" i="29"/>
  <c r="C28" i="29"/>
  <c r="C29" i="29" s="1"/>
  <c r="I28" i="29"/>
  <c r="I29" i="29" s="1"/>
  <c r="J28" i="29"/>
  <c r="K28" i="29"/>
  <c r="K29" i="29" s="1"/>
  <c r="D5" i="29"/>
  <c r="A1" i="29"/>
  <c r="J62" i="29"/>
  <c r="I62" i="29"/>
  <c r="G62" i="29"/>
  <c r="L58" i="29"/>
  <c r="K58" i="29"/>
  <c r="I58" i="29"/>
  <c r="H58" i="29"/>
  <c r="D58" i="29"/>
  <c r="L53" i="29"/>
  <c r="G53" i="29"/>
  <c r="D53" i="29"/>
  <c r="L45" i="29"/>
  <c r="K45" i="29"/>
  <c r="I45" i="29"/>
  <c r="G45" i="29"/>
  <c r="D45" i="29"/>
  <c r="C45" i="29"/>
  <c r="B45" i="29"/>
  <c r="L34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M38" i="29"/>
  <c r="M34" i="29"/>
  <c r="K34" i="29"/>
  <c r="J34" i="29"/>
  <c r="I34" i="29"/>
  <c r="G34" i="29"/>
  <c r="M52" i="26"/>
  <c r="L52" i="26"/>
  <c r="K52" i="26"/>
  <c r="J52" i="26"/>
  <c r="I52" i="26"/>
  <c r="H52" i="26"/>
  <c r="D66" i="30" l="1"/>
  <c r="D65" i="30" s="1"/>
  <c r="K58" i="30"/>
  <c r="J47" i="30"/>
  <c r="J46" i="30" s="1"/>
  <c r="D21" i="30"/>
  <c r="L21" i="30"/>
  <c r="J23" i="30"/>
  <c r="J22" i="30" s="1"/>
  <c r="J17" i="30"/>
  <c r="J41" i="30" s="1"/>
  <c r="H38" i="30"/>
  <c r="H42" i="30" s="1"/>
  <c r="H47" i="30" s="1"/>
  <c r="L65" i="30"/>
  <c r="L71" i="30"/>
  <c r="L70" i="30" s="1"/>
  <c r="H95" i="30"/>
  <c r="B5" i="30"/>
  <c r="N5" i="30" s="1"/>
  <c r="I47" i="30"/>
  <c r="I46" i="30" s="1"/>
  <c r="B45" i="30"/>
  <c r="I80" i="30"/>
  <c r="I82" i="30" s="1"/>
  <c r="I58" i="30"/>
  <c r="J69" i="30"/>
  <c r="J88" i="30"/>
  <c r="J45" i="30"/>
  <c r="H17" i="30"/>
  <c r="H41" i="30" s="1"/>
  <c r="H23" i="30"/>
  <c r="H22" i="30" s="1"/>
  <c r="L42" i="30"/>
  <c r="L47" i="30" s="1"/>
  <c r="L46" i="30" s="1"/>
  <c r="I23" i="30"/>
  <c r="I22" i="30" s="1"/>
  <c r="C17" i="30"/>
  <c r="C41" i="30" s="1"/>
  <c r="C23" i="30"/>
  <c r="C22" i="30" s="1"/>
  <c r="E38" i="30"/>
  <c r="E42" i="30" s="1"/>
  <c r="E47" i="30" s="1"/>
  <c r="E46" i="30" s="1"/>
  <c r="M38" i="30"/>
  <c r="M42" i="30" s="1"/>
  <c r="M47" i="30" s="1"/>
  <c r="M46" i="30" s="1"/>
  <c r="B23" i="30"/>
  <c r="B17" i="30"/>
  <c r="B41" i="30" s="1"/>
  <c r="C29" i="30"/>
  <c r="C45" i="30"/>
  <c r="E45" i="30"/>
  <c r="E64" i="30"/>
  <c r="M64" i="30"/>
  <c r="M45" i="30"/>
  <c r="I84" i="30"/>
  <c r="I86" i="30" s="1"/>
  <c r="I90" i="30" s="1"/>
  <c r="I62" i="30"/>
  <c r="L88" i="30"/>
  <c r="L93" i="30" s="1"/>
  <c r="L69" i="30"/>
  <c r="E95" i="30"/>
  <c r="B69" i="30"/>
  <c r="B88" i="30"/>
  <c r="B93" i="30" s="1"/>
  <c r="N90" i="30"/>
  <c r="B95" i="30"/>
  <c r="K16" i="30"/>
  <c r="K21" i="30" s="1"/>
  <c r="K14" i="30"/>
  <c r="K18" i="30" s="1"/>
  <c r="G37" i="30"/>
  <c r="G38" i="30" s="1"/>
  <c r="G42" i="30" s="1"/>
  <c r="G47" i="30" s="1"/>
  <c r="G46" i="30" s="1"/>
  <c r="G14" i="30"/>
  <c r="G18" i="30" s="1"/>
  <c r="F23" i="30"/>
  <c r="F22" i="30" s="1"/>
  <c r="F17" i="30"/>
  <c r="F41" i="30" s="1"/>
  <c r="J75" i="30"/>
  <c r="J77" i="30" s="1"/>
  <c r="N77" i="30" s="1"/>
  <c r="J53" i="30"/>
  <c r="B53" i="30"/>
  <c r="J90" i="30"/>
  <c r="F95" i="30"/>
  <c r="F94" i="30" s="1"/>
  <c r="F89" i="30"/>
  <c r="E34" i="30"/>
  <c r="M34" i="30"/>
  <c r="F38" i="30"/>
  <c r="F42" i="30" s="1"/>
  <c r="F47" i="30" s="1"/>
  <c r="F46" i="30" s="1"/>
  <c r="L53" i="30"/>
  <c r="G90" i="30"/>
  <c r="J62" i="30"/>
  <c r="C69" i="30"/>
  <c r="G80" i="30"/>
  <c r="G82" i="30" s="1"/>
  <c r="K90" i="30"/>
  <c r="L14" i="30"/>
  <c r="L18" i="30" s="1"/>
  <c r="B29" i="30"/>
  <c r="N29" i="30" s="1"/>
  <c r="J29" i="30"/>
  <c r="B33" i="30"/>
  <c r="B34" i="30" s="1"/>
  <c r="D45" i="30"/>
  <c r="L45" i="30"/>
  <c r="H66" i="30"/>
  <c r="D69" i="30"/>
  <c r="D14" i="30"/>
  <c r="K53" i="30"/>
  <c r="B58" i="30"/>
  <c r="B66" i="30" s="1"/>
  <c r="M95" i="30"/>
  <c r="M14" i="30"/>
  <c r="M18" i="30" s="1"/>
  <c r="I16" i="30"/>
  <c r="I21" i="30" s="1"/>
  <c r="E29" i="30"/>
  <c r="K66" i="30"/>
  <c r="K69" i="30"/>
  <c r="C90" i="30"/>
  <c r="C38" i="30"/>
  <c r="K38" i="30"/>
  <c r="G53" i="30"/>
  <c r="D82" i="30"/>
  <c r="N82" i="30" s="1"/>
  <c r="L82" i="30"/>
  <c r="F58" i="30"/>
  <c r="F66" i="30" s="1"/>
  <c r="D90" i="30"/>
  <c r="L90" i="30"/>
  <c r="H88" i="30"/>
  <c r="H93" i="30" s="1"/>
  <c r="C53" i="30"/>
  <c r="J58" i="30"/>
  <c r="G69" i="30"/>
  <c r="E14" i="30"/>
  <c r="E18" i="30" s="1"/>
  <c r="C66" i="30"/>
  <c r="D93" i="30"/>
  <c r="G21" i="30"/>
  <c r="C34" i="30"/>
  <c r="K34" i="30"/>
  <c r="I45" i="30"/>
  <c r="H45" i="30"/>
  <c r="F53" i="30"/>
  <c r="E58" i="30"/>
  <c r="M58" i="30"/>
  <c r="E62" i="30"/>
  <c r="M62" i="30"/>
  <c r="G62" i="30"/>
  <c r="G66" i="30" s="1"/>
  <c r="I88" i="30"/>
  <c r="I93" i="30" s="1"/>
  <c r="D33" i="30"/>
  <c r="D34" i="30" s="1"/>
  <c r="D42" i="30" s="1"/>
  <c r="D47" i="30" s="1"/>
  <c r="D46" i="30" s="1"/>
  <c r="G77" i="29"/>
  <c r="N82" i="29"/>
  <c r="E93" i="29"/>
  <c r="M93" i="29"/>
  <c r="K93" i="29"/>
  <c r="L93" i="29"/>
  <c r="F93" i="29"/>
  <c r="C93" i="29"/>
  <c r="D93" i="29"/>
  <c r="G93" i="29"/>
  <c r="B77" i="29"/>
  <c r="G90" i="29"/>
  <c r="H90" i="29"/>
  <c r="I90" i="29"/>
  <c r="J90" i="29"/>
  <c r="C90" i="29"/>
  <c r="D90" i="29"/>
  <c r="L90" i="29"/>
  <c r="B90" i="29"/>
  <c r="N86" i="29"/>
  <c r="K90" i="29"/>
  <c r="E90" i="29"/>
  <c r="M90" i="29"/>
  <c r="F90" i="29"/>
  <c r="I93" i="29"/>
  <c r="M28" i="29"/>
  <c r="M29" i="29" s="1"/>
  <c r="F28" i="29"/>
  <c r="F29" i="29" s="1"/>
  <c r="E28" i="29"/>
  <c r="H62" i="29"/>
  <c r="D37" i="29"/>
  <c r="L38" i="29"/>
  <c r="B33" i="29"/>
  <c r="B34" i="29" s="1"/>
  <c r="D38" i="29"/>
  <c r="D42" i="29" s="1"/>
  <c r="K38" i="29"/>
  <c r="K42" i="29" s="1"/>
  <c r="K47" i="29" s="1"/>
  <c r="K46" i="29" s="1"/>
  <c r="F37" i="29"/>
  <c r="F38" i="29" s="1"/>
  <c r="C38" i="29"/>
  <c r="M53" i="29"/>
  <c r="G29" i="29"/>
  <c r="E53" i="29"/>
  <c r="B29" i="29"/>
  <c r="M69" i="29"/>
  <c r="N58" i="29"/>
  <c r="H66" i="29"/>
  <c r="H71" i="29" s="1"/>
  <c r="I66" i="29"/>
  <c r="G66" i="29"/>
  <c r="G71" i="29" s="1"/>
  <c r="J66" i="29"/>
  <c r="J65" i="29" s="1"/>
  <c r="I38" i="29"/>
  <c r="H38" i="29"/>
  <c r="L29" i="29"/>
  <c r="D29" i="29"/>
  <c r="E29" i="29"/>
  <c r="F62" i="29"/>
  <c r="F66" i="29" s="1"/>
  <c r="F71" i="29" s="1"/>
  <c r="F69" i="29"/>
  <c r="F45" i="29"/>
  <c r="G14" i="29"/>
  <c r="G18" i="29" s="1"/>
  <c r="G17" i="29" s="1"/>
  <c r="G41" i="29" s="1"/>
  <c r="C62" i="29"/>
  <c r="C66" i="29" s="1"/>
  <c r="C71" i="29" s="1"/>
  <c r="D62" i="29"/>
  <c r="D66" i="29" s="1"/>
  <c r="D71" i="29" s="1"/>
  <c r="B69" i="29"/>
  <c r="K62" i="29"/>
  <c r="K66" i="29" s="1"/>
  <c r="L62" i="29"/>
  <c r="L66" i="29" s="1"/>
  <c r="F34" i="29"/>
  <c r="H34" i="29"/>
  <c r="H42" i="29" s="1"/>
  <c r="I53" i="29"/>
  <c r="J29" i="29"/>
  <c r="J45" i="29"/>
  <c r="C69" i="29"/>
  <c r="K69" i="29"/>
  <c r="D69" i="29"/>
  <c r="L69" i="29"/>
  <c r="J69" i="29"/>
  <c r="E69" i="29"/>
  <c r="G21" i="29"/>
  <c r="B5" i="29"/>
  <c r="B53" i="29"/>
  <c r="L42" i="29"/>
  <c r="J42" i="29"/>
  <c r="E5" i="29"/>
  <c r="M5" i="29"/>
  <c r="G42" i="29"/>
  <c r="K71" i="29"/>
  <c r="K65" i="29"/>
  <c r="E42" i="29"/>
  <c r="L71" i="29"/>
  <c r="L65" i="29"/>
  <c r="I42" i="29"/>
  <c r="B66" i="29"/>
  <c r="M42" i="29"/>
  <c r="B42" i="29"/>
  <c r="G69" i="29"/>
  <c r="E62" i="29"/>
  <c r="E66" i="29" s="1"/>
  <c r="M62" i="29"/>
  <c r="M66" i="29" s="1"/>
  <c r="H69" i="29"/>
  <c r="I69" i="29"/>
  <c r="C60" i="27"/>
  <c r="D60" i="27"/>
  <c r="E60" i="27"/>
  <c r="F60" i="27"/>
  <c r="G60" i="27"/>
  <c r="H60" i="27"/>
  <c r="I60" i="27"/>
  <c r="J60" i="27"/>
  <c r="K60" i="27"/>
  <c r="L60" i="27"/>
  <c r="M60" i="27"/>
  <c r="B60" i="27"/>
  <c r="J51" i="27"/>
  <c r="K51" i="27"/>
  <c r="L51" i="27"/>
  <c r="M51" i="27"/>
  <c r="C51" i="27"/>
  <c r="D51" i="27"/>
  <c r="E51" i="27"/>
  <c r="F51" i="27"/>
  <c r="G51" i="27"/>
  <c r="H51" i="27"/>
  <c r="I51" i="27"/>
  <c r="B51" i="27"/>
  <c r="C84" i="26"/>
  <c r="D84" i="26"/>
  <c r="E84" i="26"/>
  <c r="F84" i="26"/>
  <c r="G84" i="26"/>
  <c r="H84" i="26"/>
  <c r="I84" i="26"/>
  <c r="J84" i="26"/>
  <c r="K84" i="26"/>
  <c r="L84" i="26"/>
  <c r="M84" i="26"/>
  <c r="B84" i="26"/>
  <c r="D75" i="26"/>
  <c r="G75" i="26"/>
  <c r="C60" i="26"/>
  <c r="D60" i="26"/>
  <c r="E60" i="26"/>
  <c r="F60" i="26"/>
  <c r="G60" i="26"/>
  <c r="H60" i="26"/>
  <c r="I60" i="26"/>
  <c r="J60" i="26"/>
  <c r="K60" i="26"/>
  <c r="L60" i="26"/>
  <c r="M60" i="26"/>
  <c r="B60" i="26"/>
  <c r="D51" i="26"/>
  <c r="G51" i="26"/>
  <c r="B51" i="26"/>
  <c r="C27" i="26"/>
  <c r="C51" i="26" s="1"/>
  <c r="D27" i="26"/>
  <c r="E27" i="26"/>
  <c r="E75" i="26" s="1"/>
  <c r="F27" i="26"/>
  <c r="F75" i="26" s="1"/>
  <c r="G27" i="26"/>
  <c r="B27" i="26"/>
  <c r="B75" i="26" s="1"/>
  <c r="D71" i="30" l="1"/>
  <c r="D70" i="30" s="1"/>
  <c r="J66" i="30"/>
  <c r="J71" i="30" s="1"/>
  <c r="J70" i="30" s="1"/>
  <c r="I66" i="30"/>
  <c r="I71" i="30" s="1"/>
  <c r="I70" i="30" s="1"/>
  <c r="F71" i="30"/>
  <c r="F70" i="30" s="1"/>
  <c r="F65" i="30"/>
  <c r="G65" i="30"/>
  <c r="G71" i="30"/>
  <c r="G70" i="30" s="1"/>
  <c r="J65" i="30"/>
  <c r="M66" i="30"/>
  <c r="C42" i="30"/>
  <c r="C47" i="30" s="1"/>
  <c r="C46" i="30" s="1"/>
  <c r="N58" i="30"/>
  <c r="N34" i="30"/>
  <c r="B42" i="30"/>
  <c r="G89" i="30"/>
  <c r="G95" i="30"/>
  <c r="G94" i="30" s="1"/>
  <c r="I95" i="30"/>
  <c r="I94" i="30" s="1"/>
  <c r="I89" i="30"/>
  <c r="E66" i="30"/>
  <c r="N62" i="30"/>
  <c r="L95" i="30"/>
  <c r="L94" i="30" s="1"/>
  <c r="L89" i="30"/>
  <c r="C89" i="30"/>
  <c r="C95" i="30"/>
  <c r="C94" i="30" s="1"/>
  <c r="J95" i="30"/>
  <c r="J89" i="30"/>
  <c r="G23" i="30"/>
  <c r="G22" i="30" s="1"/>
  <c r="G17" i="30"/>
  <c r="G41" i="30" s="1"/>
  <c r="B22" i="30"/>
  <c r="H46" i="30"/>
  <c r="D18" i="30"/>
  <c r="N14" i="30"/>
  <c r="B71" i="30"/>
  <c r="B65" i="30"/>
  <c r="N38" i="30"/>
  <c r="C65" i="30"/>
  <c r="C71" i="30"/>
  <c r="C70" i="30" s="1"/>
  <c r="K65" i="30"/>
  <c r="K71" i="30"/>
  <c r="K70" i="30" s="1"/>
  <c r="L23" i="30"/>
  <c r="L22" i="30" s="1"/>
  <c r="L17" i="30"/>
  <c r="L41" i="30" s="1"/>
  <c r="N53" i="30"/>
  <c r="O53" i="30" s="1"/>
  <c r="K17" i="30"/>
  <c r="K41" i="30" s="1"/>
  <c r="K23" i="30"/>
  <c r="K22" i="30" s="1"/>
  <c r="E69" i="30"/>
  <c r="E88" i="30"/>
  <c r="E23" i="30"/>
  <c r="E22" i="30" s="1"/>
  <c r="E17" i="30"/>
  <c r="E41" i="30" s="1"/>
  <c r="K89" i="30"/>
  <c r="K95" i="30"/>
  <c r="K94" i="30" s="1"/>
  <c r="J93" i="30"/>
  <c r="K42" i="30"/>
  <c r="K47" i="30" s="1"/>
  <c r="K46" i="30" s="1"/>
  <c r="D95" i="30"/>
  <c r="D94" i="30" s="1"/>
  <c r="D89" i="30"/>
  <c r="M69" i="30"/>
  <c r="M88" i="30"/>
  <c r="H71" i="30"/>
  <c r="H70" i="30" s="1"/>
  <c r="H65" i="30"/>
  <c r="B89" i="30"/>
  <c r="H94" i="30"/>
  <c r="M23" i="30"/>
  <c r="M22" i="30" s="1"/>
  <c r="M17" i="30"/>
  <c r="M41" i="30" s="1"/>
  <c r="B94" i="30"/>
  <c r="I17" i="30"/>
  <c r="I41" i="30" s="1"/>
  <c r="N86" i="30"/>
  <c r="H89" i="30"/>
  <c r="N77" i="29"/>
  <c r="O77" i="29" s="1"/>
  <c r="B95" i="29"/>
  <c r="N90" i="29"/>
  <c r="O90" i="29" s="1"/>
  <c r="B89" i="29"/>
  <c r="L95" i="29"/>
  <c r="L94" i="29" s="1"/>
  <c r="L89" i="29"/>
  <c r="F95" i="29"/>
  <c r="F94" i="29" s="1"/>
  <c r="F89" i="29"/>
  <c r="C95" i="29"/>
  <c r="C94" i="29" s="1"/>
  <c r="C89" i="29"/>
  <c r="J95" i="29"/>
  <c r="J94" i="29" s="1"/>
  <c r="J89" i="29"/>
  <c r="D89" i="29"/>
  <c r="D95" i="29"/>
  <c r="D94" i="29" s="1"/>
  <c r="M95" i="29"/>
  <c r="M94" i="29" s="1"/>
  <c r="M89" i="29"/>
  <c r="E95" i="29"/>
  <c r="E94" i="29" s="1"/>
  <c r="E89" i="29"/>
  <c r="I89" i="29"/>
  <c r="I95" i="29"/>
  <c r="I94" i="29" s="1"/>
  <c r="K95" i="29"/>
  <c r="K94" i="29" s="1"/>
  <c r="K89" i="29"/>
  <c r="H89" i="29"/>
  <c r="H95" i="29"/>
  <c r="H94" i="29" s="1"/>
  <c r="G95" i="29"/>
  <c r="G94" i="29" s="1"/>
  <c r="G89" i="29"/>
  <c r="N38" i="29"/>
  <c r="J47" i="29"/>
  <c r="C42" i="29"/>
  <c r="C47" i="29" s="1"/>
  <c r="C46" i="29" s="1"/>
  <c r="I71" i="29"/>
  <c r="N29" i="29"/>
  <c r="O53" i="29" s="1"/>
  <c r="N53" i="29"/>
  <c r="D70" i="29"/>
  <c r="J71" i="29"/>
  <c r="J70" i="29" s="1"/>
  <c r="F65" i="29"/>
  <c r="C70" i="29"/>
  <c r="L47" i="29"/>
  <c r="L46" i="29" s="1"/>
  <c r="C65" i="29"/>
  <c r="J14" i="29"/>
  <c r="J18" i="29" s="1"/>
  <c r="J16" i="29"/>
  <c r="J21" i="29" s="1"/>
  <c r="B14" i="29"/>
  <c r="B18" i="29" s="1"/>
  <c r="B16" i="29"/>
  <c r="B21" i="29" s="1"/>
  <c r="D14" i="29"/>
  <c r="D16" i="29"/>
  <c r="F42" i="29"/>
  <c r="N42" i="29" s="1"/>
  <c r="L14" i="29"/>
  <c r="L18" i="29" s="1"/>
  <c r="L23" i="29" s="1"/>
  <c r="L16" i="29"/>
  <c r="H65" i="29"/>
  <c r="H16" i="29"/>
  <c r="H14" i="29"/>
  <c r="H18" i="29" s="1"/>
  <c r="C14" i="29"/>
  <c r="C18" i="29" s="1"/>
  <c r="C16" i="29"/>
  <c r="C17" i="29" s="1"/>
  <c r="C41" i="29" s="1"/>
  <c r="L70" i="29"/>
  <c r="D65" i="29"/>
  <c r="I16" i="29"/>
  <c r="I21" i="29" s="1"/>
  <c r="I14" i="29"/>
  <c r="I18" i="29" s="1"/>
  <c r="K14" i="29"/>
  <c r="K18" i="29" s="1"/>
  <c r="K16" i="29"/>
  <c r="K17" i="29" s="1"/>
  <c r="K41" i="29" s="1"/>
  <c r="E16" i="29"/>
  <c r="E21" i="29" s="1"/>
  <c r="E14" i="29"/>
  <c r="E18" i="29" s="1"/>
  <c r="E23" i="29" s="1"/>
  <c r="E22" i="29" s="1"/>
  <c r="F16" i="29"/>
  <c r="F14" i="29"/>
  <c r="F18" i="29" s="1"/>
  <c r="F17" i="29" s="1"/>
  <c r="F41" i="29" s="1"/>
  <c r="N62" i="29"/>
  <c r="M16" i="29"/>
  <c r="M21" i="29" s="1"/>
  <c r="M14" i="29"/>
  <c r="M18" i="29" s="1"/>
  <c r="N34" i="29"/>
  <c r="C5" i="29"/>
  <c r="C21" i="29"/>
  <c r="K5" i="29"/>
  <c r="F21" i="29"/>
  <c r="F5" i="29"/>
  <c r="J46" i="29"/>
  <c r="K70" i="29"/>
  <c r="I5" i="29"/>
  <c r="F70" i="29"/>
  <c r="H70" i="29"/>
  <c r="G5" i="29"/>
  <c r="G23" i="29" s="1"/>
  <c r="G22" i="29" s="1"/>
  <c r="H5" i="29"/>
  <c r="J5" i="29"/>
  <c r="D47" i="29"/>
  <c r="D46" i="29" s="1"/>
  <c r="N66" i="29"/>
  <c r="B65" i="29"/>
  <c r="B71" i="29"/>
  <c r="I70" i="29"/>
  <c r="G47" i="29"/>
  <c r="G46" i="29" s="1"/>
  <c r="I65" i="29"/>
  <c r="M71" i="29"/>
  <c r="M70" i="29" s="1"/>
  <c r="M65" i="29"/>
  <c r="I47" i="29"/>
  <c r="I46" i="29" s="1"/>
  <c r="H47" i="29"/>
  <c r="H46" i="29" s="1"/>
  <c r="E71" i="29"/>
  <c r="E70" i="29" s="1"/>
  <c r="E65" i="29"/>
  <c r="E47" i="29"/>
  <c r="E46" i="29" s="1"/>
  <c r="G65" i="29"/>
  <c r="B47" i="29"/>
  <c r="M47" i="29"/>
  <c r="M46" i="29" s="1"/>
  <c r="G70" i="29"/>
  <c r="F51" i="26"/>
  <c r="E51" i="26"/>
  <c r="C75" i="26"/>
  <c r="N66" i="30" l="1"/>
  <c r="O90" i="30" s="1"/>
  <c r="I65" i="30"/>
  <c r="E71" i="30"/>
  <c r="E70" i="30" s="1"/>
  <c r="E65" i="30"/>
  <c r="N95" i="30"/>
  <c r="B70" i="30"/>
  <c r="M71" i="30"/>
  <c r="M70" i="30" s="1"/>
  <c r="M65" i="30"/>
  <c r="M93" i="30"/>
  <c r="M94" i="30" s="1"/>
  <c r="M89" i="30"/>
  <c r="J94" i="30"/>
  <c r="O77" i="30"/>
  <c r="E93" i="30"/>
  <c r="E94" i="30" s="1"/>
  <c r="E89" i="30"/>
  <c r="D17" i="30"/>
  <c r="D41" i="30" s="1"/>
  <c r="D23" i="30"/>
  <c r="N18" i="30"/>
  <c r="N42" i="30"/>
  <c r="B47" i="30"/>
  <c r="N95" i="29"/>
  <c r="O95" i="29" s="1"/>
  <c r="B94" i="29"/>
  <c r="I17" i="29"/>
  <c r="I41" i="29" s="1"/>
  <c r="I23" i="29"/>
  <c r="I22" i="29" s="1"/>
  <c r="J23" i="29"/>
  <c r="J22" i="29" s="1"/>
  <c r="M17" i="29"/>
  <c r="M41" i="29" s="1"/>
  <c r="F47" i="29"/>
  <c r="F46" i="29" s="1"/>
  <c r="H17" i="29"/>
  <c r="H41" i="29" s="1"/>
  <c r="B17" i="29"/>
  <c r="B41" i="29" s="1"/>
  <c r="K21" i="29"/>
  <c r="B23" i="29"/>
  <c r="B22" i="29" s="1"/>
  <c r="L17" i="29"/>
  <c r="L41" i="29" s="1"/>
  <c r="L21" i="29"/>
  <c r="L22" i="29" s="1"/>
  <c r="K23" i="29"/>
  <c r="H21" i="29"/>
  <c r="J17" i="29"/>
  <c r="J41" i="29" s="1"/>
  <c r="H23" i="29"/>
  <c r="H22" i="29" s="1"/>
  <c r="E17" i="29"/>
  <c r="E41" i="29" s="1"/>
  <c r="D21" i="29"/>
  <c r="M23" i="29"/>
  <c r="M22" i="29" s="1"/>
  <c r="F23" i="29"/>
  <c r="F22" i="29" s="1"/>
  <c r="N14" i="29"/>
  <c r="D18" i="29"/>
  <c r="D23" i="29" s="1"/>
  <c r="C23" i="29"/>
  <c r="N5" i="29"/>
  <c r="B46" i="29"/>
  <c r="N71" i="29"/>
  <c r="B70" i="29"/>
  <c r="O66" i="29"/>
  <c r="C32" i="26"/>
  <c r="D32" i="26"/>
  <c r="E32" i="26"/>
  <c r="F32" i="26"/>
  <c r="B32" i="26"/>
  <c r="O66" i="30" l="1"/>
  <c r="D22" i="30"/>
  <c r="N23" i="30"/>
  <c r="N71" i="30"/>
  <c r="O95" i="30" s="1"/>
  <c r="R4" i="30" s="1"/>
  <c r="N47" i="30"/>
  <c r="O47" i="30" s="1"/>
  <c r="R2" i="30" s="1"/>
  <c r="B46" i="30"/>
  <c r="N47" i="29"/>
  <c r="O71" i="29" s="1"/>
  <c r="D17" i="29"/>
  <c r="D41" i="29" s="1"/>
  <c r="K22" i="29"/>
  <c r="D22" i="29"/>
  <c r="N18" i="29"/>
  <c r="C22" i="29"/>
  <c r="N23" i="29"/>
  <c r="F56" i="26"/>
  <c r="F80" i="26"/>
  <c r="E56" i="26"/>
  <c r="E80" i="26"/>
  <c r="D56" i="26"/>
  <c r="D80" i="26"/>
  <c r="B80" i="26"/>
  <c r="B56" i="26"/>
  <c r="C56" i="26"/>
  <c r="C80" i="26"/>
  <c r="H4" i="27"/>
  <c r="H28" i="27" s="1"/>
  <c r="I4" i="27"/>
  <c r="I28" i="27" s="1"/>
  <c r="J4" i="27"/>
  <c r="K4" i="27"/>
  <c r="L4" i="27"/>
  <c r="M4" i="27"/>
  <c r="M28" i="27" s="1"/>
  <c r="B6" i="27"/>
  <c r="C6" i="27"/>
  <c r="D6" i="27"/>
  <c r="E6" i="27"/>
  <c r="F6" i="27"/>
  <c r="G6" i="27"/>
  <c r="H6" i="27"/>
  <c r="I6" i="27"/>
  <c r="J6" i="27"/>
  <c r="K6" i="27"/>
  <c r="L6" i="27"/>
  <c r="M6" i="27"/>
  <c r="N6" i="27"/>
  <c r="B7" i="27"/>
  <c r="C7" i="27"/>
  <c r="D7" i="27"/>
  <c r="E7" i="27"/>
  <c r="F7" i="27"/>
  <c r="G7" i="27"/>
  <c r="H7" i="27"/>
  <c r="I7" i="27"/>
  <c r="J7" i="27"/>
  <c r="K7" i="27"/>
  <c r="L7" i="27"/>
  <c r="M7" i="27"/>
  <c r="B8" i="27"/>
  <c r="C8" i="27"/>
  <c r="D8" i="27"/>
  <c r="E8" i="27"/>
  <c r="F8" i="27"/>
  <c r="G8" i="27"/>
  <c r="H8" i="27"/>
  <c r="I8" i="27"/>
  <c r="J8" i="27"/>
  <c r="K8" i="27"/>
  <c r="L8" i="27"/>
  <c r="M8" i="27"/>
  <c r="B9" i="27"/>
  <c r="B33" i="27" s="1"/>
  <c r="C9" i="27"/>
  <c r="C33" i="27" s="1"/>
  <c r="C34" i="27" s="1"/>
  <c r="D9" i="27"/>
  <c r="D33" i="27" s="1"/>
  <c r="E9" i="27"/>
  <c r="F9" i="27"/>
  <c r="G9" i="27"/>
  <c r="G33" i="27" s="1"/>
  <c r="G34" i="27" s="1"/>
  <c r="H9" i="27"/>
  <c r="I9" i="27"/>
  <c r="I33" i="27" s="1"/>
  <c r="I34" i="27" s="1"/>
  <c r="J9" i="27"/>
  <c r="J33" i="27" s="1"/>
  <c r="J34" i="27" s="1"/>
  <c r="K9" i="27"/>
  <c r="K33" i="27" s="1"/>
  <c r="K34" i="27" s="1"/>
  <c r="L9" i="27"/>
  <c r="M9" i="27"/>
  <c r="M33" i="27" s="1"/>
  <c r="M34" i="27" s="1"/>
  <c r="B11" i="27"/>
  <c r="C11" i="27"/>
  <c r="D11" i="27"/>
  <c r="E11" i="27"/>
  <c r="F11" i="27"/>
  <c r="G11" i="27"/>
  <c r="H11" i="27"/>
  <c r="I11" i="27"/>
  <c r="J11" i="27"/>
  <c r="K11" i="27"/>
  <c r="L11" i="27"/>
  <c r="M11" i="27"/>
  <c r="B12" i="27"/>
  <c r="C12" i="27"/>
  <c r="D12" i="27"/>
  <c r="E12" i="27"/>
  <c r="F12" i="27"/>
  <c r="G12" i="27"/>
  <c r="H12" i="27"/>
  <c r="I12" i="27"/>
  <c r="J12" i="27"/>
  <c r="K12" i="27"/>
  <c r="L12" i="27"/>
  <c r="M12" i="27"/>
  <c r="B13" i="27"/>
  <c r="C13" i="27"/>
  <c r="D13" i="27"/>
  <c r="D37" i="27" s="1"/>
  <c r="D38" i="27" s="1"/>
  <c r="E13" i="27"/>
  <c r="E37" i="27" s="1"/>
  <c r="E38" i="27" s="1"/>
  <c r="F13" i="27"/>
  <c r="G13" i="27"/>
  <c r="H13" i="27"/>
  <c r="H37" i="27" s="1"/>
  <c r="H38" i="27" s="1"/>
  <c r="I13" i="27"/>
  <c r="J13" i="27"/>
  <c r="K13" i="27"/>
  <c r="L13" i="27"/>
  <c r="L37" i="27" s="1"/>
  <c r="L38" i="27" s="1"/>
  <c r="M13" i="27"/>
  <c r="M37" i="27" s="1"/>
  <c r="M38" i="27" s="1"/>
  <c r="B15" i="27"/>
  <c r="C15" i="27"/>
  <c r="D15" i="27"/>
  <c r="E15" i="27"/>
  <c r="F15" i="27"/>
  <c r="G15" i="27"/>
  <c r="H15" i="27"/>
  <c r="I15" i="27"/>
  <c r="J15" i="27"/>
  <c r="K15" i="27"/>
  <c r="L15" i="27"/>
  <c r="M15" i="27"/>
  <c r="B19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B20" i="27"/>
  <c r="C20" i="27"/>
  <c r="D20" i="27"/>
  <c r="E20" i="27"/>
  <c r="F20" i="27"/>
  <c r="G20" i="27"/>
  <c r="H20" i="27"/>
  <c r="I20" i="27"/>
  <c r="J20" i="27"/>
  <c r="K20" i="27"/>
  <c r="L20" i="27"/>
  <c r="M20" i="27"/>
  <c r="C3" i="27"/>
  <c r="D3" i="27"/>
  <c r="E3" i="27"/>
  <c r="F3" i="27"/>
  <c r="G3" i="27"/>
  <c r="B3" i="27"/>
  <c r="M64" i="27"/>
  <c r="M69" i="27" s="1"/>
  <c r="L64" i="27"/>
  <c r="L69" i="27" s="1"/>
  <c r="K64" i="27"/>
  <c r="J64" i="27"/>
  <c r="J69" i="27" s="1"/>
  <c r="I64" i="27"/>
  <c r="H64" i="27"/>
  <c r="H69" i="27" s="1"/>
  <c r="G64" i="27"/>
  <c r="G69" i="27" s="1"/>
  <c r="M62" i="27"/>
  <c r="L62" i="27"/>
  <c r="K62" i="27"/>
  <c r="J62" i="27"/>
  <c r="I62" i="27"/>
  <c r="H62" i="27"/>
  <c r="G62" i="27"/>
  <c r="F62" i="27"/>
  <c r="E62" i="27"/>
  <c r="D62" i="27"/>
  <c r="C62" i="27"/>
  <c r="B62" i="27"/>
  <c r="M58" i="27"/>
  <c r="L58" i="27"/>
  <c r="K58" i="27"/>
  <c r="J58" i="27"/>
  <c r="I58" i="27"/>
  <c r="H58" i="27"/>
  <c r="G58" i="27"/>
  <c r="F64" i="27"/>
  <c r="E58" i="27"/>
  <c r="D58" i="27"/>
  <c r="C58" i="27"/>
  <c r="B64" i="27"/>
  <c r="H53" i="27"/>
  <c r="G53" i="27"/>
  <c r="M53" i="27"/>
  <c r="L53" i="27"/>
  <c r="K53" i="27"/>
  <c r="J53" i="27"/>
  <c r="I53" i="27"/>
  <c r="F53" i="27"/>
  <c r="E53" i="27"/>
  <c r="D53" i="27"/>
  <c r="C53" i="27"/>
  <c r="B53" i="27"/>
  <c r="M40" i="27"/>
  <c r="L40" i="27"/>
  <c r="K40" i="27"/>
  <c r="K45" i="27" s="1"/>
  <c r="J40" i="27"/>
  <c r="I40" i="27"/>
  <c r="I45" i="27" s="1"/>
  <c r="H40" i="27"/>
  <c r="H45" i="27" s="1"/>
  <c r="G40" i="27"/>
  <c r="G45" i="27" s="1"/>
  <c r="E40" i="27"/>
  <c r="F40" i="27"/>
  <c r="C40" i="27"/>
  <c r="G37" i="27"/>
  <c r="G38" i="27" s="1"/>
  <c r="F37" i="27"/>
  <c r="F38" i="27" s="1"/>
  <c r="L33" i="27"/>
  <c r="L34" i="27" s="1"/>
  <c r="H33" i="27"/>
  <c r="H34" i="27" s="1"/>
  <c r="F33" i="27"/>
  <c r="E33" i="27"/>
  <c r="E34" i="27" s="1"/>
  <c r="L28" i="27"/>
  <c r="L29" i="27" s="1"/>
  <c r="K28" i="27"/>
  <c r="J28" i="27"/>
  <c r="C100" i="26"/>
  <c r="B101" i="26"/>
  <c r="B100" i="26"/>
  <c r="D100" i="26" s="1"/>
  <c r="O71" i="30" l="1"/>
  <c r="R3" i="30" s="1"/>
  <c r="R5" i="30" s="1"/>
  <c r="E66" i="27"/>
  <c r="I66" i="27"/>
  <c r="I71" i="27" s="1"/>
  <c r="K66" i="27"/>
  <c r="K71" i="27" s="1"/>
  <c r="C66" i="27"/>
  <c r="C71" i="27" s="1"/>
  <c r="G66" i="27"/>
  <c r="G71" i="27" s="1"/>
  <c r="G70" i="27" s="1"/>
  <c r="E64" i="27"/>
  <c r="E69" i="27" s="1"/>
  <c r="H29" i="27"/>
  <c r="C45" i="27"/>
  <c r="J45" i="27"/>
  <c r="F69" i="27"/>
  <c r="H66" i="27"/>
  <c r="H71" i="27" s="1"/>
  <c r="H70" i="27" s="1"/>
  <c r="L45" i="27"/>
  <c r="M66" i="27"/>
  <c r="M65" i="27" s="1"/>
  <c r="C64" i="27"/>
  <c r="C69" i="27" s="1"/>
  <c r="F45" i="27"/>
  <c r="M45" i="27"/>
  <c r="J66" i="27"/>
  <c r="J71" i="27" s="1"/>
  <c r="J70" i="27" s="1"/>
  <c r="I69" i="27"/>
  <c r="E45" i="27"/>
  <c r="B69" i="27"/>
  <c r="D66" i="27"/>
  <c r="D71" i="27" s="1"/>
  <c r="L66" i="27"/>
  <c r="L65" i="27" s="1"/>
  <c r="K69" i="27"/>
  <c r="M29" i="27"/>
  <c r="L42" i="27"/>
  <c r="L47" i="27" s="1"/>
  <c r="I29" i="27"/>
  <c r="D34" i="27"/>
  <c r="D42" i="27" s="1"/>
  <c r="J29" i="27"/>
  <c r="K29" i="27"/>
  <c r="E71" i="27"/>
  <c r="M42" i="27"/>
  <c r="N53" i="27"/>
  <c r="E42" i="27"/>
  <c r="G42" i="27"/>
  <c r="B34" i="27"/>
  <c r="H42" i="27"/>
  <c r="F34" i="27"/>
  <c r="F42" i="27" s="1"/>
  <c r="I37" i="27"/>
  <c r="I38" i="27" s="1"/>
  <c r="I42" i="27" s="1"/>
  <c r="F58" i="27"/>
  <c r="F66" i="27" s="1"/>
  <c r="D64" i="27"/>
  <c r="D69" i="27" s="1"/>
  <c r="B37" i="27"/>
  <c r="B38" i="27" s="1"/>
  <c r="J37" i="27"/>
  <c r="J38" i="27" s="1"/>
  <c r="J42" i="27" s="1"/>
  <c r="I65" i="27"/>
  <c r="C37" i="27"/>
  <c r="C38" i="27" s="1"/>
  <c r="C42" i="27" s="1"/>
  <c r="K37" i="27"/>
  <c r="K38" i="27" s="1"/>
  <c r="K42" i="27" s="1"/>
  <c r="B40" i="27"/>
  <c r="B45" i="27" s="1"/>
  <c r="K65" i="27"/>
  <c r="D40" i="27"/>
  <c r="D45" i="27" s="1"/>
  <c r="B58" i="27"/>
  <c r="N62" i="27"/>
  <c r="B102" i="26"/>
  <c r="G76" i="26"/>
  <c r="G4" i="27" s="1"/>
  <c r="G28" i="27" s="1"/>
  <c r="G29" i="27" s="1"/>
  <c r="F76" i="26"/>
  <c r="F4" i="27" s="1"/>
  <c r="F28" i="27" s="1"/>
  <c r="F29" i="27" s="1"/>
  <c r="E76" i="26"/>
  <c r="E4" i="27" s="1"/>
  <c r="E28" i="27" s="1"/>
  <c r="E29" i="27" s="1"/>
  <c r="D76" i="26"/>
  <c r="D4" i="27" s="1"/>
  <c r="D29" i="27" s="1"/>
  <c r="C76" i="26"/>
  <c r="B76" i="26"/>
  <c r="B4" i="27" s="1"/>
  <c r="B28" i="27" s="1"/>
  <c r="B29" i="27" s="1"/>
  <c r="M88" i="26"/>
  <c r="M16" i="27" s="1"/>
  <c r="L88" i="26"/>
  <c r="L16" i="27" s="1"/>
  <c r="K88" i="26"/>
  <c r="K16" i="27" s="1"/>
  <c r="J88" i="26"/>
  <c r="J16" i="27" s="1"/>
  <c r="I88" i="26"/>
  <c r="I16" i="27" s="1"/>
  <c r="H88" i="26"/>
  <c r="H16" i="27" s="1"/>
  <c r="G88" i="26"/>
  <c r="M86" i="26"/>
  <c r="M14" i="27" s="1"/>
  <c r="L86" i="26"/>
  <c r="L14" i="27" s="1"/>
  <c r="K86" i="26"/>
  <c r="K14" i="27" s="1"/>
  <c r="J86" i="26"/>
  <c r="I86" i="26"/>
  <c r="I14" i="27" s="1"/>
  <c r="H86" i="26"/>
  <c r="G86" i="26"/>
  <c r="G14" i="27" s="1"/>
  <c r="F86" i="26"/>
  <c r="F14" i="27" s="1"/>
  <c r="E86" i="26"/>
  <c r="E14" i="27" s="1"/>
  <c r="D86" i="26"/>
  <c r="D14" i="27" s="1"/>
  <c r="C86" i="26"/>
  <c r="C14" i="27" s="1"/>
  <c r="B86" i="26"/>
  <c r="B14" i="27" s="1"/>
  <c r="M82" i="26"/>
  <c r="M10" i="27" s="1"/>
  <c r="L82" i="26"/>
  <c r="L10" i="27" s="1"/>
  <c r="K82" i="26"/>
  <c r="K10" i="27" s="1"/>
  <c r="J82" i="26"/>
  <c r="J10" i="27" s="1"/>
  <c r="I82" i="26"/>
  <c r="I10" i="27" s="1"/>
  <c r="H82" i="26"/>
  <c r="H10" i="27" s="1"/>
  <c r="G82" i="26"/>
  <c r="G10" i="27" s="1"/>
  <c r="F82" i="26"/>
  <c r="F10" i="27" s="1"/>
  <c r="E88" i="26"/>
  <c r="D88" i="26"/>
  <c r="D16" i="27" s="1"/>
  <c r="C88" i="26"/>
  <c r="C16" i="27" s="1"/>
  <c r="B88" i="26"/>
  <c r="B16" i="27" s="1"/>
  <c r="G77" i="26"/>
  <c r="G5" i="27" s="1"/>
  <c r="E77" i="26"/>
  <c r="E5" i="27" s="1"/>
  <c r="D77" i="26"/>
  <c r="D5" i="27" s="1"/>
  <c r="C77" i="26"/>
  <c r="C5" i="27" s="1"/>
  <c r="B77" i="26"/>
  <c r="B5" i="27" s="1"/>
  <c r="C101" i="26" l="1"/>
  <c r="C102" i="26" s="1"/>
  <c r="C103" i="26" s="1"/>
  <c r="C4" i="27"/>
  <c r="C28" i="27" s="1"/>
  <c r="C29" i="27" s="1"/>
  <c r="J90" i="26"/>
  <c r="J18" i="27" s="1"/>
  <c r="J14" i="27"/>
  <c r="G93" i="26"/>
  <c r="G21" i="27" s="1"/>
  <c r="G16" i="27"/>
  <c r="H90" i="26"/>
  <c r="H14" i="27"/>
  <c r="E93" i="26"/>
  <c r="E21" i="27" s="1"/>
  <c r="E16" i="27"/>
  <c r="L71" i="27"/>
  <c r="L70" i="27" s="1"/>
  <c r="L41" i="27"/>
  <c r="I70" i="27"/>
  <c r="K70" i="27"/>
  <c r="E70" i="27"/>
  <c r="J65" i="27"/>
  <c r="M71" i="27"/>
  <c r="M70" i="27" s="1"/>
  <c r="E65" i="27"/>
  <c r="G65" i="27"/>
  <c r="H65" i="27"/>
  <c r="D70" i="27"/>
  <c r="C70" i="27"/>
  <c r="L46" i="27"/>
  <c r="C65" i="27"/>
  <c r="D65" i="27"/>
  <c r="N29" i="27"/>
  <c r="N58" i="27"/>
  <c r="F65" i="27"/>
  <c r="F71" i="27"/>
  <c r="F70" i="27" s="1"/>
  <c r="F47" i="27"/>
  <c r="F46" i="27" s="1"/>
  <c r="F41" i="27"/>
  <c r="B42" i="27"/>
  <c r="N38" i="27"/>
  <c r="C47" i="27"/>
  <c r="C46" i="27" s="1"/>
  <c r="C41" i="27"/>
  <c r="E47" i="27"/>
  <c r="E46" i="27" s="1"/>
  <c r="E41" i="27"/>
  <c r="N34" i="27"/>
  <c r="D47" i="27"/>
  <c r="D46" i="27" s="1"/>
  <c r="D41" i="27"/>
  <c r="H47" i="27"/>
  <c r="H46" i="27" s="1"/>
  <c r="H41" i="27"/>
  <c r="I41" i="27"/>
  <c r="I47" i="27"/>
  <c r="I46" i="27" s="1"/>
  <c r="M47" i="27"/>
  <c r="M46" i="27" s="1"/>
  <c r="M41" i="27"/>
  <c r="B66" i="27"/>
  <c r="K41" i="27"/>
  <c r="K47" i="27"/>
  <c r="K46" i="27" s="1"/>
  <c r="J41" i="27"/>
  <c r="J47" i="27"/>
  <c r="J46" i="27" s="1"/>
  <c r="G47" i="27"/>
  <c r="G46" i="27" s="1"/>
  <c r="G41" i="27"/>
  <c r="D93" i="26"/>
  <c r="D21" i="27" s="1"/>
  <c r="B82" i="26"/>
  <c r="B10" i="27" s="1"/>
  <c r="K90" i="26"/>
  <c r="B93" i="26"/>
  <c r="B21" i="27" s="1"/>
  <c r="M90" i="26"/>
  <c r="M18" i="27" s="1"/>
  <c r="B103" i="26"/>
  <c r="D103" i="26" s="1"/>
  <c r="D102" i="26"/>
  <c r="C93" i="26"/>
  <c r="C21" i="27" s="1"/>
  <c r="D101" i="26"/>
  <c r="G90" i="26"/>
  <c r="I90" i="26"/>
  <c r="L90" i="26"/>
  <c r="L18" i="27" s="1"/>
  <c r="F77" i="26"/>
  <c r="F5" i="27" s="1"/>
  <c r="J89" i="26"/>
  <c r="J17" i="27" s="1"/>
  <c r="M89" i="26"/>
  <c r="M17" i="27" s="1"/>
  <c r="F90" i="26"/>
  <c r="F18" i="27" s="1"/>
  <c r="F88" i="26"/>
  <c r="C82" i="26"/>
  <c r="N86" i="26"/>
  <c r="N14" i="27" s="1"/>
  <c r="D82" i="26"/>
  <c r="E82" i="26"/>
  <c r="I18" i="27" l="1"/>
  <c r="H89" i="26"/>
  <c r="H17" i="27" s="1"/>
  <c r="H18" i="27"/>
  <c r="G89" i="26"/>
  <c r="G17" i="27" s="1"/>
  <c r="G18" i="27"/>
  <c r="K89" i="26"/>
  <c r="K17" i="27" s="1"/>
  <c r="K18" i="27"/>
  <c r="D90" i="26"/>
  <c r="D18" i="27" s="1"/>
  <c r="D10" i="27"/>
  <c r="E90" i="26"/>
  <c r="E18" i="27" s="1"/>
  <c r="E10" i="27"/>
  <c r="C90" i="26"/>
  <c r="C18" i="27" s="1"/>
  <c r="C10" i="27"/>
  <c r="F93" i="26"/>
  <c r="F21" i="27" s="1"/>
  <c r="F16" i="27"/>
  <c r="B90" i="26"/>
  <c r="O53" i="27"/>
  <c r="N42" i="27"/>
  <c r="B41" i="27"/>
  <c r="B47" i="27"/>
  <c r="B71" i="27"/>
  <c r="N66" i="27"/>
  <c r="B65" i="27"/>
  <c r="G95" i="26"/>
  <c r="I89" i="26"/>
  <c r="I17" i="27" s="1"/>
  <c r="L89" i="26"/>
  <c r="L17" i="27" s="1"/>
  <c r="E95" i="26"/>
  <c r="N82" i="26"/>
  <c r="N10" i="27" s="1"/>
  <c r="D89" i="26"/>
  <c r="D17" i="27" s="1"/>
  <c r="D95" i="26"/>
  <c r="F95" i="26"/>
  <c r="F89" i="26"/>
  <c r="F17" i="27" s="1"/>
  <c r="E89" i="26" l="1"/>
  <c r="E17" i="27" s="1"/>
  <c r="N90" i="26"/>
  <c r="N18" i="27" s="1"/>
  <c r="C89" i="26"/>
  <c r="C17" i="27" s="1"/>
  <c r="C95" i="26"/>
  <c r="O42" i="27"/>
  <c r="B18" i="27"/>
  <c r="B95" i="26"/>
  <c r="B89" i="26"/>
  <c r="B17" i="27" s="1"/>
  <c r="E94" i="26"/>
  <c r="E22" i="27" s="1"/>
  <c r="E23" i="27"/>
  <c r="F94" i="26"/>
  <c r="F22" i="27" s="1"/>
  <c r="F23" i="27"/>
  <c r="D94" i="26"/>
  <c r="D22" i="27" s="1"/>
  <c r="D23" i="27"/>
  <c r="C94" i="26"/>
  <c r="C22" i="27" s="1"/>
  <c r="C23" i="27"/>
  <c r="G94" i="26"/>
  <c r="G22" i="27" s="1"/>
  <c r="G23" i="27"/>
  <c r="N47" i="27"/>
  <c r="B46" i="27"/>
  <c r="N71" i="27"/>
  <c r="B70" i="27"/>
  <c r="O66" i="27"/>
  <c r="B23" i="27" l="1"/>
  <c r="B94" i="26"/>
  <c r="B22" i="27" s="1"/>
  <c r="O71" i="27"/>
  <c r="R3" i="27" s="1"/>
  <c r="M64" i="26" l="1"/>
  <c r="L64" i="26"/>
  <c r="K64" i="26"/>
  <c r="J64" i="26"/>
  <c r="I64" i="26"/>
  <c r="H64" i="26"/>
  <c r="G64" i="26"/>
  <c r="G69" i="26" s="1"/>
  <c r="F64" i="26"/>
  <c r="E64" i="26"/>
  <c r="D64" i="26"/>
  <c r="J40" i="26"/>
  <c r="I40" i="26"/>
  <c r="G40" i="26"/>
  <c r="G45" i="26" s="1"/>
  <c r="M40" i="26"/>
  <c r="L40" i="26"/>
  <c r="D69" i="26" l="1"/>
  <c r="E69" i="26"/>
  <c r="F69" i="26"/>
  <c r="B64" i="26"/>
  <c r="B69" i="26" s="1"/>
  <c r="C64" i="26"/>
  <c r="C69" i="26" s="1"/>
  <c r="H40" i="26"/>
  <c r="K40" i="26"/>
  <c r="M33" i="26" l="1"/>
  <c r="L33" i="26"/>
  <c r="K33" i="26"/>
  <c r="J33" i="26"/>
  <c r="I33" i="26"/>
  <c r="H33" i="26"/>
  <c r="G33" i="26"/>
  <c r="F33" i="26"/>
  <c r="F58" i="26" s="1"/>
  <c r="E33" i="26"/>
  <c r="E58" i="26" s="1"/>
  <c r="D33" i="26"/>
  <c r="D58" i="26" s="1"/>
  <c r="C33" i="26"/>
  <c r="C58" i="26" s="1"/>
  <c r="B33" i="26"/>
  <c r="B58" i="26" s="1"/>
  <c r="M8" i="26"/>
  <c r="L8" i="26"/>
  <c r="L16" i="26" s="1"/>
  <c r="K8" i="26"/>
  <c r="K16" i="26" s="1"/>
  <c r="K21" i="26" s="1"/>
  <c r="J8" i="26"/>
  <c r="J16" i="26" s="1"/>
  <c r="J21" i="26" s="1"/>
  <c r="I8" i="26"/>
  <c r="I16" i="26" s="1"/>
  <c r="I21" i="26" s="1"/>
  <c r="H8" i="26"/>
  <c r="H16" i="26" s="1"/>
  <c r="G8" i="26"/>
  <c r="G16" i="26" s="1"/>
  <c r="F8" i="26"/>
  <c r="F16" i="26" s="1"/>
  <c r="E8" i="26"/>
  <c r="D8" i="26"/>
  <c r="D16" i="26" s="1"/>
  <c r="C8" i="26"/>
  <c r="C16" i="26" s="1"/>
  <c r="C21" i="26" s="1"/>
  <c r="B8" i="26"/>
  <c r="B16" i="26" s="1"/>
  <c r="B21" i="26" s="1"/>
  <c r="M4" i="26"/>
  <c r="M28" i="26" s="1"/>
  <c r="L4" i="26"/>
  <c r="L28" i="26" s="1"/>
  <c r="K4" i="26"/>
  <c r="K28" i="26" s="1"/>
  <c r="J4" i="26"/>
  <c r="I4" i="26"/>
  <c r="I28" i="26" s="1"/>
  <c r="H4" i="26"/>
  <c r="H28" i="26" s="1"/>
  <c r="G4" i="26"/>
  <c r="F4" i="26"/>
  <c r="F28" i="26" s="1"/>
  <c r="F53" i="26" s="1"/>
  <c r="E4" i="26"/>
  <c r="E28" i="26" s="1"/>
  <c r="E53" i="26" s="1"/>
  <c r="D4" i="26"/>
  <c r="D28" i="26" s="1"/>
  <c r="D53" i="26" s="1"/>
  <c r="C4" i="26"/>
  <c r="C28" i="26" s="1"/>
  <c r="C53" i="26" s="1"/>
  <c r="B4" i="26"/>
  <c r="B28" i="26" s="1"/>
  <c r="F75" i="25"/>
  <c r="E75" i="25"/>
  <c r="D75" i="25"/>
  <c r="C75" i="25"/>
  <c r="B75" i="25"/>
  <c r="L75" i="25"/>
  <c r="K75" i="25"/>
  <c r="I75" i="25"/>
  <c r="H75" i="25"/>
  <c r="G75" i="25"/>
  <c r="L78" i="25"/>
  <c r="K78" i="25"/>
  <c r="I78" i="25"/>
  <c r="H78" i="25"/>
  <c r="G78" i="25"/>
  <c r="E78" i="25"/>
  <c r="D78" i="25"/>
  <c r="B78" i="25"/>
  <c r="M77" i="25"/>
  <c r="K77" i="25"/>
  <c r="J71" i="25"/>
  <c r="H71" i="25"/>
  <c r="H79" i="25" s="1"/>
  <c r="G69" i="25"/>
  <c r="G71" i="25" s="1"/>
  <c r="F69" i="25"/>
  <c r="F77" i="25" s="1"/>
  <c r="E69" i="25"/>
  <c r="E77" i="25" s="1"/>
  <c r="D69" i="25"/>
  <c r="D77" i="25" s="1"/>
  <c r="C69" i="25"/>
  <c r="C77" i="25" s="1"/>
  <c r="B69" i="25"/>
  <c r="B77" i="25" s="1"/>
  <c r="G66" i="25"/>
  <c r="G65" i="25"/>
  <c r="F65" i="25"/>
  <c r="E65" i="25"/>
  <c r="D65" i="25"/>
  <c r="C65" i="25"/>
  <c r="M66" i="25"/>
  <c r="L66" i="25"/>
  <c r="K66" i="25"/>
  <c r="J66" i="25"/>
  <c r="I66" i="25"/>
  <c r="H66" i="25"/>
  <c r="F64" i="25"/>
  <c r="F66" i="25" s="1"/>
  <c r="E64" i="25"/>
  <c r="E66" i="25" s="1"/>
  <c r="D64" i="25"/>
  <c r="D66" i="25" s="1"/>
  <c r="C64" i="25"/>
  <c r="C66" i="25" s="1"/>
  <c r="B64" i="25"/>
  <c r="B66" i="25" s="1"/>
  <c r="M59" i="25"/>
  <c r="L59" i="25"/>
  <c r="K59" i="25"/>
  <c r="J59" i="25"/>
  <c r="I59" i="25"/>
  <c r="H59" i="25"/>
  <c r="G59" i="25"/>
  <c r="F59" i="25"/>
  <c r="E59" i="25"/>
  <c r="D59" i="25"/>
  <c r="C59" i="25"/>
  <c r="B59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L39" i="25"/>
  <c r="K39" i="25"/>
  <c r="J39" i="25"/>
  <c r="I39" i="25"/>
  <c r="F39" i="25"/>
  <c r="D39" i="25"/>
  <c r="C39" i="25"/>
  <c r="B39" i="25"/>
  <c r="J34" i="25"/>
  <c r="F34" i="25"/>
  <c r="E34" i="25"/>
  <c r="D34" i="25"/>
  <c r="C34" i="25"/>
  <c r="B34" i="25"/>
  <c r="M34" i="25"/>
  <c r="L34" i="25"/>
  <c r="K34" i="25"/>
  <c r="I34" i="25"/>
  <c r="H34" i="25"/>
  <c r="G34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F78" i="25" l="1"/>
  <c r="L51" i="26"/>
  <c r="L69" i="26" s="1"/>
  <c r="L75" i="26"/>
  <c r="L53" i="26"/>
  <c r="K75" i="26"/>
  <c r="K51" i="26"/>
  <c r="K69" i="26" s="1"/>
  <c r="M75" i="26"/>
  <c r="M51" i="26"/>
  <c r="M69" i="26" s="1"/>
  <c r="H75" i="26"/>
  <c r="H51" i="26"/>
  <c r="J75" i="26"/>
  <c r="J51" i="26"/>
  <c r="J69" i="26" s="1"/>
  <c r="K53" i="26"/>
  <c r="I51" i="26"/>
  <c r="I69" i="26" s="1"/>
  <c r="I75" i="26"/>
  <c r="H21" i="26"/>
  <c r="G77" i="25"/>
  <c r="C78" i="25"/>
  <c r="M75" i="25"/>
  <c r="M78" i="25"/>
  <c r="G21" i="26"/>
  <c r="E8" i="21"/>
  <c r="H29" i="26"/>
  <c r="I29" i="26"/>
  <c r="B29" i="26"/>
  <c r="B53" i="26"/>
  <c r="N66" i="25"/>
  <c r="X3" i="25" s="1"/>
  <c r="L34" i="26"/>
  <c r="L58" i="26"/>
  <c r="I71" i="25"/>
  <c r="I79" i="25" s="1"/>
  <c r="M34" i="26"/>
  <c r="M58" i="26"/>
  <c r="G34" i="26"/>
  <c r="G58" i="26"/>
  <c r="K34" i="26"/>
  <c r="K58" i="26"/>
  <c r="L77" i="25"/>
  <c r="H34" i="26"/>
  <c r="H58" i="26"/>
  <c r="J75" i="25"/>
  <c r="I34" i="26"/>
  <c r="I58" i="26"/>
  <c r="J78" i="25"/>
  <c r="J34" i="26"/>
  <c r="J58" i="26"/>
  <c r="D8" i="21"/>
  <c r="F21" i="26"/>
  <c r="M29" i="26"/>
  <c r="G14" i="26"/>
  <c r="G37" i="26"/>
  <c r="C29" i="26"/>
  <c r="L29" i="26"/>
  <c r="L45" i="26"/>
  <c r="C40" i="26"/>
  <c r="C34" i="26"/>
  <c r="H14" i="26"/>
  <c r="H37" i="26"/>
  <c r="D29" i="26"/>
  <c r="M45" i="26"/>
  <c r="D34" i="26"/>
  <c r="D40" i="26"/>
  <c r="D45" i="26" s="1"/>
  <c r="M5" i="26"/>
  <c r="I14" i="26"/>
  <c r="I37" i="26"/>
  <c r="E29" i="26"/>
  <c r="E34" i="26"/>
  <c r="E40" i="26"/>
  <c r="E45" i="26" s="1"/>
  <c r="B14" i="26"/>
  <c r="B37" i="26"/>
  <c r="J14" i="26"/>
  <c r="J37" i="26"/>
  <c r="F29" i="26"/>
  <c r="F34" i="26"/>
  <c r="F40" i="26"/>
  <c r="F45" i="26" s="1"/>
  <c r="G5" i="26"/>
  <c r="G28" i="26"/>
  <c r="C14" i="26"/>
  <c r="C37" i="26"/>
  <c r="K14" i="26"/>
  <c r="K37" i="26"/>
  <c r="H45" i="26"/>
  <c r="D14" i="26"/>
  <c r="D37" i="26"/>
  <c r="L14" i="26"/>
  <c r="L37" i="26"/>
  <c r="I45" i="26"/>
  <c r="E14" i="26"/>
  <c r="E37" i="26"/>
  <c r="M14" i="26"/>
  <c r="M37" i="26"/>
  <c r="J45" i="26"/>
  <c r="J5" i="26"/>
  <c r="J28" i="26"/>
  <c r="F14" i="26"/>
  <c r="F37" i="26"/>
  <c r="K29" i="26"/>
  <c r="K45" i="26"/>
  <c r="B40" i="26"/>
  <c r="B34" i="26"/>
  <c r="D21" i="26"/>
  <c r="L21" i="26"/>
  <c r="E10" i="26"/>
  <c r="E16" i="26"/>
  <c r="E21" i="26" s="1"/>
  <c r="M10" i="26"/>
  <c r="M16" i="26"/>
  <c r="M21" i="26" s="1"/>
  <c r="C8" i="21"/>
  <c r="F8" i="21"/>
  <c r="L5" i="26"/>
  <c r="K5" i="26"/>
  <c r="D5" i="26"/>
  <c r="C10" i="26"/>
  <c r="K10" i="26"/>
  <c r="D10" i="26"/>
  <c r="L10" i="26"/>
  <c r="I5" i="26"/>
  <c r="H5" i="26"/>
  <c r="C5" i="26"/>
  <c r="G10" i="26"/>
  <c r="F5" i="26"/>
  <c r="B5" i="26"/>
  <c r="E5" i="26"/>
  <c r="H10" i="26"/>
  <c r="H18" i="26" s="1"/>
  <c r="F10" i="26"/>
  <c r="I10" i="26"/>
  <c r="B10" i="26"/>
  <c r="J10" i="26"/>
  <c r="N75" i="25"/>
  <c r="J79" i="25"/>
  <c r="G79" i="25"/>
  <c r="C71" i="25"/>
  <c r="C79" i="25" s="1"/>
  <c r="K71" i="25"/>
  <c r="K79" i="25" s="1"/>
  <c r="H77" i="25"/>
  <c r="B71" i="25"/>
  <c r="D71" i="25"/>
  <c r="D79" i="25" s="1"/>
  <c r="L71" i="25"/>
  <c r="L79" i="25" s="1"/>
  <c r="I77" i="25"/>
  <c r="E71" i="25"/>
  <c r="E79" i="25" s="1"/>
  <c r="M71" i="25"/>
  <c r="M79" i="25" s="1"/>
  <c r="J77" i="25"/>
  <c r="F71" i="25"/>
  <c r="F79" i="25" s="1"/>
  <c r="N54" i="25"/>
  <c r="N59" i="25"/>
  <c r="T4" i="25" s="1"/>
  <c r="N50" i="25"/>
  <c r="N46" i="25"/>
  <c r="E39" i="25"/>
  <c r="M39" i="25"/>
  <c r="G39" i="25"/>
  <c r="H39" i="25"/>
  <c r="N34" i="25"/>
  <c r="N26" i="25"/>
  <c r="N30" i="25"/>
  <c r="I18" i="26" l="1"/>
  <c r="H69" i="26"/>
  <c r="H53" i="26"/>
  <c r="K18" i="26"/>
  <c r="M53" i="26"/>
  <c r="S3" i="25"/>
  <c r="I77" i="26"/>
  <c r="I3" i="27"/>
  <c r="I93" i="26"/>
  <c r="M3" i="27"/>
  <c r="M77" i="26"/>
  <c r="M93" i="26"/>
  <c r="K77" i="26"/>
  <c r="K3" i="27"/>
  <c r="K93" i="26"/>
  <c r="J93" i="26"/>
  <c r="J77" i="26"/>
  <c r="J3" i="27"/>
  <c r="I53" i="26"/>
  <c r="L93" i="26"/>
  <c r="L77" i="26"/>
  <c r="L3" i="27"/>
  <c r="H77" i="26"/>
  <c r="H3" i="27"/>
  <c r="H93" i="26"/>
  <c r="G18" i="26"/>
  <c r="G29" i="26"/>
  <c r="G53" i="26"/>
  <c r="N58" i="26"/>
  <c r="J29" i="26"/>
  <c r="N29" i="26" s="1"/>
  <c r="J53" i="26"/>
  <c r="B38" i="26"/>
  <c r="B42" i="26" s="1"/>
  <c r="B41" i="26" s="1"/>
  <c r="B62" i="26"/>
  <c r="L38" i="26"/>
  <c r="L42" i="26" s="1"/>
  <c r="L62" i="26"/>
  <c r="L66" i="26" s="1"/>
  <c r="M38" i="26"/>
  <c r="M42" i="26" s="1"/>
  <c r="M41" i="26" s="1"/>
  <c r="M62" i="26"/>
  <c r="M66" i="26" s="1"/>
  <c r="D38" i="26"/>
  <c r="D42" i="26" s="1"/>
  <c r="D47" i="26" s="1"/>
  <c r="D46" i="26" s="1"/>
  <c r="D62" i="26"/>
  <c r="D66" i="26" s="1"/>
  <c r="C38" i="26"/>
  <c r="C42" i="26" s="1"/>
  <c r="C41" i="26" s="1"/>
  <c r="C62" i="26"/>
  <c r="C66" i="26" s="1"/>
  <c r="F38" i="26"/>
  <c r="F42" i="26" s="1"/>
  <c r="F41" i="26" s="1"/>
  <c r="F62" i="26"/>
  <c r="F66" i="26" s="1"/>
  <c r="E38" i="26"/>
  <c r="E42" i="26" s="1"/>
  <c r="E41" i="26" s="1"/>
  <c r="E62" i="26"/>
  <c r="E66" i="26" s="1"/>
  <c r="N39" i="25"/>
  <c r="S4" i="25" s="1"/>
  <c r="T3" i="25"/>
  <c r="K38" i="26"/>
  <c r="K42" i="26" s="1"/>
  <c r="K47" i="26" s="1"/>
  <c r="K46" i="26" s="1"/>
  <c r="K62" i="26"/>
  <c r="K66" i="26" s="1"/>
  <c r="I38" i="26"/>
  <c r="I42" i="26" s="1"/>
  <c r="I41" i="26" s="1"/>
  <c r="I62" i="26"/>
  <c r="I66" i="26" s="1"/>
  <c r="H38" i="26"/>
  <c r="H42" i="26" s="1"/>
  <c r="H47" i="26" s="1"/>
  <c r="H46" i="26" s="1"/>
  <c r="H62" i="26"/>
  <c r="H66" i="26" s="1"/>
  <c r="G38" i="26"/>
  <c r="G42" i="26" s="1"/>
  <c r="G41" i="26" s="1"/>
  <c r="G62" i="26"/>
  <c r="G66" i="26" s="1"/>
  <c r="J38" i="26"/>
  <c r="J42" i="26" s="1"/>
  <c r="J41" i="26" s="1"/>
  <c r="J62" i="26"/>
  <c r="J66" i="26" s="1"/>
  <c r="M18" i="26"/>
  <c r="M17" i="26" s="1"/>
  <c r="B18" i="26"/>
  <c r="B23" i="26" s="1"/>
  <c r="D18" i="26"/>
  <c r="D17" i="26" s="1"/>
  <c r="E18" i="26"/>
  <c r="E17" i="26" s="1"/>
  <c r="F18" i="26"/>
  <c r="F23" i="26" s="1"/>
  <c r="F22" i="26" s="1"/>
  <c r="C18" i="26"/>
  <c r="C17" i="26" s="1"/>
  <c r="N14" i="26"/>
  <c r="L18" i="26"/>
  <c r="L17" i="26" s="1"/>
  <c r="C45" i="26"/>
  <c r="M47" i="26"/>
  <c r="M46" i="26" s="1"/>
  <c r="E47" i="26"/>
  <c r="E46" i="26" s="1"/>
  <c r="J18" i="26"/>
  <c r="J23" i="26" s="1"/>
  <c r="J22" i="26" s="1"/>
  <c r="L41" i="26"/>
  <c r="L47" i="26"/>
  <c r="L46" i="26" s="1"/>
  <c r="N34" i="26"/>
  <c r="B45" i="26"/>
  <c r="I17" i="26"/>
  <c r="I23" i="26"/>
  <c r="I22" i="26" s="1"/>
  <c r="G17" i="26"/>
  <c r="G23" i="26"/>
  <c r="G22" i="26" s="1"/>
  <c r="K17" i="26"/>
  <c r="K23" i="26"/>
  <c r="K22" i="26" s="1"/>
  <c r="H17" i="26"/>
  <c r="H23" i="26"/>
  <c r="H22" i="26" s="1"/>
  <c r="B17" i="26"/>
  <c r="N5" i="26"/>
  <c r="N10" i="26"/>
  <c r="N71" i="25"/>
  <c r="X4" i="25" s="1"/>
  <c r="X5" i="25" s="1"/>
  <c r="C25" i="17" s="1"/>
  <c r="B79" i="25"/>
  <c r="N79" i="25" s="1"/>
  <c r="K21" i="27" l="1"/>
  <c r="L21" i="27"/>
  <c r="M21" i="27"/>
  <c r="J21" i="27"/>
  <c r="H21" i="27"/>
  <c r="I21" i="27"/>
  <c r="L5" i="27"/>
  <c r="L95" i="26"/>
  <c r="K5" i="27"/>
  <c r="K95" i="26"/>
  <c r="M5" i="27"/>
  <c r="M95" i="26"/>
  <c r="J5" i="27"/>
  <c r="J95" i="26"/>
  <c r="N53" i="26"/>
  <c r="O53" i="26" s="1"/>
  <c r="H5" i="27"/>
  <c r="N77" i="26"/>
  <c r="H95" i="26"/>
  <c r="I5" i="27"/>
  <c r="I95" i="26"/>
  <c r="D23" i="26"/>
  <c r="D22" i="26" s="1"/>
  <c r="H41" i="26"/>
  <c r="J47" i="26"/>
  <c r="J46" i="26" s="1"/>
  <c r="O29" i="26"/>
  <c r="F17" i="26"/>
  <c r="O77" i="26"/>
  <c r="M23" i="26"/>
  <c r="M22" i="26" s="1"/>
  <c r="I47" i="26"/>
  <c r="I46" i="26" s="1"/>
  <c r="L23" i="26"/>
  <c r="L22" i="26" s="1"/>
  <c r="C47" i="26"/>
  <c r="C46" i="26" s="1"/>
  <c r="D41" i="26"/>
  <c r="K41" i="26"/>
  <c r="N38" i="26"/>
  <c r="H71" i="26"/>
  <c r="H70" i="26" s="1"/>
  <c r="H65" i="26"/>
  <c r="E71" i="26"/>
  <c r="E70" i="26" s="1"/>
  <c r="E65" i="26"/>
  <c r="M65" i="26"/>
  <c r="M71" i="26"/>
  <c r="M70" i="26" s="1"/>
  <c r="G71" i="26"/>
  <c r="G70" i="26" s="1"/>
  <c r="G65" i="26"/>
  <c r="D65" i="26"/>
  <c r="D71" i="26"/>
  <c r="D70" i="26" s="1"/>
  <c r="E23" i="26"/>
  <c r="E22" i="26" s="1"/>
  <c r="G47" i="26"/>
  <c r="G46" i="26" s="1"/>
  <c r="I65" i="26"/>
  <c r="I71" i="26"/>
  <c r="I70" i="26" s="1"/>
  <c r="F71" i="26"/>
  <c r="F70" i="26" s="1"/>
  <c r="F65" i="26"/>
  <c r="L65" i="26"/>
  <c r="L71" i="26"/>
  <c r="L70" i="26" s="1"/>
  <c r="J71" i="26"/>
  <c r="J70" i="26" s="1"/>
  <c r="J65" i="26"/>
  <c r="K71" i="26"/>
  <c r="K70" i="26" s="1"/>
  <c r="K65" i="26"/>
  <c r="C71" i="26"/>
  <c r="C70" i="26" s="1"/>
  <c r="C65" i="26"/>
  <c r="B66" i="26"/>
  <c r="N62" i="26"/>
  <c r="F47" i="26"/>
  <c r="F46" i="26" s="1"/>
  <c r="C23" i="26"/>
  <c r="C22" i="26" s="1"/>
  <c r="N18" i="26"/>
  <c r="O18" i="26" s="1"/>
  <c r="J17" i="26"/>
  <c r="B47" i="26"/>
  <c r="N42" i="26"/>
  <c r="O5" i="26"/>
  <c r="B22" i="26"/>
  <c r="M6" i="25"/>
  <c r="J6" i="25"/>
  <c r="E6" i="25"/>
  <c r="B6" i="25"/>
  <c r="M10" i="25"/>
  <c r="J10" i="25"/>
  <c r="E10" i="25"/>
  <c r="B10" i="25"/>
  <c r="G19" i="25"/>
  <c r="H59" i="23"/>
  <c r="G59" i="23"/>
  <c r="F59" i="23"/>
  <c r="D59" i="23"/>
  <c r="C59" i="23"/>
  <c r="B59" i="23"/>
  <c r="M62" i="23"/>
  <c r="I62" i="23"/>
  <c r="F55" i="23"/>
  <c r="F53" i="23"/>
  <c r="E53" i="23"/>
  <c r="D53" i="23"/>
  <c r="C53" i="23"/>
  <c r="B53" i="23"/>
  <c r="B33" i="23"/>
  <c r="M50" i="23"/>
  <c r="L50" i="23"/>
  <c r="K50" i="23"/>
  <c r="J50" i="23"/>
  <c r="H50" i="23"/>
  <c r="G49" i="23"/>
  <c r="F49" i="23"/>
  <c r="E49" i="23"/>
  <c r="E50" i="23" s="1"/>
  <c r="D49" i="23"/>
  <c r="C49" i="23"/>
  <c r="F48" i="23"/>
  <c r="E48" i="23"/>
  <c r="D48" i="23"/>
  <c r="D50" i="23" s="1"/>
  <c r="C48" i="23"/>
  <c r="B48" i="23"/>
  <c r="B24" i="23"/>
  <c r="M29" i="23"/>
  <c r="M30" i="23" s="1"/>
  <c r="L29" i="23"/>
  <c r="L30" i="23" s="1"/>
  <c r="K29" i="23"/>
  <c r="J29" i="23"/>
  <c r="I29" i="23"/>
  <c r="I30" i="23" s="1"/>
  <c r="M25" i="23"/>
  <c r="L25" i="23"/>
  <c r="K25" i="23"/>
  <c r="J25" i="23"/>
  <c r="I25" i="23"/>
  <c r="H25" i="23"/>
  <c r="G25" i="23"/>
  <c r="F25" i="23"/>
  <c r="E25" i="23"/>
  <c r="D25" i="23"/>
  <c r="C25" i="23"/>
  <c r="G30" i="23"/>
  <c r="K30" i="23"/>
  <c r="J30" i="23"/>
  <c r="H30" i="23"/>
  <c r="F28" i="23"/>
  <c r="F30" i="23" s="1"/>
  <c r="E28" i="23"/>
  <c r="E30" i="23" s="1"/>
  <c r="D28" i="23"/>
  <c r="D30" i="23" s="1"/>
  <c r="C28" i="23"/>
  <c r="C30" i="23" s="1"/>
  <c r="B28" i="23"/>
  <c r="B30" i="23" s="1"/>
  <c r="L59" i="23"/>
  <c r="I59" i="23"/>
  <c r="E62" i="23"/>
  <c r="L61" i="23"/>
  <c r="I61" i="23"/>
  <c r="G53" i="23"/>
  <c r="E61" i="23"/>
  <c r="D61" i="23"/>
  <c r="G50" i="23"/>
  <c r="C50" i="23"/>
  <c r="B50" i="23"/>
  <c r="N5" i="27" l="1"/>
  <c r="O29" i="27" s="1"/>
  <c r="K62" i="23"/>
  <c r="J23" i="27"/>
  <c r="J94" i="26"/>
  <c r="I23" i="27"/>
  <c r="I94" i="26"/>
  <c r="M94" i="26"/>
  <c r="M23" i="27"/>
  <c r="H94" i="26"/>
  <c r="H23" i="27"/>
  <c r="N95" i="26"/>
  <c r="K23" i="27"/>
  <c r="K94" i="26"/>
  <c r="L23" i="27"/>
  <c r="L94" i="26"/>
  <c r="C62" i="23"/>
  <c r="J59" i="23"/>
  <c r="G55" i="23"/>
  <c r="K59" i="23"/>
  <c r="N23" i="26"/>
  <c r="O23" i="26" s="1"/>
  <c r="O42" i="26"/>
  <c r="B71" i="26"/>
  <c r="N66" i="26"/>
  <c r="O90" i="26" s="1"/>
  <c r="B65" i="26"/>
  <c r="B31" i="17"/>
  <c r="N47" i="26"/>
  <c r="B46" i="26"/>
  <c r="B30" i="17"/>
  <c r="G10" i="25"/>
  <c r="G6" i="25"/>
  <c r="E19" i="25"/>
  <c r="M19" i="25"/>
  <c r="C6" i="25"/>
  <c r="K6" i="25"/>
  <c r="F19" i="25"/>
  <c r="D6" i="25"/>
  <c r="L6" i="25"/>
  <c r="H19" i="25"/>
  <c r="F6" i="25"/>
  <c r="F10" i="25"/>
  <c r="H10" i="25"/>
  <c r="H6" i="25"/>
  <c r="D19" i="25"/>
  <c r="L19" i="25"/>
  <c r="I10" i="25"/>
  <c r="I6" i="25"/>
  <c r="H14" i="25"/>
  <c r="I14" i="25"/>
  <c r="B14" i="25"/>
  <c r="J14" i="25"/>
  <c r="C10" i="25"/>
  <c r="K10" i="25"/>
  <c r="C14" i="25"/>
  <c r="K14" i="25"/>
  <c r="D10" i="25"/>
  <c r="L10" i="25"/>
  <c r="D14" i="25"/>
  <c r="L14" i="25"/>
  <c r="E14" i="25"/>
  <c r="M14" i="25"/>
  <c r="F14" i="25"/>
  <c r="C19" i="25"/>
  <c r="K19" i="25"/>
  <c r="B19" i="25"/>
  <c r="J19" i="25"/>
  <c r="I19" i="25"/>
  <c r="M61" i="23"/>
  <c r="G63" i="23"/>
  <c r="F50" i="23"/>
  <c r="B62" i="23"/>
  <c r="J62" i="23"/>
  <c r="I50" i="23"/>
  <c r="H55" i="23"/>
  <c r="H63" i="23" s="1"/>
  <c r="D62" i="23"/>
  <c r="L62" i="23"/>
  <c r="B55" i="23"/>
  <c r="B63" i="23" s="1"/>
  <c r="J55" i="23"/>
  <c r="J63" i="23" s="1"/>
  <c r="F62" i="23"/>
  <c r="N30" i="23"/>
  <c r="I55" i="23"/>
  <c r="I63" i="23" s="1"/>
  <c r="C55" i="23"/>
  <c r="C63" i="23" s="1"/>
  <c r="K55" i="23"/>
  <c r="K63" i="23" s="1"/>
  <c r="G62" i="23"/>
  <c r="H62" i="23"/>
  <c r="F61" i="23"/>
  <c r="F63" i="23"/>
  <c r="N50" i="23"/>
  <c r="T3" i="23" s="1"/>
  <c r="D55" i="23"/>
  <c r="D63" i="23" s="1"/>
  <c r="E55" i="23"/>
  <c r="M55" i="23"/>
  <c r="G61" i="23"/>
  <c r="E59" i="23"/>
  <c r="M59" i="23"/>
  <c r="H61" i="23"/>
  <c r="B61" i="23"/>
  <c r="J61" i="23"/>
  <c r="C61" i="23"/>
  <c r="K61" i="23"/>
  <c r="L55" i="23"/>
  <c r="L63" i="23" s="1"/>
  <c r="I22" i="27" l="1"/>
  <c r="K22" i="27"/>
  <c r="J22" i="27"/>
  <c r="N23" i="27"/>
  <c r="O47" i="27" s="1"/>
  <c r="O47" i="29"/>
  <c r="R2" i="29" s="1"/>
  <c r="M22" i="27"/>
  <c r="L22" i="27"/>
  <c r="H22" i="27"/>
  <c r="O47" i="26"/>
  <c r="R2" i="26" s="1"/>
  <c r="O66" i="26"/>
  <c r="N71" i="26"/>
  <c r="B70" i="26"/>
  <c r="B32" i="17"/>
  <c r="N6" i="25"/>
  <c r="N10" i="25"/>
  <c r="N19" i="25"/>
  <c r="R4" i="25" s="1"/>
  <c r="Z4" i="25" s="1"/>
  <c r="M63" i="23"/>
  <c r="N59" i="23"/>
  <c r="E63" i="23"/>
  <c r="N55" i="23"/>
  <c r="R2" i="27" l="1"/>
  <c r="R4" i="27" s="1"/>
  <c r="T4" i="23"/>
  <c r="T5" i="23" s="1"/>
  <c r="O71" i="26"/>
  <c r="R3" i="26" s="1"/>
  <c r="O95" i="26"/>
  <c r="T5" i="25"/>
  <c r="S5" i="25"/>
  <c r="N63" i="23"/>
  <c r="R5" i="26" l="1"/>
  <c r="G33" i="23"/>
  <c r="F33" i="23"/>
  <c r="E33" i="23"/>
  <c r="D33" i="23"/>
  <c r="C33" i="23"/>
  <c r="I38" i="23" l="1"/>
  <c r="H38" i="23"/>
  <c r="J38" i="23"/>
  <c r="M38" i="23"/>
  <c r="L38" i="23"/>
  <c r="K38" i="23"/>
  <c r="K34" i="23"/>
  <c r="J34" i="23"/>
  <c r="I34" i="23"/>
  <c r="H34" i="23"/>
  <c r="M34" i="23"/>
  <c r="L34" i="23"/>
  <c r="F24" i="23" l="1"/>
  <c r="E24" i="23"/>
  <c r="D24" i="23"/>
  <c r="C24" i="23"/>
  <c r="P18" i="24"/>
  <c r="O18" i="24"/>
  <c r="N18" i="24"/>
  <c r="M18" i="24"/>
  <c r="L18" i="24"/>
  <c r="M39" i="23" l="1"/>
  <c r="L39" i="23"/>
  <c r="K39" i="23"/>
  <c r="J39" i="23"/>
  <c r="I39" i="23"/>
  <c r="H39" i="23"/>
  <c r="G39" i="23"/>
  <c r="F39" i="23"/>
  <c r="E39" i="23"/>
  <c r="D39" i="23"/>
  <c r="C39" i="23"/>
  <c r="B39" i="23"/>
  <c r="M42" i="23"/>
  <c r="E42" i="23"/>
  <c r="G35" i="23"/>
  <c r="F41" i="23"/>
  <c r="E41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L15" i="23"/>
  <c r="J15" i="23"/>
  <c r="I15" i="23"/>
  <c r="H15" i="23"/>
  <c r="G15" i="23"/>
  <c r="F15" i="23"/>
  <c r="E15" i="23"/>
  <c r="D15" i="23"/>
  <c r="B15" i="23"/>
  <c r="M9" i="23"/>
  <c r="L9" i="23"/>
  <c r="L17" i="23" s="1"/>
  <c r="K9" i="23"/>
  <c r="K17" i="23" s="1"/>
  <c r="J9" i="23"/>
  <c r="I9" i="23"/>
  <c r="I17" i="23" s="1"/>
  <c r="H9" i="23"/>
  <c r="G9" i="23"/>
  <c r="G17" i="23" s="1"/>
  <c r="F9" i="23"/>
  <c r="F17" i="23" s="1"/>
  <c r="E9" i="23"/>
  <c r="E17" i="23" s="1"/>
  <c r="D9" i="23"/>
  <c r="D17" i="23" s="1"/>
  <c r="C9" i="23"/>
  <c r="C17" i="23" s="1"/>
  <c r="B9" i="23"/>
  <c r="M5" i="23"/>
  <c r="L5" i="23"/>
  <c r="K5" i="23"/>
  <c r="J5" i="23"/>
  <c r="I5" i="23"/>
  <c r="H5" i="23"/>
  <c r="G5" i="23"/>
  <c r="F5" i="23"/>
  <c r="E5" i="23"/>
  <c r="D5" i="23"/>
  <c r="C5" i="23"/>
  <c r="B5" i="23"/>
  <c r="G43" i="23" l="1"/>
  <c r="J18" i="23"/>
  <c r="D18" i="23"/>
  <c r="L18" i="23"/>
  <c r="C42" i="23"/>
  <c r="K42" i="23"/>
  <c r="M11" i="23"/>
  <c r="B42" i="23"/>
  <c r="J42" i="23"/>
  <c r="C11" i="23"/>
  <c r="G11" i="23"/>
  <c r="G19" i="23" s="1"/>
  <c r="I11" i="23"/>
  <c r="I19" i="23" s="1"/>
  <c r="G18" i="23"/>
  <c r="C18" i="23"/>
  <c r="K18" i="23"/>
  <c r="C35" i="23"/>
  <c r="C43" i="23" s="1"/>
  <c r="G42" i="23"/>
  <c r="D35" i="23"/>
  <c r="D43" i="23" s="1"/>
  <c r="H42" i="23"/>
  <c r="J11" i="23"/>
  <c r="J19" i="23" s="1"/>
  <c r="M17" i="23"/>
  <c r="I18" i="23"/>
  <c r="M18" i="23"/>
  <c r="I42" i="23"/>
  <c r="E11" i="23"/>
  <c r="E19" i="23" s="1"/>
  <c r="J17" i="23"/>
  <c r="K11" i="23"/>
  <c r="D42" i="23"/>
  <c r="L42" i="23"/>
  <c r="G41" i="23"/>
  <c r="H18" i="23"/>
  <c r="B35" i="23"/>
  <c r="B43" i="23" s="1"/>
  <c r="F42" i="23"/>
  <c r="N26" i="23"/>
  <c r="S3" i="23" s="1"/>
  <c r="N39" i="23"/>
  <c r="E35" i="23"/>
  <c r="E43" i="23" s="1"/>
  <c r="F35" i="23"/>
  <c r="F43" i="23" s="1"/>
  <c r="B41" i="23"/>
  <c r="C41" i="23"/>
  <c r="D41" i="23"/>
  <c r="E18" i="23"/>
  <c r="C15" i="23"/>
  <c r="K15" i="23"/>
  <c r="K19" i="23" s="1"/>
  <c r="F18" i="23"/>
  <c r="M15" i="23"/>
  <c r="B18" i="23"/>
  <c r="H11" i="23"/>
  <c r="H19" i="23" s="1"/>
  <c r="B11" i="23"/>
  <c r="B19" i="23" s="1"/>
  <c r="D11" i="23"/>
  <c r="D19" i="23" s="1"/>
  <c r="L11" i="23"/>
  <c r="L19" i="23" s="1"/>
  <c r="H17" i="23"/>
  <c r="F11" i="23"/>
  <c r="F19" i="23" s="1"/>
  <c r="B17" i="23"/>
  <c r="M19" i="23" l="1"/>
  <c r="C19" i="23"/>
  <c r="N19" i="23" s="1"/>
  <c r="R4" i="23" s="1"/>
  <c r="N15" i="23"/>
  <c r="M6" i="23" l="1"/>
  <c r="L6" i="23"/>
  <c r="K6" i="23"/>
  <c r="J6" i="23"/>
  <c r="I6" i="23"/>
  <c r="H6" i="23"/>
  <c r="G6" i="23"/>
  <c r="F6" i="23"/>
  <c r="E6" i="23"/>
  <c r="D6" i="23"/>
  <c r="C6" i="23"/>
  <c r="B6" i="23"/>
  <c r="N11" i="23"/>
  <c r="F6" i="21"/>
  <c r="E6" i="21"/>
  <c r="D6" i="21"/>
  <c r="C6" i="21"/>
  <c r="C3" i="21"/>
  <c r="F3" i="21"/>
  <c r="E3" i="21"/>
  <c r="D3" i="21"/>
  <c r="F2" i="21"/>
  <c r="E2" i="21"/>
  <c r="D2" i="21"/>
  <c r="C2" i="21"/>
  <c r="M44" i="16"/>
  <c r="L44" i="16"/>
  <c r="K44" i="16"/>
  <c r="J44" i="16"/>
  <c r="I44" i="16"/>
  <c r="H44" i="16"/>
  <c r="F24" i="21"/>
  <c r="E24" i="21"/>
  <c r="D24" i="21"/>
  <c r="C24" i="21"/>
  <c r="F23" i="21"/>
  <c r="E23" i="21"/>
  <c r="D23" i="21"/>
  <c r="C23" i="21"/>
  <c r="D21" i="21"/>
  <c r="C21" i="21"/>
  <c r="M30" i="16"/>
  <c r="L30" i="16"/>
  <c r="K30" i="16"/>
  <c r="F21" i="21" s="1"/>
  <c r="J30" i="16"/>
  <c r="I30" i="16"/>
  <c r="H30" i="16"/>
  <c r="E21" i="21" s="1"/>
  <c r="L29" i="16"/>
  <c r="L31" i="16" s="1"/>
  <c r="K29" i="16"/>
  <c r="J29" i="16"/>
  <c r="I29" i="16"/>
  <c r="G31" i="16"/>
  <c r="F31" i="16"/>
  <c r="E31" i="16"/>
  <c r="D31" i="16"/>
  <c r="C31" i="16"/>
  <c r="B31" i="16"/>
  <c r="M21" i="16"/>
  <c r="M29" i="16" s="1"/>
  <c r="L21" i="16"/>
  <c r="K21" i="16"/>
  <c r="J21" i="16"/>
  <c r="I21" i="16"/>
  <c r="H21" i="16"/>
  <c r="H29" i="16" s="1"/>
  <c r="E20" i="21" s="1"/>
  <c r="G21" i="16"/>
  <c r="F21" i="16"/>
  <c r="E21" i="16"/>
  <c r="D21" i="16"/>
  <c r="C21" i="16"/>
  <c r="B21" i="16"/>
  <c r="C20" i="21" s="1"/>
  <c r="E46" i="22"/>
  <c r="C39" i="22"/>
  <c r="I38" i="22"/>
  <c r="G38" i="22"/>
  <c r="E38" i="22"/>
  <c r="E39" i="22" s="1"/>
  <c r="D38" i="22"/>
  <c r="I37" i="22"/>
  <c r="G37" i="22"/>
  <c r="I36" i="22"/>
  <c r="G36" i="22"/>
  <c r="D36" i="22"/>
  <c r="D39" i="22" s="1"/>
  <c r="C36" i="22"/>
  <c r="D33" i="22"/>
  <c r="B33" i="22"/>
  <c r="B39" i="22" s="1"/>
  <c r="I32" i="22"/>
  <c r="E32" i="22"/>
  <c r="D32" i="22"/>
  <c r="G32" i="22" s="1"/>
  <c r="C32" i="22"/>
  <c r="C48" i="22" s="1"/>
  <c r="G31" i="22"/>
  <c r="E31" i="22"/>
  <c r="E47" i="22" s="1"/>
  <c r="D31" i="22"/>
  <c r="I31" i="22" s="1"/>
  <c r="C31" i="22"/>
  <c r="I30" i="22"/>
  <c r="D30" i="22"/>
  <c r="C30" i="22"/>
  <c r="G30" i="22" s="1"/>
  <c r="B27" i="22"/>
  <c r="E26" i="22"/>
  <c r="E48" i="22" s="1"/>
  <c r="D26" i="22"/>
  <c r="D48" i="22" s="1"/>
  <c r="E25" i="22"/>
  <c r="E27" i="22" s="1"/>
  <c r="D25" i="22"/>
  <c r="D47" i="22" s="1"/>
  <c r="C25" i="22"/>
  <c r="B25" i="22"/>
  <c r="B31" i="22" s="1"/>
  <c r="B37" i="22" s="1"/>
  <c r="I24" i="22"/>
  <c r="D24" i="22"/>
  <c r="G24" i="22" s="1"/>
  <c r="C24" i="22"/>
  <c r="C27" i="22" s="1"/>
  <c r="B20" i="22"/>
  <c r="E19" i="22"/>
  <c r="D19" i="22"/>
  <c r="I19" i="22" s="1"/>
  <c r="G18" i="22"/>
  <c r="E18" i="22"/>
  <c r="E20" i="22" s="1"/>
  <c r="D18" i="22"/>
  <c r="I18" i="22" s="1"/>
  <c r="C18" i="22"/>
  <c r="I17" i="22"/>
  <c r="D17" i="22"/>
  <c r="D20" i="22" s="1"/>
  <c r="C17" i="22"/>
  <c r="C20" i="22" s="1"/>
  <c r="B17" i="22"/>
  <c r="E14" i="22"/>
  <c r="I13" i="22"/>
  <c r="G13" i="22"/>
  <c r="B13" i="22"/>
  <c r="B26" i="22" s="1"/>
  <c r="B32" i="22" s="1"/>
  <c r="B38" i="22" s="1"/>
  <c r="I12" i="22"/>
  <c r="G12" i="22"/>
  <c r="C12" i="22"/>
  <c r="C47" i="22" s="1"/>
  <c r="B12" i="22"/>
  <c r="B18" i="22" s="1"/>
  <c r="G11" i="22"/>
  <c r="D11" i="22"/>
  <c r="D14" i="22" s="1"/>
  <c r="C11" i="22"/>
  <c r="C14" i="22" s="1"/>
  <c r="B11" i="22"/>
  <c r="B24" i="22" s="1"/>
  <c r="B30" i="22" s="1"/>
  <c r="B36" i="22" s="1"/>
  <c r="E8" i="22"/>
  <c r="C8" i="22"/>
  <c r="M7" i="22"/>
  <c r="N7" i="22" s="1"/>
  <c r="O7" i="22" s="1"/>
  <c r="I7" i="22"/>
  <c r="G7" i="22"/>
  <c r="M6" i="22"/>
  <c r="N6" i="22" s="1"/>
  <c r="O6" i="22" s="1"/>
  <c r="L6" i="22"/>
  <c r="L8" i="22" s="1"/>
  <c r="M8" i="22" s="1"/>
  <c r="I6" i="22"/>
  <c r="G6" i="22"/>
  <c r="I5" i="22"/>
  <c r="D5" i="22"/>
  <c r="G5" i="22" s="1"/>
  <c r="C5" i="22"/>
  <c r="E24" i="15"/>
  <c r="D30" i="15" s="1"/>
  <c r="E32" i="15"/>
  <c r="D34" i="15"/>
  <c r="D35" i="15"/>
  <c r="D43" i="15"/>
  <c r="E40" i="15"/>
  <c r="E16" i="15"/>
  <c r="D48" i="15"/>
  <c r="D52" i="15"/>
  <c r="N6" i="23" l="1"/>
  <c r="R3" i="23" s="1"/>
  <c r="R5" i="23" s="1"/>
  <c r="F20" i="21"/>
  <c r="K31" i="16"/>
  <c r="I31" i="16"/>
  <c r="D20" i="21"/>
  <c r="J31" i="16"/>
  <c r="M31" i="16"/>
  <c r="H31" i="16"/>
  <c r="N31" i="16" s="1"/>
  <c r="G47" i="22"/>
  <c r="I47" i="22"/>
  <c r="C42" i="22"/>
  <c r="I48" i="22"/>
  <c r="G48" i="22"/>
  <c r="C46" i="22"/>
  <c r="G26" i="22"/>
  <c r="C33" i="22"/>
  <c r="D46" i="22"/>
  <c r="G17" i="22"/>
  <c r="B19" i="22"/>
  <c r="I26" i="22"/>
  <c r="E33" i="22"/>
  <c r="E42" i="22" s="1"/>
  <c r="D8" i="22"/>
  <c r="D42" i="22" s="1"/>
  <c r="I11" i="22"/>
  <c r="G25" i="22"/>
  <c r="G19" i="22"/>
  <c r="I25" i="22"/>
  <c r="D27" i="22"/>
  <c r="D33" i="1"/>
  <c r="A59" i="1"/>
  <c r="E59" i="1" s="1"/>
  <c r="A43" i="1"/>
  <c r="E43" i="1" s="1"/>
  <c r="A61" i="1"/>
  <c r="E61" i="1" s="1"/>
  <c r="G61" i="1" s="1"/>
  <c r="A56" i="15"/>
  <c r="A45" i="15"/>
  <c r="E45" i="15" s="1"/>
  <c r="G42" i="15"/>
  <c r="G41" i="15"/>
  <c r="T44" i="4"/>
  <c r="T43" i="4"/>
  <c r="T45" i="4"/>
  <c r="T46" i="4"/>
  <c r="A45" i="1"/>
  <c r="E45" i="1" s="1"/>
  <c r="A39" i="1"/>
  <c r="B29" i="17" l="1"/>
  <c r="T6" i="23"/>
  <c r="I46" i="22"/>
  <c r="G46" i="22"/>
  <c r="E56" i="15"/>
  <c r="G56" i="15" s="1"/>
  <c r="G45" i="15"/>
  <c r="G59" i="1"/>
  <c r="G43" i="1"/>
  <c r="F18" i="21" l="1"/>
  <c r="E18" i="21"/>
  <c r="D18" i="21"/>
  <c r="C18" i="21"/>
  <c r="F17" i="21"/>
  <c r="E17" i="21"/>
  <c r="D17" i="21"/>
  <c r="C17" i="21"/>
  <c r="F15" i="21"/>
  <c r="E15" i="21"/>
  <c r="D15" i="21"/>
  <c r="C15" i="21"/>
  <c r="F14" i="21"/>
  <c r="E14" i="21"/>
  <c r="D14" i="21"/>
  <c r="C14" i="21"/>
  <c r="F30" i="21"/>
  <c r="E30" i="21"/>
  <c r="D30" i="21"/>
  <c r="C30" i="21"/>
  <c r="F29" i="21"/>
  <c r="E29" i="21"/>
  <c r="D29" i="21"/>
  <c r="C29" i="21"/>
  <c r="F27" i="21"/>
  <c r="E27" i="21"/>
  <c r="D27" i="21"/>
  <c r="C27" i="21"/>
  <c r="F26" i="21"/>
  <c r="E26" i="21"/>
  <c r="D26" i="21"/>
  <c r="C26" i="21"/>
  <c r="R51" i="4"/>
  <c r="T52" i="4" l="1"/>
  <c r="B33" i="17"/>
  <c r="E39" i="1"/>
  <c r="G39" i="1" s="1"/>
  <c r="G40" i="1"/>
  <c r="G41" i="1"/>
  <c r="A17" i="1"/>
  <c r="E17" i="1" s="1"/>
  <c r="G17" i="1" s="1"/>
  <c r="D18" i="1"/>
  <c r="G18" i="1" s="1"/>
  <c r="D19" i="1"/>
  <c r="G19" i="1" s="1"/>
  <c r="D20" i="1"/>
  <c r="G20" i="1" s="1"/>
  <c r="A30" i="1"/>
  <c r="A23" i="1"/>
  <c r="A58" i="15" l="1"/>
  <c r="E58" i="15" s="1"/>
  <c r="A47" i="15"/>
  <c r="E47" i="15" s="1"/>
  <c r="D53" i="15" s="1"/>
  <c r="A16" i="15"/>
  <c r="A24" i="15"/>
  <c r="A32" i="15"/>
  <c r="A40" i="15"/>
  <c r="G43" i="15"/>
  <c r="E9" i="15"/>
  <c r="D17" i="15"/>
  <c r="G40" i="15" l="1"/>
  <c r="G16" i="15"/>
  <c r="R16" i="20" l="1"/>
  <c r="Q16" i="20"/>
  <c r="P16" i="20"/>
  <c r="O16" i="20"/>
  <c r="N16" i="20"/>
  <c r="M16" i="20"/>
  <c r="L16" i="20"/>
  <c r="K16" i="20"/>
  <c r="J16" i="20"/>
  <c r="I16" i="20"/>
  <c r="H16" i="20"/>
  <c r="G16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E14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E13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R9" i="20"/>
  <c r="Q9" i="20"/>
  <c r="P9" i="20"/>
  <c r="O9" i="20"/>
  <c r="N9" i="20"/>
  <c r="M9" i="20"/>
  <c r="L9" i="20"/>
  <c r="K9" i="20"/>
  <c r="J9" i="20"/>
  <c r="I9" i="20"/>
  <c r="H9" i="20"/>
  <c r="G9" i="20"/>
  <c r="R8" i="20"/>
  <c r="Q8" i="20"/>
  <c r="P8" i="20"/>
  <c r="O8" i="20"/>
  <c r="N8" i="20"/>
  <c r="M8" i="20"/>
  <c r="L8" i="20"/>
  <c r="K8" i="20"/>
  <c r="J8" i="20"/>
  <c r="I8" i="20"/>
  <c r="H8" i="20"/>
  <c r="G8" i="20"/>
  <c r="R7" i="20"/>
  <c r="Q7" i="20"/>
  <c r="P7" i="20"/>
  <c r="O7" i="20"/>
  <c r="N7" i="20"/>
  <c r="M7" i="20"/>
  <c r="L7" i="20"/>
  <c r="K7" i="20"/>
  <c r="J7" i="20"/>
  <c r="I7" i="20"/>
  <c r="H7" i="20"/>
  <c r="G7" i="20"/>
  <c r="R6" i="20"/>
  <c r="Q6" i="20"/>
  <c r="P6" i="20"/>
  <c r="O6" i="20"/>
  <c r="N6" i="20"/>
  <c r="M6" i="20"/>
  <c r="L6" i="20"/>
  <c r="K6" i="20"/>
  <c r="J6" i="20"/>
  <c r="I6" i="20"/>
  <c r="H6" i="20"/>
  <c r="G6" i="20"/>
  <c r="R5" i="20"/>
  <c r="Q5" i="20"/>
  <c r="P5" i="20"/>
  <c r="O5" i="20"/>
  <c r="N5" i="20"/>
  <c r="M5" i="20"/>
  <c r="L5" i="20"/>
  <c r="K5" i="20"/>
  <c r="J5" i="20"/>
  <c r="I5" i="20"/>
  <c r="H5" i="20"/>
  <c r="G5" i="20"/>
  <c r="Z6" i="18" l="1"/>
  <c r="X6" i="18"/>
  <c r="S6" i="18"/>
  <c r="R6" i="18"/>
  <c r="M37" i="18"/>
  <c r="H35" i="23" l="1"/>
  <c r="H41" i="23"/>
  <c r="H43" i="23" l="1"/>
  <c r="I35" i="23" l="1"/>
  <c r="I41" i="23"/>
  <c r="I43" i="23" l="1"/>
  <c r="J41" i="23" l="1"/>
  <c r="J35" i="23"/>
  <c r="J43" i="23" l="1"/>
  <c r="K35" i="23" l="1"/>
  <c r="K41" i="23"/>
  <c r="K43" i="23" l="1"/>
  <c r="L35" i="23" l="1"/>
  <c r="L41" i="23"/>
  <c r="L43" i="23" l="1"/>
  <c r="M41" i="23" l="1"/>
  <c r="M35" i="23"/>
  <c r="M43" i="23" l="1"/>
  <c r="N43" i="23" s="1"/>
  <c r="N35" i="23"/>
  <c r="S4" i="23" s="1"/>
  <c r="S5" i="23" s="1"/>
  <c r="S6" i="23" s="1"/>
  <c r="M20" i="18" l="1"/>
  <c r="N60" i="18" l="1"/>
  <c r="M55" i="18"/>
  <c r="L55" i="18"/>
  <c r="K55" i="18"/>
  <c r="J55" i="18"/>
  <c r="I55" i="18"/>
  <c r="H55" i="18"/>
  <c r="G55" i="18"/>
  <c r="F55" i="18"/>
  <c r="E55" i="18"/>
  <c r="D55" i="18"/>
  <c r="C55" i="18"/>
  <c r="B55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L37" i="18"/>
  <c r="K37" i="18"/>
  <c r="J37" i="18"/>
  <c r="I37" i="18"/>
  <c r="H37" i="18"/>
  <c r="G37" i="18"/>
  <c r="F37" i="18"/>
  <c r="E37" i="18"/>
  <c r="D37" i="18"/>
  <c r="C37" i="18"/>
  <c r="B37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L20" i="18"/>
  <c r="K20" i="18"/>
  <c r="J20" i="18"/>
  <c r="I20" i="18"/>
  <c r="H20" i="18"/>
  <c r="G20" i="18"/>
  <c r="F20" i="18"/>
  <c r="E20" i="18"/>
  <c r="D20" i="18"/>
  <c r="C20" i="18"/>
  <c r="B20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M6" i="18"/>
  <c r="L6" i="18"/>
  <c r="K6" i="18"/>
  <c r="J6" i="18"/>
  <c r="I6" i="18"/>
  <c r="H6" i="18"/>
  <c r="G6" i="18"/>
  <c r="F6" i="18"/>
  <c r="E6" i="18"/>
  <c r="D6" i="18"/>
  <c r="C6" i="18"/>
  <c r="B6" i="18"/>
  <c r="N12" i="18" l="1"/>
  <c r="S4" i="18" s="1"/>
  <c r="N29" i="18"/>
  <c r="N42" i="18"/>
  <c r="N51" i="18"/>
  <c r="O55" i="18" s="1"/>
  <c r="N55" i="18"/>
  <c r="N20" i="18"/>
  <c r="R5" i="18" s="1"/>
  <c r="N24" i="18"/>
  <c r="N37" i="18"/>
  <c r="N6" i="18"/>
  <c r="O30" i="18" l="1"/>
  <c r="S5" i="18"/>
  <c r="X5" i="18" s="1"/>
  <c r="O13" i="18"/>
  <c r="R4" i="18"/>
  <c r="O61" i="18"/>
  <c r="O66" i="18" s="1"/>
  <c r="X4" i="18"/>
  <c r="X3" i="18"/>
  <c r="Z4" i="18" l="1"/>
  <c r="Y31" i="4" l="1"/>
  <c r="N49" i="16" l="1"/>
  <c r="S5" i="16" s="1"/>
  <c r="G44" i="16"/>
  <c r="F44" i="16"/>
  <c r="E44" i="16"/>
  <c r="D44" i="16"/>
  <c r="C44" i="16"/>
  <c r="B44" i="16"/>
  <c r="G7" i="15"/>
  <c r="N44" i="16" l="1"/>
  <c r="O50" i="16" l="1"/>
  <c r="O55" i="16" s="1"/>
  <c r="R5" i="16"/>
  <c r="W5" i="16" s="1"/>
  <c r="M35" i="16"/>
  <c r="L35" i="16"/>
  <c r="K35" i="16"/>
  <c r="J35" i="16"/>
  <c r="I35" i="16"/>
  <c r="H35" i="16"/>
  <c r="G35" i="16"/>
  <c r="F35" i="16"/>
  <c r="E35" i="16"/>
  <c r="D35" i="16"/>
  <c r="C35" i="16"/>
  <c r="B35" i="16"/>
  <c r="G27" i="16"/>
  <c r="F27" i="16"/>
  <c r="E27" i="16"/>
  <c r="D27" i="16"/>
  <c r="C27" i="16"/>
  <c r="B27" i="16"/>
  <c r="G23" i="16"/>
  <c r="F23" i="16"/>
  <c r="E23" i="16"/>
  <c r="D23" i="16"/>
  <c r="C23" i="16"/>
  <c r="B23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M6" i="16"/>
  <c r="L6" i="16"/>
  <c r="K6" i="16"/>
  <c r="J6" i="16"/>
  <c r="I6" i="16"/>
  <c r="H6" i="16"/>
  <c r="G6" i="16"/>
  <c r="F6" i="16"/>
  <c r="E6" i="16"/>
  <c r="D6" i="16"/>
  <c r="C6" i="16"/>
  <c r="B6" i="16"/>
  <c r="E23" i="1"/>
  <c r="N15" i="16" l="1"/>
  <c r="S3" i="16" s="1"/>
  <c r="N6" i="16"/>
  <c r="N10" i="16"/>
  <c r="O10" i="16" s="1"/>
  <c r="N23" i="16"/>
  <c r="N35" i="16"/>
  <c r="S4" i="16" s="1"/>
  <c r="N27" i="16"/>
  <c r="O31" i="16" s="1"/>
  <c r="O16" i="16" l="1"/>
  <c r="R3" i="16"/>
  <c r="W3" i="16" s="1"/>
  <c r="Y5" i="16" s="1"/>
  <c r="D25" i="1" s="1"/>
  <c r="O27" i="16"/>
  <c r="R4" i="16" s="1"/>
  <c r="W4" i="16" s="1"/>
  <c r="Y4" i="16" s="1"/>
  <c r="D24" i="1" s="1"/>
  <c r="O36" i="16"/>
  <c r="D26" i="1" l="1"/>
  <c r="D32" i="1"/>
  <c r="D31" i="1"/>
  <c r="T42" i="4"/>
  <c r="D33" i="15" s="1"/>
  <c r="R52" i="4" l="1"/>
  <c r="Q52" i="4"/>
  <c r="T51" i="4"/>
  <c r="Q44" i="4" l="1"/>
  <c r="Q51" i="4" l="1"/>
  <c r="Q33" i="4"/>
  <c r="P18" i="4" l="1"/>
  <c r="T19" i="4" l="1"/>
  <c r="T18" i="4"/>
  <c r="T17" i="4"/>
  <c r="T16" i="4"/>
  <c r="T15" i="4"/>
  <c r="Q24" i="4"/>
  <c r="P24" i="4"/>
  <c r="A7" i="15" l="1"/>
  <c r="G58" i="15" l="1"/>
  <c r="G24" i="15"/>
  <c r="G9" i="15"/>
  <c r="C20" i="14"/>
  <c r="C6" i="14"/>
  <c r="C8" i="14" s="1"/>
  <c r="C11" i="14"/>
  <c r="C16" i="14" s="1"/>
  <c r="A62" i="15" l="1"/>
  <c r="G32" i="15"/>
  <c r="G47" i="15"/>
  <c r="C18" i="14"/>
  <c r="V21" i="11"/>
  <c r="G60" i="15" l="1"/>
  <c r="G62" i="15" s="1"/>
  <c r="G63" i="15" s="1"/>
  <c r="M17" i="12"/>
  <c r="D16" i="12"/>
  <c r="D19" i="12"/>
  <c r="C19" i="12"/>
  <c r="C17" i="12"/>
  <c r="C16" i="12"/>
  <c r="C15" i="12"/>
  <c r="G12" i="12"/>
  <c r="F12" i="12"/>
  <c r="D12" i="12"/>
  <c r="G31" i="4"/>
  <c r="G32" i="4" s="1"/>
  <c r="G34" i="4" s="1"/>
  <c r="C10" i="12" s="1"/>
  <c r="C12" i="12" s="1"/>
  <c r="L16" i="3"/>
  <c r="D15" i="12" l="1"/>
  <c r="D17" i="12" s="1"/>
  <c r="M49" i="11"/>
  <c r="L49" i="11"/>
  <c r="Y26" i="11"/>
  <c r="Y20" i="11"/>
  <c r="H13" i="10" l="1"/>
  <c r="H15" i="10" s="1"/>
  <c r="G13" i="10"/>
  <c r="G12" i="10"/>
  <c r="I12" i="10" s="1"/>
  <c r="G11" i="10"/>
  <c r="I11" i="10" s="1"/>
  <c r="I10" i="10"/>
  <c r="G9" i="10"/>
  <c r="I9" i="10" s="1"/>
  <c r="I8" i="10"/>
  <c r="G8" i="10"/>
  <c r="G7" i="10"/>
  <c r="I7" i="10" s="1"/>
  <c r="G6" i="10"/>
  <c r="I6" i="10" s="1"/>
  <c r="I14" i="10" l="1"/>
  <c r="I13" i="10"/>
  <c r="G15" i="10"/>
  <c r="I15" i="10" s="1"/>
  <c r="I18" i="10" s="1"/>
  <c r="D4" i="9" l="1"/>
  <c r="H4" i="9"/>
  <c r="D6" i="9"/>
  <c r="J6" i="9" s="1"/>
  <c r="H6" i="9"/>
  <c r="H15" i="9" s="1"/>
  <c r="D7" i="9"/>
  <c r="J7" i="9" s="1"/>
  <c r="H7" i="9"/>
  <c r="D8" i="9"/>
  <c r="J8" i="9"/>
  <c r="D10" i="9"/>
  <c r="J10" i="9" s="1"/>
  <c r="H10" i="9"/>
  <c r="H17" i="9" s="1"/>
  <c r="H11" i="9"/>
  <c r="J11" i="9" s="1"/>
  <c r="D4" i="8"/>
  <c r="H4" i="8"/>
  <c r="D7" i="8"/>
  <c r="D15" i="8" s="1"/>
  <c r="H7" i="8"/>
  <c r="H15" i="8" s="1"/>
  <c r="Q4" i="8" s="1"/>
  <c r="J7" i="8"/>
  <c r="D8" i="8"/>
  <c r="J8" i="8" s="1"/>
  <c r="H8" i="8"/>
  <c r="D9" i="8"/>
  <c r="H9" i="8"/>
  <c r="J9" i="8"/>
  <c r="D12" i="8"/>
  <c r="J12" i="8" s="1"/>
  <c r="H12" i="8"/>
  <c r="H19" i="8" s="1"/>
  <c r="D17" i="8"/>
  <c r="J17" i="8" s="1"/>
  <c r="H17" i="8"/>
  <c r="D19" i="8"/>
  <c r="D25" i="8"/>
  <c r="H25" i="8"/>
  <c r="J27" i="8"/>
  <c r="D28" i="8"/>
  <c r="G28" i="8"/>
  <c r="H28" i="8" s="1"/>
  <c r="D29" i="8"/>
  <c r="H29" i="8"/>
  <c r="J29" i="8"/>
  <c r="D30" i="8"/>
  <c r="J30" i="8" s="1"/>
  <c r="H30" i="8"/>
  <c r="D33" i="8"/>
  <c r="D40" i="8" s="1"/>
  <c r="J40" i="8" s="1"/>
  <c r="H33" i="8"/>
  <c r="H40" i="8"/>
  <c r="J28" i="8" l="1"/>
  <c r="P4" i="8"/>
  <c r="R4" i="8" s="1"/>
  <c r="J15" i="8"/>
  <c r="H38" i="8"/>
  <c r="H36" i="8"/>
  <c r="Q5" i="8" s="1"/>
  <c r="J19" i="8"/>
  <c r="D38" i="8"/>
  <c r="J38" i="8" s="1"/>
  <c r="D36" i="8"/>
  <c r="H13" i="9"/>
  <c r="Q4" i="9" s="1"/>
  <c r="J33" i="8"/>
  <c r="D13" i="9"/>
  <c r="D15" i="9"/>
  <c r="J15" i="9" s="1"/>
  <c r="D17" i="9"/>
  <c r="J17" i="9" s="1"/>
  <c r="P4" i="9" l="1"/>
  <c r="R4" i="9" s="1"/>
  <c r="R5" i="9" s="1"/>
  <c r="R8" i="8" s="1"/>
  <c r="J13" i="9"/>
  <c r="P5" i="8"/>
  <c r="R5" i="8" s="1"/>
  <c r="J36" i="8"/>
  <c r="R6" i="8"/>
  <c r="R9" i="8" l="1"/>
  <c r="G7" i="1" l="1"/>
  <c r="L35" i="3"/>
  <c r="D14" i="1" l="1"/>
  <c r="E9" i="1" s="1"/>
  <c r="H13" i="5" l="1"/>
  <c r="F13" i="5"/>
  <c r="D13" i="5"/>
  <c r="H11" i="5"/>
  <c r="F11" i="5"/>
  <c r="D11" i="5"/>
  <c r="C11" i="5"/>
  <c r="G9" i="5"/>
  <c r="G15" i="5" s="1"/>
  <c r="G16" i="5" s="1"/>
  <c r="B9" i="5"/>
  <c r="B15" i="5" s="1"/>
  <c r="H8" i="5"/>
  <c r="F8" i="5"/>
  <c r="D8" i="5"/>
  <c r="H7" i="5"/>
  <c r="G7" i="5"/>
  <c r="E7" i="5"/>
  <c r="E9" i="5" s="1"/>
  <c r="E15" i="5" s="1"/>
  <c r="E16" i="5" s="1"/>
  <c r="D7" i="5"/>
  <c r="C7" i="5"/>
  <c r="C9" i="5" s="1"/>
  <c r="H6" i="5"/>
  <c r="H9" i="5" s="1"/>
  <c r="F6" i="5"/>
  <c r="D6" i="5"/>
  <c r="D9" i="5" s="1"/>
  <c r="F15" i="5" l="1"/>
  <c r="B16" i="5"/>
  <c r="H15" i="5"/>
  <c r="C15" i="5"/>
  <c r="C16" i="5" s="1"/>
  <c r="F7" i="5"/>
  <c r="F9" i="5" s="1"/>
  <c r="D15" i="5" l="1"/>
  <c r="H16" i="5"/>
  <c r="F16" i="5"/>
  <c r="D16" i="5"/>
  <c r="E30" i="1" l="1"/>
  <c r="G21" i="1"/>
  <c r="A7" i="1"/>
  <c r="G23" i="1" l="1"/>
  <c r="G45" i="1"/>
  <c r="A65" i="1"/>
  <c r="M48" i="3" l="1"/>
  <c r="P32" i="3"/>
  <c r="O32" i="3"/>
  <c r="N32" i="3"/>
  <c r="P30" i="3"/>
  <c r="O30" i="3"/>
  <c r="N30" i="3"/>
  <c r="P29" i="3"/>
  <c r="O29" i="3"/>
  <c r="N29" i="3"/>
  <c r="P28" i="3"/>
  <c r="O28" i="3"/>
  <c r="N28" i="3"/>
  <c r="P25" i="3"/>
  <c r="O25" i="3"/>
  <c r="N25" i="3"/>
  <c r="P23" i="3"/>
  <c r="O23" i="3"/>
  <c r="N23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9" i="3"/>
  <c r="O9" i="3"/>
  <c r="N9" i="3"/>
  <c r="P7" i="3"/>
  <c r="O7" i="3"/>
  <c r="N7" i="3"/>
  <c r="V49" i="2" l="1"/>
  <c r="G30" i="1" l="1"/>
  <c r="G9" i="1" l="1"/>
  <c r="G63" i="1" s="1"/>
  <c r="G65" i="1" l="1"/>
  <c r="G66" i="1" s="1"/>
  <c r="G14" i="25" l="1"/>
  <c r="N14" i="25" s="1"/>
  <c r="R3" i="25" l="1"/>
  <c r="R5" i="25" l="1"/>
  <c r="R8" i="25" s="1"/>
  <c r="Z3" i="25"/>
  <c r="S6" i="25"/>
  <c r="T6" i="25"/>
  <c r="T7" i="25" l="1"/>
  <c r="B23" i="17" s="1"/>
  <c r="R10" i="25"/>
  <c r="B21" i="17"/>
  <c r="B22" i="17"/>
  <c r="Z5" i="25"/>
  <c r="V6" i="25"/>
  <c r="B25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Barbour, Rosemary J.</author>
  </authors>
  <commentList>
    <comment ref="A7" authorId="0" shapeId="0" xr:uid="{A311B856-DA81-4CC2-AF6F-3068D7A57302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based on calculation used for buyout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tc={7A46D833-63B2-4223-B3E5-44F58C84D17D}</author>
    <author>tc={5DC83ECD-D512-4315-A0B9-AA4F91D927B3}</author>
    <author>tc={FF0C2D80-C419-4A60-BE66-2B106135FA52}</author>
  </authors>
  <commentList>
    <comment ref="G27" authorId="0" shapeId="0" xr:uid="{7A46D833-63B2-4223-B3E5-44F58C84D17D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  <comment ref="G51" authorId="1" shapeId="0" xr:uid="{5DC83ECD-D512-4315-A0B9-AA4F91D927B3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  <comment ref="G75" authorId="2" shapeId="0" xr:uid="{FF0C2D80-C419-4A60-BE66-2B106135FA52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tc={B9824CF6-7235-4D45-85D3-3DB00BF3E8FB}</author>
  </authors>
  <commentList>
    <comment ref="G3" authorId="0" shapeId="0" xr:uid="{B9824CF6-7235-4D45-85D3-3DB00BF3E8FB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tc={1C5A3FAC-63A2-40CE-8918-2AEC80379001}</author>
  </authors>
  <commentList>
    <comment ref="G64" authorId="0" shapeId="0" xr:uid="{1C5A3FAC-63A2-40CE-8918-2AEC80379001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tc={334D8B25-FB16-4EF2-A85A-EA2A9DE7A166}</author>
    <author>tc={13CEA711-7AE9-4AB6-8A4F-A2B4094DD1E2}</author>
  </authors>
  <commentList>
    <comment ref="G24" authorId="0" shapeId="0" xr:uid="{334D8B25-FB16-4EF2-A85A-EA2A9DE7A166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  <comment ref="G48" authorId="1" shapeId="0" xr:uid="{13CEA711-7AE9-4AB6-8A4F-A2B4094DD1E2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is assumed to land at the loaded interest expense because balance is not showing in EOM BS.</t>
      </text>
    </comment>
  </commentList>
</comments>
</file>

<file path=xl/sharedStrings.xml><?xml version="1.0" encoding="utf-8"?>
<sst xmlns="http://schemas.openxmlformats.org/spreadsheetml/2006/main" count="1618" uniqueCount="426">
  <si>
    <t>Peoples Gas</t>
  </si>
  <si>
    <t>Earnings Walk</t>
  </si>
  <si>
    <t>(In $ Millions)</t>
  </si>
  <si>
    <t>2023 LTF Net Income</t>
  </si>
  <si>
    <t>Pre-tax</t>
  </si>
  <si>
    <t>After-tax</t>
  </si>
  <si>
    <t>Explanation</t>
  </si>
  <si>
    <t>Interest Expense</t>
  </si>
  <si>
    <t>Balance Impact</t>
  </si>
  <si>
    <t>Solomon impacts</t>
  </si>
  <si>
    <t>Alliance</t>
  </si>
  <si>
    <t>Project Changes</t>
  </si>
  <si>
    <t>Gator</t>
  </si>
  <si>
    <t>NoPetro</t>
  </si>
  <si>
    <t>Depreciation Exp - In-service changes</t>
  </si>
  <si>
    <t>2023 Draft Budget</t>
  </si>
  <si>
    <t>O&amp;M Expense</t>
  </si>
  <si>
    <t>Assuming largely flat to 7+5F other than labor &amp; Benefits and insurance</t>
  </si>
  <si>
    <t>Primarily  Excess General Liability</t>
  </si>
  <si>
    <t>Assumes: Scenario presented materializes- O&amp;M and Capital Reductions</t>
  </si>
  <si>
    <t>WAM</t>
  </si>
  <si>
    <t xml:space="preserve">Property Tax </t>
  </si>
  <si>
    <t>LTF</t>
  </si>
  <si>
    <t>2023 LTF</t>
  </si>
  <si>
    <t>Other</t>
  </si>
  <si>
    <t>Revenue</t>
  </si>
  <si>
    <t>AFUDC</t>
  </si>
  <si>
    <t>2023 Budget Income Statement</t>
  </si>
  <si>
    <t>2022 LTF Income Statement</t>
  </si>
  <si>
    <t>Variance Analysis (Budget vs LTF)</t>
  </si>
  <si>
    <t>$</t>
  </si>
  <si>
    <t>Notes</t>
  </si>
  <si>
    <t>PGS Project Revenue</t>
  </si>
  <si>
    <t xml:space="preserve">Project structure changed. LTF assumed all environmental attributes and O&amp;M stayed at PGS. Budget assumes only a tixed revenue reqauirement is paid by the unregulated company.  In service date is 01/2023 vs 11/2022. </t>
  </si>
  <si>
    <t>Operations Revenue</t>
  </si>
  <si>
    <t>Customer Charge</t>
  </si>
  <si>
    <t>RIN Sales - Gross</t>
  </si>
  <si>
    <t>Total Operations Expense</t>
  </si>
  <si>
    <t>O&amp;M is not included in the reg model. The unreg company is assumed to provide O&amp;M services.</t>
  </si>
  <si>
    <t>Base Charge</t>
  </si>
  <si>
    <t>NG Supply Sales - Commoditity</t>
  </si>
  <si>
    <t>NG Supply Sales - Transportation</t>
  </si>
  <si>
    <t>Other Expenses</t>
  </si>
  <si>
    <t>Other Revenue</t>
  </si>
  <si>
    <t>NY LCFS - Gross</t>
  </si>
  <si>
    <t>Book Depreciation</t>
  </si>
  <si>
    <t>Slight difference in in-service date. LTF model assumed assets were depreciated at standard regulated life. Budget assumes depreciable life matches the term of the contract to achieve full recovery from the counterparty.</t>
  </si>
  <si>
    <t>OSS Sale</t>
  </si>
  <si>
    <t>Insurance</t>
  </si>
  <si>
    <t>Insurance is a function of rev. Lower rev resulted in lower insurance expense for budget model.</t>
  </si>
  <si>
    <t>Other Revenue Total</t>
  </si>
  <si>
    <t>Property Tax - Tangible</t>
  </si>
  <si>
    <t>Property Tax - Real</t>
  </si>
  <si>
    <t>In service date change and increased interest expense since LTF</t>
  </si>
  <si>
    <t>Interest During Construction</t>
  </si>
  <si>
    <t>Driven by change in modeling since LTF</t>
  </si>
  <si>
    <t>Expenses</t>
  </si>
  <si>
    <t>Bank Fee</t>
  </si>
  <si>
    <t>Operations Expense</t>
  </si>
  <si>
    <t>Facility Maintenance</t>
  </si>
  <si>
    <t>AFUDC Debt</t>
  </si>
  <si>
    <t>Total Electric</t>
  </si>
  <si>
    <t>Propane Makeup Cost</t>
  </si>
  <si>
    <t>Total Other Expense</t>
  </si>
  <si>
    <t>Total Equipment Operations Exp</t>
  </si>
  <si>
    <t>Staff Cost</t>
  </si>
  <si>
    <t>Equipment Maint</t>
  </si>
  <si>
    <t>Total Expense</t>
  </si>
  <si>
    <t>Virtual Pipeline Exp</t>
  </si>
  <si>
    <t>Operating Income B/F Taxes</t>
  </si>
  <si>
    <t>RIN Marketing Cost</t>
  </si>
  <si>
    <t>Smart Pigging</t>
  </si>
  <si>
    <t>RIN Brokerage Cost</t>
  </si>
  <si>
    <t>Deferred Tax Adjustment</t>
  </si>
  <si>
    <t>Associated Digs</t>
  </si>
  <si>
    <t>NY LCFS Marketing Cost</t>
  </si>
  <si>
    <t>Income Tax Current</t>
  </si>
  <si>
    <t>Tariff COS</t>
  </si>
  <si>
    <t>Management Fee to Dairy</t>
  </si>
  <si>
    <t>Income Tax Deferred</t>
  </si>
  <si>
    <t>Other Oper Exp 1</t>
  </si>
  <si>
    <t>Total Royalties to Dairy</t>
  </si>
  <si>
    <t>Total Deferred Tax Adjustment</t>
  </si>
  <si>
    <t>Other Oper Exp 2</t>
  </si>
  <si>
    <t>Operating Income After Tax</t>
  </si>
  <si>
    <t>Net Income B/F Taxes</t>
  </si>
  <si>
    <t>Net Income After Tax</t>
  </si>
  <si>
    <t>PEOPLES GAS SYSTEM</t>
  </si>
  <si>
    <t>EARNINGS</t>
  </si>
  <si>
    <t>FULL YEAR - 2023 BUDGET</t>
  </si>
  <si>
    <t xml:space="preserve">(In $ Thousands) </t>
  </si>
  <si>
    <t>Variance</t>
  </si>
  <si>
    <t>Budget</t>
  </si>
  <si>
    <t>Fav/(Unfav)</t>
  </si>
  <si>
    <t>A)</t>
  </si>
  <si>
    <t>Base Revenues and OSS - Net</t>
  </si>
  <si>
    <t>This is still a rought estimate but it assumes 4% Customer growth</t>
  </si>
  <si>
    <t>B)</t>
  </si>
  <si>
    <t>Misc Operating Revenues (excl Clause &amp; gr/ff)</t>
  </si>
  <si>
    <t xml:space="preserve">Absence of Alliance and NoPetro </t>
  </si>
  <si>
    <t>C)</t>
  </si>
  <si>
    <t>O&amp;M (Net of pass-throughs)</t>
  </si>
  <si>
    <t>D)</t>
  </si>
  <si>
    <t>Depreciation and Amortization</t>
  </si>
  <si>
    <t>Plant Acctg  working on drivers</t>
  </si>
  <si>
    <t>E)</t>
  </si>
  <si>
    <t>Property Taxes</t>
  </si>
  <si>
    <t>Pending</t>
  </si>
  <si>
    <t>F)</t>
  </si>
  <si>
    <t>ROI - CIBSR</t>
  </si>
  <si>
    <t>G)</t>
  </si>
  <si>
    <t>Other Operating Income / (Expense) Items</t>
  </si>
  <si>
    <t>OPERATING INCOME</t>
  </si>
  <si>
    <t>H)</t>
  </si>
  <si>
    <t>Primarily higher STD &amp; LTD rates</t>
  </si>
  <si>
    <t>J)</t>
  </si>
  <si>
    <t>I)</t>
  </si>
  <si>
    <t>Primarily  due to the cancellation of LNG Gator project ($1.6M) partially offset by $0.4M mains.</t>
  </si>
  <si>
    <t>Subsidiary Earnings (TPI)</t>
  </si>
  <si>
    <t>Assumed to be equal to LTF</t>
  </si>
  <si>
    <t>K)</t>
  </si>
  <si>
    <t>Other Below-the-Line Income / (Expense) items</t>
  </si>
  <si>
    <t>PRE-TAX INCOME</t>
  </si>
  <si>
    <t>L)</t>
  </si>
  <si>
    <t>Income Taxes</t>
  </si>
  <si>
    <t>NET INCOME</t>
  </si>
  <si>
    <t>No Petro (CNG Stations)</t>
  </si>
  <si>
    <t>In $ Thousands</t>
  </si>
  <si>
    <t>7+5F</t>
  </si>
  <si>
    <t>O&amp;M</t>
  </si>
  <si>
    <t>Property Tax</t>
  </si>
  <si>
    <t>Depreciation</t>
  </si>
  <si>
    <t>Gain</t>
  </si>
  <si>
    <t>Net Income (Pre-tax)</t>
  </si>
  <si>
    <t>Net Income (Post-tax)</t>
  </si>
  <si>
    <r>
      <t xml:space="preserve">Note: 2023 just city of Orlando station.   </t>
    </r>
    <r>
      <rPr>
        <b/>
        <sz val="11"/>
        <color rgb="FFFF0000"/>
        <rFont val="Calibri"/>
        <family val="2"/>
        <scheme val="minor"/>
      </rPr>
      <t>The City of Orlando Station is not Nopetro.</t>
    </r>
  </si>
  <si>
    <t xml:space="preserve">Loss AFUDC offset by interest. </t>
  </si>
  <si>
    <t>Rising Interest Rates</t>
  </si>
  <si>
    <t>ST Impact Pre Tax</t>
  </si>
  <si>
    <t>LT Impact Pre Tax</t>
  </si>
  <si>
    <t>Total Impact Pre Tax</t>
  </si>
  <si>
    <t>ST Debt</t>
  </si>
  <si>
    <t>LTD (7+5F had in ST term loan)</t>
  </si>
  <si>
    <t>LTD Issuance 6/30</t>
  </si>
  <si>
    <t>*Includes 597 in LTD Int Adj in LTF</t>
  </si>
  <si>
    <t>LTD after paying TEC (Jul-Dec)</t>
  </si>
  <si>
    <t>Intercompany owed to TEC</t>
  </si>
  <si>
    <t>LT Debt</t>
  </si>
  <si>
    <t>Int Exp</t>
  </si>
  <si>
    <t>Rate</t>
  </si>
  <si>
    <t>Balances</t>
  </si>
  <si>
    <t>LTF w/ PGS Rates</t>
  </si>
  <si>
    <t>LTF w/ TEC Rates</t>
  </si>
  <si>
    <t>LTF Balances &amp; TEC Rates vs PGS Rates (Solomon Impact)</t>
  </si>
  <si>
    <t>Net Increase in Interest Expense</t>
  </si>
  <si>
    <t>Rate Impact</t>
  </si>
  <si>
    <t>TEC Rates vs PGS Rates</t>
  </si>
  <si>
    <t>LTF Rates vs TEC Rates</t>
  </si>
  <si>
    <t>LTF Balances</t>
  </si>
  <si>
    <t>2023 LTF Balance w/ TEC rates for 23B</t>
  </si>
  <si>
    <t>LTF Balances &amp; Rates vs TEC Rates (No Solomon Impact)</t>
  </si>
  <si>
    <t>LTF Balances vs Budget Balances</t>
  </si>
  <si>
    <t>LTF Rates</t>
  </si>
  <si>
    <t>2023 Budget w/ LTF Rates</t>
  </si>
  <si>
    <t>2023 LTF (old rates)</t>
  </si>
  <si>
    <t>Balance / Debt Mix/ Other</t>
  </si>
  <si>
    <t>Labor and Benefits</t>
  </si>
  <si>
    <t xml:space="preserve">Retirement costs </t>
  </si>
  <si>
    <t xml:space="preserve">Peoples Gas </t>
  </si>
  <si>
    <t>WAM Analysis</t>
  </si>
  <si>
    <t>(In $Thousands)</t>
  </si>
  <si>
    <t>Exec/Director</t>
  </si>
  <si>
    <t>Business Unit/Team</t>
  </si>
  <si>
    <t>Type</t>
  </si>
  <si>
    <t>Project Num.</t>
  </si>
  <si>
    <t>Regulatory Asset</t>
  </si>
  <si>
    <t>Name/Description</t>
  </si>
  <si>
    <t>2023 O&amp;M</t>
  </si>
  <si>
    <t>Comments</t>
  </si>
  <si>
    <t>Richard</t>
  </si>
  <si>
    <t>Operations</t>
  </si>
  <si>
    <t>Implementation</t>
  </si>
  <si>
    <t>no</t>
  </si>
  <si>
    <t>Added IT Resources -7</t>
  </si>
  <si>
    <t>IT CC 390690?</t>
  </si>
  <si>
    <t>Added Business WAM Support -3</t>
  </si>
  <si>
    <t>Brendan Walsh + 3 new in 2023; assumes 100% O&amp;M ($425K labor + $73K non-labor)</t>
  </si>
  <si>
    <t>Jackie Salamonie</t>
  </si>
  <si>
    <t>Project &amp; Strategy CC</t>
  </si>
  <si>
    <t>WAM Managed Services Labor</t>
  </si>
  <si>
    <t>Deloitte resources</t>
  </si>
  <si>
    <t>IT&amp;Business Internal Capitalized Labor</t>
  </si>
  <si>
    <t>Assuming 70% will be O&amp;M and 30% capital in future years; Covers PGS total effort, mix of Ops/Eng and Strategy</t>
  </si>
  <si>
    <t>Finding Efficiencies so removing</t>
  </si>
  <si>
    <t>Platform Upgrade</t>
  </si>
  <si>
    <t>WAM Upgrade 2025</t>
  </si>
  <si>
    <t>IT CC 390600?</t>
  </si>
  <si>
    <t>Maintenance</t>
  </si>
  <si>
    <t>WAM Maintenance</t>
  </si>
  <si>
    <t>Amortization of Regulatory Asset</t>
  </si>
  <si>
    <t>Total O&amp;M</t>
  </si>
  <si>
    <t>Estimated  SLD Returning to O&amp;M in 2023</t>
  </si>
  <si>
    <t>Total Estimated O&amp;M Impact</t>
  </si>
  <si>
    <t>Depreciation Exp (1 mth change in in-service date)</t>
  </si>
  <si>
    <t>Total Variance vs LTF</t>
  </si>
  <si>
    <t>Miscellaneous Revenue, LTF incl. $4M challenge</t>
  </si>
  <si>
    <t>Residential Revenues</t>
  </si>
  <si>
    <t>Commerical and Industrial Revenues</t>
  </si>
  <si>
    <t>Off-system Sales</t>
  </si>
  <si>
    <t>Alliance: Pre-tax</t>
  </si>
  <si>
    <t>Alliance: Post-tax</t>
  </si>
  <si>
    <t>Adjusted Net Income</t>
  </si>
  <si>
    <t>Removed Alliance, NoPetro. Left in tax reform because it hasn't been corrected yet.</t>
  </si>
  <si>
    <t>Peoples Gas Seacoast</t>
  </si>
  <si>
    <t>(in $Milions)</t>
  </si>
  <si>
    <t>PGS</t>
  </si>
  <si>
    <t>Seacoast</t>
  </si>
  <si>
    <t>Net Income</t>
  </si>
  <si>
    <t>Alliance (Normalize)</t>
  </si>
  <si>
    <t>Adjusted NI</t>
  </si>
  <si>
    <t>2023 TECO Gas Operations Earnings</t>
  </si>
  <si>
    <t>TGO</t>
  </si>
  <si>
    <t>23 Budget</t>
  </si>
  <si>
    <t>23 LTF</t>
  </si>
  <si>
    <t>Unregualted Income Statement - 12 months of LCFS at -150 CI</t>
  </si>
  <si>
    <t>Unregualted Income Statement -9 months of LCFS at -150 CI and 3 months at -225</t>
  </si>
  <si>
    <t>Income Statement</t>
  </si>
  <si>
    <t>Unit $000 US</t>
  </si>
  <si>
    <t>Total</t>
  </si>
  <si>
    <t>Total Project Revenue</t>
  </si>
  <si>
    <t>Operations Expense - RINS</t>
  </si>
  <si>
    <t>Pipeline Interconnect Cost</t>
  </si>
  <si>
    <t>Blank</t>
  </si>
  <si>
    <t>Total RINs Expense</t>
  </si>
  <si>
    <t>Operations Expense - RNG Equip</t>
  </si>
  <si>
    <t>Equipment Operations Cost</t>
  </si>
  <si>
    <t>Wellfield Routine Opex</t>
  </si>
  <si>
    <t>Wellfield Non Routine Repair</t>
  </si>
  <si>
    <t>Total RNG Equip</t>
  </si>
  <si>
    <t>PGS - RNG Facility Fee - Fixed</t>
  </si>
  <si>
    <t>Total Others Expenses</t>
  </si>
  <si>
    <t>Total Expenses</t>
  </si>
  <si>
    <t>Taxes Paid</t>
  </si>
  <si>
    <t>Base Revenues &amp; OSS</t>
  </si>
  <si>
    <t>Draft Net Income Gap</t>
  </si>
  <si>
    <t>Subtotal of Changes</t>
  </si>
  <si>
    <t>2023 Potential Savings</t>
  </si>
  <si>
    <t>Hiring Freeze</t>
  </si>
  <si>
    <t>Draft Net Income Gap, exc. Alliance</t>
  </si>
  <si>
    <t>Tax Reform</t>
  </si>
  <si>
    <t>Remaining Gap to LTF</t>
  </si>
  <si>
    <t>Reduce Outside Services</t>
  </si>
  <si>
    <t>2023 Budget Net Income Draft</t>
  </si>
  <si>
    <t>LTF Net Income</t>
  </si>
  <si>
    <t>2023 Budget Net Income Potential</t>
  </si>
  <si>
    <t>2022 Q3F Net Income</t>
  </si>
  <si>
    <t>8+4F</t>
  </si>
  <si>
    <t>Residential</t>
  </si>
  <si>
    <t>industrial</t>
  </si>
  <si>
    <t>OSS</t>
  </si>
  <si>
    <t>Misc Svc Rev</t>
  </si>
  <si>
    <t>Facility Fees</t>
  </si>
  <si>
    <t>budget</t>
  </si>
  <si>
    <t>ltf</t>
  </si>
  <si>
    <t>Commercial</t>
  </si>
  <si>
    <t>Indust.</t>
  </si>
  <si>
    <t>Oss</t>
  </si>
  <si>
    <t>Misc</t>
  </si>
  <si>
    <t>Base</t>
  </si>
  <si>
    <t>Misc Op</t>
  </si>
  <si>
    <t>Actuals Vs Fcst</t>
  </si>
  <si>
    <t>Adjustment</t>
  </si>
  <si>
    <t>Adjustment for Tax Settlement</t>
  </si>
  <si>
    <t>Q3F</t>
  </si>
  <si>
    <t>io</t>
  </si>
  <si>
    <t>LTF forecasted Solomon start 1/1, Budget assumes a 7/1 start resulting in savings.</t>
  </si>
  <si>
    <t>Budget w Solomon Starting 1/1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</si>
  <si>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</si>
  <si>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</si>
  <si>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</si>
  <si>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</si>
  <si>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</si>
  <si>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</si>
  <si>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</si>
  <si>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</si>
  <si>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</si>
  <si>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</si>
  <si>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</si>
  <si>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</si>
  <si>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LTD</t>
  </si>
  <si>
    <t>Balance</t>
  </si>
  <si>
    <t>STD</t>
  </si>
  <si>
    <t>Avg Monthly Balance</t>
  </si>
  <si>
    <t>LTF @ LTF Rates</t>
  </si>
  <si>
    <t>Includes labor so removing that from labor and benefits line</t>
  </si>
  <si>
    <t>Removing from labor and benefits line</t>
  </si>
  <si>
    <t>Insurance premiums</t>
  </si>
  <si>
    <t>Outside services</t>
  </si>
  <si>
    <t>Alliance &amp; CNG</t>
  </si>
  <si>
    <t>Bad debt</t>
  </si>
  <si>
    <t>All labor related</t>
  </si>
  <si>
    <t>Includes challenge of ($0.3M) - $5.4M Bud vs $5.7M LTF</t>
  </si>
  <si>
    <t>Waiting on Clarification from Rosemary</t>
  </si>
  <si>
    <t>$0.6M of variance is related to WAM</t>
  </si>
  <si>
    <t>$9.9M, less retirement and WAM labor costs called out below</t>
  </si>
  <si>
    <t>Assumptions were consistent between the 2023 budget and the 2022 8+4F, no variances anticipated.</t>
  </si>
  <si>
    <t>Interest on deposits and other</t>
  </si>
  <si>
    <t>Int. - amort - disc. &amp; exp</t>
  </si>
  <si>
    <t>LTD Int. Exp</t>
  </si>
  <si>
    <t>STD Int. Exp</t>
  </si>
  <si>
    <t>Int. Amort. Disc &amp; Exp</t>
  </si>
  <si>
    <t>Int - Deposits &amp; Other</t>
  </si>
  <si>
    <t>Budget w/ Solomon Starting 1/1</t>
  </si>
  <si>
    <t>Interest Exp</t>
  </si>
  <si>
    <t>Rate Increase</t>
  </si>
  <si>
    <t>Solomon Impact</t>
  </si>
  <si>
    <t>There will be a loss of earnings in 23 compared to 22</t>
  </si>
  <si>
    <t>Brightmark</t>
  </si>
  <si>
    <t>LTD Rates</t>
  </si>
  <si>
    <t>*Maintaining Q3F balances @ current rates for H1 &amp; PGS Rates in H2</t>
  </si>
  <si>
    <t>Interest Exp - Intercompany</t>
  </si>
  <si>
    <t>Q3F Balances in '23 w/ Solomon</t>
  </si>
  <si>
    <t>Q3F w/ 2023 rates</t>
  </si>
  <si>
    <t>Budget Balances w/ TEC Rates All year</t>
  </si>
  <si>
    <t>Budget Balances w/ TEC Rates</t>
  </si>
  <si>
    <t>Budget Balances w/ Solomon</t>
  </si>
  <si>
    <t>Due Date</t>
  </si>
  <si>
    <t>Depreciation Credit</t>
  </si>
  <si>
    <t>Depreciation credit is ~4.3M less in 2023 than in 2022</t>
  </si>
  <si>
    <t>Depreciation Exp - BB to FGT Both Phases</t>
  </si>
  <si>
    <t>Depreciation Exp - Brightmark</t>
  </si>
  <si>
    <t>Depreciation Exp - Alliance</t>
  </si>
  <si>
    <t>Depreciation Exp included in project lines above.</t>
  </si>
  <si>
    <t>Depreciation Exp - NoPetro</t>
  </si>
  <si>
    <t>Interest Expense - BB to FGT Both Phases</t>
  </si>
  <si>
    <t>Interest Expense - Brightmark</t>
  </si>
  <si>
    <t>Interest Expense - Alliance</t>
  </si>
  <si>
    <t>Revenue - BB to FGT Both Phases</t>
  </si>
  <si>
    <t>Revenue - Brightmark</t>
  </si>
  <si>
    <t>Revenue - NoPetro</t>
  </si>
  <si>
    <t>BB to FGT Both Phases</t>
  </si>
  <si>
    <t>Revenue included in project lines above.</t>
  </si>
  <si>
    <t>Interest expense included in project lines above.</t>
  </si>
  <si>
    <t>NoPetro O&amp;M</t>
  </si>
  <si>
    <t>Misc. Revenue - Brightmark</t>
  </si>
  <si>
    <t>Misc. Revenue - Alliance</t>
  </si>
  <si>
    <t>Other Depreciation Expense</t>
  </si>
  <si>
    <t>Waterfall Categories</t>
  </si>
  <si>
    <t>Balance/Debt mix</t>
  </si>
  <si>
    <t>2023 Budget Interest Expense</t>
  </si>
  <si>
    <t>2023 LTF Interest Expense</t>
  </si>
  <si>
    <t>2022 Q3F Interest Expense</t>
  </si>
  <si>
    <t>Q2</t>
  </si>
  <si>
    <t>Q3</t>
  </si>
  <si>
    <t>Q4</t>
  </si>
  <si>
    <t>LTD Balances</t>
  </si>
  <si>
    <t>STD Balances</t>
  </si>
  <si>
    <t>STD Rates</t>
  </si>
  <si>
    <t>2022 Q3F</t>
  </si>
  <si>
    <t>Q1</t>
  </si>
  <si>
    <t>*Blend?</t>
  </si>
  <si>
    <t>*blend of Comm. Paper &amp; Term Loan for STD</t>
  </si>
  <si>
    <t>Var to Q3F</t>
  </si>
  <si>
    <t>Var to LTF</t>
  </si>
  <si>
    <t>BB to FGT rev is Industrial</t>
  </si>
  <si>
    <t>Alliance Rev is Misc</t>
  </si>
  <si>
    <t>Brightmark (4.02 is Misc rev, 1.2 is commercial)</t>
  </si>
  <si>
    <t>Other Misc Revenue.</t>
  </si>
  <si>
    <t>CIBSR</t>
  </si>
  <si>
    <t>TPI</t>
  </si>
  <si>
    <t>O&amp;M Expense - No Petro</t>
  </si>
  <si>
    <t>LINK</t>
  </si>
  <si>
    <t>Bud to Q3F</t>
  </si>
  <si>
    <t>Bud to LTF</t>
  </si>
  <si>
    <t>Revenues</t>
  </si>
  <si>
    <t>Weighted Average to figure out split of Brightmark</t>
  </si>
  <si>
    <t>Comm.</t>
  </si>
  <si>
    <t>Interest Expense*</t>
  </si>
  <si>
    <t>Earnings</t>
  </si>
  <si>
    <t>Post Tax</t>
  </si>
  <si>
    <t>* Netted against AFUDC</t>
  </si>
  <si>
    <t>Pre Tax</t>
  </si>
  <si>
    <t>Consolidated LTD for Table</t>
  </si>
  <si>
    <t>*From 8+4 Earnings Model</t>
  </si>
  <si>
    <t>Term Loan</t>
  </si>
  <si>
    <t>Avg.</t>
  </si>
  <si>
    <t>LTD Interest Exp</t>
  </si>
  <si>
    <t>Q3F Calc</t>
  </si>
  <si>
    <t>STD Interest Exp</t>
  </si>
  <si>
    <t>*From 8+4 Earnings Model less 100M</t>
  </si>
  <si>
    <t>Budget w/ TEC Rates for the Year</t>
  </si>
  <si>
    <t>ltd</t>
  </si>
  <si>
    <t>std</t>
  </si>
  <si>
    <t>Commercial Paper</t>
  </si>
  <si>
    <t>Emera Challenge</t>
  </si>
  <si>
    <t>LTF w/ TEC Rates for the Year</t>
  </si>
  <si>
    <t>LTF w/ Solomon Rates</t>
  </si>
  <si>
    <t>LTF w/ Solomon Rates for the Year</t>
  </si>
  <si>
    <t>Rate &amp; Solomon Impact</t>
  </si>
  <si>
    <t>Var LTF to Bud</t>
  </si>
  <si>
    <t>LTF interest rate impact</t>
  </si>
  <si>
    <t>Half year of Solomon impact</t>
  </si>
  <si>
    <t>Solomon Delay</t>
  </si>
  <si>
    <t>Rising Rates</t>
  </si>
  <si>
    <t>Total Short-term Debt</t>
  </si>
  <si>
    <t>Total Debt</t>
  </si>
  <si>
    <t>Variance to Q3F</t>
  </si>
  <si>
    <t>2022 Q3F Balances and Rates</t>
  </si>
  <si>
    <t>2023 Budget Balances and 2022 Q3F Rates</t>
  </si>
  <si>
    <t>2023 Budget Balances and 2023 TEC Rates</t>
  </si>
  <si>
    <t>2023 Budget Balances and 2023 PGS Rates</t>
  </si>
  <si>
    <t>Interest Rates</t>
  </si>
  <si>
    <t>Solomon, excl. $100M STD swap</t>
  </si>
  <si>
    <t>Solomon Debt Benefit - $100M STD in lieu of LTD for first 6 months</t>
  </si>
  <si>
    <t>What about the refinancing of all the debt vs just the incremental?</t>
  </si>
  <si>
    <t>2023 LTF Balances at 2023 Budget Rates</t>
  </si>
  <si>
    <t>2023 LTF Balances at LTF Rates</t>
  </si>
  <si>
    <t>Other, largely Solomon delay</t>
  </si>
  <si>
    <t>2023 Budget Balances at LTF Rates</t>
  </si>
  <si>
    <t>2023 Budget Balances at 2023 TEC Rates</t>
  </si>
  <si>
    <t>2023 Budget Balances at 2023 PGS Rates</t>
  </si>
  <si>
    <t>Solomon</t>
  </si>
  <si>
    <t>Balances and mix</t>
  </si>
  <si>
    <t>Balance / mix</t>
  </si>
  <si>
    <t>Balance / Mix</t>
  </si>
  <si>
    <t>2023 Budget Balances at 2023 PGS Rates effective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</si>
</sst>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#,##0.0_);\(#,##0.0\)"/>
    <numFmt numFmtId="168" formatCode="_(* #,##0.0000_);_(* \(#,##0.0000\);_(* &quot;-&quot;??_);_(@_)"/>
    <numFmt numFmtId="169" formatCode="_(&quot;$&quot;* #,##0_);_(&quot;$&quot;* \(#,##0\);_(&quot;$&quot;* &quot;-&quot;??_);_(@_)"/>
    <numFmt numFmtId="170" formatCode="0.000%"/>
    <numFmt numFmtId="171" formatCode="_(* #,##0_);_(* \(#,##0\);_(* &quot;-&quot;?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i/>
      <u/>
      <sz val="8"/>
      <color theme="0"/>
      <name val="Calibri"/>
      <family val="2"/>
    </font>
    <font>
      <sz val="8"/>
      <color theme="0"/>
      <name val="Calibri"/>
      <family val="2"/>
    </font>
    <font>
      <b/>
      <sz val="8"/>
      <color theme="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8"/>
      <name val="Calibri"/>
      <family val="2"/>
    </font>
    <font>
      <sz val="8"/>
      <color theme="1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5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8"/>
      <name val="Arial"/>
      <family val="2"/>
    </font>
    <font>
      <b/>
      <u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4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color rgb="FF0E03ED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dashed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thin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34998626667073579"/>
      </top>
      <bottom style="thin">
        <color theme="0" tint="-0.34998626667073579"/>
      </bottom>
      <diagonal/>
    </border>
    <border>
      <left style="dashed">
        <color theme="0" tint="-0.24994659260841701"/>
      </left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/>
      <diagonal/>
    </border>
    <border>
      <left style="dashed">
        <color theme="0" tint="-0.24994659260841701"/>
      </left>
      <right/>
      <top/>
      <bottom style="dashed">
        <color theme="0" tint="-0.34998626667073579"/>
      </bottom>
      <diagonal/>
    </border>
    <border>
      <left style="dashed">
        <color theme="0" tint="-0.24994659260841701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24994659260841701"/>
      </left>
      <right/>
      <top style="dashed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2" fillId="0" borderId="0"/>
    <xf numFmtId="9" fontId="6" fillId="0" borderId="0" applyFont="0" applyFill="0" applyBorder="0" applyAlignment="0" applyProtection="0"/>
    <xf numFmtId="0" fontId="1" fillId="0" borderId="0"/>
    <xf numFmtId="43" fontId="17" fillId="0" borderId="0" applyFont="0" applyFill="0" applyBorder="0" applyAlignment="0" applyProtection="0"/>
    <xf numFmtId="0" fontId="17" fillId="0" borderId="0"/>
  </cellStyleXfs>
  <cellXfs count="32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65" fontId="4" fillId="0" borderId="0" xfId="0" applyNumberFormat="1" applyFont="1"/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165" fontId="0" fillId="0" borderId="0" xfId="0" applyNumberFormat="1"/>
    <xf numFmtId="0" fontId="6" fillId="0" borderId="0" xfId="3"/>
    <xf numFmtId="0" fontId="8" fillId="2" borderId="3" xfId="3" applyFont="1" applyFill="1" applyBorder="1" applyAlignment="1">
      <alignment horizontal="left" vertical="center" wrapText="1"/>
    </xf>
    <xf numFmtId="0" fontId="9" fillId="2" borderId="3" xfId="4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left" vertical="center" wrapText="1"/>
    </xf>
    <xf numFmtId="0" fontId="9" fillId="3" borderId="3" xfId="4" applyNumberFormat="1" applyFont="1" applyFill="1" applyBorder="1" applyAlignment="1">
      <alignment horizontal="center" vertical="center" wrapText="1"/>
    </xf>
    <xf numFmtId="0" fontId="10" fillId="0" borderId="0" xfId="3" applyFont="1"/>
    <xf numFmtId="0" fontId="11" fillId="0" borderId="0" xfId="3" applyFont="1"/>
    <xf numFmtId="2" fontId="11" fillId="0" borderId="0" xfId="3" applyNumberFormat="1" applyFont="1"/>
    <xf numFmtId="3" fontId="13" fillId="0" borderId="0" xfId="5" applyNumberFormat="1" applyFont="1"/>
    <xf numFmtId="0" fontId="10" fillId="0" borderId="1" xfId="3" applyFont="1" applyBorder="1"/>
    <xf numFmtId="166" fontId="10" fillId="0" borderId="1" xfId="4" applyNumberFormat="1" applyFont="1" applyBorder="1"/>
    <xf numFmtId="3" fontId="11" fillId="0" borderId="0" xfId="5" applyNumberFormat="1" applyFont="1" applyAlignment="1">
      <alignment wrapText="1"/>
    </xf>
    <xf numFmtId="0" fontId="14" fillId="0" borderId="0" xfId="3" applyFont="1" applyAlignment="1">
      <alignment horizontal="left" indent="1"/>
    </xf>
    <xf numFmtId="166" fontId="11" fillId="0" borderId="0" xfId="4" applyNumberFormat="1" applyFont="1" applyBorder="1"/>
    <xf numFmtId="0" fontId="15" fillId="0" borderId="0" xfId="3" applyFont="1" applyAlignment="1">
      <alignment wrapText="1"/>
    </xf>
    <xf numFmtId="0" fontId="11" fillId="0" borderId="0" xfId="3" applyFont="1" applyAlignment="1">
      <alignment horizontal="left" indent="2"/>
    </xf>
    <xf numFmtId="166" fontId="11" fillId="0" borderId="0" xfId="4" applyNumberFormat="1" applyFont="1"/>
    <xf numFmtId="0" fontId="10" fillId="0" borderId="4" xfId="3" applyFont="1" applyBorder="1"/>
    <xf numFmtId="166" fontId="10" fillId="0" borderId="4" xfId="4" applyNumberFormat="1" applyFont="1" applyBorder="1"/>
    <xf numFmtId="0" fontId="11" fillId="0" borderId="5" xfId="3" applyFont="1" applyBorder="1" applyAlignment="1">
      <alignment horizontal="left" indent="2"/>
    </xf>
    <xf numFmtId="166" fontId="11" fillId="0" borderId="5" xfId="4" applyNumberFormat="1" applyFont="1" applyBorder="1"/>
    <xf numFmtId="0" fontId="11" fillId="0" borderId="0" xfId="3" applyFont="1" applyAlignment="1">
      <alignment horizontal="left" indent="1"/>
    </xf>
    <xf numFmtId="41" fontId="11" fillId="0" borderId="0" xfId="4" applyNumberFormat="1" applyFont="1"/>
    <xf numFmtId="0" fontId="10" fillId="0" borderId="0" xfId="3" applyFont="1" applyAlignment="1">
      <alignment horizontal="left" indent="1"/>
    </xf>
    <xf numFmtId="43" fontId="11" fillId="0" borderId="0" xfId="4" applyFont="1"/>
    <xf numFmtId="166" fontId="11" fillId="0" borderId="0" xfId="6" applyNumberFormat="1" applyFont="1"/>
    <xf numFmtId="41" fontId="11" fillId="0" borderId="5" xfId="4" applyNumberFormat="1" applyFont="1" applyBorder="1"/>
    <xf numFmtId="0" fontId="15" fillId="0" borderId="0" xfId="3" applyFont="1"/>
    <xf numFmtId="0" fontId="11" fillId="0" borderId="5" xfId="3" applyFont="1" applyBorder="1" applyAlignment="1">
      <alignment horizontal="left" indent="1"/>
    </xf>
    <xf numFmtId="9" fontId="11" fillId="0" borderId="0" xfId="6" applyFont="1"/>
    <xf numFmtId="41" fontId="11" fillId="0" borderId="0" xfId="4" applyNumberFormat="1" applyFont="1" applyBorder="1"/>
    <xf numFmtId="166" fontId="6" fillId="0" borderId="0" xfId="3" applyNumberFormat="1"/>
    <xf numFmtId="42" fontId="18" fillId="4" borderId="0" xfId="4" applyNumberFormat="1" applyFont="1" applyFill="1"/>
    <xf numFmtId="0" fontId="17" fillId="4" borderId="0" xfId="3" applyFont="1" applyFill="1"/>
    <xf numFmtId="0" fontId="6" fillId="4" borderId="0" xfId="3" applyFill="1"/>
    <xf numFmtId="0" fontId="16" fillId="4" borderId="0" xfId="7" quotePrefix="1" applyFont="1" applyFill="1" applyAlignment="1">
      <alignment horizontal="center"/>
    </xf>
    <xf numFmtId="14" fontId="19" fillId="4" borderId="0" xfId="7" quotePrefix="1" applyNumberFormat="1" applyFont="1" applyFill="1" applyAlignment="1">
      <alignment horizontal="center"/>
    </xf>
    <xf numFmtId="0" fontId="20" fillId="4" borderId="0" xfId="7" quotePrefix="1" applyFont="1" applyFill="1" applyAlignment="1">
      <alignment horizontal="center"/>
    </xf>
    <xf numFmtId="0" fontId="16" fillId="4" borderId="0" xfId="3" applyFont="1" applyFill="1"/>
    <xf numFmtId="167" fontId="16" fillId="4" borderId="5" xfId="7" quotePrefix="1" applyNumberFormat="1" applyFont="1" applyFill="1" applyBorder="1" applyAlignment="1">
      <alignment horizontal="center"/>
    </xf>
    <xf numFmtId="167" fontId="16" fillId="4" borderId="0" xfId="7" applyNumberFormat="1" applyFont="1" applyFill="1" applyAlignment="1">
      <alignment horizontal="center"/>
    </xf>
    <xf numFmtId="167" fontId="16" fillId="4" borderId="6" xfId="7" applyNumberFormat="1" applyFont="1" applyFill="1" applyBorder="1" applyAlignment="1">
      <alignment horizontal="center"/>
    </xf>
    <xf numFmtId="0" fontId="21" fillId="4" borderId="0" xfId="3" quotePrefix="1" applyFont="1" applyFill="1" applyAlignment="1">
      <alignment horizontal="center"/>
    </xf>
    <xf numFmtId="0" fontId="22" fillId="4" borderId="0" xfId="3" applyFont="1" applyFill="1"/>
    <xf numFmtId="0" fontId="23" fillId="4" borderId="0" xfId="3" applyFont="1" applyFill="1"/>
    <xf numFmtId="0" fontId="16" fillId="4" borderId="0" xfId="3" quotePrefix="1" applyFont="1" applyFill="1"/>
    <xf numFmtId="41" fontId="18" fillId="4" borderId="0" xfId="4" applyNumberFormat="1" applyFont="1" applyFill="1"/>
    <xf numFmtId="41" fontId="16" fillId="4" borderId="0" xfId="4" applyNumberFormat="1" applyFont="1" applyFill="1"/>
    <xf numFmtId="0" fontId="17" fillId="4" borderId="0" xfId="3" applyFont="1" applyFill="1" applyAlignment="1">
      <alignment wrapText="1"/>
    </xf>
    <xf numFmtId="41" fontId="16" fillId="4" borderId="7" xfId="4" applyNumberFormat="1" applyFont="1" applyFill="1" applyBorder="1"/>
    <xf numFmtId="0" fontId="24" fillId="4" borderId="0" xfId="3" applyFont="1" applyFill="1"/>
    <xf numFmtId="41" fontId="16" fillId="4" borderId="1" xfId="4" applyNumberFormat="1" applyFont="1" applyFill="1" applyBorder="1"/>
    <xf numFmtId="43" fontId="0" fillId="0" borderId="0" xfId="1" applyFont="1"/>
    <xf numFmtId="41" fontId="0" fillId="0" borderId="0" xfId="0" applyNumberFormat="1"/>
    <xf numFmtId="0" fontId="2" fillId="0" borderId="5" xfId="0" applyFont="1" applyBorder="1" applyAlignment="1">
      <alignment horizontal="center"/>
    </xf>
    <xf numFmtId="41" fontId="5" fillId="0" borderId="0" xfId="0" applyNumberFormat="1" applyFont="1"/>
    <xf numFmtId="41" fontId="0" fillId="0" borderId="8" xfId="0" applyNumberFormat="1" applyBorder="1"/>
    <xf numFmtId="41" fontId="6" fillId="5" borderId="0" xfId="3" applyNumberFormat="1" applyFill="1"/>
    <xf numFmtId="164" fontId="2" fillId="0" borderId="0" xfId="0" applyNumberFormat="1" applyFont="1"/>
    <xf numFmtId="166" fontId="0" fillId="0" borderId="9" xfId="1" applyNumberFormat="1" applyFont="1" applyBorder="1"/>
    <xf numFmtId="166" fontId="0" fillId="0" borderId="5" xfId="1" applyNumberFormat="1" applyFont="1" applyBorder="1"/>
    <xf numFmtId="9" fontId="0" fillId="0" borderId="5" xfId="2" applyFont="1" applyBorder="1"/>
    <xf numFmtId="0" fontId="0" fillId="0" borderId="10" xfId="0" applyBorder="1"/>
    <xf numFmtId="166" fontId="2" fillId="0" borderId="11" xfId="1" applyNumberFormat="1" applyFont="1" applyBorder="1"/>
    <xf numFmtId="166" fontId="2" fillId="0" borderId="1" xfId="1" applyNumberFormat="1" applyFont="1" applyFill="1" applyBorder="1"/>
    <xf numFmtId="166" fontId="2" fillId="0" borderId="1" xfId="1" applyNumberFormat="1" applyFont="1" applyBorder="1"/>
    <xf numFmtId="10" fontId="2" fillId="0" borderId="1" xfId="2" applyNumberFormat="1" applyFont="1" applyBorder="1"/>
    <xf numFmtId="0" fontId="2" fillId="0" borderId="12" xfId="0" applyFont="1" applyBorder="1"/>
    <xf numFmtId="166" fontId="0" fillId="0" borderId="11" xfId="1" applyNumberFormat="1" applyFont="1" applyBorder="1"/>
    <xf numFmtId="166" fontId="0" fillId="0" borderId="0" xfId="1" applyNumberFormat="1" applyFont="1" applyBorder="1"/>
    <xf numFmtId="10" fontId="0" fillId="0" borderId="0" xfId="2" applyNumberFormat="1" applyFont="1" applyBorder="1"/>
    <xf numFmtId="0" fontId="0" fillId="0" borderId="13" xfId="0" applyBorder="1"/>
    <xf numFmtId="166" fontId="0" fillId="0" borderId="0" xfId="1" applyNumberFormat="1" applyFont="1" applyFill="1" applyBorder="1"/>
    <xf numFmtId="0" fontId="2" fillId="0" borderId="13" xfId="0" applyFont="1" applyBorder="1"/>
    <xf numFmtId="10" fontId="0" fillId="6" borderId="0" xfId="2" applyNumberFormat="1" applyFont="1" applyFill="1" applyBorder="1"/>
    <xf numFmtId="166" fontId="0" fillId="0" borderId="11" xfId="1" applyNumberFormat="1" applyFont="1" applyFill="1" applyBorder="1"/>
    <xf numFmtId="0" fontId="0" fillId="0" borderId="13" xfId="0" quotePrefix="1" applyBorder="1"/>
    <xf numFmtId="10" fontId="0" fillId="0" borderId="0" xfId="2" applyNumberFormat="1" applyFont="1" applyFill="1" applyBorder="1"/>
    <xf numFmtId="0" fontId="0" fillId="0" borderId="11" xfId="0" applyBorder="1"/>
    <xf numFmtId="0" fontId="2" fillId="0" borderId="11" xfId="0" applyFont="1" applyBorder="1"/>
    <xf numFmtId="166" fontId="2" fillId="0" borderId="0" xfId="0" applyNumberFormat="1" applyFont="1"/>
    <xf numFmtId="10" fontId="0" fillId="0" borderId="5" xfId="2" applyNumberFormat="1" applyFont="1" applyBorder="1"/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0" fillId="0" borderId="16" xfId="0" applyBorder="1" applyAlignment="1">
      <alignment wrapText="1"/>
    </xf>
    <xf numFmtId="0" fontId="28" fillId="8" borderId="16" xfId="0" applyFont="1" applyFill="1" applyBorder="1" applyAlignment="1">
      <alignment wrapText="1"/>
    </xf>
    <xf numFmtId="166" fontId="5" fillId="8" borderId="16" xfId="1" applyNumberFormat="1" applyFont="1" applyFill="1" applyBorder="1" applyAlignment="1">
      <alignment wrapText="1"/>
    </xf>
    <xf numFmtId="0" fontId="0" fillId="8" borderId="16" xfId="0" applyFill="1" applyBorder="1" applyAlignment="1">
      <alignment wrapText="1"/>
    </xf>
    <xf numFmtId="166" fontId="0" fillId="8" borderId="16" xfId="1" applyNumberFormat="1" applyFont="1" applyFill="1" applyBorder="1" applyAlignment="1">
      <alignment wrapText="1"/>
    </xf>
    <xf numFmtId="168" fontId="0" fillId="0" borderId="16" xfId="1" applyNumberFormat="1" applyFont="1" applyBorder="1" applyAlignment="1">
      <alignment wrapText="1"/>
    </xf>
    <xf numFmtId="168" fontId="0" fillId="0" borderId="0" xfId="1" applyNumberFormat="1" applyFont="1" applyBorder="1" applyAlignment="1">
      <alignment wrapText="1"/>
    </xf>
    <xf numFmtId="0" fontId="28" fillId="0" borderId="16" xfId="0" applyFont="1" applyBorder="1" applyAlignment="1">
      <alignment wrapText="1"/>
    </xf>
    <xf numFmtId="169" fontId="5" fillId="0" borderId="17" xfId="0" applyNumberFormat="1" applyFont="1" applyBorder="1" applyAlignment="1">
      <alignment wrapText="1"/>
    </xf>
    <xf numFmtId="169" fontId="25" fillId="0" borderId="18" xfId="0" applyNumberFormat="1" applyFont="1" applyBorder="1" applyAlignment="1">
      <alignment wrapText="1"/>
    </xf>
    <xf numFmtId="165" fontId="0" fillId="0" borderId="0" xfId="1" applyNumberFormat="1" applyFont="1" applyFill="1"/>
    <xf numFmtId="0" fontId="0" fillId="0" borderId="0" xfId="0" applyAlignment="1">
      <alignment horizontal="left" indent="4"/>
    </xf>
    <xf numFmtId="0" fontId="4" fillId="0" borderId="0" xfId="0" applyFont="1"/>
    <xf numFmtId="164" fontId="0" fillId="0" borderId="0" xfId="0" applyNumberFormat="1"/>
    <xf numFmtId="0" fontId="0" fillId="9" borderId="0" xfId="0" applyFill="1"/>
    <xf numFmtId="0" fontId="5" fillId="0" borderId="0" xfId="0" applyFont="1"/>
    <xf numFmtId="0" fontId="29" fillId="0" borderId="0" xfId="0" applyFont="1" applyAlignment="1">
      <alignment horizontal="left" indent="4"/>
    </xf>
    <xf numFmtId="165" fontId="29" fillId="0" borderId="0" xfId="1" applyNumberFormat="1" applyFont="1" applyFill="1"/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5" fontId="30" fillId="0" borderId="0" xfId="1" applyNumberFormat="1" applyFont="1"/>
    <xf numFmtId="165" fontId="30" fillId="0" borderId="1" xfId="1" applyNumberFormat="1" applyFont="1" applyBorder="1"/>
    <xf numFmtId="165" fontId="0" fillId="0" borderId="0" xfId="1" applyNumberFormat="1" applyFont="1"/>
    <xf numFmtId="0" fontId="30" fillId="0" borderId="5" xfId="0" applyFont="1" applyBorder="1" applyAlignment="1">
      <alignment horizontal="center"/>
    </xf>
    <xf numFmtId="0" fontId="7" fillId="2" borderId="3" xfId="3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41" fontId="11" fillId="0" borderId="0" xfId="3" applyNumberFormat="1" applyFont="1"/>
    <xf numFmtId="41" fontId="32" fillId="0" borderId="0" xfId="3" applyNumberFormat="1" applyFont="1"/>
    <xf numFmtId="41" fontId="11" fillId="0" borderId="0" xfId="3" applyNumberFormat="1" applyFont="1" applyAlignment="1">
      <alignment horizontal="center"/>
    </xf>
    <xf numFmtId="41" fontId="33" fillId="10" borderId="0" xfId="3" applyNumberFormat="1" applyFont="1" applyFill="1"/>
    <xf numFmtId="0" fontId="32" fillId="0" borderId="0" xfId="3" applyFont="1" applyAlignment="1">
      <alignment horizontal="left" indent="2"/>
    </xf>
    <xf numFmtId="0" fontId="32" fillId="0" borderId="5" xfId="3" applyFont="1" applyBorder="1" applyAlignment="1">
      <alignment horizontal="left" indent="2"/>
    </xf>
    <xf numFmtId="41" fontId="33" fillId="10" borderId="5" xfId="3" applyNumberFormat="1" applyFont="1" applyFill="1" applyBorder="1"/>
    <xf numFmtId="0" fontId="32" fillId="0" borderId="0" xfId="3" applyFont="1" applyAlignment="1">
      <alignment horizontal="left" indent="1"/>
    </xf>
    <xf numFmtId="0" fontId="32" fillId="0" borderId="5" xfId="3" applyFont="1" applyBorder="1"/>
    <xf numFmtId="41" fontId="32" fillId="0" borderId="5" xfId="3" applyNumberFormat="1" applyFont="1" applyBorder="1"/>
    <xf numFmtId="0" fontId="34" fillId="0" borderId="1" xfId="3" applyFont="1" applyBorder="1"/>
    <xf numFmtId="41" fontId="34" fillId="10" borderId="1" xfId="3" applyNumberFormat="1" applyFont="1" applyFill="1" applyBorder="1"/>
    <xf numFmtId="41" fontId="34" fillId="0" borderId="1" xfId="3" applyNumberFormat="1" applyFont="1" applyBorder="1"/>
    <xf numFmtId="0" fontId="32" fillId="0" borderId="0" xfId="3" applyFont="1"/>
    <xf numFmtId="41" fontId="11" fillId="0" borderId="0" xfId="4" applyNumberFormat="1" applyFont="1" applyFill="1"/>
    <xf numFmtId="0" fontId="32" fillId="0" borderId="5" xfId="3" applyFont="1" applyBorder="1" applyAlignment="1">
      <alignment horizontal="left" indent="1"/>
    </xf>
    <xf numFmtId="41" fontId="32" fillId="10" borderId="0" xfId="3" applyNumberFormat="1" applyFont="1" applyFill="1"/>
    <xf numFmtId="9" fontId="32" fillId="0" borderId="0" xfId="6" applyFont="1"/>
    <xf numFmtId="166" fontId="32" fillId="0" borderId="5" xfId="3" applyNumberFormat="1" applyFont="1" applyBorder="1"/>
    <xf numFmtId="0" fontId="34" fillId="7" borderId="1" xfId="3" applyFont="1" applyFill="1" applyBorder="1"/>
    <xf numFmtId="41" fontId="34" fillId="7" borderId="1" xfId="3" applyNumberFormat="1" applyFont="1" applyFill="1" applyBorder="1"/>
    <xf numFmtId="165" fontId="0" fillId="0" borderId="5" xfId="1" applyNumberFormat="1" applyFont="1" applyBorder="1"/>
    <xf numFmtId="165" fontId="0" fillId="0" borderId="5" xfId="0" applyNumberFormat="1" applyBorder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center" vertical="center"/>
    </xf>
    <xf numFmtId="0" fontId="37" fillId="11" borderId="0" xfId="0" applyFont="1" applyFill="1" applyAlignment="1">
      <alignment horizontal="left" wrapText="1" readingOrder="1"/>
    </xf>
    <xf numFmtId="0" fontId="38" fillId="0" borderId="0" xfId="0" applyFont="1" applyAlignment="1">
      <alignment wrapText="1"/>
    </xf>
    <xf numFmtId="165" fontId="37" fillId="11" borderId="0" xfId="1" applyNumberFormat="1" applyFont="1" applyFill="1" applyAlignment="1">
      <alignment horizontal="right" vertical="top" wrapText="1" readingOrder="1"/>
    </xf>
    <xf numFmtId="0" fontId="38" fillId="0" borderId="0" xfId="0" applyFont="1" applyAlignment="1">
      <alignment vertical="center" wrapText="1"/>
    </xf>
    <xf numFmtId="0" fontId="40" fillId="0" borderId="0" xfId="0" applyFont="1" applyAlignment="1">
      <alignment horizontal="left" vertical="top" wrapText="1" readingOrder="1"/>
    </xf>
    <xf numFmtId="0" fontId="41" fillId="0" borderId="0" xfId="0" applyFont="1" applyAlignment="1">
      <alignment horizontal="left" vertical="top" wrapText="1" readingOrder="1"/>
    </xf>
    <xf numFmtId="165" fontId="41" fillId="0" borderId="0" xfId="1" applyNumberFormat="1" applyFont="1" applyFill="1" applyAlignment="1">
      <alignment horizontal="right" vertical="center" wrapText="1" readingOrder="1"/>
    </xf>
    <xf numFmtId="165" fontId="41" fillId="0" borderId="0" xfId="1" applyNumberFormat="1" applyFont="1" applyFill="1" applyAlignment="1">
      <alignment horizontal="right" vertical="center" wrapText="1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horizontal="left" vertical="center" wrapText="1" readingOrder="1"/>
    </xf>
    <xf numFmtId="165" fontId="42" fillId="0" borderId="22" xfId="1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left" wrapText="1" readingOrder="1"/>
    </xf>
    <xf numFmtId="165" fontId="43" fillId="0" borderId="23" xfId="1" applyNumberFormat="1" applyFont="1" applyFill="1" applyBorder="1" applyAlignment="1">
      <alignment horizontal="right" vertical="center" wrapText="1" readingOrder="1"/>
    </xf>
    <xf numFmtId="0" fontId="37" fillId="0" borderId="0" xfId="0" applyFont="1" applyAlignment="1">
      <alignment horizontal="left" wrapText="1" readingOrder="1"/>
    </xf>
    <xf numFmtId="165" fontId="37" fillId="0" borderId="0" xfId="0" applyNumberFormat="1" applyFont="1" applyAlignment="1">
      <alignment horizontal="right" vertical="center" wrapText="1" readingOrder="1"/>
    </xf>
    <xf numFmtId="0" fontId="29" fillId="0" borderId="0" xfId="0" applyFont="1"/>
    <xf numFmtId="165" fontId="43" fillId="0" borderId="0" xfId="1" applyNumberFormat="1" applyFont="1" applyFill="1" applyAlignment="1">
      <alignment horizontal="right" vertical="top" wrapText="1" readingOrder="1"/>
    </xf>
    <xf numFmtId="0" fontId="44" fillId="0" borderId="0" xfId="0" applyFont="1" applyAlignment="1">
      <alignment horizontal="left" wrapText="1" readingOrder="1"/>
    </xf>
    <xf numFmtId="165" fontId="44" fillId="0" borderId="0" xfId="1" applyNumberFormat="1" applyFont="1" applyFill="1" applyAlignment="1">
      <alignment horizontal="right" vertical="top" wrapText="1" readingOrder="1"/>
    </xf>
    <xf numFmtId="0" fontId="17" fillId="0" borderId="0" xfId="9"/>
    <xf numFmtId="0" fontId="16" fillId="0" borderId="0" xfId="7" quotePrefix="1" applyFont="1" applyAlignment="1">
      <alignment horizontal="center"/>
    </xf>
    <xf numFmtId="0" fontId="16" fillId="0" borderId="0" xfId="9" applyFont="1"/>
    <xf numFmtId="167" fontId="16" fillId="0" borderId="5" xfId="7" quotePrefix="1" applyNumberFormat="1" applyFont="1" applyBorder="1" applyAlignment="1">
      <alignment horizontal="center"/>
    </xf>
    <xf numFmtId="167" fontId="16" fillId="0" borderId="0" xfId="7" applyNumberFormat="1" applyFont="1" applyAlignment="1">
      <alignment horizontal="center"/>
    </xf>
    <xf numFmtId="167" fontId="16" fillId="0" borderId="6" xfId="7" applyNumberFormat="1" applyFont="1" applyBorder="1" applyAlignment="1">
      <alignment horizontal="center"/>
    </xf>
    <xf numFmtId="0" fontId="21" fillId="0" borderId="0" xfId="9" quotePrefix="1" applyFont="1" applyAlignment="1">
      <alignment horizontal="center"/>
    </xf>
    <xf numFmtId="0" fontId="22" fillId="0" borderId="0" xfId="9" applyFont="1"/>
    <xf numFmtId="0" fontId="23" fillId="0" borderId="0" xfId="9" applyFont="1"/>
    <xf numFmtId="0" fontId="16" fillId="0" borderId="0" xfId="9" quotePrefix="1" applyFont="1"/>
    <xf numFmtId="41" fontId="18" fillId="0" borderId="0" xfId="8" applyNumberFormat="1" applyFont="1"/>
    <xf numFmtId="41" fontId="18" fillId="7" borderId="0" xfId="8" applyNumberFormat="1" applyFont="1" applyFill="1"/>
    <xf numFmtId="41" fontId="16" fillId="0" borderId="0" xfId="8" applyNumberFormat="1" applyFont="1"/>
    <xf numFmtId="41" fontId="16" fillId="7" borderId="0" xfId="8" applyNumberFormat="1" applyFont="1" applyFill="1"/>
    <xf numFmtId="41" fontId="16" fillId="0" borderId="7" xfId="8" applyNumberFormat="1" applyFont="1" applyBorder="1"/>
    <xf numFmtId="41" fontId="16" fillId="7" borderId="7" xfId="8" applyNumberFormat="1" applyFont="1" applyFill="1" applyBorder="1"/>
    <xf numFmtId="0" fontId="45" fillId="0" borderId="0" xfId="9" quotePrefix="1" applyFont="1"/>
    <xf numFmtId="0" fontId="24" fillId="0" borderId="0" xfId="9" applyFont="1"/>
    <xf numFmtId="41" fontId="18" fillId="0" borderId="1" xfId="8" applyNumberFormat="1" applyFont="1" applyBorder="1"/>
    <xf numFmtId="41" fontId="18" fillId="7" borderId="1" xfId="8" applyNumberFormat="1" applyFont="1" applyFill="1" applyBorder="1"/>
    <xf numFmtId="0" fontId="0" fillId="12" borderId="0" xfId="0" applyFill="1"/>
    <xf numFmtId="43" fontId="0" fillId="12" borderId="0" xfId="1" applyFont="1" applyFill="1"/>
    <xf numFmtId="10" fontId="0" fillId="0" borderId="0" xfId="2" applyNumberFormat="1" applyFont="1"/>
    <xf numFmtId="43" fontId="0" fillId="12" borderId="0" xfId="0" applyNumberFormat="1" applyFill="1"/>
    <xf numFmtId="43" fontId="0" fillId="0" borderId="0" xfId="1" applyFont="1" applyFill="1"/>
    <xf numFmtId="0" fontId="46" fillId="0" borderId="0" xfId="0" applyFont="1" applyAlignment="1">
      <alignment horizontal="right"/>
    </xf>
    <xf numFmtId="43" fontId="0" fillId="6" borderId="0" xfId="1" applyFont="1" applyFill="1"/>
    <xf numFmtId="0" fontId="28" fillId="0" borderId="0" xfId="0" applyFont="1" applyAlignment="1">
      <alignment horizontal="right"/>
    </xf>
    <xf numFmtId="165" fontId="0" fillId="13" borderId="0" xfId="1" applyNumberFormat="1" applyFont="1" applyFill="1"/>
    <xf numFmtId="0" fontId="0" fillId="14" borderId="0" xfId="0" applyFill="1"/>
    <xf numFmtId="165" fontId="0" fillId="14" borderId="0" xfId="1" applyNumberFormat="1" applyFont="1" applyFill="1"/>
    <xf numFmtId="41" fontId="18" fillId="6" borderId="0" xfId="8" applyNumberFormat="1" applyFont="1" applyFill="1"/>
    <xf numFmtId="41" fontId="16" fillId="6" borderId="0" xfId="8" applyNumberFormat="1" applyFont="1" applyFill="1"/>
    <xf numFmtId="9" fontId="0" fillId="0" borderId="0" xfId="2" applyFont="1"/>
    <xf numFmtId="10" fontId="0" fillId="0" borderId="24" xfId="2" applyNumberFormat="1" applyFont="1" applyBorder="1"/>
    <xf numFmtId="9" fontId="0" fillId="0" borderId="24" xfId="2" applyFont="1" applyBorder="1"/>
    <xf numFmtId="0" fontId="2" fillId="0" borderId="24" xfId="0" applyFont="1" applyBorder="1" applyAlignment="1">
      <alignment horizontal="center"/>
    </xf>
    <xf numFmtId="0" fontId="2" fillId="15" borderId="0" xfId="0" applyFont="1" applyFill="1"/>
    <xf numFmtId="166" fontId="0" fillId="0" borderId="0" xfId="1" applyNumberFormat="1" applyFon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71" fontId="0" fillId="0" borderId="0" xfId="0" applyNumberFormat="1"/>
    <xf numFmtId="166" fontId="5" fillId="15" borderId="0" xfId="1" applyNumberFormat="1" applyFont="1" applyFill="1" applyAlignment="1">
      <alignment horizontal="center"/>
    </xf>
    <xf numFmtId="170" fontId="5" fillId="15" borderId="0" xfId="2" applyNumberFormat="1" applyFont="1" applyFill="1" applyAlignment="1">
      <alignment horizontal="center"/>
    </xf>
    <xf numFmtId="14" fontId="5" fillId="15" borderId="0" xfId="0" applyNumberFormat="1" applyFont="1" applyFill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4" fontId="46" fillId="0" borderId="0" xfId="0" applyNumberFormat="1" applyFont="1" applyAlignment="1">
      <alignment horizontal="center"/>
    </xf>
    <xf numFmtId="170" fontId="0" fillId="0" borderId="0" xfId="2" applyNumberFormat="1" applyFont="1" applyFill="1" applyBorder="1" applyAlignment="1">
      <alignment horizontal="center"/>
    </xf>
    <xf numFmtId="165" fontId="0" fillId="15" borderId="0" xfId="1" applyNumberFormat="1" applyFont="1" applyFill="1"/>
    <xf numFmtId="0" fontId="0" fillId="13" borderId="0" xfId="0" applyFill="1" applyAlignment="1">
      <alignment horizontal="left" indent="4"/>
    </xf>
    <xf numFmtId="10" fontId="0" fillId="0" borderId="0" xfId="0" applyNumberFormat="1"/>
    <xf numFmtId="43" fontId="2" fillId="0" borderId="0" xfId="0" applyNumberFormat="1" applyFont="1"/>
    <xf numFmtId="10" fontId="0" fillId="0" borderId="0" xfId="2" applyNumberFormat="1" applyFont="1" applyFill="1"/>
    <xf numFmtId="165" fontId="0" fillId="15" borderId="0" xfId="0" applyNumberFormat="1" applyFill="1"/>
    <xf numFmtId="0" fontId="29" fillId="13" borderId="0" xfId="0" applyFont="1" applyFill="1" applyAlignment="1">
      <alignment horizontal="left" indent="4"/>
    </xf>
    <xf numFmtId="165" fontId="29" fillId="13" borderId="0" xfId="1" applyNumberFormat="1" applyFont="1" applyFill="1"/>
    <xf numFmtId="0" fontId="5" fillId="13" borderId="0" xfId="0" applyFont="1" applyFill="1"/>
    <xf numFmtId="0" fontId="0" fillId="6" borderId="0" xfId="0" applyFill="1"/>
    <xf numFmtId="165" fontId="0" fillId="6" borderId="0" xfId="0" applyNumberFormat="1" applyFill="1"/>
    <xf numFmtId="165" fontId="0" fillId="6" borderId="0" xfId="1" applyNumberFormat="1" applyFont="1" applyFill="1"/>
    <xf numFmtId="10" fontId="47" fillId="13" borderId="0" xfId="0" applyNumberFormat="1" applyFont="1" applyFill="1"/>
    <xf numFmtId="0" fontId="48" fillId="0" borderId="0" xfId="0" applyFont="1"/>
    <xf numFmtId="0" fontId="49" fillId="16" borderId="16" xfId="0" applyFont="1" applyFill="1" applyBorder="1" applyAlignment="1">
      <alignment horizontal="center" vertical="center"/>
    </xf>
    <xf numFmtId="0" fontId="50" fillId="0" borderId="0" xfId="0" applyFont="1"/>
    <xf numFmtId="0" fontId="48" fillId="0" borderId="25" xfId="0" applyFont="1" applyBorder="1" applyAlignment="1">
      <alignment horizontal="left" indent="2"/>
    </xf>
    <xf numFmtId="164" fontId="48" fillId="0" borderId="26" xfId="0" applyNumberFormat="1" applyFont="1" applyBorder="1" applyAlignment="1">
      <alignment horizontal="center"/>
    </xf>
    <xf numFmtId="164" fontId="48" fillId="15" borderId="26" xfId="0" applyNumberFormat="1" applyFont="1" applyFill="1" applyBorder="1" applyAlignment="1">
      <alignment horizontal="center"/>
    </xf>
    <xf numFmtId="164" fontId="48" fillId="0" borderId="0" xfId="0" applyNumberFormat="1" applyFont="1"/>
    <xf numFmtId="43" fontId="48" fillId="0" borderId="0" xfId="1" applyFont="1"/>
    <xf numFmtId="0" fontId="48" fillId="0" borderId="27" xfId="0" applyFont="1" applyBorder="1" applyAlignment="1">
      <alignment horizontal="left" indent="2"/>
    </xf>
    <xf numFmtId="164" fontId="48" fillId="0" borderId="28" xfId="0" applyNumberFormat="1" applyFont="1" applyBorder="1" applyAlignment="1">
      <alignment horizontal="center"/>
    </xf>
    <xf numFmtId="43" fontId="48" fillId="0" borderId="0" xfId="0" applyNumberFormat="1" applyFont="1"/>
    <xf numFmtId="0" fontId="48" fillId="0" borderId="29" xfId="0" applyFont="1" applyBorder="1" applyAlignment="1">
      <alignment horizontal="left" indent="2"/>
    </xf>
    <xf numFmtId="2" fontId="48" fillId="0" borderId="30" xfId="0" applyNumberFormat="1" applyFont="1" applyBorder="1" applyAlignment="1">
      <alignment horizontal="center"/>
    </xf>
    <xf numFmtId="164" fontId="48" fillId="0" borderId="30" xfId="0" applyNumberFormat="1" applyFont="1" applyBorder="1" applyAlignment="1">
      <alignment horizontal="center"/>
    </xf>
    <xf numFmtId="0" fontId="48" fillId="0" borderId="0" xfId="0" applyFont="1" applyAlignment="1">
      <alignment horizontal="right"/>
    </xf>
    <xf numFmtId="164" fontId="48" fillId="0" borderId="31" xfId="0" applyNumberFormat="1" applyFont="1" applyBorder="1" applyAlignment="1">
      <alignment horizontal="center"/>
    </xf>
    <xf numFmtId="164" fontId="48" fillId="0" borderId="32" xfId="0" applyNumberFormat="1" applyFont="1" applyBorder="1" applyAlignment="1">
      <alignment horizontal="center"/>
    </xf>
    <xf numFmtId="0" fontId="48" fillId="0" borderId="0" xfId="0" applyFont="1" applyAlignment="1">
      <alignment horizontal="center"/>
    </xf>
    <xf numFmtId="41" fontId="48" fillId="0" borderId="0" xfId="0" applyNumberFormat="1" applyFont="1"/>
    <xf numFmtId="2" fontId="48" fillId="0" borderId="26" xfId="0" applyNumberFormat="1" applyFont="1" applyBorder="1" applyAlignment="1">
      <alignment horizontal="center"/>
    </xf>
    <xf numFmtId="2" fontId="48" fillId="0" borderId="33" xfId="1" applyNumberFormat="1" applyFont="1" applyBorder="1" applyAlignment="1">
      <alignment horizontal="center"/>
    </xf>
    <xf numFmtId="2" fontId="48" fillId="0" borderId="28" xfId="0" applyNumberFormat="1" applyFont="1" applyBorder="1" applyAlignment="1">
      <alignment horizontal="center"/>
    </xf>
    <xf numFmtId="164" fontId="48" fillId="0" borderId="34" xfId="0" applyNumberFormat="1" applyFont="1" applyBorder="1" applyAlignment="1">
      <alignment horizontal="center"/>
    </xf>
    <xf numFmtId="164" fontId="48" fillId="0" borderId="35" xfId="0" applyNumberFormat="1" applyFont="1" applyBorder="1" applyAlignment="1">
      <alignment horizontal="center"/>
    </xf>
    <xf numFmtId="2" fontId="48" fillId="0" borderId="32" xfId="0" applyNumberFormat="1" applyFont="1" applyBorder="1" applyAlignment="1">
      <alignment horizontal="center"/>
    </xf>
    <xf numFmtId="2" fontId="48" fillId="15" borderId="33" xfId="1" applyNumberFormat="1" applyFont="1" applyFill="1" applyBorder="1" applyAlignment="1">
      <alignment horizontal="center"/>
    </xf>
    <xf numFmtId="2" fontId="48" fillId="0" borderId="34" xfId="0" applyNumberFormat="1" applyFont="1" applyBorder="1" applyAlignment="1">
      <alignment horizontal="center"/>
    </xf>
    <xf numFmtId="2" fontId="48" fillId="0" borderId="35" xfId="0" applyNumberFormat="1" applyFont="1" applyBorder="1" applyAlignment="1">
      <alignment horizontal="center"/>
    </xf>
    <xf numFmtId="164" fontId="48" fillId="6" borderId="26" xfId="0" applyNumberFormat="1" applyFont="1" applyFill="1" applyBorder="1" applyAlignment="1">
      <alignment horizontal="center"/>
    </xf>
    <xf numFmtId="164" fontId="48" fillId="0" borderId="33" xfId="0" applyNumberFormat="1" applyFont="1" applyBorder="1" applyAlignment="1">
      <alignment horizontal="center"/>
    </xf>
    <xf numFmtId="164" fontId="48" fillId="6" borderId="28" xfId="0" applyNumberFormat="1" applyFont="1" applyFill="1" applyBorder="1" applyAlignment="1">
      <alignment horizontal="center"/>
    </xf>
    <xf numFmtId="164" fontId="48" fillId="6" borderId="30" xfId="0" applyNumberFormat="1" applyFont="1" applyFill="1" applyBorder="1" applyAlignment="1">
      <alignment horizontal="center"/>
    </xf>
    <xf numFmtId="164" fontId="48" fillId="15" borderId="33" xfId="0" applyNumberFormat="1" applyFont="1" applyFill="1" applyBorder="1" applyAlignment="1">
      <alignment horizontal="center"/>
    </xf>
    <xf numFmtId="164" fontId="48" fillId="0" borderId="0" xfId="0" applyNumberFormat="1" applyFont="1" applyAlignment="1">
      <alignment horizontal="center"/>
    </xf>
    <xf numFmtId="166" fontId="0" fillId="12" borderId="0" xfId="1" applyNumberFormat="1" applyFont="1" applyFill="1"/>
    <xf numFmtId="10" fontId="0" fillId="12" borderId="0" xfId="0" applyNumberFormat="1" applyFill="1"/>
    <xf numFmtId="10" fontId="0" fillId="12" borderId="0" xfId="2" applyNumberFormat="1" applyFont="1" applyFill="1"/>
    <xf numFmtId="166" fontId="2" fillId="0" borderId="0" xfId="1" applyNumberFormat="1" applyFont="1"/>
    <xf numFmtId="43" fontId="2" fillId="12" borderId="0" xfId="0" applyNumberFormat="1" applyFont="1" applyFill="1"/>
    <xf numFmtId="43" fontId="2" fillId="0" borderId="0" xfId="1" applyFont="1"/>
    <xf numFmtId="43" fontId="2" fillId="12" borderId="0" xfId="1" applyFont="1" applyFill="1"/>
    <xf numFmtId="10" fontId="46" fillId="0" borderId="0" xfId="2" applyNumberFormat="1" applyFont="1" applyBorder="1"/>
    <xf numFmtId="0" fontId="0" fillId="11" borderId="0" xfId="0" applyFill="1"/>
    <xf numFmtId="166" fontId="0" fillId="15" borderId="0" xfId="1" applyNumberFormat="1" applyFont="1" applyFill="1"/>
    <xf numFmtId="166" fontId="2" fillId="15" borderId="0" xfId="1" applyNumberFormat="1" applyFont="1" applyFill="1"/>
    <xf numFmtId="0" fontId="0" fillId="4" borderId="0" xfId="0" applyFill="1"/>
    <xf numFmtId="166" fontId="0" fillId="4" borderId="0" xfId="1" applyNumberFormat="1" applyFont="1" applyFill="1"/>
    <xf numFmtId="0" fontId="46" fillId="4" borderId="0" xfId="0" applyFont="1" applyFill="1" applyAlignment="1">
      <alignment horizontal="right"/>
    </xf>
    <xf numFmtId="43" fontId="2" fillId="4" borderId="0" xfId="1" applyFont="1" applyFill="1"/>
    <xf numFmtId="166" fontId="2" fillId="4" borderId="0" xfId="1" applyNumberFormat="1" applyFont="1" applyFill="1"/>
    <xf numFmtId="165" fontId="0" fillId="0" borderId="0" xfId="1" applyNumberFormat="1" applyFont="1" applyBorder="1"/>
    <xf numFmtId="0" fontId="0" fillId="17" borderId="0" xfId="0" applyFill="1"/>
    <xf numFmtId="166" fontId="0" fillId="17" borderId="0" xfId="1" applyNumberFormat="1" applyFont="1" applyFill="1"/>
    <xf numFmtId="166" fontId="51" fillId="0" borderId="0" xfId="1" applyNumberFormat="1" applyFont="1"/>
    <xf numFmtId="166" fontId="52" fillId="0" borderId="0" xfId="1" applyNumberFormat="1" applyFont="1" applyFill="1"/>
    <xf numFmtId="10" fontId="52" fillId="0" borderId="0" xfId="2" applyNumberFormat="1" applyFont="1" applyFill="1"/>
    <xf numFmtId="0" fontId="52" fillId="0" borderId="0" xfId="0" applyFont="1" applyAlignment="1">
      <alignment horizontal="right"/>
    </xf>
    <xf numFmtId="10" fontId="52" fillId="0" borderId="0" xfId="2" applyNumberFormat="1" applyFont="1" applyFill="1" applyBorder="1"/>
    <xf numFmtId="166" fontId="52" fillId="0" borderId="0" xfId="1" applyNumberFormat="1" applyFont="1" applyFill="1" applyBorder="1"/>
    <xf numFmtId="0" fontId="52" fillId="0" borderId="0" xfId="0" applyFont="1"/>
    <xf numFmtId="10" fontId="1" fillId="0" borderId="0" xfId="2" applyNumberFormat="1" applyFont="1" applyFill="1" applyBorder="1"/>
    <xf numFmtId="10" fontId="51" fillId="0" borderId="0" xfId="2" applyNumberFormat="1" applyFont="1" applyFill="1" applyBorder="1"/>
    <xf numFmtId="10" fontId="29" fillId="0" borderId="0" xfId="2" applyNumberFormat="1" applyFont="1" applyFill="1" applyBorder="1"/>
    <xf numFmtId="0" fontId="53" fillId="0" borderId="0" xfId="0" applyFont="1" applyAlignment="1">
      <alignment horizontal="center"/>
    </xf>
    <xf numFmtId="166" fontId="53" fillId="0" borderId="0" xfId="0" applyNumberFormat="1" applyFont="1" applyAlignment="1">
      <alignment horizontal="center"/>
    </xf>
    <xf numFmtId="0" fontId="53" fillId="4" borderId="0" xfId="0" applyFont="1" applyFill="1" applyAlignment="1">
      <alignment horizontal="center"/>
    </xf>
    <xf numFmtId="0" fontId="54" fillId="0" borderId="0" xfId="0" applyFont="1" applyAlignment="1">
      <alignment horizontal="center"/>
    </xf>
    <xf numFmtId="10" fontId="0" fillId="0" borderId="5" xfId="0" applyNumberFormat="1" applyBorder="1"/>
    <xf numFmtId="166" fontId="2" fillId="0" borderId="5" xfId="1" applyNumberFormat="1" applyFont="1" applyBorder="1" applyAlignment="1">
      <alignment horizontal="center"/>
    </xf>
    <xf numFmtId="0" fontId="55" fillId="0" borderId="0" xfId="0" applyFont="1"/>
    <xf numFmtId="166" fontId="29" fillId="0" borderId="0" xfId="1" applyNumberFormat="1" applyFont="1" applyFill="1"/>
    <xf numFmtId="166" fontId="56" fillId="0" borderId="0" xfId="1" applyNumberFormat="1" applyFont="1"/>
    <xf numFmtId="166" fontId="29" fillId="4" borderId="0" xfId="1" applyNumberFormat="1" applyFont="1" applyFill="1"/>
    <xf numFmtId="166" fontId="29" fillId="0" borderId="0" xfId="0" applyNumberFormat="1" applyFont="1"/>
    <xf numFmtId="166" fontId="29" fillId="0" borderId="0" xfId="1" applyNumberFormat="1" applyFont="1"/>
    <xf numFmtId="10" fontId="29" fillId="0" borderId="0" xfId="2" applyNumberFormat="1" applyFont="1" applyBorder="1"/>
    <xf numFmtId="43" fontId="56" fillId="4" borderId="0" xfId="1" applyFont="1" applyFill="1"/>
    <xf numFmtId="43" fontId="56" fillId="0" borderId="0" xfId="1" applyFont="1"/>
    <xf numFmtId="0" fontId="29" fillId="17" borderId="0" xfId="0" applyFont="1" applyFill="1"/>
    <xf numFmtId="166" fontId="52" fillId="15" borderId="0" xfId="1" applyNumberFormat="1" applyFont="1" applyFill="1"/>
    <xf numFmtId="0" fontId="2" fillId="0" borderId="0" xfId="0" applyFont="1" applyAlignment="1">
      <alignment horizont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20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  <xf numFmtId="0" fontId="16" fillId="4" borderId="0" xfId="7" applyFont="1" applyFill="1" applyAlignment="1">
      <alignment horizontal="center"/>
    </xf>
    <xf numFmtId="0" fontId="1" fillId="4" borderId="0" xfId="0" applyFont="1" applyFill="1"/>
    <xf numFmtId="0" fontId="2" fillId="0" borderId="0" xfId="0" applyFont="1" applyAlignment="1">
      <alignment horizontal="center" vertical="center" textRotation="90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</cellXfs>
  <cellStyles count="10">
    <cellStyle name="Comma" xfId="1" builtinId="3"/>
    <cellStyle name="Comma 2" xfId="4" xr:uid="{F41E7F26-9C6B-4165-B2B3-DDC624CD8E6E}"/>
    <cellStyle name="Comma 2 2" xfId="8" xr:uid="{D6A46C85-BD71-43D1-BDCF-EC5B0DB4E9F7}"/>
    <cellStyle name="Normal" xfId="0" builtinId="0"/>
    <cellStyle name="Normal 2" xfId="3" xr:uid="{00FEA561-9D7B-4169-AE90-D9F47F539BA5}"/>
    <cellStyle name="Normal 2 2" xfId="5" xr:uid="{AACF0D2D-2E25-47C1-B579-5910D633856E}"/>
    <cellStyle name="Normal 2 3" xfId="9" xr:uid="{CBBE6262-1E04-4221-85A0-47DCE1DA4EE8}"/>
    <cellStyle name="Normal 4" xfId="7" xr:uid="{84063991-1548-40A2-BFDC-FE79D0426EFE}"/>
    <cellStyle name="Percent" xfId="2" builtinId="5"/>
    <cellStyle name="Percent 2" xfId="6" xr:uid="{A67AE412-41A8-4BA1-97E0-F2BC4E7A5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LTF to 2023 Budget Interest Expense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LTF to 2023 Budget Interest Expense</a:t>
          </a:r>
        </a:p>
      </cx:txPr>
    </cx:title>
    <cx:plotArea>
      <cx:plotAreaRegion>
        <cx:series layoutId="waterfall" uniqueId="{03A916CC-80D6-4F68-A2F6-4B8445D132C7}">
          <cx:dataPt idx="0">
            <cx:spPr>
              <a:solidFill>
                <a:sysClr val="window" lastClr="FFFFFF">
                  <a:lumMod val="50000"/>
                </a:sysClr>
              </a:solidFill>
            </cx:spPr>
          </cx:dataPt>
          <cx:dataPt idx="1">
            <cx:spPr>
              <a:solidFill>
                <a:srgbClr val="FF0000"/>
              </a:solidFill>
            </cx:spPr>
          </cx:dataPt>
          <cx:dataPt idx="2">
            <cx:spPr>
              <a:solidFill>
                <a:srgbClr val="00B050"/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rgbClr val="0070C0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tx1"/>
                    </a:solidFill>
                  </a:defRPr>
                </a:pPr>
                <a:endPara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4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 min="20"/>
        <cx:majorGridlines>
          <cx:spPr>
            <a:ln>
              <a:noFill/>
            </a:ln>
          </cx:spPr>
        </cx:majorGridlines>
        <cx:tickLabels/>
        <cx:numFmt formatCode="_(* #,##0_);_(* (#,##0);_(* &quot;-&quot;_);_(@_)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2022 Q3F to 2023 Budget Interest Expense</a:t>
            </a:r>
            <a:endParaRPr lang="en-US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waterfall" uniqueId="{3F32B22A-4884-473B-8351-917A205A1F21}">
          <cx:dataPt idx="1">
            <cx:spPr>
              <a:solidFill>
                <a:srgbClr val="FF0000"/>
              </a:solidFill>
            </cx:spPr>
          </cx:dataPt>
          <cx:dataPt idx="2">
            <cx:spPr>
              <a:solidFill>
                <a:srgbClr val="FF0000"/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rgbClr val="0070C0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tx1"/>
                    </a:solidFill>
                  </a:defRPr>
                </a:pPr>
                <a:endPara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subtotals>
              <cx:idx val="4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 max="45" min="20"/>
        <cx:majorGridlines>
          <cx:spPr>
            <a:ln>
              <a:noFill/>
            </a:ln>
          </cx:spPr>
        </cx:majorGridlines>
        <cx:tickLabels/>
        <cx:numFmt formatCode="_(* #,##0_);_(* (#,##0);_(* &quot;-&quot;_);_(@_)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9</xdr:row>
      <xdr:rowOff>9525</xdr:rowOff>
    </xdr:from>
    <xdr:to>
      <xdr:col>20</xdr:col>
      <xdr:colOff>601512</xdr:colOff>
      <xdr:row>45</xdr:row>
      <xdr:rowOff>153377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795366-4964-7F5D-0574-501EA727F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1724025"/>
          <a:ext cx="10297962" cy="700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19</xdr:col>
      <xdr:colOff>589181</xdr:colOff>
      <xdr:row>31</xdr:row>
      <xdr:rowOff>39337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9AEB61-D050-334B-0239-06D8BEE75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65760"/>
          <a:ext cx="10952381" cy="5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371016</xdr:colOff>
      <xdr:row>50</xdr:row>
      <xdr:rowOff>91965</xdr:rowOff>
    </xdr:from>
    <xdr:to>
      <xdr:col>19</xdr:col>
      <xdr:colOff>15950</xdr:colOff>
      <xdr:row>75</xdr:row>
      <xdr:rowOff>186632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EB2707-03AD-C85E-11B3-18EAA40FC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930" y="9616965"/>
          <a:ext cx="10641382" cy="4857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13</xdr:col>
      <xdr:colOff>47625</xdr:colOff>
      <xdr:row>26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2690E7-6F82-49C6-2E04-341E3856D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476500"/>
          <a:ext cx="614362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439858</xdr:colOff>
      <xdr:row>12</xdr:row>
      <xdr:rowOff>171793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A13A06-3D68-B26A-916A-072A5F9A4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41333" cy="24577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9</xdr:row>
      <xdr:rowOff>76200</xdr:rowOff>
    </xdr:from>
    <xdr:to>
      <xdr:col>15</xdr:col>
      <xdr:colOff>304799</xdr:colOff>
      <xdr:row>24</xdr:row>
      <xdr:rowOff>33337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B23EF61-5DEC-F210-9A0A-6A08BE3358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57675" y="1790700"/>
              <a:ext cx="5019674" cy="2814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47625</xdr:colOff>
      <xdr:row>26</xdr:row>
      <xdr:rowOff>0</xdr:rowOff>
    </xdr:from>
    <xdr:to>
      <xdr:col>15</xdr:col>
      <xdr:colOff>114301</xdr:colOff>
      <xdr:row>40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9ABE928E-F31A-4693-9F0B-9C672F11B0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67175" y="4953000"/>
              <a:ext cx="5019676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inrich, Joshua R." id="{88A23FBC-574F-40A5-BDC9-438980259911}" userId="S::JRHeinrich@tecoenergy.com::7278c736-d3ee-4739-810c-55e02799c41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7" dT="2022-10-06T00:04:07.58" personId="{88A23FBC-574F-40A5-BDC9-438980259911}" id="{7A46D833-63B2-4223-B3E5-44F58C84D17D}">
    <text>Balance is assumed to land at the loaded interest expense because balance is not showing in EOM BS.</text>
  </threadedComment>
  <threadedComment ref="G51" dT="2022-10-06T00:04:07.58" personId="{88A23FBC-574F-40A5-BDC9-438980259911}" id="{5DC83ECD-D512-4315-A0B9-AA4F91D927B3}">
    <text>Balance is assumed to land at the loaded interest expense because balance is not showing in EOM BS.</text>
  </threadedComment>
  <threadedComment ref="G75" dT="2022-10-06T00:04:07.58" personId="{88A23FBC-574F-40A5-BDC9-438980259911}" id="{FF0C2D80-C419-4A60-BE66-2B106135FA52}">
    <text>Balance is assumed to land at the loaded interest expense because balance is not showing in EOM BS.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3" dT="2022-10-06T00:04:07.58" personId="{88A23FBC-574F-40A5-BDC9-438980259911}" id="{B9824CF6-7235-4D45-85D3-3DB00BF3E8FB}">
    <text>Balance is assumed to land at the loaded interest expense because balance is not showing in EOM BS.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64" dT="2022-10-06T00:04:07.58" personId="{88A23FBC-574F-40A5-BDC9-438980259911}" id="{1C5A3FAC-63A2-40CE-8918-2AEC80379001}">
    <text>Balance is assumed to land at the loaded interest expense because balance is not showing in EOM BS.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24" dT="2022-10-06T00:04:07.58" personId="{88A23FBC-574F-40A5-BDC9-438980259911}" id="{334D8B25-FB16-4EF2-A85A-EA2A9DE7A166}">
    <text>Balance is assumed to land at the loaded interest expense because balance is not showing in EOM BS.</text>
  </threadedComment>
  <threadedComment ref="G48" dT="2022-10-06T00:04:07.58" personId="{88A23FBC-574F-40A5-BDC9-438980259911}" id="{13CEA711-7AE9-4AB6-8A4F-A2B4094DD1E2}">
    <text>Balance is assumed to land at the loaded interest expense because balance is not showing in EOM BS.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Relationship Id="rId6" Type="http://schemas.microsoft.com/office/2017/10/relationships/threadedComment" Target="../threadedComments/threadedComment4.xm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56EE0-579B-4853-AE93-4250A9B75E48}">
  <sheetPr>
    <pageSetUpPr fitToPage="1"/>
  </sheetPr>
  <dimension ref="A3:L66"/>
  <sheetViews>
    <sheetView showGridLines="0" zoomScaleNormal="100" workbookViewId="0">
      <selection activeCell="E32" sqref="E32"/>
    </sheetView>
    <sheetView workbookViewId="1"/>
  </sheetViews>
  <sheetFormatPr defaultRowHeight="15" x14ac:dyDescent="0.25"/>
  <cols>
    <col min="1" max="1" width="11.42578125" bestFit="1" customWidth="1"/>
    <col min="2" max="2" width="8" customWidth="1"/>
    <col min="3" max="3" width="47.28515625" customWidth="1"/>
    <col min="4" max="4" width="12.28515625" bestFit="1" customWidth="1"/>
    <col min="5" max="5" width="12.85546875" bestFit="1" customWidth="1"/>
    <col min="6" max="6" width="6.140625" customWidth="1"/>
    <col min="7" max="7" width="9" bestFit="1" customWidth="1"/>
    <col min="8" max="8" width="73.140625" bestFit="1" customWidth="1"/>
    <col min="10" max="10" width="9.28515625" bestFit="1" customWidth="1"/>
    <col min="11" max="11" width="9" bestFit="1" customWidth="1"/>
  </cols>
  <sheetData>
    <row r="3" spans="1:8" x14ac:dyDescent="0.25">
      <c r="B3" s="308" t="s">
        <v>0</v>
      </c>
      <c r="C3" s="308"/>
      <c r="D3" s="308"/>
      <c r="E3" s="308"/>
      <c r="F3" s="308"/>
    </row>
    <row r="4" spans="1:8" x14ac:dyDescent="0.25">
      <c r="B4" s="308" t="s">
        <v>1</v>
      </c>
      <c r="C4" s="308"/>
      <c r="D4" s="308"/>
      <c r="E4" s="308"/>
      <c r="F4" s="308"/>
    </row>
    <row r="5" spans="1:8" x14ac:dyDescent="0.25">
      <c r="B5" s="308" t="s">
        <v>2</v>
      </c>
      <c r="C5" s="308"/>
      <c r="D5" s="308"/>
      <c r="E5" s="308"/>
      <c r="F5" s="308"/>
    </row>
    <row r="6" spans="1:8" x14ac:dyDescent="0.25">
      <c r="B6" s="2"/>
      <c r="C6" s="2"/>
      <c r="D6" s="3"/>
      <c r="E6" s="3" t="s">
        <v>4</v>
      </c>
      <c r="F6" s="2"/>
      <c r="G6" s="3" t="s">
        <v>5</v>
      </c>
      <c r="H6" s="3" t="s">
        <v>6</v>
      </c>
    </row>
    <row r="7" spans="1:8" x14ac:dyDescent="0.25">
      <c r="A7" s="63">
        <f>Recon!I57</f>
        <v>82915</v>
      </c>
      <c r="B7" s="4" t="s">
        <v>255</v>
      </c>
      <c r="C7" s="4"/>
      <c r="D7" s="4"/>
      <c r="E7" s="4"/>
      <c r="F7" s="4"/>
      <c r="G7" s="68">
        <f>Recon!I57/1000</f>
        <v>82.915000000000006</v>
      </c>
    </row>
    <row r="8" spans="1:8" ht="6" customHeight="1" x14ac:dyDescent="0.25">
      <c r="B8" s="1"/>
    </row>
    <row r="9" spans="1:8" x14ac:dyDescent="0.25">
      <c r="C9" t="s">
        <v>11</v>
      </c>
      <c r="E9" s="105">
        <f>SUM(D10:D14)</f>
        <v>3.2770000000000001</v>
      </c>
      <c r="G9" s="105">
        <f>+(E9*0.75345)</f>
        <v>2.46905565</v>
      </c>
      <c r="H9" t="s">
        <v>305</v>
      </c>
    </row>
    <row r="10" spans="1:8" x14ac:dyDescent="0.25">
      <c r="C10" s="106" t="s">
        <v>10</v>
      </c>
      <c r="D10">
        <v>0.5</v>
      </c>
    </row>
    <row r="11" spans="1:8" x14ac:dyDescent="0.25">
      <c r="C11" s="106" t="s">
        <v>317</v>
      </c>
      <c r="D11">
        <v>1.6</v>
      </c>
    </row>
    <row r="12" spans="1:8" x14ac:dyDescent="0.25">
      <c r="C12" s="106" t="s">
        <v>340</v>
      </c>
      <c r="D12">
        <v>0.6</v>
      </c>
    </row>
    <row r="13" spans="1:8" x14ac:dyDescent="0.25">
      <c r="C13" s="106" t="s">
        <v>13</v>
      </c>
      <c r="D13" s="108">
        <v>0.57699999999999996</v>
      </c>
      <c r="H13" s="105" t="s">
        <v>316</v>
      </c>
    </row>
    <row r="14" spans="1:8" ht="7.5" customHeight="1" x14ac:dyDescent="0.25">
      <c r="C14" s="106"/>
      <c r="D14" s="105"/>
      <c r="H14" s="107"/>
    </row>
    <row r="15" spans="1:8" ht="1.5" customHeight="1" x14ac:dyDescent="0.25">
      <c r="B15" s="1"/>
      <c r="C15" s="109"/>
      <c r="D15" s="109"/>
      <c r="E15" s="109"/>
      <c r="F15" s="109"/>
      <c r="G15" s="109"/>
    </row>
    <row r="16" spans="1:8" x14ac:dyDescent="0.25">
      <c r="A16" s="63">
        <f>Recon!$K$45</f>
        <v>-13325</v>
      </c>
      <c r="C16" t="s">
        <v>14</v>
      </c>
      <c r="E16" s="225">
        <f>(Recon!K45/1000)-D18-D19-D20-D21</f>
        <v>-10.287999999999998</v>
      </c>
      <c r="G16" s="9">
        <f>+E16*0.75345</f>
        <v>-7.7514935999999981</v>
      </c>
    </row>
    <row r="17" spans="1:8" x14ac:dyDescent="0.25">
      <c r="A17" s="63"/>
      <c r="C17" s="106" t="s">
        <v>327</v>
      </c>
      <c r="D17" s="9">
        <f>-(19.152-14.848)</f>
        <v>-4.3040000000000003</v>
      </c>
      <c r="G17" s="9"/>
      <c r="H17" t="s">
        <v>328</v>
      </c>
    </row>
    <row r="18" spans="1:8" x14ac:dyDescent="0.25">
      <c r="A18" s="63"/>
      <c r="C18" s="106" t="s">
        <v>329</v>
      </c>
      <c r="D18" s="9">
        <v>-0.5</v>
      </c>
      <c r="G18" s="9"/>
      <c r="H18" t="s">
        <v>332</v>
      </c>
    </row>
    <row r="19" spans="1:8" x14ac:dyDescent="0.25">
      <c r="A19" s="63"/>
      <c r="C19" s="106" t="s">
        <v>330</v>
      </c>
      <c r="D19" s="9">
        <v>-2.2999999999999998</v>
      </c>
      <c r="G19" s="9"/>
      <c r="H19" t="s">
        <v>332</v>
      </c>
    </row>
    <row r="20" spans="1:8" x14ac:dyDescent="0.25">
      <c r="A20" s="63"/>
      <c r="C20" s="106" t="s">
        <v>331</v>
      </c>
      <c r="D20" s="9">
        <v>-0.5</v>
      </c>
      <c r="G20" s="9"/>
      <c r="H20" t="s">
        <v>332</v>
      </c>
    </row>
    <row r="21" spans="1:8" x14ac:dyDescent="0.25">
      <c r="A21" s="63"/>
      <c r="C21" s="106" t="s">
        <v>333</v>
      </c>
      <c r="D21" s="9">
        <v>0.26300000000000001</v>
      </c>
      <c r="G21" s="9"/>
      <c r="H21" t="s">
        <v>332</v>
      </c>
    </row>
    <row r="22" spans="1:8" x14ac:dyDescent="0.25">
      <c r="A22" s="63"/>
      <c r="C22" s="106" t="s">
        <v>346</v>
      </c>
      <c r="D22" s="9">
        <v>-5.9839999999999991</v>
      </c>
      <c r="G22" s="9"/>
      <c r="H22" t="s">
        <v>332</v>
      </c>
    </row>
    <row r="23" spans="1:8" ht="1.5" customHeight="1" x14ac:dyDescent="0.25">
      <c r="B23" s="1"/>
      <c r="C23" s="109"/>
      <c r="D23" s="109"/>
      <c r="E23" s="109"/>
      <c r="F23" s="109"/>
      <c r="G23" s="109"/>
    </row>
    <row r="24" spans="1:8" x14ac:dyDescent="0.25">
      <c r="A24" s="63">
        <f>Recon!$K$50</f>
        <v>-11298</v>
      </c>
      <c r="C24" t="s">
        <v>7</v>
      </c>
      <c r="E24" s="105">
        <f>(+A24)/1000</f>
        <v>-11.298</v>
      </c>
      <c r="G24" s="105">
        <f>+E24*0.75345</f>
        <v>-8.5124780999999992</v>
      </c>
    </row>
    <row r="25" spans="1:8" x14ac:dyDescent="0.25">
      <c r="C25" s="106" t="s">
        <v>137</v>
      </c>
      <c r="D25" s="105">
        <v>-6.4</v>
      </c>
    </row>
    <row r="26" spans="1:8" x14ac:dyDescent="0.25">
      <c r="C26" s="106" t="s">
        <v>9</v>
      </c>
      <c r="D26" s="105">
        <v>-2.0870000000000002</v>
      </c>
      <c r="H26" s="163"/>
    </row>
    <row r="27" spans="1:8" x14ac:dyDescent="0.25">
      <c r="C27" s="216" t="s">
        <v>334</v>
      </c>
      <c r="D27" s="195">
        <v>-0.7</v>
      </c>
      <c r="H27" s="163" t="s">
        <v>342</v>
      </c>
    </row>
    <row r="28" spans="1:8" x14ac:dyDescent="0.25">
      <c r="C28" s="216" t="s">
        <v>335</v>
      </c>
      <c r="D28" s="195">
        <v>-0.4</v>
      </c>
      <c r="H28" s="163" t="s">
        <v>342</v>
      </c>
    </row>
    <row r="29" spans="1:8" x14ac:dyDescent="0.25">
      <c r="C29" s="216" t="s">
        <v>336</v>
      </c>
      <c r="D29" s="195">
        <v>-0.1</v>
      </c>
      <c r="H29" s="163" t="s">
        <v>342</v>
      </c>
    </row>
    <row r="30" spans="1:8" x14ac:dyDescent="0.25">
      <c r="C30" s="106" t="s">
        <v>165</v>
      </c>
      <c r="D30" s="105">
        <f>+E24-D25-D26-D27-D28-D29</f>
        <v>-1.6109999999999998</v>
      </c>
      <c r="H30" s="163" t="s">
        <v>342</v>
      </c>
    </row>
    <row r="31" spans="1:8" ht="2.25" customHeight="1" x14ac:dyDescent="0.25">
      <c r="B31" s="1"/>
      <c r="C31" s="109"/>
      <c r="D31" s="109"/>
      <c r="E31" s="109"/>
      <c r="F31" s="109"/>
      <c r="G31" s="109"/>
      <c r="H31" s="163"/>
    </row>
    <row r="32" spans="1:8" x14ac:dyDescent="0.25">
      <c r="A32" s="63">
        <f>Recon!$K$42</f>
        <v>17173</v>
      </c>
      <c r="C32" t="s">
        <v>243</v>
      </c>
      <c r="E32" s="226">
        <f>(+A32/1000)-SUM(D36:D38)</f>
        <v>14.86</v>
      </c>
      <c r="G32" s="105">
        <f>+E32*0.75345</f>
        <v>11.196266999999999</v>
      </c>
      <c r="H32" s="163"/>
    </row>
    <row r="33" spans="1:12" x14ac:dyDescent="0.25">
      <c r="C33" s="106" t="s">
        <v>206</v>
      </c>
      <c r="D33" s="105">
        <f>Recon!T42</f>
        <v>6.1001041880954006</v>
      </c>
      <c r="H33" s="163"/>
    </row>
    <row r="34" spans="1:12" x14ac:dyDescent="0.25">
      <c r="C34" s="111" t="s">
        <v>207</v>
      </c>
      <c r="D34" s="112">
        <f>(Recon!T43+Recon!T44)-D36-D37</f>
        <v>8.0851456490951037</v>
      </c>
      <c r="E34" s="110"/>
      <c r="F34" s="110"/>
      <c r="G34" s="110"/>
      <c r="H34" s="163"/>
    </row>
    <row r="35" spans="1:12" x14ac:dyDescent="0.25">
      <c r="C35" s="221" t="s">
        <v>208</v>
      </c>
      <c r="D35" s="222">
        <f>(Recon!T45)-D38</f>
        <v>0.67755899999999991</v>
      </c>
      <c r="E35" s="223"/>
      <c r="F35" s="110"/>
      <c r="G35" s="110"/>
      <c r="H35" s="163"/>
    </row>
    <row r="36" spans="1:12" x14ac:dyDescent="0.25">
      <c r="C36" s="221" t="s">
        <v>337</v>
      </c>
      <c r="D36" s="222">
        <v>2.2999999999999998</v>
      </c>
      <c r="E36" s="223"/>
      <c r="F36" s="110"/>
      <c r="G36" s="110"/>
      <c r="H36" s="163" t="s">
        <v>341</v>
      </c>
    </row>
    <row r="37" spans="1:12" x14ac:dyDescent="0.25">
      <c r="C37" s="221" t="s">
        <v>338</v>
      </c>
      <c r="D37" s="222">
        <v>1</v>
      </c>
      <c r="E37" s="223"/>
      <c r="F37" s="110"/>
      <c r="G37" s="110"/>
      <c r="H37" s="163" t="s">
        <v>341</v>
      </c>
    </row>
    <row r="38" spans="1:12" x14ac:dyDescent="0.25">
      <c r="C38" s="221" t="s">
        <v>339</v>
      </c>
      <c r="D38" s="222">
        <v>-0.98699999999999999</v>
      </c>
      <c r="E38" s="223"/>
      <c r="F38" s="110"/>
      <c r="G38" s="110"/>
      <c r="H38" s="163" t="s">
        <v>341</v>
      </c>
    </row>
    <row r="39" spans="1:12" ht="1.5" customHeight="1" x14ac:dyDescent="0.25">
      <c r="B39" s="1"/>
      <c r="C39" s="109"/>
      <c r="D39" s="109"/>
      <c r="E39" s="109"/>
      <c r="F39" s="109"/>
      <c r="G39" s="109"/>
      <c r="H39" s="163"/>
    </row>
    <row r="40" spans="1:12" x14ac:dyDescent="0.25">
      <c r="A40" s="63">
        <f>Recon!$K$43</f>
        <v>3425</v>
      </c>
      <c r="C40" t="s">
        <v>205</v>
      </c>
      <c r="D40" s="112"/>
      <c r="E40" s="9">
        <f>A40/1000</f>
        <v>3.4249999999999998</v>
      </c>
      <c r="G40" s="105">
        <f>+E40*0.75345</f>
        <v>2.5805662499999995</v>
      </c>
      <c r="H40" s="163"/>
    </row>
    <row r="41" spans="1:12" x14ac:dyDescent="0.25">
      <c r="A41" s="63"/>
      <c r="C41" s="106" t="s">
        <v>344</v>
      </c>
      <c r="D41" s="112">
        <v>3.3</v>
      </c>
      <c r="E41" s="9"/>
      <c r="G41" s="105">
        <f>+E41*0.75345</f>
        <v>0</v>
      </c>
    </row>
    <row r="42" spans="1:12" x14ac:dyDescent="0.25">
      <c r="A42" s="63"/>
      <c r="C42" s="106" t="s">
        <v>345</v>
      </c>
      <c r="D42" s="112">
        <v>1.3</v>
      </c>
      <c r="E42" s="9"/>
      <c r="G42" s="105">
        <f>+E42*0.75345</f>
        <v>0</v>
      </c>
    </row>
    <row r="43" spans="1:12" x14ac:dyDescent="0.25">
      <c r="A43" s="63"/>
      <c r="C43" s="106" t="s">
        <v>367</v>
      </c>
      <c r="D43" s="112">
        <f>E40-SUM(D41:D42)</f>
        <v>-1.1749999999999998</v>
      </c>
      <c r="E43" s="9"/>
      <c r="G43" s="105">
        <f>+E43*0.75345</f>
        <v>0</v>
      </c>
    </row>
    <row r="44" spans="1:12" ht="1.5" customHeight="1" x14ac:dyDescent="0.25">
      <c r="B44" s="1"/>
      <c r="C44" s="109"/>
      <c r="D44" s="109"/>
      <c r="E44" s="109"/>
      <c r="F44" s="109"/>
      <c r="G44" s="109"/>
    </row>
    <row r="45" spans="1:12" x14ac:dyDescent="0.25">
      <c r="A45" s="63">
        <f>Recon!$K$47</f>
        <v>1784</v>
      </c>
      <c r="C45" t="s">
        <v>368</v>
      </c>
      <c r="D45" s="112"/>
      <c r="E45" s="9">
        <f>A45/1000</f>
        <v>1.784</v>
      </c>
      <c r="G45" s="105">
        <f>+(E45*0.75345)</f>
        <v>1.3441547999999999</v>
      </c>
      <c r="J45" s="6"/>
      <c r="K45" s="6"/>
      <c r="L45" s="7"/>
    </row>
    <row r="46" spans="1:12" ht="2.25" customHeight="1" x14ac:dyDescent="0.25">
      <c r="B46" s="1"/>
      <c r="C46" s="109"/>
      <c r="D46" s="109"/>
      <c r="E46" s="109"/>
      <c r="F46" s="109"/>
      <c r="G46" s="109"/>
    </row>
    <row r="47" spans="1:12" x14ac:dyDescent="0.25">
      <c r="A47" s="63">
        <f>Recon!$K$44</f>
        <v>-3845</v>
      </c>
      <c r="C47" t="s">
        <v>16</v>
      </c>
      <c r="E47" s="105">
        <f>(+A47/1000)</f>
        <v>-3.8450000000000002</v>
      </c>
      <c r="G47" s="105">
        <f>+(E47*0.75345)</f>
        <v>-2.8970152499999999</v>
      </c>
      <c r="H47" t="s">
        <v>17</v>
      </c>
    </row>
    <row r="48" spans="1:12" x14ac:dyDescent="0.25">
      <c r="C48" s="106" t="s">
        <v>166</v>
      </c>
      <c r="D48" s="105">
        <f>-9.01589635416667+4</f>
        <v>-5.0158963541666708</v>
      </c>
      <c r="G48" s="105"/>
      <c r="H48" t="s">
        <v>304</v>
      </c>
    </row>
    <row r="49" spans="1:12" x14ac:dyDescent="0.25">
      <c r="C49" s="106" t="s">
        <v>20</v>
      </c>
      <c r="D49" s="105">
        <v>-3.2091036458333333</v>
      </c>
      <c r="G49" s="105"/>
      <c r="H49" t="s">
        <v>294</v>
      </c>
      <c r="J49" s="6"/>
      <c r="K49" s="6"/>
      <c r="L49" s="7"/>
    </row>
    <row r="50" spans="1:12" x14ac:dyDescent="0.25">
      <c r="C50" s="106" t="s">
        <v>296</v>
      </c>
      <c r="D50" s="105">
        <v>-1.4</v>
      </c>
      <c r="G50" s="105"/>
      <c r="H50" t="s">
        <v>18</v>
      </c>
      <c r="J50" s="6"/>
      <c r="K50" s="6"/>
      <c r="L50" s="7"/>
    </row>
    <row r="51" spans="1:12" x14ac:dyDescent="0.25">
      <c r="C51" s="106" t="s">
        <v>167</v>
      </c>
      <c r="D51" s="105">
        <v>1.2</v>
      </c>
      <c r="G51" s="105"/>
      <c r="H51" s="163" t="s">
        <v>295</v>
      </c>
      <c r="J51" s="6"/>
      <c r="K51" s="6"/>
      <c r="L51" s="7"/>
    </row>
    <row r="52" spans="1:12" x14ac:dyDescent="0.25">
      <c r="C52" s="106" t="s">
        <v>297</v>
      </c>
      <c r="D52" s="105">
        <f>2.05+1.4</f>
        <v>3.4499999999999997</v>
      </c>
      <c r="G52" s="105"/>
      <c r="H52" s="163" t="s">
        <v>303</v>
      </c>
      <c r="J52" s="6"/>
      <c r="K52" s="6"/>
      <c r="L52" s="7"/>
    </row>
    <row r="53" spans="1:12" x14ac:dyDescent="0.25">
      <c r="B53" s="1"/>
      <c r="C53" s="106" t="s">
        <v>24</v>
      </c>
      <c r="D53" s="112">
        <f>E47-SUM(D48:D52,D54)</f>
        <v>0.78600000000000625</v>
      </c>
      <c r="E53" s="9"/>
      <c r="G53" s="105"/>
    </row>
    <row r="54" spans="1:12" x14ac:dyDescent="0.25">
      <c r="B54" s="1"/>
      <c r="C54" s="106" t="s">
        <v>343</v>
      </c>
      <c r="D54" s="112">
        <v>0.34399999999999997</v>
      </c>
      <c r="E54" s="9"/>
      <c r="G54" s="105"/>
    </row>
    <row r="55" spans="1:12" ht="2.25" customHeight="1" x14ac:dyDescent="0.25">
      <c r="B55" s="1"/>
      <c r="C55" s="109"/>
      <c r="D55" s="109"/>
      <c r="E55" s="109"/>
      <c r="F55" s="109"/>
      <c r="G55" s="109"/>
    </row>
    <row r="56" spans="1:12" x14ac:dyDescent="0.25">
      <c r="A56" s="63">
        <f>Recon!$K$52</f>
        <v>790</v>
      </c>
      <c r="C56" t="s">
        <v>369</v>
      </c>
      <c r="D56" s="112"/>
      <c r="E56" s="9">
        <f>+A56/1000-NoPetro!C7/1000</f>
        <v>0.72599999999999998</v>
      </c>
      <c r="G56" s="105">
        <f>+(E56*0.75345)</f>
        <v>0.5470046999999999</v>
      </c>
      <c r="J56" s="6"/>
      <c r="K56" s="6"/>
      <c r="L56" s="7"/>
    </row>
    <row r="57" spans="1:12" ht="2.25" customHeight="1" x14ac:dyDescent="0.25">
      <c r="B57" s="1"/>
      <c r="C57" s="109"/>
      <c r="D57" s="109"/>
      <c r="E57" s="109"/>
      <c r="F57" s="109"/>
      <c r="G57" s="109"/>
    </row>
    <row r="58" spans="1:12" x14ac:dyDescent="0.25">
      <c r="A58" s="63">
        <f>Recon!$K$46</f>
        <v>-3575</v>
      </c>
      <c r="C58" t="s">
        <v>21</v>
      </c>
      <c r="D58" s="112"/>
      <c r="E58" s="9">
        <f>+A58/1000-NoPetro!C7/1000</f>
        <v>-3.6390000000000002</v>
      </c>
      <c r="G58" s="105">
        <f>+(E58*0.75345)</f>
        <v>-2.7418045499999999</v>
      </c>
      <c r="J58" s="6"/>
      <c r="K58" s="6"/>
      <c r="L58" s="7"/>
    </row>
    <row r="59" spans="1:12" ht="1.5" customHeight="1" x14ac:dyDescent="0.25">
      <c r="B59" s="1"/>
      <c r="C59" s="109"/>
      <c r="D59" s="109"/>
      <c r="E59" s="109"/>
      <c r="F59" s="109"/>
      <c r="G59" s="109"/>
    </row>
    <row r="60" spans="1:12" x14ac:dyDescent="0.25">
      <c r="A60" s="63"/>
      <c r="C60" s="196" t="s">
        <v>24</v>
      </c>
      <c r="D60" s="196"/>
      <c r="E60" s="196"/>
      <c r="F60" s="196"/>
      <c r="G60" s="197">
        <f>78.469-SUM(G7:G58)</f>
        <v>-0.68025690000003181</v>
      </c>
      <c r="J60" s="6"/>
      <c r="K60" s="6"/>
      <c r="L60" s="7"/>
    </row>
    <row r="61" spans="1:12" ht="6" customHeight="1" x14ac:dyDescent="0.25">
      <c r="J61" s="6"/>
      <c r="K61" s="6"/>
      <c r="L61" s="7"/>
    </row>
    <row r="62" spans="1:12" x14ac:dyDescent="0.25">
      <c r="A62" s="62">
        <f>SUM(A7:A61)</f>
        <v>74044</v>
      </c>
      <c r="B62" s="4" t="s">
        <v>15</v>
      </c>
      <c r="C62" s="4"/>
      <c r="D62" s="4"/>
      <c r="E62" s="4"/>
      <c r="F62" s="4"/>
      <c r="G62" s="68">
        <f>SUM(G7:G60)</f>
        <v>78.468999999999994</v>
      </c>
      <c r="H62" s="108"/>
      <c r="J62" s="6"/>
      <c r="K62" s="6"/>
      <c r="L62" s="7"/>
    </row>
    <row r="63" spans="1:12" x14ac:dyDescent="0.25">
      <c r="G63" s="5">
        <f>+G62-78.469</f>
        <v>0</v>
      </c>
    </row>
    <row r="64" spans="1:12" x14ac:dyDescent="0.25">
      <c r="A64" s="63"/>
      <c r="E64" s="9"/>
      <c r="G64" s="9"/>
      <c r="H64" s="8"/>
    </row>
    <row r="66" spans="2:2" x14ac:dyDescent="0.25">
      <c r="B66" t="s">
        <v>19</v>
      </c>
    </row>
  </sheetData>
  <mergeCells count="3">
    <mergeCell ref="B3:F3"/>
    <mergeCell ref="B4:F4"/>
    <mergeCell ref="B5:F5"/>
  </mergeCells>
  <pageMargins left="0.7" right="0.7" top="0.75" bottom="0.75" header="0.3" footer="0.3"/>
  <pageSetup scale="58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CB24-A280-4C15-A979-5108E214E683}">
  <sheetPr>
    <tabColor theme="9"/>
  </sheetPr>
  <dimension ref="A1:AW111"/>
  <sheetViews>
    <sheetView tabSelected="1" zoomScale="130" zoomScaleNormal="130" workbookViewId="0">
      <pane xSplit="1" ySplit="1" topLeftCell="J2" activePane="bottomRight" state="frozen"/>
      <selection pane="topRight" activeCell="B1" sqref="B1"/>
      <selection pane="bottomLeft" activeCell="A3" sqref="A3"/>
      <selection pane="bottomRight" activeCell="R4" sqref="R4"/>
    </sheetView>
    <sheetView tabSelected="1" topLeftCell="A46" workbookViewId="1"/>
  </sheetViews>
  <sheetFormatPr defaultRowHeight="15" customHeight="1" x14ac:dyDescent="0.25"/>
  <cols>
    <col min="1" max="1" width="39" customWidth="1"/>
    <col min="2" max="13" width="9.5703125" bestFit="1" customWidth="1"/>
    <col min="14" max="14" width="8.42578125" style="6" bestFit="1" customWidth="1"/>
    <col min="15" max="15" width="15" bestFit="1" customWidth="1"/>
    <col min="17" max="17" width="33.7109375" customWidth="1"/>
    <col min="18" max="18" width="10.5703125" bestFit="1" customWidth="1"/>
    <col min="19" max="19" width="16.42578125" bestFit="1" customWidth="1"/>
    <col min="20" max="20" width="15.85546875" bestFit="1" customWidth="1"/>
    <col min="22" max="22" width="11.85546875" bestFit="1" customWidth="1"/>
  </cols>
  <sheetData>
    <row r="1" spans="1:18" ht="15" customHeight="1" x14ac:dyDescent="0.25">
      <c r="A1" s="4" t="s">
        <v>407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265" t="s">
        <v>228</v>
      </c>
    </row>
    <row r="2" spans="1:18" ht="15" customHeight="1" x14ac:dyDescent="0.25">
      <c r="A2" t="s">
        <v>289</v>
      </c>
      <c r="N2"/>
      <c r="Q2" t="s">
        <v>424</v>
      </c>
      <c r="R2" s="278">
        <f>ROUND(+O47/1000,1)</f>
        <v>4.3</v>
      </c>
    </row>
    <row r="3" spans="1:18" ht="15" customHeight="1" x14ac:dyDescent="0.25">
      <c r="A3" s="1" t="s">
        <v>290</v>
      </c>
      <c r="B3" s="282">
        <v>520000</v>
      </c>
      <c r="C3" s="282">
        <v>520000</v>
      </c>
      <c r="D3" s="282">
        <v>520000</v>
      </c>
      <c r="E3" s="282">
        <v>520000</v>
      </c>
      <c r="F3" s="282">
        <v>520000</v>
      </c>
      <c r="G3" s="282">
        <v>520000</v>
      </c>
      <c r="H3" s="282">
        <v>595000</v>
      </c>
      <c r="I3" s="282">
        <v>595000</v>
      </c>
      <c r="J3" s="282">
        <v>570000</v>
      </c>
      <c r="K3" s="282">
        <v>570000</v>
      </c>
      <c r="L3" s="282">
        <v>570000</v>
      </c>
      <c r="M3" s="282">
        <v>570000</v>
      </c>
      <c r="N3"/>
      <c r="O3" s="291"/>
      <c r="Q3" t="s">
        <v>411</v>
      </c>
      <c r="R3" s="278">
        <f>ROUND(+O71/1000,1)</f>
        <v>3.9</v>
      </c>
    </row>
    <row r="4" spans="1:18" ht="15" customHeight="1" x14ac:dyDescent="0.25">
      <c r="A4" s="1" t="s">
        <v>149</v>
      </c>
      <c r="B4" s="283">
        <f>AVERAGE('LTD Details'!$D$5:$D$14)</f>
        <v>3.9625E-2</v>
      </c>
      <c r="C4" s="283">
        <f>AVERAGE('LTD Details'!$D$5:$D$14)</f>
        <v>3.9625E-2</v>
      </c>
      <c r="D4" s="283">
        <f>AVERAGE('LTD Details'!$D$5:$D$14)</f>
        <v>3.9625E-2</v>
      </c>
      <c r="E4" s="283">
        <f>AVERAGE('LTD Details'!$D$5:$D$14)</f>
        <v>3.9625E-2</v>
      </c>
      <c r="F4" s="283">
        <f>AVERAGE('LTD Details'!$D$5:$D$14)</f>
        <v>3.9625E-2</v>
      </c>
      <c r="G4" s="283">
        <f>AVERAGE('LTD Details'!$D$5:$D$14)</f>
        <v>3.9625E-2</v>
      </c>
      <c r="H4" s="283">
        <f>AVERAGE('LTD Details'!$D$5:$D$16)</f>
        <v>4.0416666666666663E-2</v>
      </c>
      <c r="I4" s="283">
        <f>AVERAGE('LTD Details'!$D$5:$D$16)</f>
        <v>4.0416666666666663E-2</v>
      </c>
      <c r="J4" s="283">
        <f>AVERAGE('LTD Details'!$D$5:$D$16)</f>
        <v>4.0416666666666663E-2</v>
      </c>
      <c r="K4" s="283">
        <f>AVERAGE('LTD Details'!$D$5:$D$16)</f>
        <v>4.0416666666666663E-2</v>
      </c>
      <c r="L4" s="283">
        <f>AVERAGE('LTD Details'!$D$5:$D$16)</f>
        <v>4.0416666666666663E-2</v>
      </c>
      <c r="M4" s="283">
        <f>AVERAGE('LTD Details'!$D$5:$D$16)</f>
        <v>4.0416666666666663E-2</v>
      </c>
      <c r="N4" s="189"/>
      <c r="O4" t="s">
        <v>91</v>
      </c>
      <c r="Q4" t="s">
        <v>412</v>
      </c>
      <c r="R4" s="278">
        <f>(+O95)/1000</f>
        <v>2.1406207692558308</v>
      </c>
    </row>
    <row r="5" spans="1:18" ht="15" customHeight="1" x14ac:dyDescent="0.25">
      <c r="A5" s="1" t="s">
        <v>7</v>
      </c>
      <c r="B5" s="265">
        <f t="shared" ref="B5:M5" si="0">(B3*B4)/12</f>
        <v>1717.0833333333333</v>
      </c>
      <c r="C5" s="265">
        <f t="shared" si="0"/>
        <v>1717.0833333333333</v>
      </c>
      <c r="D5" s="265">
        <f t="shared" si="0"/>
        <v>1717.0833333333333</v>
      </c>
      <c r="E5" s="265">
        <f t="shared" si="0"/>
        <v>1717.0833333333333</v>
      </c>
      <c r="F5" s="265">
        <f t="shared" si="0"/>
        <v>1717.0833333333333</v>
      </c>
      <c r="G5" s="265">
        <f t="shared" si="0"/>
        <v>1717.0833333333333</v>
      </c>
      <c r="H5" s="265">
        <f t="shared" si="0"/>
        <v>2003.9930555555554</v>
      </c>
      <c r="I5" s="265">
        <f t="shared" si="0"/>
        <v>2003.9930555555554</v>
      </c>
      <c r="J5" s="265">
        <f t="shared" si="0"/>
        <v>1919.7916666666663</v>
      </c>
      <c r="K5" s="265">
        <f t="shared" si="0"/>
        <v>1919.7916666666663</v>
      </c>
      <c r="L5" s="265">
        <f t="shared" si="0"/>
        <v>1919.7916666666663</v>
      </c>
      <c r="M5" s="265">
        <f t="shared" si="0"/>
        <v>1919.7916666666663</v>
      </c>
      <c r="N5" s="265">
        <f>SUM(B5:M5)</f>
        <v>21989.652777777777</v>
      </c>
      <c r="O5" s="292">
        <f>21000+416-N5</f>
        <v>-573.65277777777737</v>
      </c>
      <c r="Q5" t="s">
        <v>24</v>
      </c>
      <c r="R5" s="143">
        <f>11.3-SUM(R2:R4)</f>
        <v>0.95937923074417064</v>
      </c>
    </row>
    <row r="6" spans="1:18" s="273" customFormat="1" ht="15" customHeight="1" x14ac:dyDescent="0.25"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93"/>
      <c r="P6"/>
      <c r="Q6"/>
      <c r="R6" s="278">
        <v>11.3</v>
      </c>
    </row>
    <row r="7" spans="1:18" ht="15" customHeight="1" x14ac:dyDescent="0.25">
      <c r="A7" t="s">
        <v>393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91"/>
      <c r="R7" s="79"/>
    </row>
    <row r="8" spans="1:18" ht="15" customHeight="1" x14ac:dyDescent="0.25">
      <c r="A8" s="1" t="s">
        <v>290</v>
      </c>
      <c r="B8" s="281">
        <f>210398.8-B12</f>
        <v>110398.79999999999</v>
      </c>
      <c r="C8" s="281">
        <f>158200.1-C12</f>
        <v>58200.100000000006</v>
      </c>
      <c r="D8" s="281">
        <f>166329.5-D12</f>
        <v>66329.5</v>
      </c>
      <c r="E8" s="281">
        <f>174484-E12</f>
        <v>74484</v>
      </c>
      <c r="F8" s="281">
        <f>177717.8-F12</f>
        <v>77717.799999999988</v>
      </c>
      <c r="G8" s="281">
        <f>198344.9-G12</f>
        <v>98344.9</v>
      </c>
      <c r="H8" s="281">
        <f>100000-H12</f>
        <v>0</v>
      </c>
      <c r="I8" s="281">
        <f>100000-I12</f>
        <v>0</v>
      </c>
      <c r="J8" s="281">
        <f>155726.978998445-J12</f>
        <v>55726.978998445004</v>
      </c>
      <c r="K8" s="281">
        <f>211077.961330205-K12</f>
        <v>111077.961330205</v>
      </c>
      <c r="L8" s="281">
        <f>228022.99880717-L12</f>
        <v>128022.99880716999</v>
      </c>
      <c r="M8" s="281">
        <f>237720.024341656-M12</f>
        <v>137720.02434165601</v>
      </c>
      <c r="N8" s="281"/>
      <c r="O8" s="291"/>
      <c r="R8" s="79"/>
    </row>
    <row r="9" spans="1:18" s="287" customFormat="1" ht="15" customHeight="1" x14ac:dyDescent="0.25">
      <c r="A9" s="284" t="s">
        <v>149</v>
      </c>
      <c r="B9" s="285">
        <v>4.0000000000000001E-3</v>
      </c>
      <c r="C9" s="285">
        <v>4.0000000000000001E-3</v>
      </c>
      <c r="D9" s="285">
        <v>4.0000000000000001E-3</v>
      </c>
      <c r="E9" s="285">
        <v>7.0000000000000001E-3</v>
      </c>
      <c r="F9" s="285">
        <v>7.0000000000000001E-3</v>
      </c>
      <c r="G9" s="285">
        <v>0.02</v>
      </c>
      <c r="H9" s="285">
        <v>2.5000000000000001E-2</v>
      </c>
      <c r="I9" s="285">
        <v>2.5000000000000001E-2</v>
      </c>
      <c r="J9" s="285">
        <v>2.9000000000000001E-2</v>
      </c>
      <c r="K9" s="285">
        <v>3.4000000000000002E-2</v>
      </c>
      <c r="L9" s="285">
        <v>3.4000000000000002E-2</v>
      </c>
      <c r="M9" s="285">
        <v>3.4000000000000002E-2</v>
      </c>
      <c r="N9" s="286"/>
      <c r="O9" s="294"/>
      <c r="P9"/>
    </row>
    <row r="10" spans="1:18" ht="15" customHeight="1" x14ac:dyDescent="0.25">
      <c r="A10" s="1" t="s">
        <v>7</v>
      </c>
      <c r="B10" s="265">
        <f>(B8*B9)/12</f>
        <v>36.799599999999998</v>
      </c>
      <c r="C10" s="265">
        <f t="shared" ref="C10:M10" si="1">(C8*C9)/12</f>
        <v>19.400033333333337</v>
      </c>
      <c r="D10" s="265">
        <f t="shared" si="1"/>
        <v>22.109833333333331</v>
      </c>
      <c r="E10" s="265">
        <f t="shared" si="1"/>
        <v>43.449000000000005</v>
      </c>
      <c r="F10" s="265">
        <f t="shared" si="1"/>
        <v>45.335383333333333</v>
      </c>
      <c r="G10" s="265">
        <f t="shared" si="1"/>
        <v>163.90816666666666</v>
      </c>
      <c r="H10" s="265">
        <f t="shared" si="1"/>
        <v>0</v>
      </c>
      <c r="I10" s="265">
        <f t="shared" si="1"/>
        <v>0</v>
      </c>
      <c r="J10" s="265">
        <f t="shared" si="1"/>
        <v>134.67353257957544</v>
      </c>
      <c r="K10" s="265">
        <f t="shared" si="1"/>
        <v>314.72089043558088</v>
      </c>
      <c r="L10" s="265">
        <f t="shared" si="1"/>
        <v>362.73182995364829</v>
      </c>
      <c r="M10" s="265">
        <f t="shared" si="1"/>
        <v>390.20673563469205</v>
      </c>
      <c r="N10" s="265">
        <f>SUM(B10:M10)</f>
        <v>1533.3350052701633</v>
      </c>
      <c r="O10" s="291"/>
    </row>
    <row r="11" spans="1:18" ht="15" customHeight="1" x14ac:dyDescent="0.25">
      <c r="A11" t="s">
        <v>384</v>
      </c>
      <c r="O11" s="291"/>
    </row>
    <row r="12" spans="1:18" ht="15" customHeight="1" x14ac:dyDescent="0.25">
      <c r="A12" s="1" t="s">
        <v>290</v>
      </c>
      <c r="B12" s="281">
        <v>100000</v>
      </c>
      <c r="C12" s="281">
        <v>100000</v>
      </c>
      <c r="D12" s="281">
        <v>100000</v>
      </c>
      <c r="E12" s="281">
        <v>100000</v>
      </c>
      <c r="F12" s="281">
        <v>100000</v>
      </c>
      <c r="G12" s="281">
        <v>100000</v>
      </c>
      <c r="H12" s="281">
        <v>100000</v>
      </c>
      <c r="I12" s="281">
        <v>100000</v>
      </c>
      <c r="J12" s="281">
        <v>100000</v>
      </c>
      <c r="K12" s="281">
        <v>100000</v>
      </c>
      <c r="L12" s="281">
        <v>100000</v>
      </c>
      <c r="M12" s="281">
        <v>100000</v>
      </c>
      <c r="N12" s="281"/>
      <c r="O12" s="291"/>
    </row>
    <row r="13" spans="1:18" s="287" customFormat="1" ht="15" customHeight="1" x14ac:dyDescent="0.25">
      <c r="A13" s="284" t="s">
        <v>149</v>
      </c>
      <c r="B13" s="285">
        <v>8.9999999999999993E-3</v>
      </c>
      <c r="C13" s="285">
        <v>8.9999999999999993E-3</v>
      </c>
      <c r="D13" s="285">
        <v>8.9999999999999993E-3</v>
      </c>
      <c r="E13" s="285">
        <v>1.2999999999999999E-2</v>
      </c>
      <c r="F13" s="285">
        <v>1.2999999999999999E-2</v>
      </c>
      <c r="G13" s="285">
        <v>1.7999999999999999E-2</v>
      </c>
      <c r="H13" s="285">
        <v>2.7E-2</v>
      </c>
      <c r="I13" s="285">
        <v>2.7E-2</v>
      </c>
      <c r="J13" s="285">
        <v>3.9E-2</v>
      </c>
      <c r="K13" s="285">
        <v>4.3999999999999997E-2</v>
      </c>
      <c r="L13" s="285">
        <v>4.3999999999999997E-2</v>
      </c>
      <c r="M13" s="285">
        <v>4.3999999999999997E-2</v>
      </c>
      <c r="N13" s="286"/>
      <c r="O13" s="294"/>
    </row>
    <row r="14" spans="1:18" ht="15" customHeight="1" x14ac:dyDescent="0.25">
      <c r="A14" s="1" t="s">
        <v>7</v>
      </c>
      <c r="B14" s="265">
        <f>(B12*B13)/12</f>
        <v>74.999999999999986</v>
      </c>
      <c r="C14" s="265">
        <f t="shared" ref="C14:M14" si="2">(C12*C13)/12</f>
        <v>74.999999999999986</v>
      </c>
      <c r="D14" s="265">
        <f t="shared" si="2"/>
        <v>74.999999999999986</v>
      </c>
      <c r="E14" s="265">
        <f t="shared" si="2"/>
        <v>108.33333333333333</v>
      </c>
      <c r="F14" s="265">
        <f t="shared" si="2"/>
        <v>108.33333333333333</v>
      </c>
      <c r="G14" s="265">
        <f t="shared" si="2"/>
        <v>149.99999999999997</v>
      </c>
      <c r="H14" s="265">
        <f t="shared" si="2"/>
        <v>225</v>
      </c>
      <c r="I14" s="265">
        <f t="shared" si="2"/>
        <v>225</v>
      </c>
      <c r="J14" s="265">
        <f t="shared" si="2"/>
        <v>325</v>
      </c>
      <c r="K14" s="265">
        <f t="shared" si="2"/>
        <v>366.66666666666669</v>
      </c>
      <c r="L14" s="265">
        <f t="shared" si="2"/>
        <v>366.66666666666669</v>
      </c>
      <c r="M14" s="265">
        <f t="shared" si="2"/>
        <v>366.66666666666669</v>
      </c>
      <c r="N14" s="265">
        <f>SUM(B14:M14)</f>
        <v>2466.6666666666665</v>
      </c>
      <c r="O14" s="291"/>
    </row>
    <row r="15" spans="1:18" ht="15" customHeight="1" x14ac:dyDescent="0.25">
      <c r="A15" t="s">
        <v>404</v>
      </c>
      <c r="O15" s="291"/>
    </row>
    <row r="16" spans="1:18" ht="15" customHeight="1" x14ac:dyDescent="0.25">
      <c r="A16" s="1" t="s">
        <v>290</v>
      </c>
      <c r="B16" s="6">
        <f t="shared" ref="B16:M16" si="3">+B8+B12</f>
        <v>210398.8</v>
      </c>
      <c r="C16" s="6">
        <f t="shared" si="3"/>
        <v>158200.1</v>
      </c>
      <c r="D16" s="6">
        <f t="shared" si="3"/>
        <v>166329.5</v>
      </c>
      <c r="E16" s="6">
        <f t="shared" si="3"/>
        <v>174484</v>
      </c>
      <c r="F16" s="6">
        <f t="shared" si="3"/>
        <v>177717.8</v>
      </c>
      <c r="G16" s="6">
        <f t="shared" si="3"/>
        <v>198344.9</v>
      </c>
      <c r="H16" s="6">
        <f t="shared" si="3"/>
        <v>100000</v>
      </c>
      <c r="I16" s="6">
        <f t="shared" si="3"/>
        <v>100000</v>
      </c>
      <c r="J16" s="6">
        <f t="shared" si="3"/>
        <v>155726.978998445</v>
      </c>
      <c r="K16" s="6">
        <f t="shared" si="3"/>
        <v>211077.961330205</v>
      </c>
      <c r="L16" s="6">
        <f t="shared" si="3"/>
        <v>228022.99880716999</v>
      </c>
      <c r="M16" s="6">
        <f t="shared" si="3"/>
        <v>237720.02434165601</v>
      </c>
      <c r="O16" s="291"/>
    </row>
    <row r="17" spans="1:49" ht="15" customHeight="1" x14ac:dyDescent="0.25">
      <c r="A17" s="1" t="s">
        <v>149</v>
      </c>
      <c r="B17" s="80">
        <f>+B18/B16*12</f>
        <v>6.3764394093502423E-3</v>
      </c>
      <c r="C17" s="80">
        <f t="shared" ref="C17:M17" si="4">+C18/C16*12</f>
        <v>7.1605542600794818E-3</v>
      </c>
      <c r="D17" s="80">
        <f t="shared" si="4"/>
        <v>7.0060813024749053E-3</v>
      </c>
      <c r="E17" s="80">
        <f t="shared" si="4"/>
        <v>1.0438710712730106E-2</v>
      </c>
      <c r="F17" s="80">
        <f t="shared" si="4"/>
        <v>1.0376139024903527E-2</v>
      </c>
      <c r="G17" s="80">
        <f t="shared" si="4"/>
        <v>1.899165544463205E-2</v>
      </c>
      <c r="H17" s="80">
        <f t="shared" si="4"/>
        <v>2.6999999999999996E-2</v>
      </c>
      <c r="I17" s="80">
        <f t="shared" si="4"/>
        <v>2.6999999999999996E-2</v>
      </c>
      <c r="J17" s="80">
        <f t="shared" si="4"/>
        <v>3.5421494890811339E-2</v>
      </c>
      <c r="K17" s="80">
        <f t="shared" si="4"/>
        <v>3.8737586026025839E-2</v>
      </c>
      <c r="L17" s="80">
        <f t="shared" si="4"/>
        <v>3.8385522536021295E-2</v>
      </c>
      <c r="M17" s="80">
        <f t="shared" si="4"/>
        <v>3.8206629217582361E-2</v>
      </c>
      <c r="N17" s="79"/>
      <c r="O17" t="s">
        <v>91</v>
      </c>
    </row>
    <row r="18" spans="1:49" ht="15" customHeight="1" x14ac:dyDescent="0.25">
      <c r="A18" s="1" t="s">
        <v>7</v>
      </c>
      <c r="B18" s="265">
        <f t="shared" ref="B18:M18" si="5">+B14+B10</f>
        <v>111.79959999999998</v>
      </c>
      <c r="C18" s="265">
        <f t="shared" si="5"/>
        <v>94.400033333333326</v>
      </c>
      <c r="D18" s="265">
        <f t="shared" si="5"/>
        <v>97.109833333333313</v>
      </c>
      <c r="E18" s="265">
        <f t="shared" si="5"/>
        <v>151.78233333333333</v>
      </c>
      <c r="F18" s="265">
        <f t="shared" si="5"/>
        <v>153.66871666666665</v>
      </c>
      <c r="G18" s="265">
        <f t="shared" si="5"/>
        <v>313.9081666666666</v>
      </c>
      <c r="H18" s="265">
        <f t="shared" si="5"/>
        <v>225</v>
      </c>
      <c r="I18" s="265">
        <f t="shared" si="5"/>
        <v>225</v>
      </c>
      <c r="J18" s="265">
        <f t="shared" si="5"/>
        <v>459.67353257957541</v>
      </c>
      <c r="K18" s="265">
        <f t="shared" si="5"/>
        <v>681.38755710224757</v>
      </c>
      <c r="L18" s="265">
        <f t="shared" si="5"/>
        <v>729.39849662031497</v>
      </c>
      <c r="M18" s="265">
        <f t="shared" si="5"/>
        <v>756.87340230135874</v>
      </c>
      <c r="N18" s="265">
        <f>SUM(B18:M18)</f>
        <v>4000.0016719368296</v>
      </c>
      <c r="O18" s="292">
        <f>4144-N18</f>
        <v>143.99832806317045</v>
      </c>
    </row>
    <row r="19" spans="1:49" s="273" customFormat="1" ht="15" customHeight="1" x14ac:dyDescent="0.25">
      <c r="A19" s="275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7"/>
      <c r="O19" s="293"/>
    </row>
    <row r="20" spans="1:49" ht="15" customHeight="1" x14ac:dyDescent="0.25">
      <c r="A20" t="s">
        <v>405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91"/>
    </row>
    <row r="21" spans="1:49" ht="15" customHeight="1" x14ac:dyDescent="0.25">
      <c r="A21" s="1" t="s">
        <v>290</v>
      </c>
      <c r="B21" s="6">
        <f t="shared" ref="B21:M21" si="6">+B16+B3</f>
        <v>730398.8</v>
      </c>
      <c r="C21" s="6">
        <f t="shared" si="6"/>
        <v>678200.1</v>
      </c>
      <c r="D21" s="6">
        <f t="shared" si="6"/>
        <v>686329.5</v>
      </c>
      <c r="E21" s="6">
        <f t="shared" si="6"/>
        <v>694484</v>
      </c>
      <c r="F21" s="6">
        <f t="shared" si="6"/>
        <v>697717.8</v>
      </c>
      <c r="G21" s="6">
        <f t="shared" si="6"/>
        <v>718344.9</v>
      </c>
      <c r="H21" s="6">
        <f t="shared" si="6"/>
        <v>695000</v>
      </c>
      <c r="I21" s="6">
        <f t="shared" si="6"/>
        <v>695000</v>
      </c>
      <c r="J21" s="6">
        <f t="shared" si="6"/>
        <v>725726.97899844497</v>
      </c>
      <c r="K21" s="6">
        <f t="shared" si="6"/>
        <v>781077.96133020497</v>
      </c>
      <c r="L21" s="6">
        <f t="shared" si="6"/>
        <v>798022.99880716996</v>
      </c>
      <c r="M21" s="6">
        <f t="shared" si="6"/>
        <v>807720.02434165601</v>
      </c>
      <c r="O21" s="291"/>
    </row>
    <row r="22" spans="1:49" ht="15" customHeight="1" x14ac:dyDescent="0.25">
      <c r="A22" s="1" t="s">
        <v>149</v>
      </c>
      <c r="B22" s="80">
        <f>+B23/B21*12</f>
        <v>3.0047414097613519E-2</v>
      </c>
      <c r="C22" s="80">
        <f t="shared" ref="C22" si="7">+C23/C21*12</f>
        <v>3.2052192855766312E-2</v>
      </c>
      <c r="D22" s="80">
        <f t="shared" ref="D22" si="8">+D23/D21*12</f>
        <v>3.1719921699416967E-2</v>
      </c>
      <c r="E22" s="80">
        <f t="shared" ref="E22" si="9">+E23/E21*12</f>
        <v>3.2292159358602933E-2</v>
      </c>
      <c r="F22" s="80">
        <f t="shared" ref="F22" si="10">+F23/F21*12</f>
        <v>3.2174934622565168E-2</v>
      </c>
      <c r="G22" s="80">
        <f t="shared" ref="G22" si="11">+G23/G21*12</f>
        <v>3.3927849978471342E-2</v>
      </c>
      <c r="H22" s="80">
        <f t="shared" ref="H22" si="12">+H23/H21*12</f>
        <v>3.8486211031175062E-2</v>
      </c>
      <c r="I22" s="80">
        <f t="shared" ref="I22" si="13">+I23/I21*12</f>
        <v>3.8486211031175062E-2</v>
      </c>
      <c r="J22" s="80">
        <f t="shared" ref="J22" si="14">+J23/J21*12</f>
        <v>3.934479937670346E-2</v>
      </c>
      <c r="K22" s="80">
        <f t="shared" ref="K22" si="15">+K23/K21*12</f>
        <v>3.9962913090094233E-2</v>
      </c>
      <c r="L22" s="80">
        <f t="shared" ref="L22" si="16">+L23/L21*12</f>
        <v>3.983629796003587E-2</v>
      </c>
      <c r="M22" s="80">
        <f t="shared" ref="M22" si="17">+M23/M21*12</f>
        <v>3.9766230698311783E-2</v>
      </c>
      <c r="N22" s="80"/>
      <c r="O22" t="s">
        <v>91</v>
      </c>
    </row>
    <row r="23" spans="1:49" ht="15" customHeight="1" x14ac:dyDescent="0.25">
      <c r="A23" s="1" t="s">
        <v>7</v>
      </c>
      <c r="B23" s="265">
        <f t="shared" ref="B23:M23" si="18">+B18+B5</f>
        <v>1828.8829333333333</v>
      </c>
      <c r="C23" s="265">
        <f t="shared" si="18"/>
        <v>1811.4833666666666</v>
      </c>
      <c r="D23" s="265">
        <f t="shared" si="18"/>
        <v>1814.1931666666665</v>
      </c>
      <c r="E23" s="265">
        <f t="shared" si="18"/>
        <v>1868.8656666666666</v>
      </c>
      <c r="F23" s="265">
        <f t="shared" si="18"/>
        <v>1870.7520499999998</v>
      </c>
      <c r="G23" s="265">
        <f t="shared" si="18"/>
        <v>2030.9914999999999</v>
      </c>
      <c r="H23" s="265">
        <f t="shared" si="18"/>
        <v>2228.9930555555557</v>
      </c>
      <c r="I23" s="265">
        <f t="shared" si="18"/>
        <v>2228.9930555555557</v>
      </c>
      <c r="J23" s="265">
        <f t="shared" si="18"/>
        <v>2379.4651992462418</v>
      </c>
      <c r="K23" s="265">
        <f t="shared" si="18"/>
        <v>2601.1792237689137</v>
      </c>
      <c r="L23" s="265">
        <f t="shared" si="18"/>
        <v>2649.1901632869813</v>
      </c>
      <c r="M23" s="265">
        <f t="shared" si="18"/>
        <v>2676.665068968025</v>
      </c>
      <c r="N23" s="265">
        <f>SUM(B23:M23)</f>
        <v>25989.654449714606</v>
      </c>
      <c r="O23" s="292">
        <f>21000+4144+416-N23</f>
        <v>-429.65444971460602</v>
      </c>
    </row>
    <row r="24" spans="1:49" s="279" customFormat="1" ht="15" customHeight="1" x14ac:dyDescent="0.25">
      <c r="N24" s="280"/>
    </row>
    <row r="25" spans="1:49" s="270" customFormat="1" ht="15" customHeight="1" x14ac:dyDescent="0.25">
      <c r="A25" s="4" t="s">
        <v>408</v>
      </c>
      <c r="B25" s="4" t="s">
        <v>277</v>
      </c>
      <c r="C25" s="4" t="s">
        <v>278</v>
      </c>
      <c r="D25" s="4" t="s">
        <v>279</v>
      </c>
      <c r="E25" s="4" t="s">
        <v>280</v>
      </c>
      <c r="F25" s="4" t="s">
        <v>281</v>
      </c>
      <c r="G25" s="4" t="s">
        <v>282</v>
      </c>
      <c r="H25" s="4" t="s">
        <v>283</v>
      </c>
      <c r="I25" s="4" t="s">
        <v>284</v>
      </c>
      <c r="J25" s="4" t="s">
        <v>285</v>
      </c>
      <c r="K25" s="4" t="s">
        <v>286</v>
      </c>
      <c r="L25" s="4" t="s">
        <v>287</v>
      </c>
      <c r="M25" s="4" t="s">
        <v>288</v>
      </c>
      <c r="N25" s="265" t="s">
        <v>228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270" customFormat="1" ht="15" customHeight="1" x14ac:dyDescent="0.25">
      <c r="A26" t="s">
        <v>289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270" customFormat="1" ht="15" customHeight="1" x14ac:dyDescent="0.25">
      <c r="A27" s="1" t="s">
        <v>290</v>
      </c>
      <c r="B27" s="307">
        <f>'BS Sheet Details'!L$16/1000*0+570000</f>
        <v>570000</v>
      </c>
      <c r="C27" s="307">
        <f>'BS Sheet Details'!M$16/1000*0+570000</f>
        <v>570000</v>
      </c>
      <c r="D27" s="307">
        <f>'BS Sheet Details'!N$16/1000*0+570000</f>
        <v>570000</v>
      </c>
      <c r="E27" s="307">
        <f>'BS Sheet Details'!O$16/1000*0+570000</f>
        <v>570000</v>
      </c>
      <c r="F27" s="307">
        <f>'BS Sheet Details'!P$16/1000*0+570000</f>
        <v>570000</v>
      </c>
      <c r="G27" s="307">
        <f>'BS Sheet Details'!Q$16/1000*0+570000</f>
        <v>570000</v>
      </c>
      <c r="H27" s="282">
        <v>750000</v>
      </c>
      <c r="I27" s="282">
        <v>750000</v>
      </c>
      <c r="J27" s="282">
        <v>750000</v>
      </c>
      <c r="K27" s="282">
        <v>750000</v>
      </c>
      <c r="L27" s="282">
        <v>750000</v>
      </c>
      <c r="M27" s="282">
        <v>750000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270" customFormat="1" ht="15" customHeight="1" x14ac:dyDescent="0.25">
      <c r="A28" s="1" t="s">
        <v>149</v>
      </c>
      <c r="B28" s="288">
        <f>+B4</f>
        <v>3.9625E-2</v>
      </c>
      <c r="C28" s="288">
        <f t="shared" ref="C28:M28" si="19">+C4</f>
        <v>3.9625E-2</v>
      </c>
      <c r="D28" s="288">
        <f t="shared" si="19"/>
        <v>3.9625E-2</v>
      </c>
      <c r="E28" s="288">
        <f t="shared" si="19"/>
        <v>3.9625E-2</v>
      </c>
      <c r="F28" s="288">
        <f t="shared" si="19"/>
        <v>3.9625E-2</v>
      </c>
      <c r="G28" s="288">
        <f t="shared" si="19"/>
        <v>3.9625E-2</v>
      </c>
      <c r="H28" s="288">
        <f t="shared" si="19"/>
        <v>4.0416666666666663E-2</v>
      </c>
      <c r="I28" s="288">
        <f t="shared" si="19"/>
        <v>4.0416666666666663E-2</v>
      </c>
      <c r="J28" s="288">
        <f t="shared" si="19"/>
        <v>4.0416666666666663E-2</v>
      </c>
      <c r="K28" s="288">
        <f t="shared" si="19"/>
        <v>4.0416666666666663E-2</v>
      </c>
      <c r="L28" s="288">
        <f t="shared" si="19"/>
        <v>4.0416666666666663E-2</v>
      </c>
      <c r="M28" s="288">
        <f t="shared" si="19"/>
        <v>4.0416666666666663E-2</v>
      </c>
      <c r="N28" s="189"/>
      <c r="O28" t="s">
        <v>91</v>
      </c>
      <c r="P28"/>
      <c r="Q28" s="297" t="s">
        <v>414</v>
      </c>
      <c r="R28" s="297"/>
      <c r="S28" s="29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270" customFormat="1" ht="15" customHeight="1" x14ac:dyDescent="0.25">
      <c r="A29" s="1" t="s">
        <v>7</v>
      </c>
      <c r="B29" s="265">
        <f t="shared" ref="B29:M29" si="20">(B27*B28)/12</f>
        <v>1882.1875</v>
      </c>
      <c r="C29" s="265">
        <f t="shared" si="20"/>
        <v>1882.1875</v>
      </c>
      <c r="D29" s="265">
        <f t="shared" si="20"/>
        <v>1882.1875</v>
      </c>
      <c r="E29" s="265">
        <f t="shared" si="20"/>
        <v>1882.1875</v>
      </c>
      <c r="F29" s="265">
        <f t="shared" si="20"/>
        <v>1882.1875</v>
      </c>
      <c r="G29" s="265">
        <f t="shared" si="20"/>
        <v>1882.1875</v>
      </c>
      <c r="H29" s="265">
        <f t="shared" si="20"/>
        <v>2526.0416666666665</v>
      </c>
      <c r="I29" s="265">
        <f t="shared" si="20"/>
        <v>2526.0416666666665</v>
      </c>
      <c r="J29" s="265">
        <f t="shared" si="20"/>
        <v>2526.0416666666665</v>
      </c>
      <c r="K29" s="265">
        <f t="shared" si="20"/>
        <v>2526.0416666666665</v>
      </c>
      <c r="L29" s="265">
        <f t="shared" si="20"/>
        <v>2526.0416666666665</v>
      </c>
      <c r="M29" s="265">
        <f t="shared" si="20"/>
        <v>2526.0416666666665</v>
      </c>
      <c r="N29" s="265">
        <f>SUM(B29:M29)</f>
        <v>26449.375000000004</v>
      </c>
      <c r="O29" s="7">
        <f>+N29-N5</f>
        <v>4459.7222222222263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270" customFormat="1" ht="15" customHeight="1" x14ac:dyDescent="0.25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</row>
    <row r="31" spans="1:49" s="270" customFormat="1" ht="15" customHeight="1" x14ac:dyDescent="0.25">
      <c r="A31" t="s">
        <v>393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270" customFormat="1" ht="15" customHeight="1" x14ac:dyDescent="0.25">
      <c r="A32" s="1" t="s">
        <v>290</v>
      </c>
      <c r="B32" s="281">
        <f>('BS Sheet Details'!L$17/1000)-B36</f>
        <v>161878.97078</v>
      </c>
      <c r="C32" s="281">
        <f>('BS Sheet Details'!M$17/1000)-C36</f>
        <v>158243.07549000002</v>
      </c>
      <c r="D32" s="281">
        <f>('BS Sheet Details'!N$17/1000)-D36</f>
        <v>172190.08760999999</v>
      </c>
      <c r="E32" s="281">
        <f>('BS Sheet Details'!O$17/1000)-E36</f>
        <v>177260.00104</v>
      </c>
      <c r="F32" s="281">
        <f>('BS Sheet Details'!P$17/1000)-F36</f>
        <v>164247.49713999999</v>
      </c>
      <c r="G32" s="281"/>
      <c r="H32" s="281"/>
      <c r="I32" s="281"/>
      <c r="J32" s="281"/>
      <c r="K32" s="281"/>
      <c r="L32" s="281"/>
      <c r="M32" s="281"/>
      <c r="N32" s="28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270" customFormat="1" ht="15" customHeight="1" x14ac:dyDescent="0.25">
      <c r="A33" s="1" t="s">
        <v>149</v>
      </c>
      <c r="B33" s="87">
        <f t="shared" ref="B33:M33" si="21">+B9</f>
        <v>4.0000000000000001E-3</v>
      </c>
      <c r="C33" s="87">
        <f t="shared" si="21"/>
        <v>4.0000000000000001E-3</v>
      </c>
      <c r="D33" s="87">
        <f t="shared" si="21"/>
        <v>4.0000000000000001E-3</v>
      </c>
      <c r="E33" s="87">
        <f t="shared" si="21"/>
        <v>7.0000000000000001E-3</v>
      </c>
      <c r="F33" s="87">
        <f t="shared" si="21"/>
        <v>7.0000000000000001E-3</v>
      </c>
      <c r="G33" s="87">
        <f t="shared" si="21"/>
        <v>0.02</v>
      </c>
      <c r="H33" s="87">
        <f t="shared" si="21"/>
        <v>2.5000000000000001E-2</v>
      </c>
      <c r="I33" s="87">
        <f t="shared" si="21"/>
        <v>2.5000000000000001E-2</v>
      </c>
      <c r="J33" s="87">
        <f t="shared" si="21"/>
        <v>2.9000000000000001E-2</v>
      </c>
      <c r="K33" s="87">
        <f t="shared" si="21"/>
        <v>3.4000000000000002E-2</v>
      </c>
      <c r="L33" s="87">
        <f t="shared" si="21"/>
        <v>3.4000000000000002E-2</v>
      </c>
      <c r="M33" s="87">
        <f t="shared" si="21"/>
        <v>3.4000000000000002E-2</v>
      </c>
      <c r="N33" s="286"/>
      <c r="O33" s="287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270" customFormat="1" ht="15" customHeight="1" x14ac:dyDescent="0.25">
      <c r="A34" s="1" t="s">
        <v>7</v>
      </c>
      <c r="B34" s="265">
        <f t="shared" ref="B34:M34" si="22">(B32*B33)/12</f>
        <v>53.959656926666668</v>
      </c>
      <c r="C34" s="265">
        <f t="shared" si="22"/>
        <v>52.747691830000008</v>
      </c>
      <c r="D34" s="265">
        <f t="shared" si="22"/>
        <v>57.396695869999995</v>
      </c>
      <c r="E34" s="265">
        <f t="shared" si="22"/>
        <v>103.40166727333333</v>
      </c>
      <c r="F34" s="265">
        <f t="shared" si="22"/>
        <v>95.811039998333328</v>
      </c>
      <c r="G34" s="265">
        <f t="shared" si="22"/>
        <v>0</v>
      </c>
      <c r="H34" s="265">
        <f t="shared" si="22"/>
        <v>0</v>
      </c>
      <c r="I34" s="265">
        <f t="shared" si="22"/>
        <v>0</v>
      </c>
      <c r="J34" s="265">
        <f t="shared" si="22"/>
        <v>0</v>
      </c>
      <c r="K34" s="265">
        <f t="shared" si="22"/>
        <v>0</v>
      </c>
      <c r="L34" s="265">
        <f t="shared" si="22"/>
        <v>0</v>
      </c>
      <c r="M34" s="265">
        <f t="shared" si="22"/>
        <v>0</v>
      </c>
      <c r="N34" s="265">
        <f>SUM(B34:M34)</f>
        <v>363.31675189833334</v>
      </c>
      <c r="O34"/>
      <c r="P34"/>
      <c r="Q34" s="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270" customFormat="1" ht="15" customHeight="1" x14ac:dyDescent="0.25">
      <c r="A35" t="s">
        <v>384</v>
      </c>
      <c r="B35"/>
      <c r="C35"/>
      <c r="D35"/>
      <c r="E35"/>
      <c r="F35"/>
      <c r="G35"/>
      <c r="H35"/>
      <c r="I35"/>
      <c r="J35"/>
      <c r="K35"/>
      <c r="L35"/>
      <c r="M35"/>
      <c r="N35" s="6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270" customFormat="1" ht="15" customHeight="1" x14ac:dyDescent="0.25">
      <c r="A36" s="1" t="s">
        <v>290</v>
      </c>
      <c r="B36" s="281">
        <v>100000</v>
      </c>
      <c r="C36" s="281">
        <v>100000</v>
      </c>
      <c r="D36" s="281">
        <v>100000</v>
      </c>
      <c r="E36" s="281">
        <v>100000</v>
      </c>
      <c r="F36" s="281">
        <v>100000</v>
      </c>
      <c r="G36" s="281">
        <v>118265.64174000002</v>
      </c>
      <c r="H36" s="281">
        <v>133760.05127999972</v>
      </c>
      <c r="I36" s="281">
        <v>124327.29631999985</v>
      </c>
      <c r="J36" s="281">
        <v>141357.49864999991</v>
      </c>
      <c r="K36" s="281">
        <v>150257.85579999955</v>
      </c>
      <c r="L36" s="281">
        <v>158196.75796999983</v>
      </c>
      <c r="M36" s="281">
        <v>174307.57298999961</v>
      </c>
      <c r="N36" s="281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270" customFormat="1" ht="15" customHeight="1" x14ac:dyDescent="0.25">
      <c r="A37" s="1" t="s">
        <v>149</v>
      </c>
      <c r="B37" s="87">
        <f>+B13</f>
        <v>8.9999999999999993E-3</v>
      </c>
      <c r="C37" s="87">
        <f t="shared" ref="C37:M37" si="23">+C13</f>
        <v>8.9999999999999993E-3</v>
      </c>
      <c r="D37" s="87">
        <f t="shared" si="23"/>
        <v>8.9999999999999993E-3</v>
      </c>
      <c r="E37" s="87">
        <f t="shared" si="23"/>
        <v>1.2999999999999999E-2</v>
      </c>
      <c r="F37" s="87">
        <f t="shared" si="23"/>
        <v>1.2999999999999999E-2</v>
      </c>
      <c r="G37" s="87">
        <f t="shared" si="23"/>
        <v>1.7999999999999999E-2</v>
      </c>
      <c r="H37" s="87">
        <f t="shared" si="23"/>
        <v>2.7E-2</v>
      </c>
      <c r="I37" s="87">
        <f t="shared" si="23"/>
        <v>2.7E-2</v>
      </c>
      <c r="J37" s="87">
        <f t="shared" si="23"/>
        <v>3.9E-2</v>
      </c>
      <c r="K37" s="87">
        <f t="shared" si="23"/>
        <v>4.3999999999999997E-2</v>
      </c>
      <c r="L37" s="87">
        <f t="shared" si="23"/>
        <v>4.3999999999999997E-2</v>
      </c>
      <c r="M37" s="87">
        <f t="shared" si="23"/>
        <v>4.3999999999999997E-2</v>
      </c>
      <c r="N37" s="286"/>
      <c r="O37" s="28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70" customFormat="1" ht="15" customHeight="1" x14ac:dyDescent="0.25">
      <c r="A38" s="1" t="s">
        <v>7</v>
      </c>
      <c r="B38" s="265">
        <f>(B36*B37)/12</f>
        <v>74.999999999999986</v>
      </c>
      <c r="C38" s="265">
        <f t="shared" ref="C38:M38" si="24">(C36*C37)/12</f>
        <v>74.999999999999986</v>
      </c>
      <c r="D38" s="265">
        <f t="shared" si="24"/>
        <v>74.999999999999986</v>
      </c>
      <c r="E38" s="265">
        <f t="shared" si="24"/>
        <v>108.33333333333333</v>
      </c>
      <c r="F38" s="265">
        <f t="shared" si="24"/>
        <v>108.33333333333333</v>
      </c>
      <c r="G38" s="265">
        <f t="shared" si="24"/>
        <v>177.39846261000002</v>
      </c>
      <c r="H38" s="265">
        <f t="shared" si="24"/>
        <v>300.96011537999937</v>
      </c>
      <c r="I38" s="265">
        <f t="shared" si="24"/>
        <v>279.73641671999968</v>
      </c>
      <c r="J38" s="265">
        <f t="shared" si="24"/>
        <v>459.41187061249974</v>
      </c>
      <c r="K38" s="265">
        <f t="shared" si="24"/>
        <v>550.94547126666498</v>
      </c>
      <c r="L38" s="265">
        <f t="shared" si="24"/>
        <v>580.05477922333273</v>
      </c>
      <c r="M38" s="265">
        <f t="shared" si="24"/>
        <v>639.12776762999852</v>
      </c>
      <c r="N38" s="265">
        <f>SUM(B38:M38)</f>
        <v>3429.3015501091622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70" customFormat="1" ht="15" customHeight="1" x14ac:dyDescent="0.25">
      <c r="A39" t="s">
        <v>404</v>
      </c>
      <c r="B39"/>
      <c r="C39"/>
      <c r="D39"/>
      <c r="E39"/>
      <c r="F39"/>
      <c r="G39"/>
      <c r="H39"/>
      <c r="I39"/>
      <c r="J39"/>
      <c r="K39"/>
      <c r="L39"/>
      <c r="M39"/>
      <c r="N39" s="6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270" customFormat="1" ht="15" customHeight="1" x14ac:dyDescent="0.25">
      <c r="A40" s="1" t="s">
        <v>290</v>
      </c>
      <c r="B40" s="6">
        <f t="shared" ref="B40:M40" si="25">+B32+B36</f>
        <v>261878.97078</v>
      </c>
      <c r="C40" s="6">
        <f t="shared" si="25"/>
        <v>258243.07549000002</v>
      </c>
      <c r="D40" s="6">
        <f t="shared" si="25"/>
        <v>272190.08760999999</v>
      </c>
      <c r="E40" s="6">
        <f t="shared" si="25"/>
        <v>277260.00104</v>
      </c>
      <c r="F40" s="6">
        <f t="shared" si="25"/>
        <v>264247.49713999999</v>
      </c>
      <c r="G40" s="6">
        <f t="shared" si="25"/>
        <v>118265.64174000002</v>
      </c>
      <c r="H40" s="6">
        <f t="shared" si="25"/>
        <v>133760.05127999972</v>
      </c>
      <c r="I40" s="6">
        <f t="shared" si="25"/>
        <v>124327.29631999985</v>
      </c>
      <c r="J40" s="6">
        <f t="shared" si="25"/>
        <v>141357.49864999991</v>
      </c>
      <c r="K40" s="6">
        <f t="shared" si="25"/>
        <v>150257.85579999955</v>
      </c>
      <c r="L40" s="6">
        <f t="shared" si="25"/>
        <v>158196.75796999983</v>
      </c>
      <c r="M40" s="6">
        <f t="shared" si="25"/>
        <v>174307.57298999961</v>
      </c>
      <c r="N40" s="6"/>
      <c r="O40"/>
      <c r="P40"/>
      <c r="Q40" s="62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270" customFormat="1" ht="15" customHeight="1" x14ac:dyDescent="0.25">
      <c r="A41" s="1" t="s">
        <v>149</v>
      </c>
      <c r="B41" s="80">
        <f t="shared" ref="B41" si="26">+B42/B40*12</f>
        <v>5.9092789257219171E-3</v>
      </c>
      <c r="C41" s="80">
        <f t="shared" ref="C41" si="27">+C42/C40*12</f>
        <v>5.9361603367342232E-3</v>
      </c>
      <c r="D41" s="80">
        <f t="shared" ref="D41" si="28">+D42/D40*12</f>
        <v>5.836951537766543E-3</v>
      </c>
      <c r="E41" s="80">
        <f t="shared" ref="E41" si="29">+E42/E40*12</f>
        <v>9.1640337508093646E-3</v>
      </c>
      <c r="F41" s="80">
        <f t="shared" ref="F41" si="30">+F42/F40*12</f>
        <v>9.270598611127492E-3</v>
      </c>
      <c r="G41" s="80">
        <f t="shared" ref="G41" si="31">+G42/G40*12</f>
        <v>1.8000000000000002E-2</v>
      </c>
      <c r="H41" s="80">
        <f t="shared" ref="H41" si="32">+H42/H40*12</f>
        <v>2.6999999999999996E-2</v>
      </c>
      <c r="I41" s="80">
        <f t="shared" ref="I41" si="33">+I42/I40*12</f>
        <v>2.7000000000000003E-2</v>
      </c>
      <c r="J41" s="80">
        <f t="shared" ref="J41" si="34">+J42/J40*12</f>
        <v>3.9000000000000007E-2</v>
      </c>
      <c r="K41" s="80">
        <f t="shared" ref="K41" si="35">+K42/K40*12</f>
        <v>4.3999999999999997E-2</v>
      </c>
      <c r="L41" s="80">
        <f t="shared" ref="L41" si="36">+L42/L40*12</f>
        <v>4.3999999999999997E-2</v>
      </c>
      <c r="M41" s="80">
        <f t="shared" ref="M41" si="37">+M42/M40*12</f>
        <v>4.3999999999999997E-2</v>
      </c>
      <c r="N41" s="79"/>
      <c r="O41" t="s">
        <v>91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270" customFormat="1" ht="15" customHeight="1" x14ac:dyDescent="0.25">
      <c r="A42" s="1" t="s">
        <v>7</v>
      </c>
      <c r="B42" s="265">
        <f t="shared" ref="B42:M42" si="38">+B38+B34</f>
        <v>128.95965692666664</v>
      </c>
      <c r="C42" s="265">
        <f t="shared" si="38"/>
        <v>127.74769182999999</v>
      </c>
      <c r="D42" s="265">
        <f t="shared" si="38"/>
        <v>132.39669586999997</v>
      </c>
      <c r="E42" s="265">
        <f t="shared" si="38"/>
        <v>211.73500060666666</v>
      </c>
      <c r="F42" s="265">
        <f t="shared" si="38"/>
        <v>204.14437333166666</v>
      </c>
      <c r="G42" s="265">
        <f t="shared" si="38"/>
        <v>177.39846261000002</v>
      </c>
      <c r="H42" s="265">
        <f t="shared" si="38"/>
        <v>300.96011537999937</v>
      </c>
      <c r="I42" s="265">
        <f t="shared" si="38"/>
        <v>279.73641671999968</v>
      </c>
      <c r="J42" s="265">
        <f t="shared" si="38"/>
        <v>459.41187061249974</v>
      </c>
      <c r="K42" s="265">
        <f t="shared" si="38"/>
        <v>550.94547126666498</v>
      </c>
      <c r="L42" s="265">
        <f t="shared" si="38"/>
        <v>580.05477922333273</v>
      </c>
      <c r="M42" s="265">
        <f t="shared" si="38"/>
        <v>639.12776762999852</v>
      </c>
      <c r="N42" s="265">
        <f>SUM(B42:M42)</f>
        <v>3792.618302007495</v>
      </c>
      <c r="O42" s="7">
        <f>+N42-N18</f>
        <v>-207.38336992933455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270" customFormat="1" ht="15" customHeight="1" x14ac:dyDescent="0.25">
      <c r="A43" s="275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7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</row>
    <row r="44" spans="1:49" s="270" customFormat="1" ht="15" customHeight="1" x14ac:dyDescent="0.25">
      <c r="A44" t="s">
        <v>405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270" customFormat="1" ht="15" customHeight="1" x14ac:dyDescent="0.25">
      <c r="A45" s="1" t="s">
        <v>290</v>
      </c>
      <c r="B45" s="6">
        <f t="shared" ref="B45:M45" si="39">+B40+B27</f>
        <v>831878.97077999997</v>
      </c>
      <c r="C45" s="6">
        <f t="shared" si="39"/>
        <v>828243.07548999996</v>
      </c>
      <c r="D45" s="6">
        <f t="shared" si="39"/>
        <v>842190.08761000005</v>
      </c>
      <c r="E45" s="6">
        <f t="shared" si="39"/>
        <v>847260.00104</v>
      </c>
      <c r="F45" s="6">
        <f t="shared" si="39"/>
        <v>834247.49713999999</v>
      </c>
      <c r="G45" s="6">
        <f t="shared" si="39"/>
        <v>688265.64173999999</v>
      </c>
      <c r="H45" s="6">
        <f t="shared" si="39"/>
        <v>883760.05127999978</v>
      </c>
      <c r="I45" s="6">
        <f t="shared" si="39"/>
        <v>874327.29631999985</v>
      </c>
      <c r="J45" s="6">
        <f t="shared" si="39"/>
        <v>891357.49864999996</v>
      </c>
      <c r="K45" s="6">
        <f t="shared" si="39"/>
        <v>900257.85579999955</v>
      </c>
      <c r="L45" s="6">
        <f t="shared" si="39"/>
        <v>908196.7579699998</v>
      </c>
      <c r="M45" s="6">
        <f t="shared" si="39"/>
        <v>924307.57298999955</v>
      </c>
      <c r="N45" s="6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270" customFormat="1" ht="15" customHeight="1" x14ac:dyDescent="0.25">
      <c r="A46" s="1" t="s">
        <v>149</v>
      </c>
      <c r="B46" s="80">
        <f>+B47/B45*12</f>
        <v>2.9011150336558336E-2</v>
      </c>
      <c r="C46" s="80">
        <f t="shared" ref="C46" si="40">+C47/C45*12</f>
        <v>2.9120946514030001E-2</v>
      </c>
      <c r="D46" s="80">
        <f t="shared" ref="D46" si="41">+D47/D45*12</f>
        <v>2.8704933370855491E-2</v>
      </c>
      <c r="E46" s="80">
        <f t="shared" ref="E46" si="42">+E47/E45*12</f>
        <v>2.9656858551609742E-2</v>
      </c>
      <c r="F46" s="80">
        <f t="shared" ref="F46" si="43">+F47/F45*12</f>
        <v>3.0010257826135929E-2</v>
      </c>
      <c r="G46" s="80">
        <f t="shared" ref="G46" si="44">+G47/G45*12</f>
        <v>3.5909146196573295E-2</v>
      </c>
      <c r="H46" s="80">
        <f t="shared" ref="H46" si="45">+H47/H45*12</f>
        <v>3.8386009115738945E-2</v>
      </c>
      <c r="I46" s="80">
        <f t="shared" ref="I46" si="46">+I47/I45*12</f>
        <v>3.8508848050784375E-2</v>
      </c>
      <c r="J46" s="80">
        <f t="shared" ref="J46" si="47">+J47/J45*12</f>
        <v>4.0192002088510162E-2</v>
      </c>
      <c r="K46" s="80">
        <f t="shared" ref="K46" si="48">+K47/K45*12</f>
        <v>4.1014744183918511E-2</v>
      </c>
      <c r="L46" s="80">
        <f t="shared" ref="L46" si="49">+L47/L45*12</f>
        <v>4.1040839469624293E-2</v>
      </c>
      <c r="M46" s="80">
        <f t="shared" ref="M46" si="50">+M47/M45*12</f>
        <v>4.1092418066741215E-2</v>
      </c>
      <c r="N46" s="80"/>
      <c r="O46" t="s">
        <v>91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270" customFormat="1" ht="15" customHeight="1" x14ac:dyDescent="0.25">
      <c r="A47" s="1" t="s">
        <v>7</v>
      </c>
      <c r="B47" s="265">
        <f t="shared" ref="B47:M47" si="51">+B42+B29</f>
        <v>2011.1471569266666</v>
      </c>
      <c r="C47" s="265">
        <f t="shared" si="51"/>
        <v>2009.9351918299999</v>
      </c>
      <c r="D47" s="265">
        <f t="shared" si="51"/>
        <v>2014.58419587</v>
      </c>
      <c r="E47" s="265">
        <f t="shared" si="51"/>
        <v>2093.9225006066667</v>
      </c>
      <c r="F47" s="265">
        <f t="shared" si="51"/>
        <v>2086.3318733316664</v>
      </c>
      <c r="G47" s="265">
        <f t="shared" si="51"/>
        <v>2059.58596261</v>
      </c>
      <c r="H47" s="265">
        <f t="shared" si="51"/>
        <v>2827.001782046666</v>
      </c>
      <c r="I47" s="265">
        <f t="shared" si="51"/>
        <v>2805.7780833866664</v>
      </c>
      <c r="J47" s="265">
        <f t="shared" si="51"/>
        <v>2985.4535372791661</v>
      </c>
      <c r="K47" s="265">
        <f t="shared" si="51"/>
        <v>3076.9871379333317</v>
      </c>
      <c r="L47" s="265">
        <f t="shared" si="51"/>
        <v>3106.0964458899994</v>
      </c>
      <c r="M47" s="265">
        <f t="shared" si="51"/>
        <v>3165.1694342966648</v>
      </c>
      <c r="N47" s="265">
        <f>SUM(B47:M47)</f>
        <v>30241.99330200749</v>
      </c>
      <c r="O47" s="7">
        <f>+N47-N23</f>
        <v>4252.3388522928835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279" customFormat="1" ht="15" customHeight="1" x14ac:dyDescent="0.25">
      <c r="N48" s="280"/>
    </row>
    <row r="49" spans="1:49" s="270" customFormat="1" ht="15" customHeight="1" x14ac:dyDescent="0.25">
      <c r="A49" s="4" t="s">
        <v>409</v>
      </c>
      <c r="B49" s="4" t="s">
        <v>277</v>
      </c>
      <c r="C49" s="4" t="s">
        <v>278</v>
      </c>
      <c r="D49" s="4" t="s">
        <v>279</v>
      </c>
      <c r="E49" s="4" t="s">
        <v>280</v>
      </c>
      <c r="F49" s="4" t="s">
        <v>281</v>
      </c>
      <c r="G49" s="4" t="s">
        <v>282</v>
      </c>
      <c r="H49" s="4" t="s">
        <v>283</v>
      </c>
      <c r="I49" s="4" t="s">
        <v>284</v>
      </c>
      <c r="J49" s="4" t="s">
        <v>285</v>
      </c>
      <c r="K49" s="4" t="s">
        <v>286</v>
      </c>
      <c r="L49" s="4" t="s">
        <v>287</v>
      </c>
      <c r="M49" s="4" t="s">
        <v>288</v>
      </c>
      <c r="N49" s="265" t="s">
        <v>228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270" customFormat="1" ht="15" customHeight="1" x14ac:dyDescent="0.25">
      <c r="A50" t="s">
        <v>289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270" customFormat="1" ht="15" customHeight="1" x14ac:dyDescent="0.25">
      <c r="A51" s="1" t="s">
        <v>290</v>
      </c>
      <c r="B51" s="298">
        <f>+B27</f>
        <v>570000</v>
      </c>
      <c r="C51" s="298">
        <f t="shared" ref="C51:M51" si="52">+C27</f>
        <v>570000</v>
      </c>
      <c r="D51" s="298">
        <f t="shared" si="52"/>
        <v>570000</v>
      </c>
      <c r="E51" s="298">
        <f t="shared" si="52"/>
        <v>570000</v>
      </c>
      <c r="F51" s="298">
        <f t="shared" si="52"/>
        <v>570000</v>
      </c>
      <c r="G51" s="298">
        <f t="shared" si="52"/>
        <v>570000</v>
      </c>
      <c r="H51" s="298">
        <f t="shared" si="52"/>
        <v>750000</v>
      </c>
      <c r="I51" s="298">
        <f t="shared" si="52"/>
        <v>750000</v>
      </c>
      <c r="J51" s="298">
        <f t="shared" si="52"/>
        <v>750000</v>
      </c>
      <c r="K51" s="298">
        <f t="shared" si="52"/>
        <v>750000</v>
      </c>
      <c r="L51" s="298">
        <f t="shared" si="52"/>
        <v>750000</v>
      </c>
      <c r="M51" s="298">
        <f t="shared" si="52"/>
        <v>750000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270" customFormat="1" ht="15" customHeight="1" x14ac:dyDescent="0.25">
      <c r="A52" s="1" t="s">
        <v>149</v>
      </c>
      <c r="B52" s="289">
        <v>4.0399999999999998E-2</v>
      </c>
      <c r="C52" s="289">
        <v>4.0399999999999998E-2</v>
      </c>
      <c r="D52" s="289">
        <v>4.0399999999999998E-2</v>
      </c>
      <c r="E52" s="289">
        <v>4.0399999999999998E-2</v>
      </c>
      <c r="F52" s="289">
        <v>4.0399999999999998E-2</v>
      </c>
      <c r="G52" s="289">
        <v>4.0399999999999998E-2</v>
      </c>
      <c r="H52" s="289">
        <f>+((570/750)*0.0404)+((180/750)*0.0415)</f>
        <v>4.0663999999999999E-2</v>
      </c>
      <c r="I52" s="289">
        <f t="shared" ref="I52:M52" si="53">+((570/750)*0.0404)+((180/750)*0.0415)</f>
        <v>4.0663999999999999E-2</v>
      </c>
      <c r="J52" s="289">
        <f t="shared" si="53"/>
        <v>4.0663999999999999E-2</v>
      </c>
      <c r="K52" s="289">
        <f t="shared" si="53"/>
        <v>4.0663999999999999E-2</v>
      </c>
      <c r="L52" s="289">
        <f t="shared" si="53"/>
        <v>4.0663999999999999E-2</v>
      </c>
      <c r="M52" s="289">
        <f t="shared" si="53"/>
        <v>4.0663999999999999E-2</v>
      </c>
      <c r="N52" s="189"/>
      <c r="O52" t="s">
        <v>91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270" customFormat="1" ht="15" customHeight="1" x14ac:dyDescent="0.25">
      <c r="A53" s="1" t="s">
        <v>7</v>
      </c>
      <c r="B53" s="265">
        <f t="shared" ref="B53:M53" si="54">(B51*B52)/12</f>
        <v>1919</v>
      </c>
      <c r="C53" s="265">
        <f t="shared" si="54"/>
        <v>1919</v>
      </c>
      <c r="D53" s="265">
        <f t="shared" si="54"/>
        <v>1919</v>
      </c>
      <c r="E53" s="265">
        <f t="shared" si="54"/>
        <v>1919</v>
      </c>
      <c r="F53" s="265">
        <f t="shared" si="54"/>
        <v>1919</v>
      </c>
      <c r="G53" s="265">
        <f t="shared" si="54"/>
        <v>1919</v>
      </c>
      <c r="H53" s="265">
        <f t="shared" si="54"/>
        <v>2541.5</v>
      </c>
      <c r="I53" s="265">
        <f t="shared" si="54"/>
        <v>2541.5</v>
      </c>
      <c r="J53" s="265">
        <f t="shared" si="54"/>
        <v>2541.5</v>
      </c>
      <c r="K53" s="265">
        <f t="shared" si="54"/>
        <v>2541.5</v>
      </c>
      <c r="L53" s="265">
        <f t="shared" si="54"/>
        <v>2541.5</v>
      </c>
      <c r="M53" s="265">
        <f t="shared" si="54"/>
        <v>2541.5</v>
      </c>
      <c r="N53" s="265">
        <f>SUM(B53:M53)</f>
        <v>26763</v>
      </c>
      <c r="O53" s="7">
        <f>+N53-N29</f>
        <v>313.62499999999636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270" customFormat="1" ht="15" customHeight="1" x14ac:dyDescent="0.25">
      <c r="A54" s="273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</row>
    <row r="55" spans="1:49" s="270" customFormat="1" ht="15" customHeight="1" x14ac:dyDescent="0.25">
      <c r="A55" t="s">
        <v>393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70" customFormat="1" ht="15" customHeight="1" x14ac:dyDescent="0.25">
      <c r="A56" s="1" t="s">
        <v>290</v>
      </c>
      <c r="B56" s="302">
        <f>+B32</f>
        <v>161878.97078</v>
      </c>
      <c r="C56" s="302">
        <f t="shared" ref="C56:F56" si="55">+C32</f>
        <v>158243.07549000002</v>
      </c>
      <c r="D56" s="302">
        <f t="shared" si="55"/>
        <v>172190.08760999999</v>
      </c>
      <c r="E56" s="302">
        <f t="shared" si="55"/>
        <v>177260.00104</v>
      </c>
      <c r="F56" s="302">
        <f t="shared" si="55"/>
        <v>164247.49713999999</v>
      </c>
      <c r="G56" s="281"/>
      <c r="H56" s="281"/>
      <c r="I56" s="281"/>
      <c r="J56" s="281"/>
      <c r="K56" s="281"/>
      <c r="L56" s="281"/>
      <c r="M56" s="281"/>
      <c r="N56" s="281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270" customFormat="1" ht="15" customHeight="1" x14ac:dyDescent="0.25">
      <c r="A57" s="1" t="s">
        <v>149</v>
      </c>
      <c r="B57" s="289">
        <v>3.7999999999999999E-2</v>
      </c>
      <c r="C57" s="289">
        <v>3.7999999999999999E-2</v>
      </c>
      <c r="D57" s="289">
        <v>3.7999999999999999E-2</v>
      </c>
      <c r="E57" s="289">
        <v>3.7999999999999999E-2</v>
      </c>
      <c r="F57" s="289">
        <v>3.7999999999999999E-2</v>
      </c>
      <c r="G57" s="289">
        <v>3.7999999999999999E-2</v>
      </c>
      <c r="H57" s="289">
        <v>3.7999999999999999E-2</v>
      </c>
      <c r="I57" s="289">
        <v>3.7999999999999999E-2</v>
      </c>
      <c r="J57" s="289">
        <v>3.7999999999999999E-2</v>
      </c>
      <c r="K57" s="289">
        <v>3.7999999999999999E-2</v>
      </c>
      <c r="L57" s="289">
        <v>3.7999999999999999E-2</v>
      </c>
      <c r="M57" s="289">
        <v>3.7999999999999999E-2</v>
      </c>
      <c r="N57" s="286"/>
      <c r="O57" s="28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270" customFormat="1" ht="15" customHeight="1" x14ac:dyDescent="0.25">
      <c r="A58" s="1" t="s">
        <v>7</v>
      </c>
      <c r="B58" s="265">
        <f t="shared" ref="B58:M58" si="56">(B56*B57)/12</f>
        <v>512.6167408033333</v>
      </c>
      <c r="C58" s="265">
        <f t="shared" si="56"/>
        <v>501.10307238500008</v>
      </c>
      <c r="D58" s="265">
        <f t="shared" si="56"/>
        <v>545.26861076499995</v>
      </c>
      <c r="E58" s="265">
        <f t="shared" si="56"/>
        <v>561.32333662666667</v>
      </c>
      <c r="F58" s="265">
        <f t="shared" si="56"/>
        <v>520.11707427666659</v>
      </c>
      <c r="G58" s="265">
        <f t="shared" si="56"/>
        <v>0</v>
      </c>
      <c r="H58" s="265">
        <f t="shared" si="56"/>
        <v>0</v>
      </c>
      <c r="I58" s="265">
        <f t="shared" si="56"/>
        <v>0</v>
      </c>
      <c r="J58" s="265">
        <f t="shared" si="56"/>
        <v>0</v>
      </c>
      <c r="K58" s="265">
        <f t="shared" si="56"/>
        <v>0</v>
      </c>
      <c r="L58" s="265">
        <f t="shared" si="56"/>
        <v>0</v>
      </c>
      <c r="M58" s="265">
        <f t="shared" si="56"/>
        <v>0</v>
      </c>
      <c r="N58" s="265">
        <f>SUM(B58:M58)</f>
        <v>2640.4288348566665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270" customFormat="1" ht="15" customHeight="1" x14ac:dyDescent="0.25">
      <c r="A59" t="s">
        <v>384</v>
      </c>
      <c r="B59"/>
      <c r="C59"/>
      <c r="D59"/>
      <c r="E59"/>
      <c r="F59"/>
      <c r="G59"/>
      <c r="H59"/>
      <c r="I59"/>
      <c r="J59"/>
      <c r="K59"/>
      <c r="L59"/>
      <c r="M59"/>
      <c r="N59" s="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270" customFormat="1" ht="15" customHeight="1" x14ac:dyDescent="0.25">
      <c r="A60" s="1" t="s">
        <v>290</v>
      </c>
      <c r="B60" s="302">
        <f>+B36</f>
        <v>100000</v>
      </c>
      <c r="C60" s="302">
        <f t="shared" ref="C60:M60" si="57">+C36</f>
        <v>100000</v>
      </c>
      <c r="D60" s="302">
        <f t="shared" si="57"/>
        <v>100000</v>
      </c>
      <c r="E60" s="302">
        <f t="shared" si="57"/>
        <v>100000</v>
      </c>
      <c r="F60" s="302">
        <f t="shared" si="57"/>
        <v>100000</v>
      </c>
      <c r="G60" s="302">
        <f t="shared" si="57"/>
        <v>118265.64174000002</v>
      </c>
      <c r="H60" s="302">
        <f t="shared" si="57"/>
        <v>133760.05127999972</v>
      </c>
      <c r="I60" s="302">
        <f t="shared" si="57"/>
        <v>124327.29631999985</v>
      </c>
      <c r="J60" s="302">
        <f t="shared" si="57"/>
        <v>141357.49864999991</v>
      </c>
      <c r="K60" s="302">
        <f t="shared" si="57"/>
        <v>150257.85579999955</v>
      </c>
      <c r="L60" s="302">
        <f t="shared" si="57"/>
        <v>158196.75796999983</v>
      </c>
      <c r="M60" s="302">
        <f t="shared" si="57"/>
        <v>174307.57298999961</v>
      </c>
      <c r="N60" s="281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270" customFormat="1" ht="15" customHeight="1" x14ac:dyDescent="0.25">
      <c r="A61" s="1" t="s">
        <v>149</v>
      </c>
      <c r="B61" s="289">
        <v>3.7999999999999999E-2</v>
      </c>
      <c r="C61" s="289">
        <v>3.7999999999999999E-2</v>
      </c>
      <c r="D61" s="289">
        <v>3.7999999999999999E-2</v>
      </c>
      <c r="E61" s="289">
        <v>3.7999999999999999E-2</v>
      </c>
      <c r="F61" s="289">
        <v>3.7999999999999999E-2</v>
      </c>
      <c r="G61" s="289">
        <v>3.7999999999999999E-2</v>
      </c>
      <c r="H61" s="289">
        <v>3.7999999999999999E-2</v>
      </c>
      <c r="I61" s="289">
        <v>3.7999999999999999E-2</v>
      </c>
      <c r="J61" s="289">
        <v>3.7999999999999999E-2</v>
      </c>
      <c r="K61" s="289">
        <v>3.7999999999999999E-2</v>
      </c>
      <c r="L61" s="289">
        <v>3.7999999999999999E-2</v>
      </c>
      <c r="M61" s="289">
        <v>3.7999999999999999E-2</v>
      </c>
      <c r="N61" s="286"/>
      <c r="O61" s="287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70" customFormat="1" ht="15" customHeight="1" x14ac:dyDescent="0.25">
      <c r="A62" s="1" t="s">
        <v>7</v>
      </c>
      <c r="B62" s="265">
        <f>(B60*B61)/12</f>
        <v>316.66666666666669</v>
      </c>
      <c r="C62" s="265">
        <f t="shared" ref="C62:M62" si="58">(C60*C61)/12</f>
        <v>316.66666666666669</v>
      </c>
      <c r="D62" s="265">
        <f t="shared" si="58"/>
        <v>316.66666666666669</v>
      </c>
      <c r="E62" s="265">
        <f t="shared" si="58"/>
        <v>316.66666666666669</v>
      </c>
      <c r="F62" s="265">
        <f t="shared" si="58"/>
        <v>316.66666666666669</v>
      </c>
      <c r="G62" s="265">
        <f t="shared" si="58"/>
        <v>374.50786551000004</v>
      </c>
      <c r="H62" s="265">
        <f t="shared" si="58"/>
        <v>423.57349571999913</v>
      </c>
      <c r="I62" s="265">
        <f t="shared" si="58"/>
        <v>393.70310501333284</v>
      </c>
      <c r="J62" s="265">
        <f t="shared" si="58"/>
        <v>447.63207905833298</v>
      </c>
      <c r="K62" s="265">
        <f t="shared" si="58"/>
        <v>475.81654336666526</v>
      </c>
      <c r="L62" s="265">
        <f t="shared" si="58"/>
        <v>500.95640023833283</v>
      </c>
      <c r="M62" s="265">
        <f t="shared" si="58"/>
        <v>551.97398113499878</v>
      </c>
      <c r="N62" s="265">
        <f>SUM(B62:M62)</f>
        <v>4751.4968033749965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270" customFormat="1" ht="15" customHeight="1" x14ac:dyDescent="0.25">
      <c r="A63" t="s">
        <v>404</v>
      </c>
      <c r="B63"/>
      <c r="C63"/>
      <c r="D63"/>
      <c r="E63"/>
      <c r="F63"/>
      <c r="G63"/>
      <c r="H63"/>
      <c r="I63"/>
      <c r="J63"/>
      <c r="K63"/>
      <c r="L63"/>
      <c r="M63"/>
      <c r="N63" s="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270" customFormat="1" ht="15" customHeight="1" x14ac:dyDescent="0.25">
      <c r="A64" s="1" t="s">
        <v>290</v>
      </c>
      <c r="B64" s="6">
        <f t="shared" ref="B64:M64" si="59">+B56+B60</f>
        <v>261878.97078</v>
      </c>
      <c r="C64" s="6">
        <f t="shared" si="59"/>
        <v>258243.07549000002</v>
      </c>
      <c r="D64" s="6">
        <f t="shared" si="59"/>
        <v>272190.08760999999</v>
      </c>
      <c r="E64" s="6">
        <f t="shared" si="59"/>
        <v>277260.00104</v>
      </c>
      <c r="F64" s="6">
        <f t="shared" si="59"/>
        <v>264247.49713999999</v>
      </c>
      <c r="G64" s="6">
        <f t="shared" si="59"/>
        <v>118265.64174000002</v>
      </c>
      <c r="H64" s="6">
        <f t="shared" si="59"/>
        <v>133760.05127999972</v>
      </c>
      <c r="I64" s="6">
        <f t="shared" si="59"/>
        <v>124327.29631999985</v>
      </c>
      <c r="J64" s="6">
        <f t="shared" si="59"/>
        <v>141357.49864999991</v>
      </c>
      <c r="K64" s="6">
        <f t="shared" si="59"/>
        <v>150257.85579999955</v>
      </c>
      <c r="L64" s="6">
        <f t="shared" si="59"/>
        <v>158196.75796999983</v>
      </c>
      <c r="M64" s="6">
        <f t="shared" si="59"/>
        <v>174307.57298999961</v>
      </c>
      <c r="N64" s="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270" customFormat="1" ht="15" customHeight="1" x14ac:dyDescent="0.25">
      <c r="A65" s="1" t="s">
        <v>149</v>
      </c>
      <c r="B65" s="80">
        <f t="shared" ref="B65" si="60">+B66/B64*12</f>
        <v>3.7999999999999992E-2</v>
      </c>
      <c r="C65" s="80">
        <f t="shared" ref="C65" si="61">+C66/C64*12</f>
        <v>3.8000000000000006E-2</v>
      </c>
      <c r="D65" s="80">
        <f t="shared" ref="D65" si="62">+D66/D64*12</f>
        <v>3.8000000000000006E-2</v>
      </c>
      <c r="E65" s="80">
        <f t="shared" ref="E65" si="63">+E66/E64*12</f>
        <v>3.7999999999999999E-2</v>
      </c>
      <c r="F65" s="80">
        <f t="shared" ref="F65" si="64">+F66/F64*12</f>
        <v>3.7999999999999992E-2</v>
      </c>
      <c r="G65" s="80">
        <f t="shared" ref="G65" si="65">+G66/G64*12</f>
        <v>3.7999999999999999E-2</v>
      </c>
      <c r="H65" s="80">
        <f t="shared" ref="H65" si="66">+H66/H64*12</f>
        <v>3.7999999999999999E-2</v>
      </c>
      <c r="I65" s="80">
        <f t="shared" ref="I65" si="67">+I66/I64*12</f>
        <v>3.7999999999999999E-2</v>
      </c>
      <c r="J65" s="80">
        <f t="shared" ref="J65" si="68">+J66/J64*12</f>
        <v>3.7999999999999992E-2</v>
      </c>
      <c r="K65" s="80">
        <f t="shared" ref="K65" si="69">+K66/K64*12</f>
        <v>3.7999999999999999E-2</v>
      </c>
      <c r="L65" s="80">
        <f t="shared" ref="L65" si="70">+L66/L64*12</f>
        <v>3.8000000000000006E-2</v>
      </c>
      <c r="M65" s="80">
        <f t="shared" ref="M65" si="71">+M66/M64*12</f>
        <v>3.7999999999999999E-2</v>
      </c>
      <c r="N65" s="79"/>
      <c r="O65" t="s">
        <v>91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270" customFormat="1" ht="15" customHeight="1" x14ac:dyDescent="0.25">
      <c r="A66" s="1" t="s">
        <v>7</v>
      </c>
      <c r="B66" s="265">
        <f t="shared" ref="B66:M66" si="72">+B62+B58</f>
        <v>829.28340746999993</v>
      </c>
      <c r="C66" s="265">
        <f t="shared" si="72"/>
        <v>817.76973905166676</v>
      </c>
      <c r="D66" s="265">
        <f t="shared" si="72"/>
        <v>861.93527743166669</v>
      </c>
      <c r="E66" s="265">
        <f t="shared" si="72"/>
        <v>877.9900032933333</v>
      </c>
      <c r="F66" s="265">
        <f t="shared" si="72"/>
        <v>836.78374094333321</v>
      </c>
      <c r="G66" s="265">
        <f t="shared" si="72"/>
        <v>374.50786551000004</v>
      </c>
      <c r="H66" s="265">
        <f t="shared" si="72"/>
        <v>423.57349571999913</v>
      </c>
      <c r="I66" s="265">
        <f t="shared" si="72"/>
        <v>393.70310501333284</v>
      </c>
      <c r="J66" s="265">
        <f t="shared" si="72"/>
        <v>447.63207905833298</v>
      </c>
      <c r="K66" s="265">
        <f t="shared" si="72"/>
        <v>475.81654336666526</v>
      </c>
      <c r="L66" s="265">
        <f t="shared" si="72"/>
        <v>500.95640023833283</v>
      </c>
      <c r="M66" s="265">
        <f t="shared" si="72"/>
        <v>551.97398113499878</v>
      </c>
      <c r="N66" s="265">
        <f>SUM(B66:M66)</f>
        <v>7391.9256382316626</v>
      </c>
      <c r="O66" s="7">
        <f>+N66-N42</f>
        <v>3599.3073362241676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270" customFormat="1" ht="15" customHeight="1" x14ac:dyDescent="0.25">
      <c r="A67" s="275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7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</row>
    <row r="68" spans="1:49" s="270" customFormat="1" ht="15" customHeight="1" x14ac:dyDescent="0.25">
      <c r="A68" t="s">
        <v>405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270" customFormat="1" ht="15" customHeight="1" x14ac:dyDescent="0.25">
      <c r="A69" s="1" t="s">
        <v>290</v>
      </c>
      <c r="B69" s="6">
        <f t="shared" ref="B69:M69" si="73">+B64+B51</f>
        <v>831878.97077999997</v>
      </c>
      <c r="C69" s="6">
        <f t="shared" si="73"/>
        <v>828243.07548999996</v>
      </c>
      <c r="D69" s="6">
        <f t="shared" si="73"/>
        <v>842190.08761000005</v>
      </c>
      <c r="E69" s="6">
        <f t="shared" si="73"/>
        <v>847260.00104</v>
      </c>
      <c r="F69" s="6">
        <f t="shared" si="73"/>
        <v>834247.49713999999</v>
      </c>
      <c r="G69" s="6">
        <f t="shared" si="73"/>
        <v>688265.64173999999</v>
      </c>
      <c r="H69" s="6">
        <f t="shared" si="73"/>
        <v>883760.05127999978</v>
      </c>
      <c r="I69" s="6">
        <f t="shared" si="73"/>
        <v>874327.29631999985</v>
      </c>
      <c r="J69" s="6">
        <f t="shared" si="73"/>
        <v>891357.49864999996</v>
      </c>
      <c r="K69" s="6">
        <f t="shared" si="73"/>
        <v>900257.85579999955</v>
      </c>
      <c r="L69" s="6">
        <f t="shared" si="73"/>
        <v>908196.7579699998</v>
      </c>
      <c r="M69" s="6">
        <f t="shared" si="73"/>
        <v>924307.57298999955</v>
      </c>
      <c r="N69" s="6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270" customFormat="1" ht="15" customHeight="1" x14ac:dyDescent="0.25">
      <c r="A70" s="1" t="s">
        <v>149</v>
      </c>
      <c r="B70" s="80">
        <f>+B71/B69*12</f>
        <v>3.964446998668246E-2</v>
      </c>
      <c r="C70" s="80">
        <f t="shared" ref="C70" si="74">+C71/C69*12</f>
        <v>3.9651689027633191E-2</v>
      </c>
      <c r="D70" s="80">
        <f t="shared" ref="D70" si="75">+D71/D69*12</f>
        <v>3.962433638216066E-2</v>
      </c>
      <c r="E70" s="80">
        <f t="shared" ref="E70" si="76">+E71/E69*12</f>
        <v>3.9614616526592546E-2</v>
      </c>
      <c r="F70" s="80">
        <f t="shared" ref="F70" si="77">+F71/F69*12</f>
        <v>3.9639801143773079E-2</v>
      </c>
      <c r="G70" s="80">
        <f t="shared" ref="G70" si="78">+G71/G69*12</f>
        <v>3.9987604664590795E-2</v>
      </c>
      <c r="H70" s="80">
        <f t="shared" ref="H70" si="79">+H71/H69*12</f>
        <v>4.0260794654732562E-2</v>
      </c>
      <c r="I70" s="80">
        <f t="shared" ref="I70" si="80">+I71/I69*12</f>
        <v>4.0285185431599223E-2</v>
      </c>
      <c r="J70" s="80">
        <f t="shared" ref="J70" si="81">+J71/J69*12</f>
        <v>4.0241524868558413E-2</v>
      </c>
      <c r="K70" s="80">
        <f t="shared" ref="K70" si="82">+K71/K69*12</f>
        <v>4.0219364137871937E-2</v>
      </c>
      <c r="L70" s="80">
        <f t="shared" ref="L70" si="83">+L71/L69*12</f>
        <v>4.0199963810117451E-2</v>
      </c>
      <c r="M70" s="80">
        <f t="shared" ref="M70" si="84">+M71/M69*12</f>
        <v>4.0161618121916667E-2</v>
      </c>
      <c r="N70" s="80"/>
      <c r="O70" t="s">
        <v>91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270" customFormat="1" ht="15" customHeight="1" x14ac:dyDescent="0.25">
      <c r="A71" s="1" t="s">
        <v>7</v>
      </c>
      <c r="B71" s="265">
        <f t="shared" ref="B71:M71" si="85">+B66+B53</f>
        <v>2748.2834074699999</v>
      </c>
      <c r="C71" s="265">
        <f t="shared" si="85"/>
        <v>2736.7697390516669</v>
      </c>
      <c r="D71" s="265">
        <f t="shared" si="85"/>
        <v>2780.9352774316667</v>
      </c>
      <c r="E71" s="265">
        <f t="shared" si="85"/>
        <v>2796.9900032933333</v>
      </c>
      <c r="F71" s="265">
        <f t="shared" si="85"/>
        <v>2755.7837409433332</v>
      </c>
      <c r="G71" s="265">
        <f t="shared" si="85"/>
        <v>2293.5078655100001</v>
      </c>
      <c r="H71" s="265">
        <f t="shared" si="85"/>
        <v>2965.0734957199993</v>
      </c>
      <c r="I71" s="265">
        <f t="shared" si="85"/>
        <v>2935.2031050133328</v>
      </c>
      <c r="J71" s="265">
        <f t="shared" si="85"/>
        <v>2989.1320790583331</v>
      </c>
      <c r="K71" s="265">
        <f t="shared" si="85"/>
        <v>3017.3165433666654</v>
      </c>
      <c r="L71" s="265">
        <f t="shared" si="85"/>
        <v>3042.4564002383327</v>
      </c>
      <c r="M71" s="265">
        <f t="shared" si="85"/>
        <v>3093.4739811349987</v>
      </c>
      <c r="N71" s="265">
        <f>SUM(B71:M71)</f>
        <v>34154.925638231667</v>
      </c>
      <c r="O71" s="7">
        <f>+N71-N47</f>
        <v>3912.9323362241776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ht="14.25" customHeight="1" x14ac:dyDescent="0.25">
      <c r="A72" s="279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80"/>
      <c r="O72" s="279"/>
    </row>
    <row r="73" spans="1:49" ht="15" customHeight="1" x14ac:dyDescent="0.25">
      <c r="A73" s="4" t="s">
        <v>410</v>
      </c>
      <c r="B73" s="4" t="s">
        <v>277</v>
      </c>
      <c r="C73" s="4" t="s">
        <v>278</v>
      </c>
      <c r="D73" s="4" t="s">
        <v>279</v>
      </c>
      <c r="E73" s="4" t="s">
        <v>280</v>
      </c>
      <c r="F73" s="4" t="s">
        <v>281</v>
      </c>
      <c r="G73" s="4" t="s">
        <v>282</v>
      </c>
      <c r="H73" s="4" t="s">
        <v>283</v>
      </c>
      <c r="I73" s="4" t="s">
        <v>284</v>
      </c>
      <c r="J73" s="4" t="s">
        <v>285</v>
      </c>
      <c r="K73" s="4" t="s">
        <v>286</v>
      </c>
      <c r="L73" s="4" t="s">
        <v>287</v>
      </c>
      <c r="M73" s="4" t="s">
        <v>288</v>
      </c>
      <c r="N73" s="265" t="s">
        <v>228</v>
      </c>
    </row>
    <row r="74" spans="1:49" ht="15" customHeight="1" x14ac:dyDescent="0.25">
      <c r="A74" t="s">
        <v>289</v>
      </c>
      <c r="N74"/>
    </row>
    <row r="75" spans="1:49" ht="15" customHeight="1" x14ac:dyDescent="0.25">
      <c r="A75" s="1" t="s">
        <v>290</v>
      </c>
      <c r="B75" s="298">
        <f>+B27</f>
        <v>570000</v>
      </c>
      <c r="C75" s="298">
        <f t="shared" ref="C75:M75" si="86">+C27</f>
        <v>570000</v>
      </c>
      <c r="D75" s="298">
        <f t="shared" si="86"/>
        <v>570000</v>
      </c>
      <c r="E75" s="298">
        <f t="shared" si="86"/>
        <v>570000</v>
      </c>
      <c r="F75" s="298">
        <f t="shared" si="86"/>
        <v>570000</v>
      </c>
      <c r="G75" s="298">
        <f t="shared" si="86"/>
        <v>570000</v>
      </c>
      <c r="H75" s="298">
        <f t="shared" si="86"/>
        <v>750000</v>
      </c>
      <c r="I75" s="298">
        <f t="shared" si="86"/>
        <v>750000</v>
      </c>
      <c r="J75" s="298">
        <f t="shared" si="86"/>
        <v>750000</v>
      </c>
      <c r="K75" s="298">
        <f t="shared" si="86"/>
        <v>750000</v>
      </c>
      <c r="L75" s="298">
        <f t="shared" si="86"/>
        <v>750000</v>
      </c>
      <c r="M75" s="298">
        <f t="shared" si="86"/>
        <v>750000</v>
      </c>
      <c r="N75"/>
    </row>
    <row r="76" spans="1:49" ht="15" customHeight="1" x14ac:dyDescent="0.25">
      <c r="A76" s="1" t="s">
        <v>149</v>
      </c>
      <c r="B76" s="290">
        <f>+B52</f>
        <v>4.0399999999999998E-2</v>
      </c>
      <c r="C76" s="290">
        <f t="shared" ref="C76:G76" si="87">+C52</f>
        <v>4.0399999999999998E-2</v>
      </c>
      <c r="D76" s="290">
        <f t="shared" si="87"/>
        <v>4.0399999999999998E-2</v>
      </c>
      <c r="E76" s="290">
        <f t="shared" si="87"/>
        <v>4.0399999999999998E-2</v>
      </c>
      <c r="F76" s="290">
        <f t="shared" si="87"/>
        <v>4.0399999999999998E-2</v>
      </c>
      <c r="G76" s="290">
        <f t="shared" si="87"/>
        <v>4.0399999999999998E-2</v>
      </c>
      <c r="H76" s="289">
        <v>4.4999999999999998E-2</v>
      </c>
      <c r="I76" s="289">
        <v>4.4999999999999998E-2</v>
      </c>
      <c r="J76" s="289">
        <v>4.4999999999999998E-2</v>
      </c>
      <c r="K76" s="289">
        <v>4.4999999999999998E-2</v>
      </c>
      <c r="L76" s="289">
        <v>4.4999999999999998E-2</v>
      </c>
      <c r="M76" s="289">
        <v>4.4999999999999998E-2</v>
      </c>
      <c r="N76" s="189"/>
      <c r="O76" t="s">
        <v>91</v>
      </c>
    </row>
    <row r="77" spans="1:49" ht="15" customHeight="1" x14ac:dyDescent="0.25">
      <c r="A77" s="1" t="s">
        <v>7</v>
      </c>
      <c r="B77" s="265">
        <f t="shared" ref="B77:M77" si="88">(B75*B76)/12</f>
        <v>1919</v>
      </c>
      <c r="C77" s="265">
        <f t="shared" si="88"/>
        <v>1919</v>
      </c>
      <c r="D77" s="265">
        <f t="shared" si="88"/>
        <v>1919</v>
      </c>
      <c r="E77" s="265">
        <f t="shared" si="88"/>
        <v>1919</v>
      </c>
      <c r="F77" s="265">
        <f t="shared" si="88"/>
        <v>1919</v>
      </c>
      <c r="G77" s="265">
        <f t="shared" si="88"/>
        <v>1919</v>
      </c>
      <c r="H77" s="265">
        <f t="shared" si="88"/>
        <v>2812.5</v>
      </c>
      <c r="I77" s="265">
        <f t="shared" si="88"/>
        <v>2812.5</v>
      </c>
      <c r="J77" s="265">
        <f t="shared" si="88"/>
        <v>2812.5</v>
      </c>
      <c r="K77" s="265">
        <f t="shared" si="88"/>
        <v>2812.5</v>
      </c>
      <c r="L77" s="265">
        <f t="shared" si="88"/>
        <v>2812.5</v>
      </c>
      <c r="M77" s="265">
        <f t="shared" si="88"/>
        <v>2812.5</v>
      </c>
      <c r="N77" s="265">
        <f>SUM(B77:M77)</f>
        <v>28389</v>
      </c>
      <c r="O77" s="7">
        <f>+N77-N53</f>
        <v>1626</v>
      </c>
    </row>
    <row r="78" spans="1:49" ht="15" customHeight="1" x14ac:dyDescent="0.25">
      <c r="A78" s="273"/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3"/>
    </row>
    <row r="79" spans="1:49" ht="15" customHeight="1" x14ac:dyDescent="0.25">
      <c r="A79" t="s">
        <v>393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49" s="270" customFormat="1" ht="15" customHeight="1" x14ac:dyDescent="0.25">
      <c r="A80" s="1" t="s">
        <v>290</v>
      </c>
      <c r="B80" s="302">
        <f>+B32</f>
        <v>161878.97078</v>
      </c>
      <c r="C80" s="302">
        <f t="shared" ref="C80:F80" si="89">+C32</f>
        <v>158243.07549000002</v>
      </c>
      <c r="D80" s="302">
        <f t="shared" si="89"/>
        <v>172190.08760999999</v>
      </c>
      <c r="E80" s="302">
        <f t="shared" si="89"/>
        <v>177260.00104</v>
      </c>
      <c r="F80" s="302">
        <f t="shared" si="89"/>
        <v>164247.49713999999</v>
      </c>
      <c r="G80" s="281"/>
      <c r="H80" s="281"/>
      <c r="I80" s="281"/>
      <c r="J80" s="281"/>
      <c r="K80" s="281"/>
      <c r="L80" s="281"/>
      <c r="M80" s="281"/>
      <c r="N80" s="281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1:17" ht="15" customHeight="1" x14ac:dyDescent="0.25">
      <c r="A81" s="1" t="s">
        <v>149</v>
      </c>
      <c r="B81" s="289">
        <v>3.7999999999999999E-2</v>
      </c>
      <c r="C81" s="289">
        <v>3.7999999999999999E-2</v>
      </c>
      <c r="D81" s="289">
        <v>3.7999999999999999E-2</v>
      </c>
      <c r="E81" s="289">
        <v>3.7999999999999999E-2</v>
      </c>
      <c r="F81" s="289">
        <v>3.7999999999999999E-2</v>
      </c>
      <c r="G81" s="289"/>
      <c r="H81" s="289"/>
      <c r="I81" s="289"/>
      <c r="J81" s="289"/>
      <c r="K81" s="289"/>
      <c r="L81" s="289"/>
      <c r="M81" s="289"/>
      <c r="N81" s="286"/>
      <c r="O81" s="287"/>
    </row>
    <row r="82" spans="1:17" ht="15" customHeight="1" x14ac:dyDescent="0.25">
      <c r="A82" s="1" t="s">
        <v>7</v>
      </c>
      <c r="B82" s="265">
        <f t="shared" ref="B82:M82" si="90">(B80*B81)/12</f>
        <v>512.6167408033333</v>
      </c>
      <c r="C82" s="265">
        <f t="shared" si="90"/>
        <v>501.10307238500008</v>
      </c>
      <c r="D82" s="265">
        <f t="shared" si="90"/>
        <v>545.26861076499995</v>
      </c>
      <c r="E82" s="265">
        <f t="shared" si="90"/>
        <v>561.32333662666667</v>
      </c>
      <c r="F82" s="265">
        <f t="shared" si="90"/>
        <v>520.11707427666659</v>
      </c>
      <c r="G82" s="265">
        <f t="shared" si="90"/>
        <v>0</v>
      </c>
      <c r="H82" s="265">
        <f t="shared" si="90"/>
        <v>0</v>
      </c>
      <c r="I82" s="265">
        <f t="shared" si="90"/>
        <v>0</v>
      </c>
      <c r="J82" s="265">
        <f t="shared" si="90"/>
        <v>0</v>
      </c>
      <c r="K82" s="265">
        <f t="shared" si="90"/>
        <v>0</v>
      </c>
      <c r="L82" s="265">
        <f t="shared" si="90"/>
        <v>0</v>
      </c>
      <c r="M82" s="265">
        <f t="shared" si="90"/>
        <v>0</v>
      </c>
      <c r="N82" s="265">
        <f>SUM(B82:M82)</f>
        <v>2640.4288348566665</v>
      </c>
    </row>
    <row r="83" spans="1:17" ht="15" customHeight="1" x14ac:dyDescent="0.25">
      <c r="A83" t="s">
        <v>384</v>
      </c>
    </row>
    <row r="84" spans="1:17" ht="15" customHeight="1" x14ac:dyDescent="0.25">
      <c r="A84" s="1" t="s">
        <v>290</v>
      </c>
      <c r="B84" s="302">
        <f>+B36</f>
        <v>100000</v>
      </c>
      <c r="C84" s="302">
        <f t="shared" ref="C84:M84" si="91">+C36</f>
        <v>100000</v>
      </c>
      <c r="D84" s="302">
        <f t="shared" si="91"/>
        <v>100000</v>
      </c>
      <c r="E84" s="302">
        <f t="shared" si="91"/>
        <v>100000</v>
      </c>
      <c r="F84" s="302">
        <f t="shared" si="91"/>
        <v>100000</v>
      </c>
      <c r="G84" s="302">
        <f t="shared" si="91"/>
        <v>118265.64174000002</v>
      </c>
      <c r="H84" s="302">
        <f t="shared" si="91"/>
        <v>133760.05127999972</v>
      </c>
      <c r="I84" s="302">
        <f t="shared" si="91"/>
        <v>124327.29631999985</v>
      </c>
      <c r="J84" s="302">
        <f t="shared" si="91"/>
        <v>141357.49864999991</v>
      </c>
      <c r="K84" s="302">
        <f t="shared" si="91"/>
        <v>150257.85579999955</v>
      </c>
      <c r="L84" s="302">
        <f t="shared" si="91"/>
        <v>158196.75796999983</v>
      </c>
      <c r="M84" s="302">
        <f t="shared" si="91"/>
        <v>174307.57298999961</v>
      </c>
      <c r="N84" s="281"/>
    </row>
    <row r="85" spans="1:17" ht="15" customHeight="1" x14ac:dyDescent="0.25">
      <c r="A85" s="1" t="s">
        <v>149</v>
      </c>
      <c r="B85" s="289">
        <v>3.7999999999999999E-2</v>
      </c>
      <c r="C85" s="289">
        <v>3.7999999999999999E-2</v>
      </c>
      <c r="D85" s="289">
        <v>3.7999999999999999E-2</v>
      </c>
      <c r="E85" s="289">
        <v>3.7999999999999999E-2</v>
      </c>
      <c r="F85" s="289">
        <v>3.7999999999999999E-2</v>
      </c>
      <c r="G85" s="289">
        <v>3.7999999999999999E-2</v>
      </c>
      <c r="H85" s="289">
        <v>4.4999999999999998E-2</v>
      </c>
      <c r="I85" s="289">
        <v>4.4999999999999998E-2</v>
      </c>
      <c r="J85" s="289">
        <v>4.4999999999999998E-2</v>
      </c>
      <c r="K85" s="289">
        <v>4.4999999999999998E-2</v>
      </c>
      <c r="L85" s="289">
        <v>4.4999999999999998E-2</v>
      </c>
      <c r="M85" s="289">
        <v>4.4999999999999998E-2</v>
      </c>
      <c r="N85" s="286"/>
      <c r="O85" s="287"/>
    </row>
    <row r="86" spans="1:17" ht="15" customHeight="1" x14ac:dyDescent="0.25">
      <c r="A86" s="1" t="s">
        <v>7</v>
      </c>
      <c r="B86" s="265">
        <f>(B84*B85)/12</f>
        <v>316.66666666666669</v>
      </c>
      <c r="C86" s="265">
        <f t="shared" ref="C86:M86" si="92">(C84*C85)/12</f>
        <v>316.66666666666669</v>
      </c>
      <c r="D86" s="265">
        <f t="shared" si="92"/>
        <v>316.66666666666669</v>
      </c>
      <c r="E86" s="265">
        <f t="shared" si="92"/>
        <v>316.66666666666669</v>
      </c>
      <c r="F86" s="265">
        <f t="shared" si="92"/>
        <v>316.66666666666669</v>
      </c>
      <c r="G86" s="265">
        <f t="shared" si="92"/>
        <v>374.50786551000004</v>
      </c>
      <c r="H86" s="265">
        <f t="shared" si="92"/>
        <v>501.60019229999898</v>
      </c>
      <c r="I86" s="265">
        <f t="shared" si="92"/>
        <v>466.22736119999945</v>
      </c>
      <c r="J86" s="265">
        <f t="shared" si="92"/>
        <v>530.09061993749958</v>
      </c>
      <c r="K86" s="265">
        <f t="shared" si="92"/>
        <v>563.46695924999824</v>
      </c>
      <c r="L86" s="265">
        <f t="shared" si="92"/>
        <v>593.23784238749931</v>
      </c>
      <c r="M86" s="265">
        <f t="shared" si="92"/>
        <v>653.65339871249853</v>
      </c>
      <c r="N86" s="265">
        <f>SUM(B86:M86)</f>
        <v>5266.1175726308275</v>
      </c>
    </row>
    <row r="87" spans="1:17" ht="15" customHeight="1" x14ac:dyDescent="0.25">
      <c r="A87" t="s">
        <v>404</v>
      </c>
    </row>
    <row r="88" spans="1:17" ht="15" customHeight="1" x14ac:dyDescent="0.25">
      <c r="A88" s="1" t="s">
        <v>290</v>
      </c>
      <c r="B88" s="6">
        <f t="shared" ref="B88:M88" si="93">+B80+B84</f>
        <v>261878.97078</v>
      </c>
      <c r="C88" s="6">
        <f t="shared" si="93"/>
        <v>258243.07549000002</v>
      </c>
      <c r="D88" s="6">
        <f t="shared" si="93"/>
        <v>272190.08760999999</v>
      </c>
      <c r="E88" s="6">
        <f t="shared" si="93"/>
        <v>277260.00104</v>
      </c>
      <c r="F88" s="6">
        <f t="shared" si="93"/>
        <v>264247.49713999999</v>
      </c>
      <c r="G88" s="6">
        <f t="shared" si="93"/>
        <v>118265.64174000002</v>
      </c>
      <c r="H88" s="6">
        <f t="shared" si="93"/>
        <v>133760.05127999972</v>
      </c>
      <c r="I88" s="6">
        <f t="shared" si="93"/>
        <v>124327.29631999985</v>
      </c>
      <c r="J88" s="6">
        <f t="shared" si="93"/>
        <v>141357.49864999991</v>
      </c>
      <c r="K88" s="6">
        <f t="shared" si="93"/>
        <v>150257.85579999955</v>
      </c>
      <c r="L88" s="6">
        <f t="shared" si="93"/>
        <v>158196.75796999983</v>
      </c>
      <c r="M88" s="6">
        <f t="shared" si="93"/>
        <v>174307.57298999961</v>
      </c>
    </row>
    <row r="89" spans="1:17" ht="15" customHeight="1" x14ac:dyDescent="0.25">
      <c r="A89" s="1" t="s">
        <v>149</v>
      </c>
      <c r="B89" s="80">
        <f t="shared" ref="B89" si="94">+B90/B88*12</f>
        <v>3.7999999999999992E-2</v>
      </c>
      <c r="C89" s="80">
        <f t="shared" ref="C89" si="95">+C90/C88*12</f>
        <v>3.8000000000000006E-2</v>
      </c>
      <c r="D89" s="80">
        <f t="shared" ref="D89" si="96">+D90/D88*12</f>
        <v>3.8000000000000006E-2</v>
      </c>
      <c r="E89" s="80">
        <f t="shared" ref="E89" si="97">+E90/E88*12</f>
        <v>3.7999999999999999E-2</v>
      </c>
      <c r="F89" s="80">
        <f t="shared" ref="F89" si="98">+F90/F88*12</f>
        <v>3.7999999999999992E-2</v>
      </c>
      <c r="G89" s="80">
        <f t="shared" ref="G89" si="99">+G90/G88*12</f>
        <v>3.7999999999999999E-2</v>
      </c>
      <c r="H89" s="80">
        <f t="shared" ref="H89" si="100">+H90/H88*12</f>
        <v>4.5000000000000005E-2</v>
      </c>
      <c r="I89" s="80">
        <f t="shared" ref="I89" si="101">+I90/I88*12</f>
        <v>4.5000000000000005E-2</v>
      </c>
      <c r="J89" s="80">
        <f t="shared" ref="J89" si="102">+J90/J88*12</f>
        <v>4.4999999999999991E-2</v>
      </c>
      <c r="K89" s="80">
        <f t="shared" ref="K89" si="103">+K90/K88*12</f>
        <v>4.4999999999999991E-2</v>
      </c>
      <c r="L89" s="80">
        <f t="shared" ref="L89" si="104">+L90/L88*12</f>
        <v>4.4999999999999998E-2</v>
      </c>
      <c r="M89" s="80">
        <f t="shared" ref="M89" si="105">+M90/M88*12</f>
        <v>4.4999999999999998E-2</v>
      </c>
      <c r="N89" s="79"/>
      <c r="O89" t="s">
        <v>406</v>
      </c>
    </row>
    <row r="90" spans="1:17" ht="15" customHeight="1" x14ac:dyDescent="0.25">
      <c r="A90" s="1" t="s">
        <v>7</v>
      </c>
      <c r="B90" s="265">
        <f t="shared" ref="B90:M90" si="106">+B86+B82</f>
        <v>829.28340746999993</v>
      </c>
      <c r="C90" s="265">
        <f t="shared" si="106"/>
        <v>817.76973905166676</v>
      </c>
      <c r="D90" s="265">
        <f t="shared" si="106"/>
        <v>861.93527743166669</v>
      </c>
      <c r="E90" s="265">
        <f t="shared" si="106"/>
        <v>877.9900032933333</v>
      </c>
      <c r="F90" s="265">
        <f t="shared" si="106"/>
        <v>836.78374094333321</v>
      </c>
      <c r="G90" s="265">
        <f t="shared" si="106"/>
        <v>374.50786551000004</v>
      </c>
      <c r="H90" s="265">
        <f t="shared" si="106"/>
        <v>501.60019229999898</v>
      </c>
      <c r="I90" s="265">
        <f t="shared" si="106"/>
        <v>466.22736119999945</v>
      </c>
      <c r="J90" s="265">
        <f t="shared" si="106"/>
        <v>530.09061993749958</v>
      </c>
      <c r="K90" s="265">
        <f t="shared" si="106"/>
        <v>563.46695924999824</v>
      </c>
      <c r="L90" s="265">
        <f t="shared" si="106"/>
        <v>593.23784238749931</v>
      </c>
      <c r="M90" s="265">
        <f t="shared" si="106"/>
        <v>653.65339871249853</v>
      </c>
      <c r="N90" s="265">
        <f>SUM(B90:M90)</f>
        <v>7906.5464074874944</v>
      </c>
      <c r="O90" s="7">
        <f>+N90-N66</f>
        <v>514.62076925583187</v>
      </c>
    </row>
    <row r="91" spans="1:17" ht="15" customHeight="1" x14ac:dyDescent="0.25">
      <c r="A91" s="275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7"/>
      <c r="O91" s="273"/>
    </row>
    <row r="92" spans="1:17" ht="15" customHeight="1" x14ac:dyDescent="0.25">
      <c r="A92" t="s">
        <v>405</v>
      </c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</row>
    <row r="93" spans="1:17" ht="15" customHeight="1" x14ac:dyDescent="0.25">
      <c r="A93" s="1" t="s">
        <v>290</v>
      </c>
      <c r="B93" s="6">
        <f t="shared" ref="B93:M93" si="107">+B88+B75</f>
        <v>831878.97077999997</v>
      </c>
      <c r="C93" s="6">
        <f t="shared" si="107"/>
        <v>828243.07548999996</v>
      </c>
      <c r="D93" s="6">
        <f t="shared" si="107"/>
        <v>842190.08761000005</v>
      </c>
      <c r="E93" s="6">
        <f t="shared" si="107"/>
        <v>847260.00104</v>
      </c>
      <c r="F93" s="6">
        <f t="shared" si="107"/>
        <v>834247.49713999999</v>
      </c>
      <c r="G93" s="6">
        <f t="shared" si="107"/>
        <v>688265.64173999999</v>
      </c>
      <c r="H93" s="6">
        <f t="shared" si="107"/>
        <v>883760.05127999978</v>
      </c>
      <c r="I93" s="6">
        <f t="shared" si="107"/>
        <v>874327.29631999985</v>
      </c>
      <c r="J93" s="6">
        <f t="shared" si="107"/>
        <v>891357.49864999996</v>
      </c>
      <c r="K93" s="6">
        <f t="shared" si="107"/>
        <v>900257.85579999955</v>
      </c>
      <c r="L93" s="6">
        <f t="shared" si="107"/>
        <v>908196.7579699998</v>
      </c>
      <c r="M93" s="6">
        <f t="shared" si="107"/>
        <v>924307.57298999955</v>
      </c>
    </row>
    <row r="94" spans="1:17" ht="15" customHeight="1" x14ac:dyDescent="0.25">
      <c r="A94" s="1" t="s">
        <v>149</v>
      </c>
      <c r="B94" s="80">
        <f>+B95/B93*12</f>
        <v>3.964446998668246E-2</v>
      </c>
      <c r="C94" s="80">
        <f t="shared" ref="C94" si="108">+C95/C93*12</f>
        <v>3.9651689027633191E-2</v>
      </c>
      <c r="D94" s="80">
        <f t="shared" ref="D94" si="109">+D95/D93*12</f>
        <v>3.962433638216066E-2</v>
      </c>
      <c r="E94" s="80">
        <f t="shared" ref="E94" si="110">+E95/E93*12</f>
        <v>3.9614616526592546E-2</v>
      </c>
      <c r="F94" s="80">
        <f t="shared" ref="F94" si="111">+F95/F93*12</f>
        <v>3.9639801143773079E-2</v>
      </c>
      <c r="G94" s="80">
        <f t="shared" ref="G94" si="112">+G95/G93*12</f>
        <v>3.9987604664590795E-2</v>
      </c>
      <c r="H94" s="80">
        <f t="shared" ref="H94" si="113">+H95/H93*12</f>
        <v>4.4999999999999998E-2</v>
      </c>
      <c r="I94" s="80">
        <f t="shared" ref="I94" si="114">+I95/I93*12</f>
        <v>4.4999999999999998E-2</v>
      </c>
      <c r="J94" s="80">
        <f t="shared" ref="J94" si="115">+J95/J93*12</f>
        <v>4.4999999999999991E-2</v>
      </c>
      <c r="K94" s="80">
        <f t="shared" ref="K94" si="116">+K95/K93*12</f>
        <v>4.4999999999999998E-2</v>
      </c>
      <c r="L94" s="80">
        <f t="shared" ref="L94" si="117">+L95/L93*12</f>
        <v>4.4999999999999998E-2</v>
      </c>
      <c r="M94" s="80">
        <f t="shared" ref="M94" si="118">+M95/M93*12</f>
        <v>4.5000000000000005E-2</v>
      </c>
      <c r="N94" s="80"/>
      <c r="O94" t="s">
        <v>406</v>
      </c>
    </row>
    <row r="95" spans="1:17" ht="15" customHeight="1" x14ac:dyDescent="0.25">
      <c r="A95" s="1" t="s">
        <v>7</v>
      </c>
      <c r="B95" s="265">
        <f t="shared" ref="B95:M95" si="119">+B90+B77</f>
        <v>2748.2834074699999</v>
      </c>
      <c r="C95" s="265">
        <f t="shared" si="119"/>
        <v>2736.7697390516669</v>
      </c>
      <c r="D95" s="265">
        <f t="shared" si="119"/>
        <v>2780.9352774316667</v>
      </c>
      <c r="E95" s="265">
        <f t="shared" si="119"/>
        <v>2796.9900032933333</v>
      </c>
      <c r="F95" s="265">
        <f t="shared" si="119"/>
        <v>2755.7837409433332</v>
      </c>
      <c r="G95" s="265">
        <f t="shared" si="119"/>
        <v>2293.5078655100001</v>
      </c>
      <c r="H95" s="265">
        <f t="shared" si="119"/>
        <v>3314.100192299999</v>
      </c>
      <c r="I95" s="265">
        <f t="shared" si="119"/>
        <v>3278.7273611999995</v>
      </c>
      <c r="J95" s="265">
        <f t="shared" si="119"/>
        <v>3342.5906199374995</v>
      </c>
      <c r="K95" s="265">
        <f t="shared" si="119"/>
        <v>3375.9669592499981</v>
      </c>
      <c r="L95" s="265">
        <f t="shared" si="119"/>
        <v>3405.7378423874993</v>
      </c>
      <c r="M95" s="265">
        <f t="shared" si="119"/>
        <v>3466.1533987124985</v>
      </c>
      <c r="N95" s="265">
        <f>SUM(B95:M95)</f>
        <v>36295.546407487498</v>
      </c>
      <c r="O95" s="7">
        <f>+N95-N71</f>
        <v>2140.620769255831</v>
      </c>
      <c r="Q95" s="7"/>
    </row>
    <row r="97" spans="1:15" ht="14.25" customHeight="1" x14ac:dyDescent="0.25">
      <c r="A97" s="279"/>
      <c r="B97" s="279"/>
      <c r="C97" s="279"/>
      <c r="D97" s="279"/>
      <c r="E97" s="279"/>
      <c r="F97" s="279"/>
      <c r="G97" s="279"/>
      <c r="H97" s="279"/>
      <c r="I97" s="279"/>
      <c r="J97" s="279"/>
      <c r="K97" s="279"/>
      <c r="L97" s="279"/>
      <c r="M97" s="279"/>
      <c r="N97" s="280"/>
      <c r="O97" s="279"/>
    </row>
    <row r="98" spans="1:15" ht="15" customHeight="1" x14ac:dyDescent="0.25">
      <c r="A98" s="4" t="s">
        <v>413</v>
      </c>
    </row>
    <row r="99" spans="1:15" ht="15" customHeight="1" x14ac:dyDescent="0.25">
      <c r="A99" s="265"/>
      <c r="B99" s="296" t="s">
        <v>291</v>
      </c>
      <c r="C99" s="296" t="s">
        <v>289</v>
      </c>
      <c r="D99" s="296" t="s">
        <v>91</v>
      </c>
      <c r="N99"/>
    </row>
    <row r="100" spans="1:15" ht="15" customHeight="1" x14ac:dyDescent="0.25">
      <c r="A100" s="7"/>
      <c r="B100" s="7">
        <f>+C84</f>
        <v>100000</v>
      </c>
      <c r="C100" s="7">
        <f>+D84</f>
        <v>100000</v>
      </c>
      <c r="D100" s="7">
        <f>+B100-C100</f>
        <v>0</v>
      </c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</row>
    <row r="101" spans="1:15" ht="15" customHeight="1" x14ac:dyDescent="0.25">
      <c r="A101" s="295"/>
      <c r="B101" s="295">
        <f>+C81</f>
        <v>3.7999999999999999E-2</v>
      </c>
      <c r="C101" s="295">
        <f>+C76</f>
        <v>4.0399999999999998E-2</v>
      </c>
      <c r="D101" s="295">
        <f t="shared" ref="D101:D103" si="120">+B101-C101</f>
        <v>-2.3999999999999994E-3</v>
      </c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</row>
    <row r="102" spans="1:15" ht="15" customHeight="1" x14ac:dyDescent="0.25">
      <c r="A102" s="6"/>
      <c r="B102" s="6">
        <f>+B100*B101</f>
        <v>3800</v>
      </c>
      <c r="C102" s="6">
        <f>+C100*C101</f>
        <v>4040</v>
      </c>
      <c r="D102" s="6">
        <f t="shared" si="120"/>
        <v>-240</v>
      </c>
      <c r="E102" s="6"/>
      <c r="F102" s="6"/>
      <c r="G102" s="6"/>
      <c r="H102" s="6"/>
      <c r="I102" s="6"/>
      <c r="J102" s="6"/>
      <c r="K102" s="6"/>
      <c r="L102" s="6"/>
      <c r="M102" s="6"/>
      <c r="O102" s="6"/>
    </row>
    <row r="103" spans="1:15" ht="15" customHeight="1" x14ac:dyDescent="0.25">
      <c r="A103" s="265"/>
      <c r="B103" s="265">
        <f>+B102/2</f>
        <v>1900</v>
      </c>
      <c r="C103" s="265">
        <f>+C102/2</f>
        <v>2020</v>
      </c>
      <c r="D103" s="265">
        <f t="shared" si="120"/>
        <v>-120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5" customHeight="1" x14ac:dyDescent="0.25">
      <c r="G104" s="6"/>
      <c r="H104" s="6"/>
      <c r="I104" s="6"/>
      <c r="J104" s="6"/>
      <c r="K104" s="6"/>
      <c r="L104" s="6"/>
      <c r="M104" s="6"/>
      <c r="O104" s="6"/>
    </row>
    <row r="105" spans="1:15" ht="15" customHeight="1" x14ac:dyDescent="0.25">
      <c r="A105" s="192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</row>
    <row r="106" spans="1:15" ht="15" customHeight="1" x14ac:dyDescent="0.25">
      <c r="A106" s="192"/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267"/>
    </row>
    <row r="107" spans="1:15" ht="15" customHeight="1" x14ac:dyDescent="0.25">
      <c r="N107"/>
    </row>
    <row r="108" spans="1:15" ht="15" customHeight="1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O108" s="6"/>
    </row>
    <row r="109" spans="1:15" ht="15" customHeight="1" x14ac:dyDescent="0.25">
      <c r="A109" s="192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</row>
    <row r="110" spans="1:15" ht="15" customHeight="1" x14ac:dyDescent="0.25">
      <c r="A110" s="192"/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</row>
    <row r="111" spans="1:15" ht="15" customHeight="1" x14ac:dyDescent="0.25">
      <c r="N111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8BBA-94EC-464C-B461-A7579D35412C}">
  <sheetPr>
    <tabColor theme="9"/>
  </sheetPr>
  <dimension ref="A1:AW95"/>
  <sheetViews>
    <sheetView zoomScale="115" zoomScaleNormal="115" workbookViewId="0">
      <pane xSplit="1" ySplit="1" topLeftCell="E2" activePane="bottomRight" state="frozen"/>
      <selection pane="topRight" activeCell="B1" sqref="B1"/>
      <selection pane="bottomLeft" activeCell="A3" sqref="A3"/>
      <selection pane="bottomRight" activeCell="E52" sqref="E52"/>
    </sheetView>
    <sheetView topLeftCell="A19" workbookViewId="1">
      <selection activeCell="A52" sqref="A52"/>
    </sheetView>
  </sheetViews>
  <sheetFormatPr defaultRowHeight="15" customHeight="1" x14ac:dyDescent="0.25"/>
  <cols>
    <col min="1" max="1" width="39" customWidth="1"/>
    <col min="2" max="13" width="10.5703125" bestFit="1" customWidth="1"/>
    <col min="14" max="14" width="8.42578125" style="6" bestFit="1" customWidth="1"/>
    <col min="15" max="15" width="15" bestFit="1" customWidth="1"/>
    <col min="17" max="17" width="33.7109375" customWidth="1"/>
    <col min="18" max="18" width="10.5703125" bestFit="1" customWidth="1"/>
    <col min="19" max="19" width="16.42578125" bestFit="1" customWidth="1"/>
    <col min="20" max="20" width="15.85546875" bestFit="1" customWidth="1"/>
    <col min="22" max="22" width="11.85546875" bestFit="1" customWidth="1"/>
  </cols>
  <sheetData>
    <row r="1" spans="1:18" ht="15" customHeight="1" x14ac:dyDescent="0.25">
      <c r="A1" s="4" t="str">
        <f>+'LTF Interest Schedules RP'!A49</f>
        <v>2023 LTF Balances at LTF Rates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265" t="s">
        <v>228</v>
      </c>
    </row>
    <row r="2" spans="1:18" ht="15" customHeight="1" x14ac:dyDescent="0.25">
      <c r="A2" t="s">
        <v>289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/>
      <c r="Q2" t="s">
        <v>423</v>
      </c>
      <c r="R2" s="278">
        <f>ROUND(+O47/1000,1)</f>
        <v>-1.1000000000000001</v>
      </c>
    </row>
    <row r="3" spans="1:18" ht="15" customHeight="1" x14ac:dyDescent="0.25">
      <c r="A3" s="1" t="s">
        <v>290</v>
      </c>
      <c r="B3" s="298">
        <f>+'LTF Interest Schedules RP'!B51</f>
        <v>670000</v>
      </c>
      <c r="C3" s="298">
        <f>+'LTF Interest Schedules RP'!C51</f>
        <v>670000</v>
      </c>
      <c r="D3" s="298">
        <f>+'LTF Interest Schedules RP'!D51</f>
        <v>670000</v>
      </c>
      <c r="E3" s="298">
        <f>+'LTF Interest Schedules RP'!E51</f>
        <v>670000</v>
      </c>
      <c r="F3" s="298">
        <f>+'LTF Interest Schedules RP'!F51</f>
        <v>670000</v>
      </c>
      <c r="G3" s="298">
        <f>+'LTF Interest Schedules RP'!G51</f>
        <v>771720.98121958075</v>
      </c>
      <c r="H3" s="298">
        <f>+'LTF Interest Schedules RP'!H51</f>
        <v>771720.98121958075</v>
      </c>
      <c r="I3" s="298">
        <f>+'LTF Interest Schedules RP'!I51</f>
        <v>771720.98121958075</v>
      </c>
      <c r="J3" s="298">
        <f>+'LTF Interest Schedules RP'!J51</f>
        <v>771720.98121958075</v>
      </c>
      <c r="K3" s="298">
        <f>+'LTF Interest Schedules RP'!K51</f>
        <v>771720.98121958075</v>
      </c>
      <c r="L3" s="298">
        <f>+'LTF Interest Schedules RP'!L51</f>
        <v>771720.98121958075</v>
      </c>
      <c r="M3" s="298">
        <f>+'LTF Interest Schedules RP'!M51</f>
        <v>771720.98121958075</v>
      </c>
      <c r="N3"/>
      <c r="Q3" t="s">
        <v>411</v>
      </c>
      <c r="R3" s="278">
        <f>ROUND(+O71/1000,1)</f>
        <v>3.5</v>
      </c>
    </row>
    <row r="4" spans="1:18" ht="15" customHeight="1" x14ac:dyDescent="0.25">
      <c r="A4" s="1" t="s">
        <v>149</v>
      </c>
      <c r="B4" s="290">
        <f>+'LTF Interest Schedules RP'!B52</f>
        <v>3.8151119402985073E-2</v>
      </c>
      <c r="C4" s="290">
        <f>+'LTF Interest Schedules RP'!C52</f>
        <v>3.8151119402985073E-2</v>
      </c>
      <c r="D4" s="290">
        <f>+'LTF Interest Schedules RP'!D52</f>
        <v>3.8151119402985073E-2</v>
      </c>
      <c r="E4" s="290">
        <f>+'LTF Interest Schedules RP'!E52</f>
        <v>3.8151119402985073E-2</v>
      </c>
      <c r="F4" s="290">
        <f>+'LTF Interest Schedules RP'!F52</f>
        <v>3.8151119402985073E-2</v>
      </c>
      <c r="G4" s="290">
        <f>+'LTF Interest Schedules RP'!G52</f>
        <v>3.8065294984348588E-2</v>
      </c>
      <c r="H4" s="290">
        <f>+'LTF Interest Schedules RP'!H52</f>
        <v>3.8065294984348588E-2</v>
      </c>
      <c r="I4" s="290">
        <f>+'LTF Interest Schedules RP'!I52</f>
        <v>3.8065294984348588E-2</v>
      </c>
      <c r="J4" s="290">
        <f>+'LTF Interest Schedules RP'!J52</f>
        <v>3.8065294984348588E-2</v>
      </c>
      <c r="K4" s="290">
        <f>+'LTF Interest Schedules RP'!K52</f>
        <v>3.8065294984348588E-2</v>
      </c>
      <c r="L4" s="290">
        <f>+'LTF Interest Schedules RP'!L52</f>
        <v>3.8065294984348588E-2</v>
      </c>
      <c r="M4" s="290">
        <f>+'LTF Interest Schedules RP'!M52</f>
        <v>3.8065294984348588E-2</v>
      </c>
      <c r="N4" s="189"/>
      <c r="Q4" t="s">
        <v>421</v>
      </c>
      <c r="R4" s="278">
        <f>ROUND(+O95/1000,1)</f>
        <v>2.1</v>
      </c>
    </row>
    <row r="5" spans="1:18" ht="15" customHeight="1" x14ac:dyDescent="0.25">
      <c r="A5" s="1" t="s">
        <v>7</v>
      </c>
      <c r="B5" s="265">
        <f t="shared" ref="B5:M5" si="0">(B3*B4)/12</f>
        <v>2130.1041666666665</v>
      </c>
      <c r="C5" s="265">
        <f t="shared" si="0"/>
        <v>2130.1041666666665</v>
      </c>
      <c r="D5" s="265">
        <f t="shared" si="0"/>
        <v>2130.1041666666665</v>
      </c>
      <c r="E5" s="265">
        <f t="shared" si="0"/>
        <v>2130.1041666666665</v>
      </c>
      <c r="F5" s="265">
        <f t="shared" si="0"/>
        <v>2130.1041666666665</v>
      </c>
      <c r="G5" s="265">
        <f t="shared" si="0"/>
        <v>2447.9822329778567</v>
      </c>
      <c r="H5" s="265">
        <f t="shared" si="0"/>
        <v>2447.9822329778567</v>
      </c>
      <c r="I5" s="265">
        <f t="shared" si="0"/>
        <v>2447.9822329778567</v>
      </c>
      <c r="J5" s="265">
        <f t="shared" si="0"/>
        <v>2447.9822329778567</v>
      </c>
      <c r="K5" s="265">
        <f t="shared" si="0"/>
        <v>2447.9822329778567</v>
      </c>
      <c r="L5" s="265">
        <f t="shared" si="0"/>
        <v>2447.9822329778567</v>
      </c>
      <c r="M5" s="265">
        <f t="shared" si="0"/>
        <v>2447.9822329778567</v>
      </c>
      <c r="N5" s="265">
        <f>SUM(B5:M5)</f>
        <v>27786.396464178335</v>
      </c>
      <c r="O5" s="7"/>
      <c r="Q5" t="s">
        <v>24</v>
      </c>
      <c r="R5" s="143">
        <f>+R6-SUM(R2:R4)</f>
        <v>-0.20000000000000018</v>
      </c>
    </row>
    <row r="6" spans="1:18" s="273" customFormat="1" ht="15" customHeight="1" x14ac:dyDescent="0.25"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274"/>
      <c r="P6"/>
      <c r="Q6"/>
      <c r="R6" s="278">
        <v>4.3</v>
      </c>
    </row>
    <row r="7" spans="1:18" ht="15" customHeight="1" x14ac:dyDescent="0.25">
      <c r="A7" t="s">
        <v>393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7"/>
      <c r="R7" s="79"/>
    </row>
    <row r="8" spans="1:18" ht="15" customHeight="1" x14ac:dyDescent="0.25">
      <c r="A8" s="1" t="s">
        <v>290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281"/>
      <c r="R8" s="79"/>
    </row>
    <row r="9" spans="1:18" s="287" customFormat="1" ht="15" customHeight="1" x14ac:dyDescent="0.25">
      <c r="A9" s="1" t="s">
        <v>149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86"/>
      <c r="P9"/>
    </row>
    <row r="10" spans="1:18" ht="15" customHeight="1" x14ac:dyDescent="0.25">
      <c r="A10" s="1" t="s">
        <v>7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65"/>
    </row>
    <row r="11" spans="1:18" ht="15" customHeight="1" x14ac:dyDescent="0.25">
      <c r="A11" t="s">
        <v>384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8" ht="15" customHeight="1" x14ac:dyDescent="0.25">
      <c r="A12" s="1" t="s">
        <v>290</v>
      </c>
      <c r="B12" s="302">
        <f>+'LTF Interest Schedules RP'!B60</f>
        <v>141362</v>
      </c>
      <c r="C12" s="302">
        <f>+'LTF Interest Schedules RP'!C60</f>
        <v>141362</v>
      </c>
      <c r="D12" s="302">
        <f>+'LTF Interest Schedules RP'!D60</f>
        <v>141362</v>
      </c>
      <c r="E12" s="302">
        <f>+'LTF Interest Schedules RP'!E60</f>
        <v>141362</v>
      </c>
      <c r="F12" s="302">
        <f>+'LTF Interest Schedules RP'!F60</f>
        <v>141362</v>
      </c>
      <c r="G12" s="302">
        <f>+'LTF Interest Schedules RP'!G60</f>
        <v>141362</v>
      </c>
      <c r="H12" s="302">
        <f>+'LTF Interest Schedules RP'!H60</f>
        <v>141362</v>
      </c>
      <c r="I12" s="302">
        <f>+'LTF Interest Schedules RP'!I60</f>
        <v>141362</v>
      </c>
      <c r="J12" s="302">
        <f>+'LTF Interest Schedules RP'!J60</f>
        <v>141362</v>
      </c>
      <c r="K12" s="302">
        <f>+'LTF Interest Schedules RP'!K60</f>
        <v>141362</v>
      </c>
      <c r="L12" s="302">
        <f>+'LTF Interest Schedules RP'!L60</f>
        <v>141362</v>
      </c>
      <c r="M12" s="302">
        <f>+'LTF Interest Schedules RP'!M60</f>
        <v>141362</v>
      </c>
      <c r="N12" s="281"/>
    </row>
    <row r="13" spans="1:18" s="287" customFormat="1" ht="15" customHeight="1" x14ac:dyDescent="0.25">
      <c r="A13" s="1" t="s">
        <v>149</v>
      </c>
      <c r="B13" s="290">
        <f>+'LTF Interest Schedules RP'!B61</f>
        <v>2.8299999999999999E-2</v>
      </c>
      <c r="C13" s="290">
        <f>+'LTF Interest Schedules RP'!C61</f>
        <v>2.8299999999999999E-2</v>
      </c>
      <c r="D13" s="290">
        <f>+'LTF Interest Schedules RP'!D61</f>
        <v>2.8299999999999999E-2</v>
      </c>
      <c r="E13" s="290">
        <f>+'LTF Interest Schedules RP'!E61</f>
        <v>2.8299999999999999E-2</v>
      </c>
      <c r="F13" s="290">
        <f>+'LTF Interest Schedules RP'!F61</f>
        <v>2.8299999999999999E-2</v>
      </c>
      <c r="G13" s="290">
        <f>+'LTF Interest Schedules RP'!G61</f>
        <v>2.8299999999999999E-2</v>
      </c>
      <c r="H13" s="290">
        <f>+'LTF Interest Schedules RP'!H61</f>
        <v>2.8299999999999999E-2</v>
      </c>
      <c r="I13" s="290">
        <f>+'LTF Interest Schedules RP'!I61</f>
        <v>2.8299999999999999E-2</v>
      </c>
      <c r="J13" s="290">
        <f>+'LTF Interest Schedules RP'!J61</f>
        <v>2.8299999999999999E-2</v>
      </c>
      <c r="K13" s="290">
        <f>+'LTF Interest Schedules RP'!K61</f>
        <v>2.8299999999999999E-2</v>
      </c>
      <c r="L13" s="290">
        <f>+'LTF Interest Schedules RP'!L61</f>
        <v>2.8299999999999999E-2</v>
      </c>
      <c r="M13" s="290">
        <f>+'LTF Interest Schedules RP'!M61</f>
        <v>2.8299999999999999E-2</v>
      </c>
      <c r="N13" s="286"/>
    </row>
    <row r="14" spans="1:18" ht="15" customHeight="1" x14ac:dyDescent="0.25">
      <c r="A14" s="1" t="s">
        <v>7</v>
      </c>
      <c r="B14" s="265">
        <f t="shared" ref="B14:M14" si="1">(B12*B13)/12</f>
        <v>333.37871666666666</v>
      </c>
      <c r="C14" s="265">
        <f t="shared" si="1"/>
        <v>333.37871666666666</v>
      </c>
      <c r="D14" s="265">
        <f t="shared" si="1"/>
        <v>333.37871666666666</v>
      </c>
      <c r="E14" s="265">
        <f t="shared" si="1"/>
        <v>333.37871666666666</v>
      </c>
      <c r="F14" s="265">
        <f t="shared" si="1"/>
        <v>333.37871666666666</v>
      </c>
      <c r="G14" s="265">
        <f t="shared" si="1"/>
        <v>333.37871666666666</v>
      </c>
      <c r="H14" s="265">
        <f t="shared" si="1"/>
        <v>333.37871666666666</v>
      </c>
      <c r="I14" s="265">
        <f t="shared" si="1"/>
        <v>333.37871666666666</v>
      </c>
      <c r="J14" s="265">
        <f t="shared" si="1"/>
        <v>333.37871666666666</v>
      </c>
      <c r="K14" s="265">
        <f t="shared" si="1"/>
        <v>333.37871666666666</v>
      </c>
      <c r="L14" s="265">
        <f t="shared" si="1"/>
        <v>333.37871666666666</v>
      </c>
      <c r="M14" s="265">
        <f t="shared" si="1"/>
        <v>333.37871666666666</v>
      </c>
      <c r="N14" s="265">
        <f>SUM(B14:M14)</f>
        <v>4000.5445999999997</v>
      </c>
    </row>
    <row r="15" spans="1:18" ht="15" customHeight="1" x14ac:dyDescent="0.25">
      <c r="A15" t="s">
        <v>404</v>
      </c>
      <c r="B15" s="163">
        <f>+'Q3F Interest Schedules RP'!B87</f>
        <v>0</v>
      </c>
      <c r="C15" s="163">
        <f>+'Q3F Interest Schedules RP'!C87</f>
        <v>0</v>
      </c>
      <c r="D15" s="163">
        <f>+'Q3F Interest Schedules RP'!D87</f>
        <v>0</v>
      </c>
      <c r="E15" s="163">
        <f>+'Q3F Interest Schedules RP'!E87</f>
        <v>0</v>
      </c>
      <c r="F15" s="163">
        <f>+'Q3F Interest Schedules RP'!F87</f>
        <v>0</v>
      </c>
      <c r="G15" s="163">
        <f>+'Q3F Interest Schedules RP'!G87</f>
        <v>0</v>
      </c>
      <c r="H15" s="163">
        <f>+'Q3F Interest Schedules RP'!H87</f>
        <v>0</v>
      </c>
      <c r="I15" s="163">
        <f>+'Q3F Interest Schedules RP'!I87</f>
        <v>0</v>
      </c>
      <c r="J15" s="163">
        <f>+'Q3F Interest Schedules RP'!J87</f>
        <v>0</v>
      </c>
      <c r="K15" s="163">
        <f>+'Q3F Interest Schedules RP'!K87</f>
        <v>0</v>
      </c>
      <c r="L15" s="163">
        <f>+'Q3F Interest Schedules RP'!L87</f>
        <v>0</v>
      </c>
      <c r="M15" s="163">
        <f>+'Q3F Interest Schedules RP'!M87</f>
        <v>0</v>
      </c>
    </row>
    <row r="16" spans="1:18" ht="15" customHeight="1" x14ac:dyDescent="0.25">
      <c r="A16" s="1" t="s">
        <v>290</v>
      </c>
      <c r="B16" s="6">
        <f t="shared" ref="B16:M16" si="2">+B8+B12</f>
        <v>141362</v>
      </c>
      <c r="C16" s="6">
        <f t="shared" si="2"/>
        <v>141362</v>
      </c>
      <c r="D16" s="6">
        <f t="shared" si="2"/>
        <v>141362</v>
      </c>
      <c r="E16" s="6">
        <f t="shared" si="2"/>
        <v>141362</v>
      </c>
      <c r="F16" s="6">
        <f t="shared" si="2"/>
        <v>141362</v>
      </c>
      <c r="G16" s="6">
        <f t="shared" si="2"/>
        <v>141362</v>
      </c>
      <c r="H16" s="6">
        <f t="shared" si="2"/>
        <v>141362</v>
      </c>
      <c r="I16" s="6">
        <f t="shared" si="2"/>
        <v>141362</v>
      </c>
      <c r="J16" s="6">
        <f t="shared" si="2"/>
        <v>141362</v>
      </c>
      <c r="K16" s="6">
        <f t="shared" si="2"/>
        <v>141362</v>
      </c>
      <c r="L16" s="6">
        <f t="shared" si="2"/>
        <v>141362</v>
      </c>
      <c r="M16" s="6">
        <f t="shared" si="2"/>
        <v>141362</v>
      </c>
    </row>
    <row r="17" spans="1:49" ht="15" customHeight="1" x14ac:dyDescent="0.25">
      <c r="A17" s="1" t="s">
        <v>149</v>
      </c>
      <c r="B17" s="80">
        <f t="shared" ref="B17:M17" si="3">+B18/B16*12</f>
        <v>2.8299999999999999E-2</v>
      </c>
      <c r="C17" s="80">
        <f t="shared" si="3"/>
        <v>2.8299999999999999E-2</v>
      </c>
      <c r="D17" s="80">
        <f t="shared" si="3"/>
        <v>2.8299999999999999E-2</v>
      </c>
      <c r="E17" s="80">
        <f t="shared" si="3"/>
        <v>2.8299999999999999E-2</v>
      </c>
      <c r="F17" s="80">
        <f t="shared" si="3"/>
        <v>2.8299999999999999E-2</v>
      </c>
      <c r="G17" s="80">
        <f t="shared" si="3"/>
        <v>2.8299999999999999E-2</v>
      </c>
      <c r="H17" s="80">
        <f t="shared" si="3"/>
        <v>2.8299999999999999E-2</v>
      </c>
      <c r="I17" s="80">
        <f t="shared" si="3"/>
        <v>2.8299999999999999E-2</v>
      </c>
      <c r="J17" s="80">
        <f t="shared" si="3"/>
        <v>2.8299999999999999E-2</v>
      </c>
      <c r="K17" s="80">
        <f t="shared" si="3"/>
        <v>2.8299999999999999E-2</v>
      </c>
      <c r="L17" s="80">
        <f t="shared" si="3"/>
        <v>2.8299999999999999E-2</v>
      </c>
      <c r="M17" s="80">
        <f t="shared" si="3"/>
        <v>2.8299999999999999E-2</v>
      </c>
      <c r="N17" s="79"/>
    </row>
    <row r="18" spans="1:49" ht="15" customHeight="1" x14ac:dyDescent="0.25">
      <c r="A18" s="1" t="s">
        <v>7</v>
      </c>
      <c r="B18" s="265">
        <f t="shared" ref="B18:M18" si="4">+B14+B10</f>
        <v>333.37871666666666</v>
      </c>
      <c r="C18" s="265">
        <f t="shared" si="4"/>
        <v>333.37871666666666</v>
      </c>
      <c r="D18" s="265">
        <f t="shared" si="4"/>
        <v>333.37871666666666</v>
      </c>
      <c r="E18" s="265">
        <f t="shared" si="4"/>
        <v>333.37871666666666</v>
      </c>
      <c r="F18" s="265">
        <f t="shared" si="4"/>
        <v>333.37871666666666</v>
      </c>
      <c r="G18" s="265">
        <f t="shared" si="4"/>
        <v>333.37871666666666</v>
      </c>
      <c r="H18" s="265">
        <f t="shared" si="4"/>
        <v>333.37871666666666</v>
      </c>
      <c r="I18" s="265">
        <f t="shared" si="4"/>
        <v>333.37871666666666</v>
      </c>
      <c r="J18" s="265">
        <f t="shared" si="4"/>
        <v>333.37871666666666</v>
      </c>
      <c r="K18" s="265">
        <f t="shared" si="4"/>
        <v>333.37871666666666</v>
      </c>
      <c r="L18" s="265">
        <f t="shared" si="4"/>
        <v>333.37871666666666</v>
      </c>
      <c r="M18" s="265">
        <f t="shared" si="4"/>
        <v>333.37871666666666</v>
      </c>
      <c r="N18" s="265">
        <f>SUM(B18:M18)</f>
        <v>4000.5445999999997</v>
      </c>
      <c r="O18" s="7"/>
    </row>
    <row r="19" spans="1:49" s="273" customFormat="1" ht="15" customHeight="1" x14ac:dyDescent="0.25">
      <c r="A19" s="275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277"/>
    </row>
    <row r="20" spans="1:49" ht="15" customHeight="1" x14ac:dyDescent="0.25">
      <c r="A20" t="s">
        <v>405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267"/>
    </row>
    <row r="21" spans="1:49" ht="15" customHeight="1" x14ac:dyDescent="0.25">
      <c r="A21" s="1" t="s">
        <v>290</v>
      </c>
      <c r="B21" s="6">
        <f t="shared" ref="B21:M21" si="5">+B16+B3</f>
        <v>811362</v>
      </c>
      <c r="C21" s="6">
        <f t="shared" si="5"/>
        <v>811362</v>
      </c>
      <c r="D21" s="6">
        <f t="shared" si="5"/>
        <v>811362</v>
      </c>
      <c r="E21" s="6">
        <f t="shared" si="5"/>
        <v>811362</v>
      </c>
      <c r="F21" s="6">
        <f t="shared" si="5"/>
        <v>811362</v>
      </c>
      <c r="G21" s="6">
        <f t="shared" si="5"/>
        <v>913082.98121958075</v>
      </c>
      <c r="H21" s="6">
        <f t="shared" si="5"/>
        <v>913082.98121958075</v>
      </c>
      <c r="I21" s="6">
        <f t="shared" si="5"/>
        <v>913082.98121958075</v>
      </c>
      <c r="J21" s="6">
        <f t="shared" si="5"/>
        <v>913082.98121958075</v>
      </c>
      <c r="K21" s="6">
        <f t="shared" si="5"/>
        <v>913082.98121958075</v>
      </c>
      <c r="L21" s="6">
        <f t="shared" si="5"/>
        <v>913082.98121958075</v>
      </c>
      <c r="M21" s="6">
        <f t="shared" si="5"/>
        <v>913082.98121958075</v>
      </c>
    </row>
    <row r="22" spans="1:49" ht="15" customHeight="1" x14ac:dyDescent="0.25">
      <c r="A22" s="1" t="s">
        <v>149</v>
      </c>
      <c r="B22" s="80">
        <f>+B23/B21*12</f>
        <v>3.6434778311037488E-2</v>
      </c>
      <c r="C22" s="80">
        <f t="shared" ref="C22:M22" si="6">+C23/C21*12</f>
        <v>3.6434778311037488E-2</v>
      </c>
      <c r="D22" s="80">
        <f t="shared" si="6"/>
        <v>3.6434778311037488E-2</v>
      </c>
      <c r="E22" s="80">
        <f t="shared" si="6"/>
        <v>3.6434778311037488E-2</v>
      </c>
      <c r="F22" s="80">
        <f t="shared" si="6"/>
        <v>3.6434778311037488E-2</v>
      </c>
      <c r="G22" s="80">
        <f t="shared" si="6"/>
        <v>3.6553448133656373E-2</v>
      </c>
      <c r="H22" s="80">
        <f t="shared" si="6"/>
        <v>3.6553448133656373E-2</v>
      </c>
      <c r="I22" s="80">
        <f t="shared" si="6"/>
        <v>3.6553448133656373E-2</v>
      </c>
      <c r="J22" s="80">
        <f t="shared" si="6"/>
        <v>3.6553448133656373E-2</v>
      </c>
      <c r="K22" s="80">
        <f t="shared" si="6"/>
        <v>3.6553448133656373E-2</v>
      </c>
      <c r="L22" s="80">
        <f t="shared" si="6"/>
        <v>3.6553448133656373E-2</v>
      </c>
      <c r="M22" s="80">
        <f t="shared" si="6"/>
        <v>3.6553448133656373E-2</v>
      </c>
      <c r="N22" s="80"/>
    </row>
    <row r="23" spans="1:49" ht="15" customHeight="1" x14ac:dyDescent="0.25">
      <c r="A23" s="1" t="s">
        <v>7</v>
      </c>
      <c r="B23" s="265">
        <f t="shared" ref="B23:M23" si="7">+B18+B5</f>
        <v>2463.4828833333331</v>
      </c>
      <c r="C23" s="265">
        <f t="shared" si="7"/>
        <v>2463.4828833333331</v>
      </c>
      <c r="D23" s="265">
        <f t="shared" si="7"/>
        <v>2463.4828833333331</v>
      </c>
      <c r="E23" s="265">
        <f t="shared" si="7"/>
        <v>2463.4828833333331</v>
      </c>
      <c r="F23" s="265">
        <f t="shared" si="7"/>
        <v>2463.4828833333331</v>
      </c>
      <c r="G23" s="265">
        <f t="shared" si="7"/>
        <v>2781.3609496445233</v>
      </c>
      <c r="H23" s="265">
        <f t="shared" si="7"/>
        <v>2781.3609496445233</v>
      </c>
      <c r="I23" s="265">
        <f t="shared" si="7"/>
        <v>2781.3609496445233</v>
      </c>
      <c r="J23" s="265">
        <f t="shared" si="7"/>
        <v>2781.3609496445233</v>
      </c>
      <c r="K23" s="265">
        <f t="shared" si="7"/>
        <v>2781.3609496445233</v>
      </c>
      <c r="L23" s="265">
        <f t="shared" si="7"/>
        <v>2781.3609496445233</v>
      </c>
      <c r="M23" s="265">
        <f t="shared" si="7"/>
        <v>2781.3609496445233</v>
      </c>
      <c r="N23" s="265">
        <f>SUM(B23:M23)</f>
        <v>31786.941064178336</v>
      </c>
      <c r="O23" s="7"/>
    </row>
    <row r="24" spans="1:49" s="279" customFormat="1" ht="15" customHeight="1" x14ac:dyDescent="0.25"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280"/>
    </row>
    <row r="25" spans="1:49" s="270" customFormat="1" ht="15" customHeight="1" x14ac:dyDescent="0.25">
      <c r="A25" s="4" t="s">
        <v>418</v>
      </c>
      <c r="B25" s="4" t="s">
        <v>277</v>
      </c>
      <c r="C25" s="4" t="s">
        <v>278</v>
      </c>
      <c r="D25" s="4" t="s">
        <v>279</v>
      </c>
      <c r="E25" s="4" t="s">
        <v>280</v>
      </c>
      <c r="F25" s="4" t="s">
        <v>281</v>
      </c>
      <c r="G25" s="4" t="s">
        <v>282</v>
      </c>
      <c r="H25" s="4" t="s">
        <v>283</v>
      </c>
      <c r="I25" s="4" t="s">
        <v>284</v>
      </c>
      <c r="J25" s="4" t="s">
        <v>285</v>
      </c>
      <c r="K25" s="4" t="s">
        <v>286</v>
      </c>
      <c r="L25" s="4" t="s">
        <v>287</v>
      </c>
      <c r="M25" s="4" t="s">
        <v>288</v>
      </c>
      <c r="N25" s="265" t="s">
        <v>228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270" customFormat="1" ht="15" customHeight="1" x14ac:dyDescent="0.25">
      <c r="A26" t="s">
        <v>289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270" customFormat="1" ht="15" customHeight="1" x14ac:dyDescent="0.25">
      <c r="A27" s="1" t="s">
        <v>290</v>
      </c>
      <c r="B27" s="298">
        <f>+'LTF Interest Schedules RP'!B3</f>
        <v>570000</v>
      </c>
      <c r="C27" s="298">
        <f>+'LTF Interest Schedules RP'!C3</f>
        <v>570000</v>
      </c>
      <c r="D27" s="298">
        <f>+'LTF Interest Schedules RP'!D3</f>
        <v>570000</v>
      </c>
      <c r="E27" s="298">
        <f>+'LTF Interest Schedules RP'!E3</f>
        <v>570000</v>
      </c>
      <c r="F27" s="298">
        <f>+'LTF Interest Schedules RP'!F3</f>
        <v>570000</v>
      </c>
      <c r="G27" s="298">
        <f>+'LTF Interest Schedules RP'!G3</f>
        <v>570000</v>
      </c>
      <c r="H27" s="298">
        <f>+'LTF Interest Schedules RP'!H3</f>
        <v>750000</v>
      </c>
      <c r="I27" s="298">
        <f>+'LTF Interest Schedules RP'!I3</f>
        <v>750000</v>
      </c>
      <c r="J27" s="298">
        <f>+'LTF Interest Schedules RP'!J3</f>
        <v>750000</v>
      </c>
      <c r="K27" s="298">
        <f>+'LTF Interest Schedules RP'!K3</f>
        <v>750000</v>
      </c>
      <c r="L27" s="298">
        <f>+'LTF Interest Schedules RP'!L3</f>
        <v>750000</v>
      </c>
      <c r="M27" s="298">
        <f>+'LTF Interest Schedules RP'!M3</f>
        <v>750000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270" customFormat="1" ht="15" customHeight="1" x14ac:dyDescent="0.25">
      <c r="A28" s="1" t="s">
        <v>149</v>
      </c>
      <c r="B28" s="288">
        <f>+B4</f>
        <v>3.8151119402985073E-2</v>
      </c>
      <c r="C28" s="288">
        <f t="shared" ref="C28:M28" si="8">+C4</f>
        <v>3.8151119402985073E-2</v>
      </c>
      <c r="D28" s="288">
        <f t="shared" si="8"/>
        <v>3.8151119402985073E-2</v>
      </c>
      <c r="E28" s="288">
        <f t="shared" si="8"/>
        <v>3.8151119402985073E-2</v>
      </c>
      <c r="F28" s="288">
        <f t="shared" si="8"/>
        <v>3.8151119402985073E-2</v>
      </c>
      <c r="G28" s="288">
        <f t="shared" si="8"/>
        <v>3.8065294984348588E-2</v>
      </c>
      <c r="H28" s="288">
        <f t="shared" si="8"/>
        <v>3.8065294984348588E-2</v>
      </c>
      <c r="I28" s="288">
        <f t="shared" si="8"/>
        <v>3.8065294984348588E-2</v>
      </c>
      <c r="J28" s="288">
        <f t="shared" si="8"/>
        <v>3.8065294984348588E-2</v>
      </c>
      <c r="K28" s="288">
        <f t="shared" si="8"/>
        <v>3.8065294984348588E-2</v>
      </c>
      <c r="L28" s="288">
        <f t="shared" si="8"/>
        <v>3.8065294984348588E-2</v>
      </c>
      <c r="M28" s="288">
        <f t="shared" si="8"/>
        <v>3.8065294984348588E-2</v>
      </c>
      <c r="N28" s="189"/>
      <c r="O28"/>
      <c r="P28"/>
      <c r="Q28" s="297"/>
      <c r="R28" s="297"/>
      <c r="S28" s="29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270" customFormat="1" ht="15" customHeight="1" x14ac:dyDescent="0.25">
      <c r="A29" s="1" t="s">
        <v>7</v>
      </c>
      <c r="B29" s="265">
        <f t="shared" ref="B29:M29" si="9">(B27*B28)/12</f>
        <v>1812.1781716417909</v>
      </c>
      <c r="C29" s="265">
        <f t="shared" si="9"/>
        <v>1812.1781716417909</v>
      </c>
      <c r="D29" s="265">
        <f t="shared" si="9"/>
        <v>1812.1781716417909</v>
      </c>
      <c r="E29" s="265">
        <f t="shared" si="9"/>
        <v>1812.1781716417909</v>
      </c>
      <c r="F29" s="265">
        <f t="shared" si="9"/>
        <v>1812.1781716417909</v>
      </c>
      <c r="G29" s="265">
        <f t="shared" si="9"/>
        <v>1808.1015117565578</v>
      </c>
      <c r="H29" s="265">
        <f t="shared" si="9"/>
        <v>2379.080936521787</v>
      </c>
      <c r="I29" s="265">
        <f t="shared" si="9"/>
        <v>2379.080936521787</v>
      </c>
      <c r="J29" s="265">
        <f t="shared" si="9"/>
        <v>2379.080936521787</v>
      </c>
      <c r="K29" s="265">
        <f t="shared" si="9"/>
        <v>2379.080936521787</v>
      </c>
      <c r="L29" s="265">
        <f t="shared" si="9"/>
        <v>2379.080936521787</v>
      </c>
      <c r="M29" s="265">
        <f t="shared" si="9"/>
        <v>2379.080936521787</v>
      </c>
      <c r="N29" s="265">
        <f>SUM(B29:M29)</f>
        <v>25143.477989096231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270" customFormat="1" ht="15" customHeight="1" x14ac:dyDescent="0.25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</row>
    <row r="31" spans="1:49" s="270" customFormat="1" ht="15" customHeight="1" x14ac:dyDescent="0.25">
      <c r="A31" t="s">
        <v>393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270" customFormat="1" ht="15" customHeight="1" x14ac:dyDescent="0.25">
      <c r="A32" s="1" t="s">
        <v>290</v>
      </c>
      <c r="B32" s="298">
        <f>+'LTF Interest Schedules RP'!B8</f>
        <v>161878.97078</v>
      </c>
      <c r="C32" s="298">
        <f>+'LTF Interest Schedules RP'!C8</f>
        <v>158243.07549000002</v>
      </c>
      <c r="D32" s="298">
        <f>+'LTF Interest Schedules RP'!D8</f>
        <v>172190.08760999999</v>
      </c>
      <c r="E32" s="298">
        <f>+'LTF Interest Schedules RP'!E8</f>
        <v>177260.00104</v>
      </c>
      <c r="F32" s="298">
        <f>+'LTF Interest Schedules RP'!F8</f>
        <v>164247.49713999999</v>
      </c>
      <c r="G32" s="298">
        <f>+'LTF Interest Schedules RP'!G8</f>
        <v>0</v>
      </c>
      <c r="H32" s="298">
        <f>+'LTF Interest Schedules RP'!H8</f>
        <v>0</v>
      </c>
      <c r="I32" s="298">
        <f>+'LTF Interest Schedules RP'!I8</f>
        <v>0</v>
      </c>
      <c r="J32" s="298">
        <f>+'LTF Interest Schedules RP'!J8</f>
        <v>0</v>
      </c>
      <c r="K32" s="298">
        <f>+'LTF Interest Schedules RP'!K8</f>
        <v>0</v>
      </c>
      <c r="L32" s="298">
        <f>+'LTF Interest Schedules RP'!L8</f>
        <v>0</v>
      </c>
      <c r="M32" s="298">
        <f>+'LTF Interest Schedules RP'!M8</f>
        <v>0</v>
      </c>
      <c r="N32" s="28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270" customFormat="1" ht="15" customHeight="1" x14ac:dyDescent="0.25">
      <c r="A33" s="1" t="s">
        <v>149</v>
      </c>
      <c r="B33" s="288">
        <f>+B13</f>
        <v>2.8299999999999999E-2</v>
      </c>
      <c r="C33" s="288">
        <f t="shared" ref="C33:F33" si="10">+C13</f>
        <v>2.8299999999999999E-2</v>
      </c>
      <c r="D33" s="288">
        <f t="shared" si="10"/>
        <v>2.8299999999999999E-2</v>
      </c>
      <c r="E33" s="288">
        <f t="shared" si="10"/>
        <v>2.8299999999999999E-2</v>
      </c>
      <c r="F33" s="288">
        <f t="shared" si="10"/>
        <v>2.8299999999999999E-2</v>
      </c>
      <c r="G33" s="288">
        <f t="shared" ref="G33:M33" si="11">+G9</f>
        <v>0</v>
      </c>
      <c r="H33" s="288">
        <f t="shared" si="11"/>
        <v>0</v>
      </c>
      <c r="I33" s="288">
        <f t="shared" si="11"/>
        <v>0</v>
      </c>
      <c r="J33" s="288">
        <f t="shared" si="11"/>
        <v>0</v>
      </c>
      <c r="K33" s="288">
        <f t="shared" si="11"/>
        <v>0</v>
      </c>
      <c r="L33" s="288">
        <f t="shared" si="11"/>
        <v>0</v>
      </c>
      <c r="M33" s="288">
        <f t="shared" si="11"/>
        <v>0</v>
      </c>
      <c r="N33" s="286"/>
      <c r="O33" s="287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270" customFormat="1" ht="15" customHeight="1" x14ac:dyDescent="0.25">
      <c r="A34" s="1" t="s">
        <v>7</v>
      </c>
      <c r="B34" s="265">
        <f t="shared" ref="B34:M34" si="12">(B32*B33)/12</f>
        <v>381.76457275616667</v>
      </c>
      <c r="C34" s="265">
        <f t="shared" si="12"/>
        <v>373.18991969724999</v>
      </c>
      <c r="D34" s="265">
        <f t="shared" si="12"/>
        <v>406.08162328024997</v>
      </c>
      <c r="E34" s="265">
        <f t="shared" si="12"/>
        <v>418.0381691193333</v>
      </c>
      <c r="F34" s="265">
        <f t="shared" si="12"/>
        <v>387.35034742183331</v>
      </c>
      <c r="G34" s="265">
        <f t="shared" si="12"/>
        <v>0</v>
      </c>
      <c r="H34" s="265">
        <f t="shared" si="12"/>
        <v>0</v>
      </c>
      <c r="I34" s="265">
        <f t="shared" si="12"/>
        <v>0</v>
      </c>
      <c r="J34" s="265">
        <f t="shared" si="12"/>
        <v>0</v>
      </c>
      <c r="K34" s="265">
        <f t="shared" si="12"/>
        <v>0</v>
      </c>
      <c r="L34" s="265">
        <f t="shared" si="12"/>
        <v>0</v>
      </c>
      <c r="M34" s="265">
        <f t="shared" si="12"/>
        <v>0</v>
      </c>
      <c r="N34" s="265">
        <f>SUM(B34:M34)</f>
        <v>1966.4246322748331</v>
      </c>
      <c r="O34"/>
      <c r="P34"/>
      <c r="Q34" s="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270" customFormat="1" ht="15" customHeight="1" x14ac:dyDescent="0.25">
      <c r="A35" t="s">
        <v>384</v>
      </c>
      <c r="B35"/>
      <c r="C35"/>
      <c r="D35"/>
      <c r="E35"/>
      <c r="F35"/>
      <c r="G35"/>
      <c r="H35"/>
      <c r="I35"/>
      <c r="J35"/>
      <c r="K35"/>
      <c r="L35"/>
      <c r="M35"/>
      <c r="N35" s="6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270" customFormat="1" ht="15" customHeight="1" x14ac:dyDescent="0.25">
      <c r="A36" s="1" t="s">
        <v>290</v>
      </c>
      <c r="B36" s="298">
        <f>+'LTF Interest Schedules RP'!B12</f>
        <v>100000</v>
      </c>
      <c r="C36" s="298">
        <f>+'LTF Interest Schedules RP'!C12</f>
        <v>100000</v>
      </c>
      <c r="D36" s="298">
        <f>+'LTF Interest Schedules RP'!D12</f>
        <v>100000</v>
      </c>
      <c r="E36" s="298">
        <f>+'LTF Interest Schedules RP'!E12</f>
        <v>100000</v>
      </c>
      <c r="F36" s="298">
        <f>+'LTF Interest Schedules RP'!F12</f>
        <v>100000</v>
      </c>
      <c r="G36" s="298">
        <f>+'LTF Interest Schedules RP'!G12</f>
        <v>118265.64174000002</v>
      </c>
      <c r="H36" s="298">
        <f>+'LTF Interest Schedules RP'!H12</f>
        <v>133760.05127999972</v>
      </c>
      <c r="I36" s="298">
        <f>+'LTF Interest Schedules RP'!I12</f>
        <v>124327.29631999985</v>
      </c>
      <c r="J36" s="298">
        <f>+'LTF Interest Schedules RP'!J12</f>
        <v>141357.49864999991</v>
      </c>
      <c r="K36" s="298">
        <f>+'LTF Interest Schedules RP'!K12</f>
        <v>150257.85579999955</v>
      </c>
      <c r="L36" s="298">
        <f>+'LTF Interest Schedules RP'!L12</f>
        <v>158196.75796999983</v>
      </c>
      <c r="M36" s="298">
        <f>+'LTF Interest Schedules RP'!M12</f>
        <v>174307.57298999961</v>
      </c>
      <c r="N36" s="281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270" customFormat="1" ht="15" customHeight="1" x14ac:dyDescent="0.25">
      <c r="A37" s="1" t="s">
        <v>149</v>
      </c>
      <c r="B37" s="288">
        <f>+B13</f>
        <v>2.8299999999999999E-2</v>
      </c>
      <c r="C37" s="288">
        <f t="shared" ref="C37:M37" si="13">+C13</f>
        <v>2.8299999999999999E-2</v>
      </c>
      <c r="D37" s="288">
        <f t="shared" si="13"/>
        <v>2.8299999999999999E-2</v>
      </c>
      <c r="E37" s="288">
        <f t="shared" si="13"/>
        <v>2.8299999999999999E-2</v>
      </c>
      <c r="F37" s="288">
        <f t="shared" si="13"/>
        <v>2.8299999999999999E-2</v>
      </c>
      <c r="G37" s="288">
        <f t="shared" si="13"/>
        <v>2.8299999999999999E-2</v>
      </c>
      <c r="H37" s="288">
        <f t="shared" si="13"/>
        <v>2.8299999999999999E-2</v>
      </c>
      <c r="I37" s="288">
        <f t="shared" si="13"/>
        <v>2.8299999999999999E-2</v>
      </c>
      <c r="J37" s="288">
        <f t="shared" si="13"/>
        <v>2.8299999999999999E-2</v>
      </c>
      <c r="K37" s="288">
        <f t="shared" si="13"/>
        <v>2.8299999999999999E-2</v>
      </c>
      <c r="L37" s="288">
        <f t="shared" si="13"/>
        <v>2.8299999999999999E-2</v>
      </c>
      <c r="M37" s="288">
        <f t="shared" si="13"/>
        <v>2.8299999999999999E-2</v>
      </c>
      <c r="N37" s="286"/>
      <c r="O37" s="28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70" customFormat="1" ht="15" customHeight="1" x14ac:dyDescent="0.25">
      <c r="A38" s="1" t="s">
        <v>7</v>
      </c>
      <c r="B38" s="265">
        <f>(B36*B37)/12</f>
        <v>235.83333333333334</v>
      </c>
      <c r="C38" s="265">
        <f t="shared" ref="C38:M38" si="14">(C36*C37)/12</f>
        <v>235.83333333333334</v>
      </c>
      <c r="D38" s="265">
        <f t="shared" si="14"/>
        <v>235.83333333333334</v>
      </c>
      <c r="E38" s="265">
        <f t="shared" si="14"/>
        <v>235.83333333333334</v>
      </c>
      <c r="F38" s="265">
        <f t="shared" si="14"/>
        <v>235.83333333333334</v>
      </c>
      <c r="G38" s="265">
        <f t="shared" si="14"/>
        <v>278.90980510350005</v>
      </c>
      <c r="H38" s="265">
        <f t="shared" si="14"/>
        <v>315.45078760199937</v>
      </c>
      <c r="I38" s="265">
        <f t="shared" si="14"/>
        <v>293.20520715466631</v>
      </c>
      <c r="J38" s="265">
        <f t="shared" si="14"/>
        <v>333.36810098291642</v>
      </c>
      <c r="K38" s="265">
        <f t="shared" si="14"/>
        <v>354.35810992833223</v>
      </c>
      <c r="L38" s="265">
        <f t="shared" si="14"/>
        <v>373.08068754591631</v>
      </c>
      <c r="M38" s="265">
        <f t="shared" si="14"/>
        <v>411.07535963474902</v>
      </c>
      <c r="N38" s="265">
        <f>SUM(B38:M38)</f>
        <v>3538.6147246187465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70" customFormat="1" ht="15" customHeight="1" x14ac:dyDescent="0.25">
      <c r="A39" t="s">
        <v>404</v>
      </c>
      <c r="B39"/>
      <c r="C39"/>
      <c r="D39"/>
      <c r="E39"/>
      <c r="F39"/>
      <c r="G39"/>
      <c r="H39"/>
      <c r="I39"/>
      <c r="J39"/>
      <c r="K39"/>
      <c r="L39"/>
      <c r="M39"/>
      <c r="N39" s="6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270" customFormat="1" ht="15" customHeight="1" x14ac:dyDescent="0.25">
      <c r="A40" s="1" t="s">
        <v>290</v>
      </c>
      <c r="B40" s="298">
        <f>+'LTF Interest Schedules RP'!B16</f>
        <v>261878.97078</v>
      </c>
      <c r="C40" s="298">
        <f>+'LTF Interest Schedules RP'!C16</f>
        <v>258243.07549000002</v>
      </c>
      <c r="D40" s="298">
        <f>+'LTF Interest Schedules RP'!D16</f>
        <v>272190.08760999999</v>
      </c>
      <c r="E40" s="298">
        <f>+'LTF Interest Schedules RP'!E16</f>
        <v>277260.00104</v>
      </c>
      <c r="F40" s="298">
        <f>+'LTF Interest Schedules RP'!F16</f>
        <v>264247.49713999999</v>
      </c>
      <c r="G40" s="298">
        <f>+'LTF Interest Schedules RP'!G16</f>
        <v>118265.64174000002</v>
      </c>
      <c r="H40" s="298">
        <f>+'LTF Interest Schedules RP'!H16</f>
        <v>133760.05127999972</v>
      </c>
      <c r="I40" s="298">
        <f>+'LTF Interest Schedules RP'!I16</f>
        <v>124327.29631999985</v>
      </c>
      <c r="J40" s="298">
        <f>+'LTF Interest Schedules RP'!J16</f>
        <v>141357.49864999991</v>
      </c>
      <c r="K40" s="298">
        <f>+'LTF Interest Schedules RP'!K16</f>
        <v>150257.85579999955</v>
      </c>
      <c r="L40" s="298">
        <f>+'LTF Interest Schedules RP'!L16</f>
        <v>158196.75796999983</v>
      </c>
      <c r="M40" s="298">
        <f>+'LTF Interest Schedules RP'!M16</f>
        <v>174307.57298999961</v>
      </c>
      <c r="N40" s="6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270" customFormat="1" ht="15" customHeight="1" x14ac:dyDescent="0.25">
      <c r="A41" s="1" t="s">
        <v>149</v>
      </c>
      <c r="B41" s="288">
        <f>+B17</f>
        <v>2.8299999999999999E-2</v>
      </c>
      <c r="C41" s="288">
        <f t="shared" ref="C41:M41" si="15">+C17</f>
        <v>2.8299999999999999E-2</v>
      </c>
      <c r="D41" s="288">
        <f t="shared" si="15"/>
        <v>2.8299999999999999E-2</v>
      </c>
      <c r="E41" s="288">
        <f t="shared" si="15"/>
        <v>2.8299999999999999E-2</v>
      </c>
      <c r="F41" s="288">
        <f t="shared" si="15"/>
        <v>2.8299999999999999E-2</v>
      </c>
      <c r="G41" s="288">
        <f t="shared" si="15"/>
        <v>2.8299999999999999E-2</v>
      </c>
      <c r="H41" s="288">
        <f t="shared" si="15"/>
        <v>2.8299999999999999E-2</v>
      </c>
      <c r="I41" s="288">
        <f t="shared" si="15"/>
        <v>2.8299999999999999E-2</v>
      </c>
      <c r="J41" s="288">
        <f t="shared" si="15"/>
        <v>2.8299999999999999E-2</v>
      </c>
      <c r="K41" s="288">
        <f t="shared" si="15"/>
        <v>2.8299999999999999E-2</v>
      </c>
      <c r="L41" s="288">
        <f t="shared" si="15"/>
        <v>2.8299999999999999E-2</v>
      </c>
      <c r="M41" s="288">
        <f t="shared" si="15"/>
        <v>2.8299999999999999E-2</v>
      </c>
      <c r="N41" s="79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270" customFormat="1" ht="15" customHeight="1" x14ac:dyDescent="0.25">
      <c r="A42" s="1" t="s">
        <v>7</v>
      </c>
      <c r="B42" s="265">
        <f t="shared" ref="B42:M42" si="16">+B38+B34</f>
        <v>617.59790608950004</v>
      </c>
      <c r="C42" s="265">
        <f t="shared" si="16"/>
        <v>609.02325303058331</v>
      </c>
      <c r="D42" s="265">
        <f t="shared" si="16"/>
        <v>641.91495661358329</v>
      </c>
      <c r="E42" s="265">
        <f t="shared" si="16"/>
        <v>653.87150245266662</v>
      </c>
      <c r="F42" s="265">
        <f t="shared" si="16"/>
        <v>623.18368075516662</v>
      </c>
      <c r="G42" s="265">
        <f t="shared" si="16"/>
        <v>278.90980510350005</v>
      </c>
      <c r="H42" s="265">
        <f t="shared" si="16"/>
        <v>315.45078760199937</v>
      </c>
      <c r="I42" s="265">
        <f t="shared" si="16"/>
        <v>293.20520715466631</v>
      </c>
      <c r="J42" s="265">
        <f t="shared" si="16"/>
        <v>333.36810098291642</v>
      </c>
      <c r="K42" s="265">
        <f t="shared" si="16"/>
        <v>354.35810992833223</v>
      </c>
      <c r="L42" s="265">
        <f t="shared" si="16"/>
        <v>373.08068754591631</v>
      </c>
      <c r="M42" s="265">
        <f t="shared" si="16"/>
        <v>411.07535963474902</v>
      </c>
      <c r="N42" s="265">
        <f>SUM(B42:M42)</f>
        <v>5505.0393568935797</v>
      </c>
      <c r="O42" s="7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270" customFormat="1" ht="15" customHeight="1" x14ac:dyDescent="0.25">
      <c r="A43" s="275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7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</row>
    <row r="44" spans="1:49" s="270" customFormat="1" ht="15" customHeight="1" x14ac:dyDescent="0.25">
      <c r="A44" t="s">
        <v>405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270" customFormat="1" ht="15" customHeight="1" x14ac:dyDescent="0.25">
      <c r="A45" s="1" t="s">
        <v>290</v>
      </c>
      <c r="B45" s="6">
        <f t="shared" ref="B45:M45" si="17">+B40+B27</f>
        <v>831878.97077999997</v>
      </c>
      <c r="C45" s="6">
        <f t="shared" si="17"/>
        <v>828243.07548999996</v>
      </c>
      <c r="D45" s="6">
        <f t="shared" si="17"/>
        <v>842190.08761000005</v>
      </c>
      <c r="E45" s="6">
        <f t="shared" si="17"/>
        <v>847260.00104</v>
      </c>
      <c r="F45" s="6">
        <f t="shared" si="17"/>
        <v>834247.49713999999</v>
      </c>
      <c r="G45" s="6">
        <f t="shared" si="17"/>
        <v>688265.64173999999</v>
      </c>
      <c r="H45" s="6">
        <f t="shared" si="17"/>
        <v>883760.05127999978</v>
      </c>
      <c r="I45" s="6">
        <f t="shared" si="17"/>
        <v>874327.29631999985</v>
      </c>
      <c r="J45" s="6">
        <f t="shared" si="17"/>
        <v>891357.49864999996</v>
      </c>
      <c r="K45" s="6">
        <f t="shared" si="17"/>
        <v>900257.85579999955</v>
      </c>
      <c r="L45" s="6">
        <f t="shared" si="17"/>
        <v>908196.7579699998</v>
      </c>
      <c r="M45" s="6">
        <f t="shared" si="17"/>
        <v>924307.57298999955</v>
      </c>
      <c r="N45" s="6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270" customFormat="1" ht="15" customHeight="1" x14ac:dyDescent="0.25">
      <c r="A46" s="1" t="s">
        <v>149</v>
      </c>
      <c r="B46" s="80">
        <f>+B47/B45*12</f>
        <v>3.5049945913930888E-2</v>
      </c>
      <c r="C46" s="80">
        <f t="shared" ref="C46:M46" si="18">+C47/C45*12</f>
        <v>3.5079577428256188E-2</v>
      </c>
      <c r="D46" s="80">
        <f t="shared" si="18"/>
        <v>3.4967304854698955E-2</v>
      </c>
      <c r="E46" s="80">
        <f t="shared" si="18"/>
        <v>3.4927408413956737E-2</v>
      </c>
      <c r="F46" s="80">
        <f t="shared" si="18"/>
        <v>3.5030782026858373E-2</v>
      </c>
      <c r="G46" s="80">
        <f t="shared" si="18"/>
        <v>3.6387310775831808E-2</v>
      </c>
      <c r="H46" s="80">
        <f t="shared" si="18"/>
        <v>3.6587284798236488E-2</v>
      </c>
      <c r="I46" s="80">
        <f t="shared" si="18"/>
        <v>3.6676692880443826E-2</v>
      </c>
      <c r="J46" s="80">
        <f t="shared" si="18"/>
        <v>3.6516648482066871E-2</v>
      </c>
      <c r="K46" s="80">
        <f t="shared" si="18"/>
        <v>3.6435414971472943E-2</v>
      </c>
      <c r="L46" s="80">
        <f t="shared" si="18"/>
        <v>3.6364300135393539E-2</v>
      </c>
      <c r="M46" s="80">
        <f t="shared" si="18"/>
        <v>3.6223738214725937E-2</v>
      </c>
      <c r="N46" s="80"/>
      <c r="O46" t="s">
        <v>91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270" customFormat="1" ht="15" customHeight="1" x14ac:dyDescent="0.25">
      <c r="A47" s="1" t="s">
        <v>7</v>
      </c>
      <c r="B47" s="265">
        <f t="shared" ref="B47:M47" si="19">+B42+B29</f>
        <v>2429.776077731291</v>
      </c>
      <c r="C47" s="265">
        <f t="shared" si="19"/>
        <v>2421.2014246723743</v>
      </c>
      <c r="D47" s="265">
        <f t="shared" si="19"/>
        <v>2454.0931282553743</v>
      </c>
      <c r="E47" s="265">
        <f t="shared" si="19"/>
        <v>2466.0496740944573</v>
      </c>
      <c r="F47" s="265">
        <f t="shared" si="19"/>
        <v>2435.3618523969576</v>
      </c>
      <c r="G47" s="265">
        <f t="shared" si="19"/>
        <v>2087.0113168600578</v>
      </c>
      <c r="H47" s="265">
        <f t="shared" si="19"/>
        <v>2694.5317241237863</v>
      </c>
      <c r="I47" s="265">
        <f t="shared" si="19"/>
        <v>2672.2861436764533</v>
      </c>
      <c r="J47" s="265">
        <f t="shared" si="19"/>
        <v>2712.4490375047035</v>
      </c>
      <c r="K47" s="265">
        <f t="shared" si="19"/>
        <v>2733.4390464501193</v>
      </c>
      <c r="L47" s="265">
        <f t="shared" si="19"/>
        <v>2752.1616240677031</v>
      </c>
      <c r="M47" s="265">
        <f t="shared" si="19"/>
        <v>2790.156296156536</v>
      </c>
      <c r="N47" s="265">
        <f>SUM(B47:M47)</f>
        <v>30648.517345989818</v>
      </c>
      <c r="O47" s="7">
        <f>+N47-N23</f>
        <v>-1138.4237181885183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279" customFormat="1" ht="15" customHeight="1" x14ac:dyDescent="0.25">
      <c r="N48" s="280"/>
    </row>
    <row r="49" spans="1:49" s="270" customFormat="1" ht="15" customHeight="1" x14ac:dyDescent="0.25">
      <c r="A49" s="4" t="s">
        <v>419</v>
      </c>
      <c r="B49" s="4" t="s">
        <v>277</v>
      </c>
      <c r="C49" s="4" t="s">
        <v>278</v>
      </c>
      <c r="D49" s="4" t="s">
        <v>279</v>
      </c>
      <c r="E49" s="4" t="s">
        <v>280</v>
      </c>
      <c r="F49" s="4" t="s">
        <v>281</v>
      </c>
      <c r="G49" s="4" t="s">
        <v>282</v>
      </c>
      <c r="H49" s="4" t="s">
        <v>283</v>
      </c>
      <c r="I49" s="4" t="s">
        <v>284</v>
      </c>
      <c r="J49" s="4" t="s">
        <v>285</v>
      </c>
      <c r="K49" s="4" t="s">
        <v>286</v>
      </c>
      <c r="L49" s="4" t="s">
        <v>287</v>
      </c>
      <c r="M49" s="4" t="s">
        <v>288</v>
      </c>
      <c r="N49" s="265" t="s">
        <v>228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270" customFormat="1" ht="15" customHeight="1" x14ac:dyDescent="0.25">
      <c r="A50" t="s">
        <v>289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270" customFormat="1" ht="15" customHeight="1" x14ac:dyDescent="0.25">
      <c r="A51" s="1" t="s">
        <v>290</v>
      </c>
      <c r="B51" s="298">
        <f>+'Q3F Interest Schedules RP'!B51</f>
        <v>570000</v>
      </c>
      <c r="C51" s="298">
        <f>+'Q3F Interest Schedules RP'!C51</f>
        <v>570000</v>
      </c>
      <c r="D51" s="298">
        <f>+'Q3F Interest Schedules RP'!D51</f>
        <v>570000</v>
      </c>
      <c r="E51" s="298">
        <f>+'Q3F Interest Schedules RP'!E51</f>
        <v>570000</v>
      </c>
      <c r="F51" s="298">
        <f>+'Q3F Interest Schedules RP'!F51</f>
        <v>570000</v>
      </c>
      <c r="G51" s="298">
        <f>+'Q3F Interest Schedules RP'!G51</f>
        <v>570000</v>
      </c>
      <c r="H51" s="298">
        <f>+'Q3F Interest Schedules RP'!H51</f>
        <v>750000</v>
      </c>
      <c r="I51" s="298">
        <f>+'Q3F Interest Schedules RP'!I51</f>
        <v>750000</v>
      </c>
      <c r="J51" s="298">
        <f>+'Q3F Interest Schedules RP'!J51</f>
        <v>750000</v>
      </c>
      <c r="K51" s="298">
        <f>+'Q3F Interest Schedules RP'!K51</f>
        <v>750000</v>
      </c>
      <c r="L51" s="298">
        <f>+'Q3F Interest Schedules RP'!L51</f>
        <v>750000</v>
      </c>
      <c r="M51" s="298">
        <f>+'Q3F Interest Schedules RP'!M51</f>
        <v>750000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270" customFormat="1" ht="15" customHeight="1" x14ac:dyDescent="0.25">
      <c r="A52" s="1" t="s">
        <v>149</v>
      </c>
      <c r="B52" s="289">
        <f>+'Q3F Interest Schedules RP'!B52</f>
        <v>4.0399999999999998E-2</v>
      </c>
      <c r="C52" s="289">
        <f>+'Q3F Interest Schedules RP'!C52</f>
        <v>4.0399999999999998E-2</v>
      </c>
      <c r="D52" s="289">
        <f>+'Q3F Interest Schedules RP'!D52</f>
        <v>4.0399999999999998E-2</v>
      </c>
      <c r="E52" s="289">
        <f>+'Q3F Interest Schedules RP'!E52</f>
        <v>4.0399999999999998E-2</v>
      </c>
      <c r="F52" s="289">
        <f>+'Q3F Interest Schedules RP'!F52</f>
        <v>4.0399999999999998E-2</v>
      </c>
      <c r="G52" s="289">
        <f>+'Q3F Interest Schedules RP'!G52</f>
        <v>4.0399999999999998E-2</v>
      </c>
      <c r="H52" s="289">
        <f>+'Q3F Interest Schedules RP'!H52</f>
        <v>4.0663999999999999E-2</v>
      </c>
      <c r="I52" s="289">
        <f>+'Q3F Interest Schedules RP'!I52</f>
        <v>4.0663999999999999E-2</v>
      </c>
      <c r="J52" s="289">
        <f>+'Q3F Interest Schedules RP'!J52</f>
        <v>4.0663999999999999E-2</v>
      </c>
      <c r="K52" s="289">
        <f>+'Q3F Interest Schedules RP'!K52</f>
        <v>4.0663999999999999E-2</v>
      </c>
      <c r="L52" s="289">
        <f>+'Q3F Interest Schedules RP'!L52</f>
        <v>4.0663999999999999E-2</v>
      </c>
      <c r="M52" s="289">
        <f>+'Q3F Interest Schedules RP'!M52</f>
        <v>4.0663999999999999E-2</v>
      </c>
      <c r="N52" s="189"/>
      <c r="O52" t="s">
        <v>91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270" customFormat="1" ht="15" customHeight="1" x14ac:dyDescent="0.25">
      <c r="A53" s="1" t="s">
        <v>7</v>
      </c>
      <c r="B53" s="265">
        <f t="shared" ref="B53:M53" si="20">(B51*B52)/12</f>
        <v>1919</v>
      </c>
      <c r="C53" s="265">
        <f t="shared" si="20"/>
        <v>1919</v>
      </c>
      <c r="D53" s="265">
        <f t="shared" si="20"/>
        <v>1919</v>
      </c>
      <c r="E53" s="265">
        <f t="shared" si="20"/>
        <v>1919</v>
      </c>
      <c r="F53" s="265">
        <f t="shared" si="20"/>
        <v>1919</v>
      </c>
      <c r="G53" s="265">
        <f t="shared" si="20"/>
        <v>1919</v>
      </c>
      <c r="H53" s="265">
        <f t="shared" si="20"/>
        <v>2541.5</v>
      </c>
      <c r="I53" s="265">
        <f t="shared" si="20"/>
        <v>2541.5</v>
      </c>
      <c r="J53" s="265">
        <f t="shared" si="20"/>
        <v>2541.5</v>
      </c>
      <c r="K53" s="265">
        <f t="shared" si="20"/>
        <v>2541.5</v>
      </c>
      <c r="L53" s="265">
        <f t="shared" si="20"/>
        <v>2541.5</v>
      </c>
      <c r="M53" s="265">
        <f t="shared" si="20"/>
        <v>2541.5</v>
      </c>
      <c r="N53" s="265">
        <f>SUM(B53:M53)</f>
        <v>26763</v>
      </c>
      <c r="O53" s="7">
        <f>+N53-N29</f>
        <v>1619.5220109037691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270" customFormat="1" ht="15" customHeight="1" x14ac:dyDescent="0.25">
      <c r="A54" s="273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</row>
    <row r="55" spans="1:49" s="270" customFormat="1" ht="15" customHeight="1" x14ac:dyDescent="0.25">
      <c r="A55" t="s">
        <v>393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70" customFormat="1" ht="15" customHeight="1" x14ac:dyDescent="0.25">
      <c r="A56" s="1" t="s">
        <v>290</v>
      </c>
      <c r="B56" s="298">
        <f>+'Q3F Interest Schedules RP'!B56</f>
        <v>161878.97078</v>
      </c>
      <c r="C56" s="298">
        <f>+'Q3F Interest Schedules RP'!C56</f>
        <v>158243.07549000002</v>
      </c>
      <c r="D56" s="298">
        <f>+'Q3F Interest Schedules RP'!D56</f>
        <v>172190.08760999999</v>
      </c>
      <c r="E56" s="298">
        <f>+'Q3F Interest Schedules RP'!E56</f>
        <v>177260.00104</v>
      </c>
      <c r="F56" s="298">
        <f>+'Q3F Interest Schedules RP'!F56</f>
        <v>164247.49713999999</v>
      </c>
      <c r="G56" s="298">
        <f>+'Q3F Interest Schedules RP'!G56</f>
        <v>0</v>
      </c>
      <c r="H56" s="298">
        <f>+'Q3F Interest Schedules RP'!H56</f>
        <v>0</v>
      </c>
      <c r="I56" s="298">
        <f>+'Q3F Interest Schedules RP'!I56</f>
        <v>0</v>
      </c>
      <c r="J56" s="298">
        <f>+'Q3F Interest Schedules RP'!J56</f>
        <v>0</v>
      </c>
      <c r="K56" s="298">
        <f>+'Q3F Interest Schedules RP'!K56</f>
        <v>0</v>
      </c>
      <c r="L56" s="298">
        <f>+'Q3F Interest Schedules RP'!L56</f>
        <v>0</v>
      </c>
      <c r="M56" s="298">
        <f>+'Q3F Interest Schedules RP'!M56</f>
        <v>0</v>
      </c>
      <c r="N56" s="281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270" customFormat="1" ht="15" customHeight="1" x14ac:dyDescent="0.25">
      <c r="A57" s="1" t="s">
        <v>149</v>
      </c>
      <c r="B57" s="289">
        <f>+'Q3F Interest Schedules RP'!B57</f>
        <v>3.7999999999999999E-2</v>
      </c>
      <c r="C57" s="289">
        <f>+'Q3F Interest Schedules RP'!C57</f>
        <v>3.7999999999999999E-2</v>
      </c>
      <c r="D57" s="289">
        <f>+'Q3F Interest Schedules RP'!D57</f>
        <v>3.7999999999999999E-2</v>
      </c>
      <c r="E57" s="289">
        <f>+'Q3F Interest Schedules RP'!E57</f>
        <v>3.7999999999999999E-2</v>
      </c>
      <c r="F57" s="289">
        <f>+'Q3F Interest Schedules RP'!F57</f>
        <v>3.7999999999999999E-2</v>
      </c>
      <c r="G57" s="289">
        <f>+'Q3F Interest Schedules RP'!G57</f>
        <v>3.7999999999999999E-2</v>
      </c>
      <c r="H57" s="289">
        <f>+'Q3F Interest Schedules RP'!H57</f>
        <v>3.7999999999999999E-2</v>
      </c>
      <c r="I57" s="289">
        <f>+'Q3F Interest Schedules RP'!I57</f>
        <v>3.7999999999999999E-2</v>
      </c>
      <c r="J57" s="289">
        <f>+'Q3F Interest Schedules RP'!J57</f>
        <v>3.7999999999999999E-2</v>
      </c>
      <c r="K57" s="289">
        <f>+'Q3F Interest Schedules RP'!K57</f>
        <v>3.7999999999999999E-2</v>
      </c>
      <c r="L57" s="289">
        <f>+'Q3F Interest Schedules RP'!L57</f>
        <v>3.7999999999999999E-2</v>
      </c>
      <c r="M57" s="289">
        <f>+'Q3F Interest Schedules RP'!M57</f>
        <v>3.7999999999999999E-2</v>
      </c>
      <c r="N57" s="286"/>
      <c r="O57" s="28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270" customFormat="1" ht="15" customHeight="1" x14ac:dyDescent="0.25">
      <c r="A58" s="1" t="s">
        <v>7</v>
      </c>
      <c r="B58" s="265">
        <f t="shared" ref="B58:M58" si="21">(B56*B57)/12</f>
        <v>512.6167408033333</v>
      </c>
      <c r="C58" s="265">
        <f t="shared" si="21"/>
        <v>501.10307238500008</v>
      </c>
      <c r="D58" s="265">
        <f t="shared" si="21"/>
        <v>545.26861076499995</v>
      </c>
      <c r="E58" s="265">
        <f t="shared" si="21"/>
        <v>561.32333662666667</v>
      </c>
      <c r="F58" s="265">
        <f t="shared" si="21"/>
        <v>520.11707427666659</v>
      </c>
      <c r="G58" s="265">
        <f t="shared" si="21"/>
        <v>0</v>
      </c>
      <c r="H58" s="265">
        <f t="shared" si="21"/>
        <v>0</v>
      </c>
      <c r="I58" s="265">
        <f t="shared" si="21"/>
        <v>0</v>
      </c>
      <c r="J58" s="265">
        <f t="shared" si="21"/>
        <v>0</v>
      </c>
      <c r="K58" s="265">
        <f t="shared" si="21"/>
        <v>0</v>
      </c>
      <c r="L58" s="265">
        <f t="shared" si="21"/>
        <v>0</v>
      </c>
      <c r="M58" s="265">
        <f t="shared" si="21"/>
        <v>0</v>
      </c>
      <c r="N58" s="265">
        <f>SUM(B58:M58)</f>
        <v>2640.4288348566665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270" customFormat="1" ht="15" customHeight="1" x14ac:dyDescent="0.25">
      <c r="A59" t="s">
        <v>384</v>
      </c>
      <c r="B59"/>
      <c r="C59"/>
      <c r="D59"/>
      <c r="E59"/>
      <c r="F59"/>
      <c r="G59"/>
      <c r="H59"/>
      <c r="I59"/>
      <c r="J59"/>
      <c r="K59"/>
      <c r="L59"/>
      <c r="M59"/>
      <c r="N59" s="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270" customFormat="1" ht="15" customHeight="1" x14ac:dyDescent="0.25">
      <c r="A60" s="1" t="s">
        <v>290</v>
      </c>
      <c r="B60" s="298">
        <f>+'Q3F Interest Schedules RP'!B60</f>
        <v>100000</v>
      </c>
      <c r="C60" s="298">
        <f>+'Q3F Interest Schedules RP'!C60</f>
        <v>100000</v>
      </c>
      <c r="D60" s="298">
        <f>+'Q3F Interest Schedules RP'!D60</f>
        <v>100000</v>
      </c>
      <c r="E60" s="298">
        <f>+'Q3F Interest Schedules RP'!E60</f>
        <v>100000</v>
      </c>
      <c r="F60" s="298">
        <f>+'Q3F Interest Schedules RP'!F60</f>
        <v>100000</v>
      </c>
      <c r="G60" s="298">
        <f>+'Q3F Interest Schedules RP'!G60</f>
        <v>118265.64174000002</v>
      </c>
      <c r="H60" s="298">
        <f>+'Q3F Interest Schedules RP'!H60</f>
        <v>133760.05127999972</v>
      </c>
      <c r="I60" s="298">
        <f>+'Q3F Interest Schedules RP'!I60</f>
        <v>124327.29631999985</v>
      </c>
      <c r="J60" s="298">
        <f>+'Q3F Interest Schedules RP'!J60</f>
        <v>141357.49864999991</v>
      </c>
      <c r="K60" s="298">
        <f>+'Q3F Interest Schedules RP'!K60</f>
        <v>150257.85579999955</v>
      </c>
      <c r="L60" s="298">
        <f>+'Q3F Interest Schedules RP'!L60</f>
        <v>158196.75796999983</v>
      </c>
      <c r="M60" s="298">
        <f>+'Q3F Interest Schedules RP'!M60</f>
        <v>174307.57298999961</v>
      </c>
      <c r="N60" s="281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270" customFormat="1" ht="15" customHeight="1" x14ac:dyDescent="0.25">
      <c r="A61" s="1" t="s">
        <v>149</v>
      </c>
      <c r="B61" s="289">
        <f>+'Q3F Interest Schedules RP'!B61</f>
        <v>3.7999999999999999E-2</v>
      </c>
      <c r="C61" s="289">
        <f>+'Q3F Interest Schedules RP'!C61</f>
        <v>3.7999999999999999E-2</v>
      </c>
      <c r="D61" s="289">
        <f>+'Q3F Interest Schedules RP'!D61</f>
        <v>3.7999999999999999E-2</v>
      </c>
      <c r="E61" s="289">
        <f>+'Q3F Interest Schedules RP'!E61</f>
        <v>3.7999999999999999E-2</v>
      </c>
      <c r="F61" s="289">
        <f>+'Q3F Interest Schedules RP'!F61</f>
        <v>3.7999999999999999E-2</v>
      </c>
      <c r="G61" s="289">
        <f>+'Q3F Interest Schedules RP'!G61</f>
        <v>3.7999999999999999E-2</v>
      </c>
      <c r="H61" s="289">
        <f>+'Q3F Interest Schedules RP'!H61</f>
        <v>3.7999999999999999E-2</v>
      </c>
      <c r="I61" s="289">
        <f>+'Q3F Interest Schedules RP'!I61</f>
        <v>3.7999999999999999E-2</v>
      </c>
      <c r="J61" s="289">
        <f>+'Q3F Interest Schedules RP'!J61</f>
        <v>3.7999999999999999E-2</v>
      </c>
      <c r="K61" s="289">
        <f>+'Q3F Interest Schedules RP'!K61</f>
        <v>3.7999999999999999E-2</v>
      </c>
      <c r="L61" s="289">
        <f>+'Q3F Interest Schedules RP'!L61</f>
        <v>3.7999999999999999E-2</v>
      </c>
      <c r="M61" s="289">
        <f>+'Q3F Interest Schedules RP'!M61</f>
        <v>3.7999999999999999E-2</v>
      </c>
      <c r="N61" s="286"/>
      <c r="O61" s="287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70" customFormat="1" ht="15" customHeight="1" x14ac:dyDescent="0.25">
      <c r="A62" s="1" t="s">
        <v>7</v>
      </c>
      <c r="B62" s="265">
        <f>(B60*B61)/12</f>
        <v>316.66666666666669</v>
      </c>
      <c r="C62" s="265">
        <f t="shared" ref="C62:M62" si="22">(C60*C61)/12</f>
        <v>316.66666666666669</v>
      </c>
      <c r="D62" s="265">
        <f t="shared" si="22"/>
        <v>316.66666666666669</v>
      </c>
      <c r="E62" s="265">
        <f t="shared" si="22"/>
        <v>316.66666666666669</v>
      </c>
      <c r="F62" s="265">
        <f t="shared" si="22"/>
        <v>316.66666666666669</v>
      </c>
      <c r="G62" s="265">
        <f t="shared" si="22"/>
        <v>374.50786551000004</v>
      </c>
      <c r="H62" s="265">
        <f t="shared" si="22"/>
        <v>423.57349571999913</v>
      </c>
      <c r="I62" s="265">
        <f t="shared" si="22"/>
        <v>393.70310501333284</v>
      </c>
      <c r="J62" s="265">
        <f t="shared" si="22"/>
        <v>447.63207905833298</v>
      </c>
      <c r="K62" s="265">
        <f t="shared" si="22"/>
        <v>475.81654336666526</v>
      </c>
      <c r="L62" s="265">
        <f t="shared" si="22"/>
        <v>500.95640023833283</v>
      </c>
      <c r="M62" s="265">
        <f t="shared" si="22"/>
        <v>551.97398113499878</v>
      </c>
      <c r="N62" s="265">
        <f>SUM(B62:M62)</f>
        <v>4751.4968033749965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270" customFormat="1" ht="15" customHeight="1" x14ac:dyDescent="0.25">
      <c r="A63" t="s">
        <v>404</v>
      </c>
      <c r="B63"/>
      <c r="C63"/>
      <c r="D63"/>
      <c r="E63"/>
      <c r="F63"/>
      <c r="G63"/>
      <c r="H63"/>
      <c r="I63"/>
      <c r="J63"/>
      <c r="K63"/>
      <c r="L63"/>
      <c r="M63"/>
      <c r="N63" s="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270" customFormat="1" ht="15" customHeight="1" x14ac:dyDescent="0.25">
      <c r="A64" s="1" t="s">
        <v>290</v>
      </c>
      <c r="B64" s="298">
        <f>+B40</f>
        <v>261878.97078</v>
      </c>
      <c r="C64" s="298">
        <f t="shared" ref="C64:M64" si="23">+C40</f>
        <v>258243.07549000002</v>
      </c>
      <c r="D64" s="298">
        <f t="shared" si="23"/>
        <v>272190.08760999999</v>
      </c>
      <c r="E64" s="298">
        <f t="shared" si="23"/>
        <v>277260.00104</v>
      </c>
      <c r="F64" s="298">
        <f t="shared" si="23"/>
        <v>264247.49713999999</v>
      </c>
      <c r="G64" s="298">
        <f t="shared" si="23"/>
        <v>118265.64174000002</v>
      </c>
      <c r="H64" s="298">
        <f t="shared" si="23"/>
        <v>133760.05127999972</v>
      </c>
      <c r="I64" s="298">
        <f t="shared" si="23"/>
        <v>124327.29631999985</v>
      </c>
      <c r="J64" s="298">
        <f t="shared" si="23"/>
        <v>141357.49864999991</v>
      </c>
      <c r="K64" s="298">
        <f t="shared" si="23"/>
        <v>150257.85579999955</v>
      </c>
      <c r="L64" s="298">
        <f t="shared" si="23"/>
        <v>158196.75796999983</v>
      </c>
      <c r="M64" s="298">
        <f t="shared" si="23"/>
        <v>174307.57298999961</v>
      </c>
      <c r="N64" s="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270" customFormat="1" ht="15" customHeight="1" x14ac:dyDescent="0.25">
      <c r="A65" s="1" t="s">
        <v>149</v>
      </c>
      <c r="B65" s="80">
        <f t="shared" ref="B65:M65" si="24">+B66/B64*12</f>
        <v>3.7999999999999992E-2</v>
      </c>
      <c r="C65" s="80">
        <f t="shared" si="24"/>
        <v>3.8000000000000006E-2</v>
      </c>
      <c r="D65" s="80">
        <f t="shared" si="24"/>
        <v>3.8000000000000006E-2</v>
      </c>
      <c r="E65" s="80">
        <f t="shared" si="24"/>
        <v>3.7999999999999999E-2</v>
      </c>
      <c r="F65" s="80">
        <f t="shared" si="24"/>
        <v>3.7999999999999992E-2</v>
      </c>
      <c r="G65" s="80">
        <f t="shared" si="24"/>
        <v>3.7999999999999999E-2</v>
      </c>
      <c r="H65" s="80">
        <f t="shared" si="24"/>
        <v>3.7999999999999999E-2</v>
      </c>
      <c r="I65" s="80">
        <f t="shared" si="24"/>
        <v>3.7999999999999999E-2</v>
      </c>
      <c r="J65" s="80">
        <f t="shared" si="24"/>
        <v>3.7999999999999992E-2</v>
      </c>
      <c r="K65" s="80">
        <f t="shared" si="24"/>
        <v>3.7999999999999999E-2</v>
      </c>
      <c r="L65" s="80">
        <f t="shared" si="24"/>
        <v>3.8000000000000006E-2</v>
      </c>
      <c r="M65" s="80">
        <f t="shared" si="24"/>
        <v>3.7999999999999999E-2</v>
      </c>
      <c r="N65" s="79"/>
      <c r="O65" t="s">
        <v>91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270" customFormat="1" ht="15" customHeight="1" x14ac:dyDescent="0.25">
      <c r="A66" s="1" t="s">
        <v>7</v>
      </c>
      <c r="B66" s="265">
        <f t="shared" ref="B66:M66" si="25">+B62+B58</f>
        <v>829.28340746999993</v>
      </c>
      <c r="C66" s="265">
        <f t="shared" si="25"/>
        <v>817.76973905166676</v>
      </c>
      <c r="D66" s="265">
        <f t="shared" si="25"/>
        <v>861.93527743166669</v>
      </c>
      <c r="E66" s="265">
        <f t="shared" si="25"/>
        <v>877.9900032933333</v>
      </c>
      <c r="F66" s="265">
        <f t="shared" si="25"/>
        <v>836.78374094333321</v>
      </c>
      <c r="G66" s="265">
        <f t="shared" si="25"/>
        <v>374.50786551000004</v>
      </c>
      <c r="H66" s="265">
        <f t="shared" si="25"/>
        <v>423.57349571999913</v>
      </c>
      <c r="I66" s="265">
        <f t="shared" si="25"/>
        <v>393.70310501333284</v>
      </c>
      <c r="J66" s="265">
        <f t="shared" si="25"/>
        <v>447.63207905833298</v>
      </c>
      <c r="K66" s="265">
        <f t="shared" si="25"/>
        <v>475.81654336666526</v>
      </c>
      <c r="L66" s="265">
        <f t="shared" si="25"/>
        <v>500.95640023833283</v>
      </c>
      <c r="M66" s="265">
        <f t="shared" si="25"/>
        <v>551.97398113499878</v>
      </c>
      <c r="N66" s="265">
        <f>SUM(B66:M66)</f>
        <v>7391.9256382316626</v>
      </c>
      <c r="O66" s="7">
        <f>+N66-N42</f>
        <v>1886.8862813380829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270" customFormat="1" ht="15" customHeight="1" x14ac:dyDescent="0.25">
      <c r="A67" s="275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7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</row>
    <row r="68" spans="1:49" s="270" customFormat="1" ht="15" customHeight="1" x14ac:dyDescent="0.25">
      <c r="A68" t="s">
        <v>405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7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270" customFormat="1" ht="15" customHeight="1" x14ac:dyDescent="0.25">
      <c r="A69" s="1" t="s">
        <v>290</v>
      </c>
      <c r="B69" s="6">
        <f t="shared" ref="B69:M69" si="26">+B64+B51</f>
        <v>831878.97077999997</v>
      </c>
      <c r="C69" s="6">
        <f t="shared" si="26"/>
        <v>828243.07548999996</v>
      </c>
      <c r="D69" s="6">
        <f t="shared" si="26"/>
        <v>842190.08761000005</v>
      </c>
      <c r="E69" s="6">
        <f t="shared" si="26"/>
        <v>847260.00104</v>
      </c>
      <c r="F69" s="6">
        <f t="shared" si="26"/>
        <v>834247.49713999999</v>
      </c>
      <c r="G69" s="6">
        <f t="shared" si="26"/>
        <v>688265.64173999999</v>
      </c>
      <c r="H69" s="6">
        <f t="shared" si="26"/>
        <v>883760.05127999978</v>
      </c>
      <c r="I69" s="6">
        <f t="shared" si="26"/>
        <v>874327.29631999985</v>
      </c>
      <c r="J69" s="6">
        <f t="shared" si="26"/>
        <v>891357.49864999996</v>
      </c>
      <c r="K69" s="6">
        <f t="shared" si="26"/>
        <v>900257.85579999955</v>
      </c>
      <c r="L69" s="6">
        <f t="shared" si="26"/>
        <v>908196.7579699998</v>
      </c>
      <c r="M69" s="6">
        <f t="shared" si="26"/>
        <v>924307.57298999955</v>
      </c>
      <c r="N69" s="6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270" customFormat="1" ht="15" customHeight="1" x14ac:dyDescent="0.25">
      <c r="A70" s="1" t="s">
        <v>149</v>
      </c>
      <c r="B70" s="80">
        <f>+B71/B69*12</f>
        <v>3.964446998668246E-2</v>
      </c>
      <c r="C70" s="80">
        <f t="shared" ref="C70:M70" si="27">+C71/C69*12</f>
        <v>3.9651689027633191E-2</v>
      </c>
      <c r="D70" s="80">
        <f t="shared" si="27"/>
        <v>3.962433638216066E-2</v>
      </c>
      <c r="E70" s="80">
        <f t="shared" si="27"/>
        <v>3.9614616526592546E-2</v>
      </c>
      <c r="F70" s="80">
        <f t="shared" si="27"/>
        <v>3.9639801143773079E-2</v>
      </c>
      <c r="G70" s="80">
        <f t="shared" si="27"/>
        <v>3.9987604664590795E-2</v>
      </c>
      <c r="H70" s="80">
        <f t="shared" si="27"/>
        <v>4.0260794654732562E-2</v>
      </c>
      <c r="I70" s="80">
        <f t="shared" si="27"/>
        <v>4.0285185431599223E-2</v>
      </c>
      <c r="J70" s="80">
        <f t="shared" si="27"/>
        <v>4.0241524868558413E-2</v>
      </c>
      <c r="K70" s="80">
        <f t="shared" si="27"/>
        <v>4.0219364137871937E-2</v>
      </c>
      <c r="L70" s="80">
        <f t="shared" si="27"/>
        <v>4.0199963810117451E-2</v>
      </c>
      <c r="M70" s="80">
        <f t="shared" si="27"/>
        <v>4.0161618121916667E-2</v>
      </c>
      <c r="N70" s="80"/>
      <c r="O70" t="s">
        <v>91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270" customFormat="1" ht="15" customHeight="1" x14ac:dyDescent="0.25">
      <c r="A71" s="1" t="s">
        <v>7</v>
      </c>
      <c r="B71" s="265">
        <f t="shared" ref="B71:M71" si="28">+B66+B53</f>
        <v>2748.2834074699999</v>
      </c>
      <c r="C71" s="265">
        <f t="shared" si="28"/>
        <v>2736.7697390516669</v>
      </c>
      <c r="D71" s="265">
        <f t="shared" si="28"/>
        <v>2780.9352774316667</v>
      </c>
      <c r="E71" s="265">
        <f t="shared" si="28"/>
        <v>2796.9900032933333</v>
      </c>
      <c r="F71" s="265">
        <f t="shared" si="28"/>
        <v>2755.7837409433332</v>
      </c>
      <c r="G71" s="265">
        <f t="shared" si="28"/>
        <v>2293.5078655100001</v>
      </c>
      <c r="H71" s="265">
        <f t="shared" si="28"/>
        <v>2965.0734957199993</v>
      </c>
      <c r="I71" s="265">
        <f t="shared" si="28"/>
        <v>2935.2031050133328</v>
      </c>
      <c r="J71" s="265">
        <f t="shared" si="28"/>
        <v>2989.1320790583331</v>
      </c>
      <c r="K71" s="265">
        <f t="shared" si="28"/>
        <v>3017.3165433666654</v>
      </c>
      <c r="L71" s="265">
        <f t="shared" si="28"/>
        <v>3042.4564002383327</v>
      </c>
      <c r="M71" s="265">
        <f t="shared" si="28"/>
        <v>3093.4739811349987</v>
      </c>
      <c r="N71" s="265">
        <f>SUM(B71:M71)</f>
        <v>34154.925638231667</v>
      </c>
      <c r="O71" s="7">
        <f>+N71-N47</f>
        <v>3506.4082922418493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ht="15" customHeight="1" x14ac:dyDescent="0.25">
      <c r="A72" s="279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80"/>
      <c r="O72" s="279"/>
    </row>
    <row r="73" spans="1:49" ht="15" customHeight="1" x14ac:dyDescent="0.25">
      <c r="A73" s="4" t="s">
        <v>420</v>
      </c>
      <c r="B73" s="4" t="s">
        <v>277</v>
      </c>
      <c r="C73" s="4" t="s">
        <v>278</v>
      </c>
      <c r="D73" s="4" t="s">
        <v>279</v>
      </c>
      <c r="E73" s="4" t="s">
        <v>280</v>
      </c>
      <c r="F73" s="4" t="s">
        <v>281</v>
      </c>
      <c r="G73" s="4" t="s">
        <v>282</v>
      </c>
      <c r="H73" s="4" t="s">
        <v>283</v>
      </c>
      <c r="I73" s="4" t="s">
        <v>284</v>
      </c>
      <c r="J73" s="4" t="s">
        <v>285</v>
      </c>
      <c r="K73" s="4" t="s">
        <v>286</v>
      </c>
      <c r="L73" s="4" t="s">
        <v>287</v>
      </c>
      <c r="M73" s="4" t="s">
        <v>288</v>
      </c>
      <c r="N73" s="265" t="s">
        <v>228</v>
      </c>
    </row>
    <row r="74" spans="1:49" ht="15" customHeight="1" x14ac:dyDescent="0.25">
      <c r="A74" t="s">
        <v>289</v>
      </c>
      <c r="N74"/>
    </row>
    <row r="75" spans="1:49" ht="15" customHeight="1" x14ac:dyDescent="0.25">
      <c r="A75" s="1" t="s">
        <v>290</v>
      </c>
      <c r="B75" s="298">
        <f>+B51</f>
        <v>570000</v>
      </c>
      <c r="C75" s="298">
        <f t="shared" ref="C75:M75" si="29">+C51</f>
        <v>570000</v>
      </c>
      <c r="D75" s="298">
        <f t="shared" si="29"/>
        <v>570000</v>
      </c>
      <c r="E75" s="298">
        <f t="shared" si="29"/>
        <v>570000</v>
      </c>
      <c r="F75" s="298">
        <f t="shared" si="29"/>
        <v>570000</v>
      </c>
      <c r="G75" s="298">
        <f t="shared" si="29"/>
        <v>570000</v>
      </c>
      <c r="H75" s="298">
        <f t="shared" si="29"/>
        <v>750000</v>
      </c>
      <c r="I75" s="298">
        <f t="shared" si="29"/>
        <v>750000</v>
      </c>
      <c r="J75" s="298">
        <f t="shared" si="29"/>
        <v>750000</v>
      </c>
      <c r="K75" s="298">
        <f t="shared" si="29"/>
        <v>750000</v>
      </c>
      <c r="L75" s="298">
        <f t="shared" si="29"/>
        <v>750000</v>
      </c>
      <c r="M75" s="298">
        <f t="shared" si="29"/>
        <v>750000</v>
      </c>
      <c r="N75"/>
    </row>
    <row r="76" spans="1:49" ht="15" customHeight="1" x14ac:dyDescent="0.25">
      <c r="A76" s="1" t="s">
        <v>149</v>
      </c>
      <c r="B76" s="289">
        <f>+'Q3F Interest Schedules RP'!B76</f>
        <v>4.0399999999999998E-2</v>
      </c>
      <c r="C76" s="289">
        <f>+'Q3F Interest Schedules RP'!C76</f>
        <v>4.0399999999999998E-2</v>
      </c>
      <c r="D76" s="289">
        <f>+'Q3F Interest Schedules RP'!D76</f>
        <v>4.0399999999999998E-2</v>
      </c>
      <c r="E76" s="289">
        <f>+'Q3F Interest Schedules RP'!E76</f>
        <v>4.0399999999999998E-2</v>
      </c>
      <c r="F76" s="289">
        <f>+'Q3F Interest Schedules RP'!F76</f>
        <v>4.0399999999999998E-2</v>
      </c>
      <c r="G76" s="289">
        <f>+'Q3F Interest Schedules RP'!G76</f>
        <v>4.0399999999999998E-2</v>
      </c>
      <c r="H76" s="289">
        <f>+'Q3F Interest Schedules RP'!H76</f>
        <v>4.4999999999999998E-2</v>
      </c>
      <c r="I76" s="289">
        <f>+'Q3F Interest Schedules RP'!I76</f>
        <v>4.4999999999999998E-2</v>
      </c>
      <c r="J76" s="289">
        <f>+'Q3F Interest Schedules RP'!J76</f>
        <v>4.4999999999999998E-2</v>
      </c>
      <c r="K76" s="289">
        <f>+'Q3F Interest Schedules RP'!K76</f>
        <v>4.4999999999999998E-2</v>
      </c>
      <c r="L76" s="289">
        <f>+'Q3F Interest Schedules RP'!L76</f>
        <v>4.4999999999999998E-2</v>
      </c>
      <c r="M76" s="289">
        <f>+'Q3F Interest Schedules RP'!M76</f>
        <v>4.4999999999999998E-2</v>
      </c>
      <c r="N76" s="189"/>
      <c r="O76" t="s">
        <v>91</v>
      </c>
    </row>
    <row r="77" spans="1:49" ht="15" customHeight="1" x14ac:dyDescent="0.25">
      <c r="A77" s="1" t="s">
        <v>7</v>
      </c>
      <c r="B77" s="265">
        <f t="shared" ref="B77:M77" si="30">(B75*B76)/12</f>
        <v>1919</v>
      </c>
      <c r="C77" s="265">
        <f t="shared" si="30"/>
        <v>1919</v>
      </c>
      <c r="D77" s="265">
        <f t="shared" si="30"/>
        <v>1919</v>
      </c>
      <c r="E77" s="265">
        <f t="shared" si="30"/>
        <v>1919</v>
      </c>
      <c r="F77" s="265">
        <f t="shared" si="30"/>
        <v>1919</v>
      </c>
      <c r="G77" s="265">
        <f t="shared" si="30"/>
        <v>1919</v>
      </c>
      <c r="H77" s="265">
        <f t="shared" si="30"/>
        <v>2812.5</v>
      </c>
      <c r="I77" s="265">
        <f t="shared" si="30"/>
        <v>2812.5</v>
      </c>
      <c r="J77" s="265">
        <f t="shared" si="30"/>
        <v>2812.5</v>
      </c>
      <c r="K77" s="265">
        <f t="shared" si="30"/>
        <v>2812.5</v>
      </c>
      <c r="L77" s="265">
        <f t="shared" si="30"/>
        <v>2812.5</v>
      </c>
      <c r="M77" s="265">
        <f t="shared" si="30"/>
        <v>2812.5</v>
      </c>
      <c r="N77" s="265">
        <f>SUM(B77:M77)</f>
        <v>28389</v>
      </c>
      <c r="O77" s="7">
        <f>+N77-N53</f>
        <v>1626</v>
      </c>
    </row>
    <row r="78" spans="1:49" ht="15" customHeight="1" x14ac:dyDescent="0.25">
      <c r="A78" s="273"/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3"/>
    </row>
    <row r="79" spans="1:49" ht="15" customHeight="1" x14ac:dyDescent="0.25">
      <c r="A79" t="s">
        <v>393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49" ht="15" customHeight="1" x14ac:dyDescent="0.25">
      <c r="A80" s="1" t="s">
        <v>290</v>
      </c>
      <c r="B80" s="298">
        <f>+B56</f>
        <v>161878.97078</v>
      </c>
      <c r="C80" s="298">
        <f t="shared" ref="C80:M80" si="31">+C56</f>
        <v>158243.07549000002</v>
      </c>
      <c r="D80" s="298">
        <f t="shared" si="31"/>
        <v>172190.08760999999</v>
      </c>
      <c r="E80" s="298">
        <f t="shared" si="31"/>
        <v>177260.00104</v>
      </c>
      <c r="F80" s="298">
        <f t="shared" si="31"/>
        <v>164247.49713999999</v>
      </c>
      <c r="G80" s="298">
        <f t="shared" si="31"/>
        <v>0</v>
      </c>
      <c r="H80" s="298">
        <f t="shared" si="31"/>
        <v>0</v>
      </c>
      <c r="I80" s="298">
        <f t="shared" si="31"/>
        <v>0</v>
      </c>
      <c r="J80" s="298">
        <f t="shared" si="31"/>
        <v>0</v>
      </c>
      <c r="K80" s="298">
        <f t="shared" si="31"/>
        <v>0</v>
      </c>
      <c r="L80" s="298">
        <f t="shared" si="31"/>
        <v>0</v>
      </c>
      <c r="M80" s="298">
        <f t="shared" si="31"/>
        <v>0</v>
      </c>
      <c r="N80" s="281"/>
    </row>
    <row r="81" spans="1:15" ht="15" customHeight="1" x14ac:dyDescent="0.25">
      <c r="A81" s="1" t="s">
        <v>149</v>
      </c>
      <c r="B81" s="289">
        <f>+'Q3F Interest Schedules RP'!B81</f>
        <v>3.7999999999999999E-2</v>
      </c>
      <c r="C81" s="289">
        <f>+'Q3F Interest Schedules RP'!C81</f>
        <v>3.7999999999999999E-2</v>
      </c>
      <c r="D81" s="289">
        <f>+'Q3F Interest Schedules RP'!D81</f>
        <v>3.7999999999999999E-2</v>
      </c>
      <c r="E81" s="289">
        <f>+'Q3F Interest Schedules RP'!E81</f>
        <v>3.7999999999999999E-2</v>
      </c>
      <c r="F81" s="289">
        <f>+'Q3F Interest Schedules RP'!F81</f>
        <v>3.7999999999999999E-2</v>
      </c>
      <c r="G81" s="289">
        <f>+'Q3F Interest Schedules RP'!G81</f>
        <v>0</v>
      </c>
      <c r="H81" s="289">
        <f>+'Q3F Interest Schedules RP'!H81</f>
        <v>0</v>
      </c>
      <c r="I81" s="289">
        <f>+'Q3F Interest Schedules RP'!I81</f>
        <v>0</v>
      </c>
      <c r="J81" s="289">
        <f>+'Q3F Interest Schedules RP'!J81</f>
        <v>0</v>
      </c>
      <c r="K81" s="289">
        <f>+'Q3F Interest Schedules RP'!K81</f>
        <v>0</v>
      </c>
      <c r="L81" s="289">
        <f>+'Q3F Interest Schedules RP'!L81</f>
        <v>0</v>
      </c>
      <c r="M81" s="289">
        <f>+'Q3F Interest Schedules RP'!M81</f>
        <v>0</v>
      </c>
      <c r="N81" s="286"/>
      <c r="O81" s="287"/>
    </row>
    <row r="82" spans="1:15" ht="15" customHeight="1" x14ac:dyDescent="0.25">
      <c r="A82" s="1" t="s">
        <v>7</v>
      </c>
      <c r="B82" s="265">
        <f t="shared" ref="B82:M82" si="32">(B80*B81)/12</f>
        <v>512.6167408033333</v>
      </c>
      <c r="C82" s="265">
        <f t="shared" si="32"/>
        <v>501.10307238500008</v>
      </c>
      <c r="D82" s="265">
        <f t="shared" si="32"/>
        <v>545.26861076499995</v>
      </c>
      <c r="E82" s="265">
        <f t="shared" si="32"/>
        <v>561.32333662666667</v>
      </c>
      <c r="F82" s="265">
        <f t="shared" si="32"/>
        <v>520.11707427666659</v>
      </c>
      <c r="G82" s="265">
        <f t="shared" si="32"/>
        <v>0</v>
      </c>
      <c r="H82" s="265">
        <f t="shared" si="32"/>
        <v>0</v>
      </c>
      <c r="I82" s="265">
        <f t="shared" si="32"/>
        <v>0</v>
      </c>
      <c r="J82" s="265">
        <f t="shared" si="32"/>
        <v>0</v>
      </c>
      <c r="K82" s="265">
        <f t="shared" si="32"/>
        <v>0</v>
      </c>
      <c r="L82" s="265">
        <f t="shared" si="32"/>
        <v>0</v>
      </c>
      <c r="M82" s="265">
        <f t="shared" si="32"/>
        <v>0</v>
      </c>
      <c r="N82" s="265">
        <f>SUM(B82:M82)</f>
        <v>2640.4288348566665</v>
      </c>
    </row>
    <row r="83" spans="1:15" ht="15" customHeight="1" x14ac:dyDescent="0.25">
      <c r="A83" t="s">
        <v>384</v>
      </c>
    </row>
    <row r="84" spans="1:15" ht="15" customHeight="1" x14ac:dyDescent="0.25">
      <c r="A84" s="1" t="s">
        <v>290</v>
      </c>
      <c r="B84" s="298">
        <f>+B60</f>
        <v>100000</v>
      </c>
      <c r="C84" s="298">
        <f t="shared" ref="C84:M84" si="33">+C60</f>
        <v>100000</v>
      </c>
      <c r="D84" s="298">
        <f t="shared" si="33"/>
        <v>100000</v>
      </c>
      <c r="E84" s="298">
        <f t="shared" si="33"/>
        <v>100000</v>
      </c>
      <c r="F84" s="298">
        <f t="shared" si="33"/>
        <v>100000</v>
      </c>
      <c r="G84" s="298">
        <f t="shared" si="33"/>
        <v>118265.64174000002</v>
      </c>
      <c r="H84" s="298">
        <f t="shared" si="33"/>
        <v>133760.05127999972</v>
      </c>
      <c r="I84" s="298">
        <f t="shared" si="33"/>
        <v>124327.29631999985</v>
      </c>
      <c r="J84" s="298">
        <f t="shared" si="33"/>
        <v>141357.49864999991</v>
      </c>
      <c r="K84" s="298">
        <f t="shared" si="33"/>
        <v>150257.85579999955</v>
      </c>
      <c r="L84" s="298">
        <f t="shared" si="33"/>
        <v>158196.75796999983</v>
      </c>
      <c r="M84" s="298">
        <f t="shared" si="33"/>
        <v>174307.57298999961</v>
      </c>
      <c r="N84" s="281"/>
    </row>
    <row r="85" spans="1:15" ht="15" customHeight="1" x14ac:dyDescent="0.25">
      <c r="A85" s="1" t="s">
        <v>149</v>
      </c>
      <c r="B85" s="289">
        <f>+'Q3F Interest Schedules RP'!B85</f>
        <v>3.7999999999999999E-2</v>
      </c>
      <c r="C85" s="289">
        <f>+'Q3F Interest Schedules RP'!C85</f>
        <v>3.7999999999999999E-2</v>
      </c>
      <c r="D85" s="289">
        <f>+'Q3F Interest Schedules RP'!D85</f>
        <v>3.7999999999999999E-2</v>
      </c>
      <c r="E85" s="289">
        <f>+'Q3F Interest Schedules RP'!E85</f>
        <v>3.7999999999999999E-2</v>
      </c>
      <c r="F85" s="289">
        <f>+'Q3F Interest Schedules RP'!F85</f>
        <v>3.7999999999999999E-2</v>
      </c>
      <c r="G85" s="289">
        <f>+'Q3F Interest Schedules RP'!G85</f>
        <v>3.7999999999999999E-2</v>
      </c>
      <c r="H85" s="289">
        <f>+'Q3F Interest Schedules RP'!H85</f>
        <v>4.4999999999999998E-2</v>
      </c>
      <c r="I85" s="289">
        <f>+'Q3F Interest Schedules RP'!I85</f>
        <v>4.4999999999999998E-2</v>
      </c>
      <c r="J85" s="289">
        <f>+'Q3F Interest Schedules RP'!J85</f>
        <v>4.4999999999999998E-2</v>
      </c>
      <c r="K85" s="289">
        <f>+'Q3F Interest Schedules RP'!K85</f>
        <v>4.4999999999999998E-2</v>
      </c>
      <c r="L85" s="289">
        <f>+'Q3F Interest Schedules RP'!L85</f>
        <v>4.4999999999999998E-2</v>
      </c>
      <c r="M85" s="289">
        <f>+'Q3F Interest Schedules RP'!M85</f>
        <v>4.4999999999999998E-2</v>
      </c>
      <c r="N85" s="286"/>
      <c r="O85" s="287"/>
    </row>
    <row r="86" spans="1:15" ht="15" customHeight="1" x14ac:dyDescent="0.25">
      <c r="A86" s="1" t="s">
        <v>7</v>
      </c>
      <c r="B86" s="265">
        <f>(B84*B85)/12</f>
        <v>316.66666666666669</v>
      </c>
      <c r="C86" s="265">
        <f t="shared" ref="C86:M86" si="34">(C84*C85)/12</f>
        <v>316.66666666666669</v>
      </c>
      <c r="D86" s="265">
        <f t="shared" si="34"/>
        <v>316.66666666666669</v>
      </c>
      <c r="E86" s="265">
        <f t="shared" si="34"/>
        <v>316.66666666666669</v>
      </c>
      <c r="F86" s="265">
        <f t="shared" si="34"/>
        <v>316.66666666666669</v>
      </c>
      <c r="G86" s="265">
        <f t="shared" si="34"/>
        <v>374.50786551000004</v>
      </c>
      <c r="H86" s="265">
        <f t="shared" si="34"/>
        <v>501.60019229999898</v>
      </c>
      <c r="I86" s="265">
        <f t="shared" si="34"/>
        <v>466.22736119999945</v>
      </c>
      <c r="J86" s="265">
        <f t="shared" si="34"/>
        <v>530.09061993749958</v>
      </c>
      <c r="K86" s="265">
        <f t="shared" si="34"/>
        <v>563.46695924999824</v>
      </c>
      <c r="L86" s="265">
        <f t="shared" si="34"/>
        <v>593.23784238749931</v>
      </c>
      <c r="M86" s="265">
        <f t="shared" si="34"/>
        <v>653.65339871249853</v>
      </c>
      <c r="N86" s="265">
        <f>SUM(B86:M86)</f>
        <v>5266.1175726308275</v>
      </c>
    </row>
    <row r="87" spans="1:15" ht="15" customHeight="1" x14ac:dyDescent="0.25">
      <c r="A87" t="s">
        <v>404</v>
      </c>
    </row>
    <row r="88" spans="1:15" ht="15" customHeight="1" x14ac:dyDescent="0.25">
      <c r="A88" s="1" t="s">
        <v>290</v>
      </c>
      <c r="B88" s="298">
        <f>+B64</f>
        <v>261878.97078</v>
      </c>
      <c r="C88" s="298">
        <f t="shared" ref="C88:M88" si="35">+C64</f>
        <v>258243.07549000002</v>
      </c>
      <c r="D88" s="298">
        <f t="shared" si="35"/>
        <v>272190.08760999999</v>
      </c>
      <c r="E88" s="298">
        <f t="shared" si="35"/>
        <v>277260.00104</v>
      </c>
      <c r="F88" s="298">
        <f t="shared" si="35"/>
        <v>264247.49713999999</v>
      </c>
      <c r="G88" s="298">
        <f t="shared" si="35"/>
        <v>118265.64174000002</v>
      </c>
      <c r="H88" s="298">
        <f t="shared" si="35"/>
        <v>133760.05127999972</v>
      </c>
      <c r="I88" s="298">
        <f t="shared" si="35"/>
        <v>124327.29631999985</v>
      </c>
      <c r="J88" s="298">
        <f t="shared" si="35"/>
        <v>141357.49864999991</v>
      </c>
      <c r="K88" s="298">
        <f t="shared" si="35"/>
        <v>150257.85579999955</v>
      </c>
      <c r="L88" s="298">
        <f t="shared" si="35"/>
        <v>158196.75796999983</v>
      </c>
      <c r="M88" s="298">
        <f t="shared" si="35"/>
        <v>174307.57298999961</v>
      </c>
    </row>
    <row r="89" spans="1:15" ht="15" customHeight="1" x14ac:dyDescent="0.25">
      <c r="A89" s="1" t="s">
        <v>149</v>
      </c>
      <c r="B89" s="80">
        <f t="shared" ref="B89:M89" si="36">+B90/B88*12</f>
        <v>3.7999999999999992E-2</v>
      </c>
      <c r="C89" s="80">
        <f t="shared" si="36"/>
        <v>3.8000000000000006E-2</v>
      </c>
      <c r="D89" s="80">
        <f t="shared" si="36"/>
        <v>3.8000000000000006E-2</v>
      </c>
      <c r="E89" s="80">
        <f t="shared" si="36"/>
        <v>3.7999999999999999E-2</v>
      </c>
      <c r="F89" s="80">
        <f t="shared" si="36"/>
        <v>3.7999999999999992E-2</v>
      </c>
      <c r="G89" s="80">
        <f t="shared" si="36"/>
        <v>3.7999999999999999E-2</v>
      </c>
      <c r="H89" s="80">
        <f t="shared" si="36"/>
        <v>4.5000000000000005E-2</v>
      </c>
      <c r="I89" s="80">
        <f t="shared" si="36"/>
        <v>4.5000000000000005E-2</v>
      </c>
      <c r="J89" s="80">
        <f t="shared" si="36"/>
        <v>4.4999999999999991E-2</v>
      </c>
      <c r="K89" s="80">
        <f t="shared" si="36"/>
        <v>4.4999999999999991E-2</v>
      </c>
      <c r="L89" s="80">
        <f t="shared" si="36"/>
        <v>4.4999999999999998E-2</v>
      </c>
      <c r="M89" s="80">
        <f t="shared" si="36"/>
        <v>4.4999999999999998E-2</v>
      </c>
      <c r="N89" s="79"/>
      <c r="O89" t="s">
        <v>91</v>
      </c>
    </row>
    <row r="90" spans="1:15" ht="15" customHeight="1" x14ac:dyDescent="0.25">
      <c r="A90" s="1" t="s">
        <v>7</v>
      </c>
      <c r="B90" s="265">
        <f t="shared" ref="B90:M90" si="37">+B86+B82</f>
        <v>829.28340746999993</v>
      </c>
      <c r="C90" s="265">
        <f t="shared" si="37"/>
        <v>817.76973905166676</v>
      </c>
      <c r="D90" s="265">
        <f t="shared" si="37"/>
        <v>861.93527743166669</v>
      </c>
      <c r="E90" s="265">
        <f t="shared" si="37"/>
        <v>877.9900032933333</v>
      </c>
      <c r="F90" s="265">
        <f t="shared" si="37"/>
        <v>836.78374094333321</v>
      </c>
      <c r="G90" s="265">
        <f t="shared" si="37"/>
        <v>374.50786551000004</v>
      </c>
      <c r="H90" s="265">
        <f t="shared" si="37"/>
        <v>501.60019229999898</v>
      </c>
      <c r="I90" s="265">
        <f t="shared" si="37"/>
        <v>466.22736119999945</v>
      </c>
      <c r="J90" s="265">
        <f t="shared" si="37"/>
        <v>530.09061993749958</v>
      </c>
      <c r="K90" s="265">
        <f t="shared" si="37"/>
        <v>563.46695924999824</v>
      </c>
      <c r="L90" s="265">
        <f t="shared" si="37"/>
        <v>593.23784238749931</v>
      </c>
      <c r="M90" s="265">
        <f t="shared" si="37"/>
        <v>653.65339871249853</v>
      </c>
      <c r="N90" s="265">
        <f>SUM(B90:M90)</f>
        <v>7906.5464074874944</v>
      </c>
      <c r="O90" s="7">
        <f>+N90-N66</f>
        <v>514.62076925583187</v>
      </c>
    </row>
    <row r="91" spans="1:15" ht="15" customHeight="1" x14ac:dyDescent="0.25">
      <c r="A91" s="275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7"/>
      <c r="O91" s="273"/>
    </row>
    <row r="92" spans="1:15" ht="15" customHeight="1" x14ac:dyDescent="0.25">
      <c r="A92" t="s">
        <v>405</v>
      </c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7"/>
    </row>
    <row r="93" spans="1:15" ht="15" customHeight="1" x14ac:dyDescent="0.25">
      <c r="A93" s="1" t="s">
        <v>290</v>
      </c>
      <c r="B93" s="6">
        <f t="shared" ref="B93:M93" si="38">+B88+B75</f>
        <v>831878.97077999997</v>
      </c>
      <c r="C93" s="6">
        <f t="shared" si="38"/>
        <v>828243.07548999996</v>
      </c>
      <c r="D93" s="6">
        <f t="shared" si="38"/>
        <v>842190.08761000005</v>
      </c>
      <c r="E93" s="6">
        <f t="shared" si="38"/>
        <v>847260.00104</v>
      </c>
      <c r="F93" s="6">
        <f t="shared" si="38"/>
        <v>834247.49713999999</v>
      </c>
      <c r="G93" s="6">
        <f t="shared" si="38"/>
        <v>688265.64173999999</v>
      </c>
      <c r="H93" s="6">
        <f t="shared" si="38"/>
        <v>883760.05127999978</v>
      </c>
      <c r="I93" s="6">
        <f t="shared" si="38"/>
        <v>874327.29631999985</v>
      </c>
      <c r="J93" s="6">
        <f t="shared" si="38"/>
        <v>891357.49864999996</v>
      </c>
      <c r="K93" s="6">
        <f t="shared" si="38"/>
        <v>900257.85579999955</v>
      </c>
      <c r="L93" s="6">
        <f t="shared" si="38"/>
        <v>908196.7579699998</v>
      </c>
      <c r="M93" s="6">
        <f t="shared" si="38"/>
        <v>924307.57298999955</v>
      </c>
    </row>
    <row r="94" spans="1:15" ht="15" customHeight="1" x14ac:dyDescent="0.25">
      <c r="A94" s="1" t="s">
        <v>149</v>
      </c>
      <c r="B94" s="80">
        <f>+B95/B93*12</f>
        <v>3.964446998668246E-2</v>
      </c>
      <c r="C94" s="80">
        <f t="shared" ref="C94:M94" si="39">+C95/C93*12</f>
        <v>3.9651689027633191E-2</v>
      </c>
      <c r="D94" s="80">
        <f t="shared" si="39"/>
        <v>3.962433638216066E-2</v>
      </c>
      <c r="E94" s="80">
        <f t="shared" si="39"/>
        <v>3.9614616526592546E-2</v>
      </c>
      <c r="F94" s="80">
        <f t="shared" si="39"/>
        <v>3.9639801143773079E-2</v>
      </c>
      <c r="G94" s="80">
        <f t="shared" si="39"/>
        <v>3.9987604664590795E-2</v>
      </c>
      <c r="H94" s="80">
        <f t="shared" si="39"/>
        <v>4.4999999999999998E-2</v>
      </c>
      <c r="I94" s="80">
        <f t="shared" si="39"/>
        <v>4.4999999999999998E-2</v>
      </c>
      <c r="J94" s="80">
        <f t="shared" si="39"/>
        <v>4.4999999999999991E-2</v>
      </c>
      <c r="K94" s="80">
        <f t="shared" si="39"/>
        <v>4.4999999999999998E-2</v>
      </c>
      <c r="L94" s="80">
        <f t="shared" si="39"/>
        <v>4.4999999999999998E-2</v>
      </c>
      <c r="M94" s="80">
        <f t="shared" si="39"/>
        <v>4.5000000000000005E-2</v>
      </c>
      <c r="N94" s="80"/>
      <c r="O94" t="s">
        <v>91</v>
      </c>
    </row>
    <row r="95" spans="1:15" ht="15" customHeight="1" x14ac:dyDescent="0.25">
      <c r="A95" s="1" t="s">
        <v>7</v>
      </c>
      <c r="B95" s="265">
        <f t="shared" ref="B95:M95" si="40">+B90+B77</f>
        <v>2748.2834074699999</v>
      </c>
      <c r="C95" s="265">
        <f t="shared" si="40"/>
        <v>2736.7697390516669</v>
      </c>
      <c r="D95" s="265">
        <f t="shared" si="40"/>
        <v>2780.9352774316667</v>
      </c>
      <c r="E95" s="265">
        <f t="shared" si="40"/>
        <v>2796.9900032933333</v>
      </c>
      <c r="F95" s="265">
        <f t="shared" si="40"/>
        <v>2755.7837409433332</v>
      </c>
      <c r="G95" s="265">
        <f t="shared" si="40"/>
        <v>2293.5078655100001</v>
      </c>
      <c r="H95" s="265">
        <f t="shared" si="40"/>
        <v>3314.100192299999</v>
      </c>
      <c r="I95" s="265">
        <f t="shared" si="40"/>
        <v>3278.7273611999995</v>
      </c>
      <c r="J95" s="265">
        <f t="shared" si="40"/>
        <v>3342.5906199374995</v>
      </c>
      <c r="K95" s="265">
        <f t="shared" si="40"/>
        <v>3375.9669592499981</v>
      </c>
      <c r="L95" s="265">
        <f t="shared" si="40"/>
        <v>3405.7378423874993</v>
      </c>
      <c r="M95" s="265">
        <f t="shared" si="40"/>
        <v>3466.1533987124985</v>
      </c>
      <c r="N95" s="265">
        <f>SUM(B95:M95)</f>
        <v>36295.546407487498</v>
      </c>
      <c r="O95" s="7">
        <f>+N95-N71</f>
        <v>2140.620769255831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CB10-1AD2-463A-AD8B-72E0B19C6475}">
  <sheetPr>
    <tabColor theme="2"/>
  </sheetPr>
  <dimension ref="A1:AW8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K54" sqref="K54"/>
    </sheetView>
    <sheetView topLeftCell="A31" workbookViewId="1">
      <selection activeCell="D36" sqref="D36"/>
    </sheetView>
  </sheetViews>
  <sheetFormatPr defaultRowHeight="15" customHeight="1" x14ac:dyDescent="0.25"/>
  <cols>
    <col min="1" max="1" width="39" customWidth="1"/>
    <col min="2" max="13" width="10.5703125" bestFit="1" customWidth="1"/>
    <col min="14" max="14" width="8.42578125" style="6" bestFit="1" customWidth="1"/>
    <col min="15" max="15" width="15" bestFit="1" customWidth="1"/>
    <col min="17" max="17" width="33.7109375" customWidth="1"/>
    <col min="18" max="18" width="10.5703125" bestFit="1" customWidth="1"/>
    <col min="19" max="19" width="16.42578125" bestFit="1" customWidth="1"/>
    <col min="20" max="20" width="15.85546875" bestFit="1" customWidth="1"/>
    <col min="22" max="22" width="11.85546875" bestFit="1" customWidth="1"/>
  </cols>
  <sheetData>
    <row r="1" spans="1:18" ht="15" customHeight="1" x14ac:dyDescent="0.25">
      <c r="A1" s="4" t="s">
        <v>410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265" t="s">
        <v>228</v>
      </c>
    </row>
    <row r="2" spans="1:18" ht="15" customHeight="1" x14ac:dyDescent="0.25">
      <c r="A2" t="s">
        <v>289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/>
      <c r="Q2" t="s">
        <v>422</v>
      </c>
      <c r="R2" s="278">
        <f>ROUND(+O47/1000,1)</f>
        <v>0.8</v>
      </c>
    </row>
    <row r="3" spans="1:18" ht="15" customHeight="1" x14ac:dyDescent="0.25">
      <c r="A3" s="1" t="s">
        <v>290</v>
      </c>
      <c r="B3" s="298">
        <f>+'Q3F Interest Schedules RP'!B75</f>
        <v>570000</v>
      </c>
      <c r="C3" s="298">
        <f>+'Q3F Interest Schedules RP'!C75</f>
        <v>570000</v>
      </c>
      <c r="D3" s="298">
        <f>+'Q3F Interest Schedules RP'!D75</f>
        <v>570000</v>
      </c>
      <c r="E3" s="298">
        <f>+'Q3F Interest Schedules RP'!E75</f>
        <v>570000</v>
      </c>
      <c r="F3" s="298">
        <f>+'Q3F Interest Schedules RP'!F75</f>
        <v>570000</v>
      </c>
      <c r="G3" s="298">
        <f>+'Q3F Interest Schedules RP'!G75</f>
        <v>570000</v>
      </c>
      <c r="H3" s="298">
        <f>+'Q3F Interest Schedules RP'!H75</f>
        <v>750000</v>
      </c>
      <c r="I3" s="298">
        <f>+'Q3F Interest Schedules RP'!I75</f>
        <v>750000</v>
      </c>
      <c r="J3" s="298">
        <f>+'Q3F Interest Schedules RP'!J75</f>
        <v>750000</v>
      </c>
      <c r="K3" s="298">
        <f>+'Q3F Interest Schedules RP'!K75</f>
        <v>750000</v>
      </c>
      <c r="L3" s="298">
        <f>+'Q3F Interest Schedules RP'!L75</f>
        <v>750000</v>
      </c>
      <c r="M3" s="298">
        <f>+'Q3F Interest Schedules RP'!M75</f>
        <v>750000</v>
      </c>
      <c r="N3"/>
      <c r="Q3" t="s">
        <v>411</v>
      </c>
      <c r="R3" s="278">
        <f>-ROUND(+O71/1000,1)</f>
        <v>5.3</v>
      </c>
    </row>
    <row r="4" spans="1:18" ht="15" customHeight="1" x14ac:dyDescent="0.25">
      <c r="A4" s="1" t="s">
        <v>149</v>
      </c>
      <c r="B4" s="290">
        <f>+'Q3F Interest Schedules RP'!B76</f>
        <v>4.0399999999999998E-2</v>
      </c>
      <c r="C4" s="290">
        <f>+'Q3F Interest Schedules RP'!C76</f>
        <v>4.0399999999999998E-2</v>
      </c>
      <c r="D4" s="290">
        <f>+'Q3F Interest Schedules RP'!D76</f>
        <v>4.0399999999999998E-2</v>
      </c>
      <c r="E4" s="290">
        <f>+'Q3F Interest Schedules RP'!E76</f>
        <v>4.0399999999999998E-2</v>
      </c>
      <c r="F4" s="290">
        <f>+'Q3F Interest Schedules RP'!F76</f>
        <v>4.0399999999999998E-2</v>
      </c>
      <c r="G4" s="290">
        <f>+'Q3F Interest Schedules RP'!G76</f>
        <v>4.0399999999999998E-2</v>
      </c>
      <c r="H4" s="290">
        <f>+'Q3F Interest Schedules RP'!H76</f>
        <v>4.4999999999999998E-2</v>
      </c>
      <c r="I4" s="290">
        <f>+'Q3F Interest Schedules RP'!I76</f>
        <v>4.4999999999999998E-2</v>
      </c>
      <c r="J4" s="290">
        <f>+'Q3F Interest Schedules RP'!J76</f>
        <v>4.4999999999999998E-2</v>
      </c>
      <c r="K4" s="290">
        <f>+'Q3F Interest Schedules RP'!K76</f>
        <v>4.4999999999999998E-2</v>
      </c>
      <c r="L4" s="290">
        <f>+'Q3F Interest Schedules RP'!L76</f>
        <v>4.4999999999999998E-2</v>
      </c>
      <c r="M4" s="290">
        <f>+'Q3F Interest Schedules RP'!M76</f>
        <v>4.4999999999999998E-2</v>
      </c>
      <c r="N4" s="189"/>
      <c r="Q4" t="s">
        <v>417</v>
      </c>
      <c r="R4" s="143">
        <f>-(+R5-R2-R3)</f>
        <v>1.7999999999999998</v>
      </c>
    </row>
    <row r="5" spans="1:18" ht="15" customHeight="1" x14ac:dyDescent="0.25">
      <c r="A5" s="1" t="s">
        <v>7</v>
      </c>
      <c r="B5" s="299">
        <f>+'Q3F Interest Schedules RP'!B77</f>
        <v>1919</v>
      </c>
      <c r="C5" s="299">
        <f>+'Q3F Interest Schedules RP'!C77</f>
        <v>1919</v>
      </c>
      <c r="D5" s="299">
        <f>+'Q3F Interest Schedules RP'!D77</f>
        <v>1919</v>
      </c>
      <c r="E5" s="299">
        <f>+'Q3F Interest Schedules RP'!E77</f>
        <v>1919</v>
      </c>
      <c r="F5" s="299">
        <f>+'Q3F Interest Schedules RP'!F77</f>
        <v>1919</v>
      </c>
      <c r="G5" s="299">
        <f>+'Q3F Interest Schedules RP'!G77</f>
        <v>1919</v>
      </c>
      <c r="H5" s="299">
        <f>+'Q3F Interest Schedules RP'!H77</f>
        <v>2812.5</v>
      </c>
      <c r="I5" s="299">
        <f>+'Q3F Interest Schedules RP'!I77</f>
        <v>2812.5</v>
      </c>
      <c r="J5" s="299">
        <f>+'Q3F Interest Schedules RP'!J77</f>
        <v>2812.5</v>
      </c>
      <c r="K5" s="299">
        <f>+'Q3F Interest Schedules RP'!K77</f>
        <v>2812.5</v>
      </c>
      <c r="L5" s="299">
        <f>+'Q3F Interest Schedules RP'!L77</f>
        <v>2812.5</v>
      </c>
      <c r="M5" s="299">
        <f>+'Q3F Interest Schedules RP'!M77</f>
        <v>2812.5</v>
      </c>
      <c r="N5" s="265">
        <f>+'Q3F Interest Schedules RP'!N77</f>
        <v>28389</v>
      </c>
      <c r="O5" s="7"/>
      <c r="R5" s="278">
        <v>4.3</v>
      </c>
    </row>
    <row r="6" spans="1:18" s="273" customFormat="1" ht="15" customHeight="1" x14ac:dyDescent="0.25">
      <c r="B6" s="300">
        <f>+'Q3F Interest Schedules RP'!B78</f>
        <v>0</v>
      </c>
      <c r="C6" s="300">
        <f>+'Q3F Interest Schedules RP'!C78</f>
        <v>0</v>
      </c>
      <c r="D6" s="300">
        <f>+'Q3F Interest Schedules RP'!D78</f>
        <v>0</v>
      </c>
      <c r="E6" s="300">
        <f>+'Q3F Interest Schedules RP'!E78</f>
        <v>0</v>
      </c>
      <c r="F6" s="300">
        <f>+'Q3F Interest Schedules RP'!F78</f>
        <v>0</v>
      </c>
      <c r="G6" s="300">
        <f>+'Q3F Interest Schedules RP'!G78</f>
        <v>0</v>
      </c>
      <c r="H6" s="300">
        <f>+'Q3F Interest Schedules RP'!H78</f>
        <v>0</v>
      </c>
      <c r="I6" s="300">
        <f>+'Q3F Interest Schedules RP'!I78</f>
        <v>0</v>
      </c>
      <c r="J6" s="300">
        <f>+'Q3F Interest Schedules RP'!J78</f>
        <v>0</v>
      </c>
      <c r="K6" s="300">
        <f>+'Q3F Interest Schedules RP'!K78</f>
        <v>0</v>
      </c>
      <c r="L6" s="300">
        <f>+'Q3F Interest Schedules RP'!L78</f>
        <v>0</v>
      </c>
      <c r="M6" s="300">
        <f>+'Q3F Interest Schedules RP'!M78</f>
        <v>0</v>
      </c>
      <c r="N6" s="274">
        <f>+'Q3F Interest Schedules RP'!N78</f>
        <v>0</v>
      </c>
      <c r="P6"/>
    </row>
    <row r="7" spans="1:18" ht="15" customHeight="1" x14ac:dyDescent="0.25">
      <c r="A7" t="s">
        <v>393</v>
      </c>
      <c r="B7" s="301">
        <f>+'Q3F Interest Schedules RP'!B79</f>
        <v>0</v>
      </c>
      <c r="C7" s="301">
        <f>+'Q3F Interest Schedules RP'!C79</f>
        <v>0</v>
      </c>
      <c r="D7" s="301">
        <f>+'Q3F Interest Schedules RP'!D79</f>
        <v>0</v>
      </c>
      <c r="E7" s="301">
        <f>+'Q3F Interest Schedules RP'!E79</f>
        <v>0</v>
      </c>
      <c r="F7" s="301">
        <f>+'Q3F Interest Schedules RP'!F79</f>
        <v>0</v>
      </c>
      <c r="G7" s="301">
        <f>+'Q3F Interest Schedules RP'!G79</f>
        <v>0</v>
      </c>
      <c r="H7" s="301">
        <f>+'Q3F Interest Schedules RP'!H79</f>
        <v>0</v>
      </c>
      <c r="I7" s="301">
        <f>+'Q3F Interest Schedules RP'!I79</f>
        <v>0</v>
      </c>
      <c r="J7" s="301">
        <f>+'Q3F Interest Schedules RP'!J79</f>
        <v>0</v>
      </c>
      <c r="K7" s="301">
        <f>+'Q3F Interest Schedules RP'!K79</f>
        <v>0</v>
      </c>
      <c r="L7" s="301">
        <f>+'Q3F Interest Schedules RP'!L79</f>
        <v>0</v>
      </c>
      <c r="M7" s="301">
        <f>+'Q3F Interest Schedules RP'!M79</f>
        <v>0</v>
      </c>
      <c r="N7" s="7"/>
      <c r="R7" s="79"/>
    </row>
    <row r="8" spans="1:18" ht="15" customHeight="1" x14ac:dyDescent="0.25">
      <c r="A8" s="1" t="s">
        <v>290</v>
      </c>
      <c r="B8" s="302">
        <f>+'Q3F Interest Schedules RP'!B80</f>
        <v>161878.97078</v>
      </c>
      <c r="C8" s="302">
        <f>+'Q3F Interest Schedules RP'!C80</f>
        <v>158243.07549000002</v>
      </c>
      <c r="D8" s="302">
        <f>+'Q3F Interest Schedules RP'!D80</f>
        <v>172190.08760999999</v>
      </c>
      <c r="E8" s="302">
        <f>+'Q3F Interest Schedules RP'!E80</f>
        <v>177260.00104</v>
      </c>
      <c r="F8" s="302">
        <f>+'Q3F Interest Schedules RP'!F80</f>
        <v>164247.49713999999</v>
      </c>
      <c r="G8" s="302">
        <f>+'Q3F Interest Schedules RP'!G80</f>
        <v>0</v>
      </c>
      <c r="H8" s="302">
        <f>+'Q3F Interest Schedules RP'!H80</f>
        <v>0</v>
      </c>
      <c r="I8" s="302">
        <f>+'Q3F Interest Schedules RP'!I80</f>
        <v>0</v>
      </c>
      <c r="J8" s="302">
        <f>+'Q3F Interest Schedules RP'!J80</f>
        <v>0</v>
      </c>
      <c r="K8" s="302">
        <f>+'Q3F Interest Schedules RP'!K80</f>
        <v>0</v>
      </c>
      <c r="L8" s="302">
        <f>+'Q3F Interest Schedules RP'!L80</f>
        <v>0</v>
      </c>
      <c r="M8" s="302">
        <f>+'Q3F Interest Schedules RP'!M80</f>
        <v>0</v>
      </c>
      <c r="N8" s="281"/>
      <c r="R8" s="79"/>
    </row>
    <row r="9" spans="1:18" s="287" customFormat="1" ht="15" customHeight="1" x14ac:dyDescent="0.25">
      <c r="A9" s="1" t="s">
        <v>149</v>
      </c>
      <c r="B9" s="290">
        <f>+'Q3F Interest Schedules RP'!B81</f>
        <v>3.7999999999999999E-2</v>
      </c>
      <c r="C9" s="290">
        <f>+'Q3F Interest Schedules RP'!C81</f>
        <v>3.7999999999999999E-2</v>
      </c>
      <c r="D9" s="290">
        <f>+'Q3F Interest Schedules RP'!D81</f>
        <v>3.7999999999999999E-2</v>
      </c>
      <c r="E9" s="290">
        <f>+'Q3F Interest Schedules RP'!E81</f>
        <v>3.7999999999999999E-2</v>
      </c>
      <c r="F9" s="290">
        <f>+'Q3F Interest Schedules RP'!F81</f>
        <v>3.7999999999999999E-2</v>
      </c>
      <c r="G9" s="290">
        <f>+'Q3F Interest Schedules RP'!G81</f>
        <v>0</v>
      </c>
      <c r="H9" s="290">
        <f>+'Q3F Interest Schedules RP'!H81</f>
        <v>0</v>
      </c>
      <c r="I9" s="290">
        <f>+'Q3F Interest Schedules RP'!I81</f>
        <v>0</v>
      </c>
      <c r="J9" s="290">
        <f>+'Q3F Interest Schedules RP'!J81</f>
        <v>0</v>
      </c>
      <c r="K9" s="290">
        <f>+'Q3F Interest Schedules RP'!K81</f>
        <v>0</v>
      </c>
      <c r="L9" s="290">
        <f>+'Q3F Interest Schedules RP'!L81</f>
        <v>0</v>
      </c>
      <c r="M9" s="290">
        <f>+'Q3F Interest Schedules RP'!M81</f>
        <v>0</v>
      </c>
      <c r="N9" s="286"/>
      <c r="P9"/>
    </row>
    <row r="10" spans="1:18" ht="15" customHeight="1" x14ac:dyDescent="0.25">
      <c r="A10" s="1" t="s">
        <v>7</v>
      </c>
      <c r="B10" s="299">
        <f>+'Q3F Interest Schedules RP'!B82</f>
        <v>512.6167408033333</v>
      </c>
      <c r="C10" s="299">
        <f>+'Q3F Interest Schedules RP'!C82</f>
        <v>501.10307238500008</v>
      </c>
      <c r="D10" s="299">
        <f>+'Q3F Interest Schedules RP'!D82</f>
        <v>545.26861076499995</v>
      </c>
      <c r="E10" s="299">
        <f>+'Q3F Interest Schedules RP'!E82</f>
        <v>561.32333662666667</v>
      </c>
      <c r="F10" s="299">
        <f>+'Q3F Interest Schedules RP'!F82</f>
        <v>520.11707427666659</v>
      </c>
      <c r="G10" s="299">
        <f>+'Q3F Interest Schedules RP'!G82</f>
        <v>0</v>
      </c>
      <c r="H10" s="299">
        <f>+'Q3F Interest Schedules RP'!H82</f>
        <v>0</v>
      </c>
      <c r="I10" s="299">
        <f>+'Q3F Interest Schedules RP'!I82</f>
        <v>0</v>
      </c>
      <c r="J10" s="299">
        <f>+'Q3F Interest Schedules RP'!J82</f>
        <v>0</v>
      </c>
      <c r="K10" s="299">
        <f>+'Q3F Interest Schedules RP'!K82</f>
        <v>0</v>
      </c>
      <c r="L10" s="299">
        <f>+'Q3F Interest Schedules RP'!L82</f>
        <v>0</v>
      </c>
      <c r="M10" s="299">
        <f>+'Q3F Interest Schedules RP'!M82</f>
        <v>0</v>
      </c>
      <c r="N10" s="265">
        <f>+'Q3F Interest Schedules RP'!N82</f>
        <v>2640.4288348566665</v>
      </c>
    </row>
    <row r="11" spans="1:18" ht="15" customHeight="1" x14ac:dyDescent="0.25">
      <c r="A11" t="s">
        <v>384</v>
      </c>
      <c r="B11" s="163">
        <f>+'Q3F Interest Schedules RP'!B83</f>
        <v>0</v>
      </c>
      <c r="C11" s="163">
        <f>+'Q3F Interest Schedules RP'!C83</f>
        <v>0</v>
      </c>
      <c r="D11" s="163">
        <f>+'Q3F Interest Schedules RP'!D83</f>
        <v>0</v>
      </c>
      <c r="E11" s="163">
        <f>+'Q3F Interest Schedules RP'!E83</f>
        <v>0</v>
      </c>
      <c r="F11" s="163">
        <f>+'Q3F Interest Schedules RP'!F83</f>
        <v>0</v>
      </c>
      <c r="G11" s="163">
        <f>+'Q3F Interest Schedules RP'!G83</f>
        <v>0</v>
      </c>
      <c r="H11" s="163">
        <f>+'Q3F Interest Schedules RP'!H83</f>
        <v>0</v>
      </c>
      <c r="I11" s="163">
        <f>+'Q3F Interest Schedules RP'!I83</f>
        <v>0</v>
      </c>
      <c r="J11" s="163">
        <f>+'Q3F Interest Schedules RP'!J83</f>
        <v>0</v>
      </c>
      <c r="K11" s="163">
        <f>+'Q3F Interest Schedules RP'!K83</f>
        <v>0</v>
      </c>
      <c r="L11" s="163">
        <f>+'Q3F Interest Schedules RP'!L83</f>
        <v>0</v>
      </c>
      <c r="M11" s="163">
        <f>+'Q3F Interest Schedules RP'!M83</f>
        <v>0</v>
      </c>
    </row>
    <row r="12" spans="1:18" ht="15" customHeight="1" x14ac:dyDescent="0.25">
      <c r="A12" s="1" t="s">
        <v>290</v>
      </c>
      <c r="B12" s="302">
        <f>+'Q3F Interest Schedules RP'!B84</f>
        <v>100000</v>
      </c>
      <c r="C12" s="302">
        <f>+'Q3F Interest Schedules RP'!C84</f>
        <v>100000</v>
      </c>
      <c r="D12" s="302">
        <f>+'Q3F Interest Schedules RP'!D84</f>
        <v>100000</v>
      </c>
      <c r="E12" s="302">
        <f>+'Q3F Interest Schedules RP'!E84</f>
        <v>100000</v>
      </c>
      <c r="F12" s="302">
        <f>+'Q3F Interest Schedules RP'!F84</f>
        <v>100000</v>
      </c>
      <c r="G12" s="302">
        <f>+'Q3F Interest Schedules RP'!G84</f>
        <v>118265.64174000002</v>
      </c>
      <c r="H12" s="302">
        <f>+'Q3F Interest Schedules RP'!H84</f>
        <v>133760.05127999972</v>
      </c>
      <c r="I12" s="302">
        <f>+'Q3F Interest Schedules RP'!I84</f>
        <v>124327.29631999985</v>
      </c>
      <c r="J12" s="302">
        <f>+'Q3F Interest Schedules RP'!J84</f>
        <v>141357.49864999991</v>
      </c>
      <c r="K12" s="302">
        <f>+'Q3F Interest Schedules RP'!K84</f>
        <v>150257.85579999955</v>
      </c>
      <c r="L12" s="302">
        <f>+'Q3F Interest Schedules RP'!L84</f>
        <v>158196.75796999983</v>
      </c>
      <c r="M12" s="302">
        <f>+'Q3F Interest Schedules RP'!M84</f>
        <v>174307.57298999961</v>
      </c>
      <c r="N12" s="281"/>
    </row>
    <row r="13" spans="1:18" s="287" customFormat="1" ht="15" customHeight="1" x14ac:dyDescent="0.25">
      <c r="A13" s="1" t="s">
        <v>149</v>
      </c>
      <c r="B13" s="290">
        <f>+'Q3F Interest Schedules RP'!B85</f>
        <v>3.7999999999999999E-2</v>
      </c>
      <c r="C13" s="290">
        <f>+'Q3F Interest Schedules RP'!C85</f>
        <v>3.7999999999999999E-2</v>
      </c>
      <c r="D13" s="290">
        <f>+'Q3F Interest Schedules RP'!D85</f>
        <v>3.7999999999999999E-2</v>
      </c>
      <c r="E13" s="290">
        <f>+'Q3F Interest Schedules RP'!E85</f>
        <v>3.7999999999999999E-2</v>
      </c>
      <c r="F13" s="290">
        <f>+'Q3F Interest Schedules RP'!F85</f>
        <v>3.7999999999999999E-2</v>
      </c>
      <c r="G13" s="290">
        <f>+'Q3F Interest Schedules RP'!G85</f>
        <v>3.7999999999999999E-2</v>
      </c>
      <c r="H13" s="290">
        <f>+'Q3F Interest Schedules RP'!H85</f>
        <v>4.4999999999999998E-2</v>
      </c>
      <c r="I13" s="290">
        <f>+'Q3F Interest Schedules RP'!I85</f>
        <v>4.4999999999999998E-2</v>
      </c>
      <c r="J13" s="290">
        <f>+'Q3F Interest Schedules RP'!J85</f>
        <v>4.4999999999999998E-2</v>
      </c>
      <c r="K13" s="290">
        <f>+'Q3F Interest Schedules RP'!K85</f>
        <v>4.4999999999999998E-2</v>
      </c>
      <c r="L13" s="290">
        <f>+'Q3F Interest Schedules RP'!L85</f>
        <v>4.4999999999999998E-2</v>
      </c>
      <c r="M13" s="290">
        <f>+'Q3F Interest Schedules RP'!M85</f>
        <v>4.4999999999999998E-2</v>
      </c>
      <c r="N13" s="286"/>
    </row>
    <row r="14" spans="1:18" ht="15" customHeight="1" x14ac:dyDescent="0.25">
      <c r="A14" s="1" t="s">
        <v>7</v>
      </c>
      <c r="B14" s="299">
        <f>+'Q3F Interest Schedules RP'!B86</f>
        <v>316.66666666666669</v>
      </c>
      <c r="C14" s="299">
        <f>+'Q3F Interest Schedules RP'!C86</f>
        <v>316.66666666666669</v>
      </c>
      <c r="D14" s="299">
        <f>+'Q3F Interest Schedules RP'!D86</f>
        <v>316.66666666666669</v>
      </c>
      <c r="E14" s="299">
        <f>+'Q3F Interest Schedules RP'!E86</f>
        <v>316.66666666666669</v>
      </c>
      <c r="F14" s="299">
        <f>+'Q3F Interest Schedules RP'!F86</f>
        <v>316.66666666666669</v>
      </c>
      <c r="G14" s="299">
        <f>+'Q3F Interest Schedules RP'!G86</f>
        <v>374.50786551000004</v>
      </c>
      <c r="H14" s="299">
        <f>+'Q3F Interest Schedules RP'!H86</f>
        <v>501.60019229999898</v>
      </c>
      <c r="I14" s="299">
        <f>+'Q3F Interest Schedules RP'!I86</f>
        <v>466.22736119999945</v>
      </c>
      <c r="J14" s="299">
        <f>+'Q3F Interest Schedules RP'!J86</f>
        <v>530.09061993749958</v>
      </c>
      <c r="K14" s="299">
        <f>+'Q3F Interest Schedules RP'!K86</f>
        <v>563.46695924999824</v>
      </c>
      <c r="L14" s="299">
        <f>+'Q3F Interest Schedules RP'!L86</f>
        <v>593.23784238749931</v>
      </c>
      <c r="M14" s="299">
        <f>+'Q3F Interest Schedules RP'!M86</f>
        <v>653.65339871249853</v>
      </c>
      <c r="N14" s="265">
        <f>+'Q3F Interest Schedules RP'!N86</f>
        <v>5266.1175726308275</v>
      </c>
    </row>
    <row r="15" spans="1:18" ht="15" customHeight="1" x14ac:dyDescent="0.25">
      <c r="A15" t="s">
        <v>404</v>
      </c>
      <c r="B15" s="163">
        <f>+'Q3F Interest Schedules RP'!B87</f>
        <v>0</v>
      </c>
      <c r="C15" s="163">
        <f>+'Q3F Interest Schedules RP'!C87</f>
        <v>0</v>
      </c>
      <c r="D15" s="163">
        <f>+'Q3F Interest Schedules RP'!D87</f>
        <v>0</v>
      </c>
      <c r="E15" s="163">
        <f>+'Q3F Interest Schedules RP'!E87</f>
        <v>0</v>
      </c>
      <c r="F15" s="163">
        <f>+'Q3F Interest Schedules RP'!F87</f>
        <v>0</v>
      </c>
      <c r="G15" s="163">
        <f>+'Q3F Interest Schedules RP'!G87</f>
        <v>0</v>
      </c>
      <c r="H15" s="163">
        <f>+'Q3F Interest Schedules RP'!H87</f>
        <v>0</v>
      </c>
      <c r="I15" s="163">
        <f>+'Q3F Interest Schedules RP'!I87</f>
        <v>0</v>
      </c>
      <c r="J15" s="163">
        <f>+'Q3F Interest Schedules RP'!J87</f>
        <v>0</v>
      </c>
      <c r="K15" s="163">
        <f>+'Q3F Interest Schedules RP'!K87</f>
        <v>0</v>
      </c>
      <c r="L15" s="163">
        <f>+'Q3F Interest Schedules RP'!L87</f>
        <v>0</v>
      </c>
      <c r="M15" s="163">
        <f>+'Q3F Interest Schedules RP'!M87</f>
        <v>0</v>
      </c>
    </row>
    <row r="16" spans="1:18" ht="15" customHeight="1" x14ac:dyDescent="0.25">
      <c r="A16" s="1" t="s">
        <v>290</v>
      </c>
      <c r="B16" s="302">
        <f>+'Q3F Interest Schedules RP'!B88</f>
        <v>261878.97078</v>
      </c>
      <c r="C16" s="302">
        <f>+'Q3F Interest Schedules RP'!C88</f>
        <v>258243.07549000002</v>
      </c>
      <c r="D16" s="302">
        <f>+'Q3F Interest Schedules RP'!D88</f>
        <v>272190.08760999999</v>
      </c>
      <c r="E16" s="302">
        <f>+'Q3F Interest Schedules RP'!E88</f>
        <v>277260.00104</v>
      </c>
      <c r="F16" s="302">
        <f>+'Q3F Interest Schedules RP'!F88</f>
        <v>264247.49713999999</v>
      </c>
      <c r="G16" s="302">
        <f>+'Q3F Interest Schedules RP'!G88</f>
        <v>118265.64174000002</v>
      </c>
      <c r="H16" s="302">
        <f>+'Q3F Interest Schedules RP'!H88</f>
        <v>133760.05127999972</v>
      </c>
      <c r="I16" s="302">
        <f>+'Q3F Interest Schedules RP'!I88</f>
        <v>124327.29631999985</v>
      </c>
      <c r="J16" s="302">
        <f>+'Q3F Interest Schedules RP'!J88</f>
        <v>141357.49864999991</v>
      </c>
      <c r="K16" s="302">
        <f>+'Q3F Interest Schedules RP'!K88</f>
        <v>150257.85579999955</v>
      </c>
      <c r="L16" s="302">
        <f>+'Q3F Interest Schedules RP'!L88</f>
        <v>158196.75796999983</v>
      </c>
      <c r="M16" s="302">
        <f>+'Q3F Interest Schedules RP'!M88</f>
        <v>174307.57298999961</v>
      </c>
    </row>
    <row r="17" spans="1:49" ht="15" customHeight="1" x14ac:dyDescent="0.25">
      <c r="A17" s="1" t="s">
        <v>149</v>
      </c>
      <c r="B17" s="303">
        <f>+'Q3F Interest Schedules RP'!B89</f>
        <v>3.7999999999999992E-2</v>
      </c>
      <c r="C17" s="303">
        <f>+'Q3F Interest Schedules RP'!C89</f>
        <v>3.8000000000000006E-2</v>
      </c>
      <c r="D17" s="303">
        <f>+'Q3F Interest Schedules RP'!D89</f>
        <v>3.8000000000000006E-2</v>
      </c>
      <c r="E17" s="303">
        <f>+'Q3F Interest Schedules RP'!E89</f>
        <v>3.7999999999999999E-2</v>
      </c>
      <c r="F17" s="303">
        <f>+'Q3F Interest Schedules RP'!F89</f>
        <v>3.7999999999999992E-2</v>
      </c>
      <c r="G17" s="303">
        <f>+'Q3F Interest Schedules RP'!G89</f>
        <v>3.7999999999999999E-2</v>
      </c>
      <c r="H17" s="303">
        <f>+'Q3F Interest Schedules RP'!H89</f>
        <v>4.5000000000000005E-2</v>
      </c>
      <c r="I17" s="303">
        <f>+'Q3F Interest Schedules RP'!I89</f>
        <v>4.5000000000000005E-2</v>
      </c>
      <c r="J17" s="303">
        <f>+'Q3F Interest Schedules RP'!J89</f>
        <v>4.4999999999999991E-2</v>
      </c>
      <c r="K17" s="303">
        <f>+'Q3F Interest Schedules RP'!K89</f>
        <v>4.4999999999999991E-2</v>
      </c>
      <c r="L17" s="303">
        <f>+'Q3F Interest Schedules RP'!L89</f>
        <v>4.4999999999999998E-2</v>
      </c>
      <c r="M17" s="303">
        <f>+'Q3F Interest Schedules RP'!M89</f>
        <v>4.4999999999999998E-2</v>
      </c>
      <c r="N17" s="79"/>
    </row>
    <row r="18" spans="1:49" ht="15" customHeight="1" x14ac:dyDescent="0.25">
      <c r="A18" s="1" t="s">
        <v>7</v>
      </c>
      <c r="B18" s="299">
        <f>+'Q3F Interest Schedules RP'!B90</f>
        <v>829.28340746999993</v>
      </c>
      <c r="C18" s="299">
        <f>+'Q3F Interest Schedules RP'!C90</f>
        <v>817.76973905166676</v>
      </c>
      <c r="D18" s="299">
        <f>+'Q3F Interest Schedules RP'!D90</f>
        <v>861.93527743166669</v>
      </c>
      <c r="E18" s="299">
        <f>+'Q3F Interest Schedules RP'!E90</f>
        <v>877.9900032933333</v>
      </c>
      <c r="F18" s="299">
        <f>+'Q3F Interest Schedules RP'!F90</f>
        <v>836.78374094333321</v>
      </c>
      <c r="G18" s="299">
        <f>+'Q3F Interest Schedules RP'!G90</f>
        <v>374.50786551000004</v>
      </c>
      <c r="H18" s="299">
        <f>+'Q3F Interest Schedules RP'!H90</f>
        <v>501.60019229999898</v>
      </c>
      <c r="I18" s="299">
        <f>+'Q3F Interest Schedules RP'!I90</f>
        <v>466.22736119999945</v>
      </c>
      <c r="J18" s="299">
        <f>+'Q3F Interest Schedules RP'!J90</f>
        <v>530.09061993749958</v>
      </c>
      <c r="K18" s="299">
        <f>+'Q3F Interest Schedules RP'!K90</f>
        <v>563.46695924999824</v>
      </c>
      <c r="L18" s="299">
        <f>+'Q3F Interest Schedules RP'!L90</f>
        <v>593.23784238749931</v>
      </c>
      <c r="M18" s="299">
        <f>+'Q3F Interest Schedules RP'!M90</f>
        <v>653.65339871249853</v>
      </c>
      <c r="N18" s="265">
        <f>+'Q3F Interest Schedules RP'!N90</f>
        <v>7906.5464074874944</v>
      </c>
      <c r="O18" s="7"/>
    </row>
    <row r="19" spans="1:49" s="273" customFormat="1" ht="15" customHeight="1" x14ac:dyDescent="0.25">
      <c r="A19" s="275"/>
      <c r="B19" s="304">
        <f>+'Q3F Interest Schedules RP'!B91</f>
        <v>0</v>
      </c>
      <c r="C19" s="304">
        <f>+'Q3F Interest Schedules RP'!C91</f>
        <v>0</v>
      </c>
      <c r="D19" s="304">
        <f>+'Q3F Interest Schedules RP'!D91</f>
        <v>0</v>
      </c>
      <c r="E19" s="304">
        <f>+'Q3F Interest Schedules RP'!E91</f>
        <v>0</v>
      </c>
      <c r="F19" s="304">
        <f>+'Q3F Interest Schedules RP'!F91</f>
        <v>0</v>
      </c>
      <c r="G19" s="304">
        <f>+'Q3F Interest Schedules RP'!G91</f>
        <v>0</v>
      </c>
      <c r="H19" s="304">
        <f>+'Q3F Interest Schedules RP'!H91</f>
        <v>0</v>
      </c>
      <c r="I19" s="304">
        <f>+'Q3F Interest Schedules RP'!I91</f>
        <v>0</v>
      </c>
      <c r="J19" s="304">
        <f>+'Q3F Interest Schedules RP'!J91</f>
        <v>0</v>
      </c>
      <c r="K19" s="304">
        <f>+'Q3F Interest Schedules RP'!K91</f>
        <v>0</v>
      </c>
      <c r="L19" s="304">
        <f>+'Q3F Interest Schedules RP'!L91</f>
        <v>0</v>
      </c>
      <c r="M19" s="304">
        <f>+'Q3F Interest Schedules RP'!M91</f>
        <v>0</v>
      </c>
      <c r="N19" s="277">
        <f>+'Q3F Interest Schedules RP'!N91</f>
        <v>0</v>
      </c>
    </row>
    <row r="20" spans="1:49" ht="15" customHeight="1" x14ac:dyDescent="0.25">
      <c r="A20" t="s">
        <v>405</v>
      </c>
      <c r="B20" s="305">
        <f>+'Q3F Interest Schedules RP'!B92</f>
        <v>0</v>
      </c>
      <c r="C20" s="305">
        <f>+'Q3F Interest Schedules RP'!C92</f>
        <v>0</v>
      </c>
      <c r="D20" s="305">
        <f>+'Q3F Interest Schedules RP'!D92</f>
        <v>0</v>
      </c>
      <c r="E20" s="305">
        <f>+'Q3F Interest Schedules RP'!E92</f>
        <v>0</v>
      </c>
      <c r="F20" s="305">
        <f>+'Q3F Interest Schedules RP'!F92</f>
        <v>0</v>
      </c>
      <c r="G20" s="305">
        <f>+'Q3F Interest Schedules RP'!G92</f>
        <v>0</v>
      </c>
      <c r="H20" s="305">
        <f>+'Q3F Interest Schedules RP'!H92</f>
        <v>0</v>
      </c>
      <c r="I20" s="305">
        <f>+'Q3F Interest Schedules RP'!I92</f>
        <v>0</v>
      </c>
      <c r="J20" s="305">
        <f>+'Q3F Interest Schedules RP'!J92</f>
        <v>0</v>
      </c>
      <c r="K20" s="305">
        <f>+'Q3F Interest Schedules RP'!K92</f>
        <v>0</v>
      </c>
      <c r="L20" s="305">
        <f>+'Q3F Interest Schedules RP'!L92</f>
        <v>0</v>
      </c>
      <c r="M20" s="305">
        <f>+'Q3F Interest Schedules RP'!M92</f>
        <v>0</v>
      </c>
      <c r="N20" s="267"/>
    </row>
    <row r="21" spans="1:49" ht="15" customHeight="1" x14ac:dyDescent="0.25">
      <c r="A21" s="1" t="s">
        <v>290</v>
      </c>
      <c r="B21" s="302">
        <f>+'Q3F Interest Schedules RP'!B93</f>
        <v>831878.97077999997</v>
      </c>
      <c r="C21" s="302">
        <f>+'Q3F Interest Schedules RP'!C93</f>
        <v>828243.07548999996</v>
      </c>
      <c r="D21" s="302">
        <f>+'Q3F Interest Schedules RP'!D93</f>
        <v>842190.08761000005</v>
      </c>
      <c r="E21" s="302">
        <f>+'Q3F Interest Schedules RP'!E93</f>
        <v>847260.00104</v>
      </c>
      <c r="F21" s="302">
        <f>+'Q3F Interest Schedules RP'!F93</f>
        <v>834247.49713999999</v>
      </c>
      <c r="G21" s="302">
        <f>+'Q3F Interest Schedules RP'!G93</f>
        <v>688265.64173999999</v>
      </c>
      <c r="H21" s="302">
        <f>+'Q3F Interest Schedules RP'!H93</f>
        <v>883760.05127999978</v>
      </c>
      <c r="I21" s="302">
        <f>+'Q3F Interest Schedules RP'!I93</f>
        <v>874327.29631999985</v>
      </c>
      <c r="J21" s="302">
        <f>+'Q3F Interest Schedules RP'!J93</f>
        <v>891357.49864999996</v>
      </c>
      <c r="K21" s="302">
        <f>+'Q3F Interest Schedules RP'!K93</f>
        <v>900257.85579999955</v>
      </c>
      <c r="L21" s="302">
        <f>+'Q3F Interest Schedules RP'!L93</f>
        <v>908196.7579699998</v>
      </c>
      <c r="M21" s="302">
        <f>+'Q3F Interest Schedules RP'!M93</f>
        <v>924307.57298999955</v>
      </c>
    </row>
    <row r="22" spans="1:49" ht="15" customHeight="1" x14ac:dyDescent="0.25">
      <c r="A22" s="1" t="s">
        <v>149</v>
      </c>
      <c r="B22" s="303">
        <f>+'Q3F Interest Schedules RP'!B94</f>
        <v>3.964446998668246E-2</v>
      </c>
      <c r="C22" s="303">
        <f>+'Q3F Interest Schedules RP'!C94</f>
        <v>3.9651689027633191E-2</v>
      </c>
      <c r="D22" s="303">
        <f>+'Q3F Interest Schedules RP'!D94</f>
        <v>3.962433638216066E-2</v>
      </c>
      <c r="E22" s="303">
        <f>+'Q3F Interest Schedules RP'!E94</f>
        <v>3.9614616526592546E-2</v>
      </c>
      <c r="F22" s="303">
        <f>+'Q3F Interest Schedules RP'!F94</f>
        <v>3.9639801143773079E-2</v>
      </c>
      <c r="G22" s="303">
        <f>+'Q3F Interest Schedules RP'!G94</f>
        <v>3.9987604664590795E-2</v>
      </c>
      <c r="H22" s="303">
        <f>+'Q3F Interest Schedules RP'!H94</f>
        <v>4.4999999999999998E-2</v>
      </c>
      <c r="I22" s="303">
        <f>+'Q3F Interest Schedules RP'!I94</f>
        <v>4.4999999999999998E-2</v>
      </c>
      <c r="J22" s="303">
        <f>+'Q3F Interest Schedules RP'!J94</f>
        <v>4.4999999999999991E-2</v>
      </c>
      <c r="K22" s="303">
        <f>+'Q3F Interest Schedules RP'!K94</f>
        <v>4.4999999999999998E-2</v>
      </c>
      <c r="L22" s="303">
        <f>+'Q3F Interest Schedules RP'!L94</f>
        <v>4.4999999999999998E-2</v>
      </c>
      <c r="M22" s="303">
        <f>+'Q3F Interest Schedules RP'!M94</f>
        <v>4.5000000000000005E-2</v>
      </c>
      <c r="N22" s="80"/>
    </row>
    <row r="23" spans="1:49" ht="15" customHeight="1" x14ac:dyDescent="0.25">
      <c r="A23" s="1" t="s">
        <v>7</v>
      </c>
      <c r="B23" s="299">
        <f>+'Q3F Interest Schedules RP'!B95</f>
        <v>2748.2834074699999</v>
      </c>
      <c r="C23" s="299">
        <f>+'Q3F Interest Schedules RP'!C95</f>
        <v>2736.7697390516669</v>
      </c>
      <c r="D23" s="299">
        <f>+'Q3F Interest Schedules RP'!D95</f>
        <v>2780.9352774316667</v>
      </c>
      <c r="E23" s="299">
        <f>+'Q3F Interest Schedules RP'!E95</f>
        <v>2796.9900032933333</v>
      </c>
      <c r="F23" s="299">
        <f>+'Q3F Interest Schedules RP'!F95</f>
        <v>2755.7837409433332</v>
      </c>
      <c r="G23" s="299">
        <f>+'Q3F Interest Schedules RP'!G95</f>
        <v>2293.5078655100001</v>
      </c>
      <c r="H23" s="299">
        <f>+'Q3F Interest Schedules RP'!H95</f>
        <v>3314.100192299999</v>
      </c>
      <c r="I23" s="299">
        <f>+'Q3F Interest Schedules RP'!I95</f>
        <v>3278.7273611999995</v>
      </c>
      <c r="J23" s="299">
        <f>+'Q3F Interest Schedules RP'!J95</f>
        <v>3342.5906199374995</v>
      </c>
      <c r="K23" s="299">
        <f>+'Q3F Interest Schedules RP'!K95</f>
        <v>3375.9669592499981</v>
      </c>
      <c r="L23" s="299">
        <f>+'Q3F Interest Schedules RP'!L95</f>
        <v>3405.7378423874993</v>
      </c>
      <c r="M23" s="299">
        <f>+'Q3F Interest Schedules RP'!M95</f>
        <v>3466.1533987124985</v>
      </c>
      <c r="N23" s="265">
        <f>+'Q3F Interest Schedules RP'!N95</f>
        <v>36295.546407487498</v>
      </c>
      <c r="O23" s="7"/>
    </row>
    <row r="24" spans="1:49" s="279" customFormat="1" ht="15" customHeight="1" x14ac:dyDescent="0.25"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280"/>
    </row>
    <row r="25" spans="1:49" s="270" customFormat="1" ht="15" customHeight="1" x14ac:dyDescent="0.25">
      <c r="A25" s="4" t="s">
        <v>415</v>
      </c>
      <c r="B25" s="4" t="s">
        <v>277</v>
      </c>
      <c r="C25" s="4" t="s">
        <v>278</v>
      </c>
      <c r="D25" s="4" t="s">
        <v>279</v>
      </c>
      <c r="E25" s="4" t="s">
        <v>280</v>
      </c>
      <c r="F25" s="4" t="s">
        <v>281</v>
      </c>
      <c r="G25" s="4" t="s">
        <v>282</v>
      </c>
      <c r="H25" s="4" t="s">
        <v>283</v>
      </c>
      <c r="I25" s="4" t="s">
        <v>284</v>
      </c>
      <c r="J25" s="4" t="s">
        <v>285</v>
      </c>
      <c r="K25" s="4" t="s">
        <v>286</v>
      </c>
      <c r="L25" s="4" t="s">
        <v>287</v>
      </c>
      <c r="M25" s="4" t="s">
        <v>288</v>
      </c>
      <c r="N25" s="265" t="s">
        <v>228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270" customFormat="1" ht="15" customHeight="1" x14ac:dyDescent="0.25">
      <c r="A26" t="s">
        <v>289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270" customFormat="1" ht="15" customHeight="1" x14ac:dyDescent="0.25">
      <c r="A27" s="1" t="s">
        <v>290</v>
      </c>
      <c r="B27" s="282">
        <v>670000</v>
      </c>
      <c r="C27" s="282">
        <v>670000</v>
      </c>
      <c r="D27" s="282">
        <v>670000</v>
      </c>
      <c r="E27" s="282">
        <v>670000</v>
      </c>
      <c r="F27" s="282">
        <v>670000</v>
      </c>
      <c r="G27" s="282">
        <v>771720.98121958075</v>
      </c>
      <c r="H27" s="282">
        <v>771720.98121958075</v>
      </c>
      <c r="I27" s="282">
        <v>771720.98121958075</v>
      </c>
      <c r="J27" s="282">
        <v>771720.98121958075</v>
      </c>
      <c r="K27" s="282">
        <v>771720.98121958075</v>
      </c>
      <c r="L27" s="282">
        <v>771720.98121958075</v>
      </c>
      <c r="M27" s="282">
        <v>771720.98121958075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270" customFormat="1" ht="15" customHeight="1" x14ac:dyDescent="0.25">
      <c r="A28" s="1" t="s">
        <v>149</v>
      </c>
      <c r="B28" s="288">
        <f>+B4</f>
        <v>4.0399999999999998E-2</v>
      </c>
      <c r="C28" s="288">
        <f t="shared" ref="C28:M28" si="0">+C4</f>
        <v>4.0399999999999998E-2</v>
      </c>
      <c r="D28" s="288">
        <f>+D4</f>
        <v>4.0399999999999998E-2</v>
      </c>
      <c r="E28" s="288">
        <f t="shared" si="0"/>
        <v>4.0399999999999998E-2</v>
      </c>
      <c r="F28" s="288">
        <f t="shared" si="0"/>
        <v>4.0399999999999998E-2</v>
      </c>
      <c r="G28" s="288">
        <f t="shared" si="0"/>
        <v>4.0399999999999998E-2</v>
      </c>
      <c r="H28" s="288">
        <f t="shared" si="0"/>
        <v>4.4999999999999998E-2</v>
      </c>
      <c r="I28" s="288">
        <f t="shared" si="0"/>
        <v>4.4999999999999998E-2</v>
      </c>
      <c r="J28" s="288">
        <f t="shared" si="0"/>
        <v>4.4999999999999998E-2</v>
      </c>
      <c r="K28" s="288">
        <f t="shared" si="0"/>
        <v>4.4999999999999998E-2</v>
      </c>
      <c r="L28" s="288">
        <f t="shared" si="0"/>
        <v>4.4999999999999998E-2</v>
      </c>
      <c r="M28" s="288">
        <f t="shared" si="0"/>
        <v>4.4999999999999998E-2</v>
      </c>
      <c r="N28" s="189"/>
      <c r="O28" t="s">
        <v>91</v>
      </c>
      <c r="P28"/>
      <c r="Q28" s="297"/>
      <c r="R28" s="297"/>
      <c r="S28" s="29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270" customFormat="1" ht="15" customHeight="1" x14ac:dyDescent="0.25">
      <c r="A29" s="1" t="s">
        <v>7</v>
      </c>
      <c r="B29" s="265">
        <f t="shared" ref="B29:M29" si="1">(B27*B28)/12</f>
        <v>2255.6666666666665</v>
      </c>
      <c r="C29" s="265">
        <f t="shared" si="1"/>
        <v>2255.6666666666665</v>
      </c>
      <c r="D29" s="265">
        <f t="shared" si="1"/>
        <v>2255.6666666666665</v>
      </c>
      <c r="E29" s="265">
        <f t="shared" si="1"/>
        <v>2255.6666666666665</v>
      </c>
      <c r="F29" s="265">
        <f t="shared" si="1"/>
        <v>2255.6666666666665</v>
      </c>
      <c r="G29" s="265">
        <f t="shared" si="1"/>
        <v>2598.1273034392548</v>
      </c>
      <c r="H29" s="265">
        <f t="shared" si="1"/>
        <v>2893.9536795734275</v>
      </c>
      <c r="I29" s="265">
        <f t="shared" si="1"/>
        <v>2893.9536795734275</v>
      </c>
      <c r="J29" s="265">
        <f t="shared" si="1"/>
        <v>2893.9536795734275</v>
      </c>
      <c r="K29" s="265">
        <f t="shared" si="1"/>
        <v>2893.9536795734275</v>
      </c>
      <c r="L29" s="265">
        <f t="shared" si="1"/>
        <v>2893.9536795734275</v>
      </c>
      <c r="M29" s="265">
        <f t="shared" si="1"/>
        <v>2893.9536795734275</v>
      </c>
      <c r="N29" s="265">
        <f>SUM(B29:M29)</f>
        <v>31240.182714213151</v>
      </c>
      <c r="O29" s="7">
        <f>+N29-N5</f>
        <v>2851.1827142131515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270" customFormat="1" ht="15" customHeight="1" x14ac:dyDescent="0.25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</row>
    <row r="31" spans="1:49" s="270" customFormat="1" ht="15" customHeight="1" x14ac:dyDescent="0.25">
      <c r="A31" t="s">
        <v>393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270" customFormat="1" ht="15" customHeight="1" x14ac:dyDescent="0.25">
      <c r="A32" s="1" t="s">
        <v>290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270" customFormat="1" ht="15" customHeight="1" x14ac:dyDescent="0.25">
      <c r="A33" s="1" t="s">
        <v>149</v>
      </c>
      <c r="B33" s="87">
        <f t="shared" ref="B33:M33" si="2">+B9</f>
        <v>3.7999999999999999E-2</v>
      </c>
      <c r="C33" s="87">
        <f t="shared" si="2"/>
        <v>3.7999999999999999E-2</v>
      </c>
      <c r="D33" s="87">
        <f t="shared" si="2"/>
        <v>3.7999999999999999E-2</v>
      </c>
      <c r="E33" s="87">
        <f t="shared" si="2"/>
        <v>3.7999999999999999E-2</v>
      </c>
      <c r="F33" s="87">
        <f t="shared" si="2"/>
        <v>3.7999999999999999E-2</v>
      </c>
      <c r="G33" s="87">
        <f t="shared" si="2"/>
        <v>0</v>
      </c>
      <c r="H33" s="87">
        <f t="shared" si="2"/>
        <v>0</v>
      </c>
      <c r="I33" s="87">
        <f t="shared" si="2"/>
        <v>0</v>
      </c>
      <c r="J33" s="87">
        <f t="shared" si="2"/>
        <v>0</v>
      </c>
      <c r="K33" s="87">
        <f t="shared" si="2"/>
        <v>0</v>
      </c>
      <c r="L33" s="87">
        <f t="shared" si="2"/>
        <v>0</v>
      </c>
      <c r="M33" s="87">
        <f t="shared" si="2"/>
        <v>0</v>
      </c>
      <c r="N33" s="286"/>
      <c r="O33" s="287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270" customFormat="1" ht="15" customHeight="1" x14ac:dyDescent="0.25">
      <c r="A34" s="1" t="s">
        <v>7</v>
      </c>
      <c r="B34" s="265">
        <f t="shared" ref="B34:M34" si="3">(B32*B33)/12</f>
        <v>0</v>
      </c>
      <c r="C34" s="265">
        <f t="shared" si="3"/>
        <v>0</v>
      </c>
      <c r="D34" s="265">
        <f t="shared" si="3"/>
        <v>0</v>
      </c>
      <c r="E34" s="265">
        <f t="shared" si="3"/>
        <v>0</v>
      </c>
      <c r="F34" s="265">
        <f t="shared" si="3"/>
        <v>0</v>
      </c>
      <c r="G34" s="265">
        <f t="shared" si="3"/>
        <v>0</v>
      </c>
      <c r="H34" s="265">
        <f t="shared" si="3"/>
        <v>0</v>
      </c>
      <c r="I34" s="265">
        <f t="shared" si="3"/>
        <v>0</v>
      </c>
      <c r="J34" s="265">
        <f t="shared" si="3"/>
        <v>0</v>
      </c>
      <c r="K34" s="265">
        <f t="shared" si="3"/>
        <v>0</v>
      </c>
      <c r="L34" s="265">
        <f t="shared" si="3"/>
        <v>0</v>
      </c>
      <c r="M34" s="265">
        <f t="shared" si="3"/>
        <v>0</v>
      </c>
      <c r="N34" s="265">
        <f>SUM(B34:M34)</f>
        <v>0</v>
      </c>
      <c r="O34"/>
      <c r="P34"/>
      <c r="Q34" s="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270" customFormat="1" ht="15" customHeight="1" x14ac:dyDescent="0.25">
      <c r="A35" t="s">
        <v>384</v>
      </c>
      <c r="B35"/>
      <c r="C35"/>
      <c r="D35"/>
      <c r="E35"/>
      <c r="F35"/>
      <c r="G35"/>
      <c r="H35"/>
      <c r="I35"/>
      <c r="J35"/>
      <c r="K35"/>
      <c r="L35"/>
      <c r="M35"/>
      <c r="N35" s="6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270" customFormat="1" ht="15" customHeight="1" x14ac:dyDescent="0.25">
      <c r="A36" s="1" t="s">
        <v>290</v>
      </c>
      <c r="B36" s="281">
        <v>141362</v>
      </c>
      <c r="C36" s="281">
        <v>141362</v>
      </c>
      <c r="D36" s="281">
        <v>141362</v>
      </c>
      <c r="E36" s="281">
        <v>141362</v>
      </c>
      <c r="F36" s="281">
        <v>141362</v>
      </c>
      <c r="G36" s="281">
        <v>141362</v>
      </c>
      <c r="H36" s="281">
        <v>141362</v>
      </c>
      <c r="I36" s="281">
        <v>141362</v>
      </c>
      <c r="J36" s="281">
        <v>141362</v>
      </c>
      <c r="K36" s="281">
        <v>141362</v>
      </c>
      <c r="L36" s="281">
        <v>141362</v>
      </c>
      <c r="M36" s="281">
        <v>141362</v>
      </c>
      <c r="N36" s="281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270" customFormat="1" ht="15" customHeight="1" x14ac:dyDescent="0.25">
      <c r="A37" s="1" t="s">
        <v>149</v>
      </c>
      <c r="B37" s="87">
        <f>+B13</f>
        <v>3.7999999999999999E-2</v>
      </c>
      <c r="C37" s="87">
        <f t="shared" ref="C37:M37" si="4">+C13</f>
        <v>3.7999999999999999E-2</v>
      </c>
      <c r="D37" s="87">
        <f t="shared" si="4"/>
        <v>3.7999999999999999E-2</v>
      </c>
      <c r="E37" s="87">
        <f t="shared" si="4"/>
        <v>3.7999999999999999E-2</v>
      </c>
      <c r="F37" s="87">
        <f t="shared" si="4"/>
        <v>3.7999999999999999E-2</v>
      </c>
      <c r="G37" s="87">
        <f t="shared" si="4"/>
        <v>3.7999999999999999E-2</v>
      </c>
      <c r="H37" s="87">
        <f t="shared" si="4"/>
        <v>4.4999999999999998E-2</v>
      </c>
      <c r="I37" s="87">
        <f t="shared" si="4"/>
        <v>4.4999999999999998E-2</v>
      </c>
      <c r="J37" s="87">
        <f t="shared" si="4"/>
        <v>4.4999999999999998E-2</v>
      </c>
      <c r="K37" s="87">
        <f t="shared" si="4"/>
        <v>4.4999999999999998E-2</v>
      </c>
      <c r="L37" s="87">
        <f t="shared" si="4"/>
        <v>4.4999999999999998E-2</v>
      </c>
      <c r="M37" s="87">
        <f t="shared" si="4"/>
        <v>4.4999999999999998E-2</v>
      </c>
      <c r="N37" s="286"/>
      <c r="O37" s="28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70" customFormat="1" ht="15" customHeight="1" x14ac:dyDescent="0.25">
      <c r="A38" s="1" t="s">
        <v>7</v>
      </c>
      <c r="B38" s="265">
        <f>(B36*B37)/12</f>
        <v>447.64633333333336</v>
      </c>
      <c r="C38" s="265">
        <f t="shared" ref="C38:M38" si="5">(C36*C37)/12</f>
        <v>447.64633333333336</v>
      </c>
      <c r="D38" s="265">
        <f t="shared" si="5"/>
        <v>447.64633333333336</v>
      </c>
      <c r="E38" s="265">
        <f t="shared" si="5"/>
        <v>447.64633333333336</v>
      </c>
      <c r="F38" s="265">
        <f t="shared" si="5"/>
        <v>447.64633333333336</v>
      </c>
      <c r="G38" s="265">
        <f t="shared" si="5"/>
        <v>447.64633333333336</v>
      </c>
      <c r="H38" s="265">
        <f t="shared" si="5"/>
        <v>530.10749999999996</v>
      </c>
      <c r="I38" s="265">
        <f t="shared" si="5"/>
        <v>530.10749999999996</v>
      </c>
      <c r="J38" s="265">
        <f t="shared" si="5"/>
        <v>530.10749999999996</v>
      </c>
      <c r="K38" s="265">
        <f t="shared" si="5"/>
        <v>530.10749999999996</v>
      </c>
      <c r="L38" s="265">
        <f t="shared" si="5"/>
        <v>530.10749999999996</v>
      </c>
      <c r="M38" s="265">
        <f t="shared" si="5"/>
        <v>530.10749999999996</v>
      </c>
      <c r="N38" s="265">
        <f>SUM(B38:M38)</f>
        <v>5866.5230000000001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70" customFormat="1" ht="15" customHeight="1" x14ac:dyDescent="0.25">
      <c r="A39" t="s">
        <v>404</v>
      </c>
      <c r="B39"/>
      <c r="C39"/>
      <c r="D39"/>
      <c r="E39"/>
      <c r="F39"/>
      <c r="G39"/>
      <c r="H39"/>
      <c r="I39"/>
      <c r="J39"/>
      <c r="K39"/>
      <c r="L39"/>
      <c r="M39"/>
      <c r="N39" s="6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270" customFormat="1" ht="15" customHeight="1" x14ac:dyDescent="0.25">
      <c r="A40" s="1" t="s">
        <v>290</v>
      </c>
      <c r="B40" s="6">
        <f t="shared" ref="B40:M40" si="6">+B32+B36</f>
        <v>141362</v>
      </c>
      <c r="C40" s="6">
        <f t="shared" si="6"/>
        <v>141362</v>
      </c>
      <c r="D40" s="6">
        <f t="shared" si="6"/>
        <v>141362</v>
      </c>
      <c r="E40" s="6">
        <f t="shared" si="6"/>
        <v>141362</v>
      </c>
      <c r="F40" s="6">
        <f t="shared" si="6"/>
        <v>141362</v>
      </c>
      <c r="G40" s="6">
        <f t="shared" si="6"/>
        <v>141362</v>
      </c>
      <c r="H40" s="6">
        <f t="shared" si="6"/>
        <v>141362</v>
      </c>
      <c r="I40" s="6">
        <f t="shared" si="6"/>
        <v>141362</v>
      </c>
      <c r="J40" s="6">
        <f t="shared" si="6"/>
        <v>141362</v>
      </c>
      <c r="K40" s="6">
        <f t="shared" si="6"/>
        <v>141362</v>
      </c>
      <c r="L40" s="6">
        <f t="shared" si="6"/>
        <v>141362</v>
      </c>
      <c r="M40" s="6">
        <f t="shared" si="6"/>
        <v>141362</v>
      </c>
      <c r="N40" s="6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270" customFormat="1" ht="15" customHeight="1" x14ac:dyDescent="0.25">
      <c r="A41" s="1" t="s">
        <v>149</v>
      </c>
      <c r="B41" s="80">
        <f t="shared" ref="B41:M41" si="7">+B42/B40*12</f>
        <v>3.8000000000000006E-2</v>
      </c>
      <c r="C41" s="80">
        <f t="shared" si="7"/>
        <v>3.8000000000000006E-2</v>
      </c>
      <c r="D41" s="80">
        <f t="shared" si="7"/>
        <v>3.8000000000000006E-2</v>
      </c>
      <c r="E41" s="80">
        <f t="shared" si="7"/>
        <v>3.8000000000000006E-2</v>
      </c>
      <c r="F41" s="80">
        <f t="shared" si="7"/>
        <v>3.8000000000000006E-2</v>
      </c>
      <c r="G41" s="80">
        <f t="shared" si="7"/>
        <v>3.8000000000000006E-2</v>
      </c>
      <c r="H41" s="80">
        <f t="shared" si="7"/>
        <v>4.4999999999999998E-2</v>
      </c>
      <c r="I41" s="80">
        <f t="shared" si="7"/>
        <v>4.4999999999999998E-2</v>
      </c>
      <c r="J41" s="80">
        <f t="shared" si="7"/>
        <v>4.4999999999999998E-2</v>
      </c>
      <c r="K41" s="80">
        <f t="shared" si="7"/>
        <v>4.4999999999999998E-2</v>
      </c>
      <c r="L41" s="80">
        <f t="shared" si="7"/>
        <v>4.4999999999999998E-2</v>
      </c>
      <c r="M41" s="80">
        <f t="shared" si="7"/>
        <v>4.4999999999999998E-2</v>
      </c>
      <c r="N41" s="79"/>
      <c r="O41" t="s">
        <v>91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270" customFormat="1" ht="15" customHeight="1" x14ac:dyDescent="0.25">
      <c r="A42" s="1" t="s">
        <v>7</v>
      </c>
      <c r="B42" s="265">
        <f t="shared" ref="B42:M42" si="8">+B38+B34</f>
        <v>447.64633333333336</v>
      </c>
      <c r="C42" s="265">
        <f t="shared" si="8"/>
        <v>447.64633333333336</v>
      </c>
      <c r="D42" s="265">
        <f t="shared" si="8"/>
        <v>447.64633333333336</v>
      </c>
      <c r="E42" s="265">
        <f t="shared" si="8"/>
        <v>447.64633333333336</v>
      </c>
      <c r="F42" s="265">
        <f t="shared" si="8"/>
        <v>447.64633333333336</v>
      </c>
      <c r="G42" s="265">
        <f t="shared" si="8"/>
        <v>447.64633333333336</v>
      </c>
      <c r="H42" s="265">
        <f t="shared" si="8"/>
        <v>530.10749999999996</v>
      </c>
      <c r="I42" s="265">
        <f t="shared" si="8"/>
        <v>530.10749999999996</v>
      </c>
      <c r="J42" s="265">
        <f t="shared" si="8"/>
        <v>530.10749999999996</v>
      </c>
      <c r="K42" s="265">
        <f t="shared" si="8"/>
        <v>530.10749999999996</v>
      </c>
      <c r="L42" s="265">
        <f t="shared" si="8"/>
        <v>530.10749999999996</v>
      </c>
      <c r="M42" s="265">
        <f t="shared" si="8"/>
        <v>530.10749999999996</v>
      </c>
      <c r="N42" s="265">
        <f>SUM(B42:M42)</f>
        <v>5866.5230000000001</v>
      </c>
      <c r="O42" s="7">
        <f>+N42-N18</f>
        <v>-2040.0234074874943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270" customFormat="1" ht="15" customHeight="1" x14ac:dyDescent="0.25">
      <c r="A43" s="275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7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</row>
    <row r="44" spans="1:49" s="270" customFormat="1" ht="15" customHeight="1" x14ac:dyDescent="0.25">
      <c r="A44" t="s">
        <v>405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270" customFormat="1" ht="15" customHeight="1" x14ac:dyDescent="0.25">
      <c r="A45" s="1" t="s">
        <v>290</v>
      </c>
      <c r="B45" s="6">
        <f t="shared" ref="B45:M45" si="9">+B40+B27</f>
        <v>811362</v>
      </c>
      <c r="C45" s="6">
        <f t="shared" si="9"/>
        <v>811362</v>
      </c>
      <c r="D45" s="6">
        <f t="shared" si="9"/>
        <v>811362</v>
      </c>
      <c r="E45" s="6">
        <f t="shared" si="9"/>
        <v>811362</v>
      </c>
      <c r="F45" s="6">
        <f t="shared" si="9"/>
        <v>811362</v>
      </c>
      <c r="G45" s="6">
        <f t="shared" si="9"/>
        <v>913082.98121958075</v>
      </c>
      <c r="H45" s="6">
        <f t="shared" si="9"/>
        <v>913082.98121958075</v>
      </c>
      <c r="I45" s="6">
        <f t="shared" si="9"/>
        <v>913082.98121958075</v>
      </c>
      <c r="J45" s="6">
        <f t="shared" si="9"/>
        <v>913082.98121958075</v>
      </c>
      <c r="K45" s="6">
        <f t="shared" si="9"/>
        <v>913082.98121958075</v>
      </c>
      <c r="L45" s="6">
        <f t="shared" si="9"/>
        <v>913082.98121958075</v>
      </c>
      <c r="M45" s="6">
        <f t="shared" si="9"/>
        <v>913082.98121958075</v>
      </c>
      <c r="N45" s="6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270" customFormat="1" ht="15" customHeight="1" x14ac:dyDescent="0.25">
      <c r="A46" s="1" t="s">
        <v>149</v>
      </c>
      <c r="B46" s="80">
        <f>+B47/B45*12</f>
        <v>3.9981852736509726E-2</v>
      </c>
      <c r="C46" s="80">
        <f t="shared" ref="C46:M46" si="10">+C47/C45*12</f>
        <v>3.9981852736509726E-2</v>
      </c>
      <c r="D46" s="80">
        <f t="shared" si="10"/>
        <v>3.9981852736509726E-2</v>
      </c>
      <c r="E46" s="80">
        <f t="shared" si="10"/>
        <v>3.9981852736509726E-2</v>
      </c>
      <c r="F46" s="80">
        <f t="shared" si="10"/>
        <v>3.9981852736509726E-2</v>
      </c>
      <c r="G46" s="80">
        <f t="shared" si="10"/>
        <v>4.0028435961486385E-2</v>
      </c>
      <c r="H46" s="80">
        <f t="shared" si="10"/>
        <v>4.4999999999999998E-2</v>
      </c>
      <c r="I46" s="80">
        <f t="shared" si="10"/>
        <v>4.4999999999999998E-2</v>
      </c>
      <c r="J46" s="80">
        <f t="shared" si="10"/>
        <v>4.4999999999999998E-2</v>
      </c>
      <c r="K46" s="80">
        <f t="shared" si="10"/>
        <v>4.4999999999999998E-2</v>
      </c>
      <c r="L46" s="80">
        <f t="shared" si="10"/>
        <v>4.4999999999999998E-2</v>
      </c>
      <c r="M46" s="80">
        <f t="shared" si="10"/>
        <v>4.4999999999999998E-2</v>
      </c>
      <c r="N46" s="80"/>
      <c r="O46" t="s">
        <v>91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270" customFormat="1" ht="15" customHeight="1" x14ac:dyDescent="0.25">
      <c r="A47" s="1" t="s">
        <v>7</v>
      </c>
      <c r="B47" s="265">
        <f t="shared" ref="B47:M47" si="11">+B42+B29</f>
        <v>2703.3130000000001</v>
      </c>
      <c r="C47" s="265">
        <f t="shared" si="11"/>
        <v>2703.3130000000001</v>
      </c>
      <c r="D47" s="265">
        <f t="shared" si="11"/>
        <v>2703.3130000000001</v>
      </c>
      <c r="E47" s="265">
        <f t="shared" si="11"/>
        <v>2703.3130000000001</v>
      </c>
      <c r="F47" s="265">
        <f t="shared" si="11"/>
        <v>2703.3130000000001</v>
      </c>
      <c r="G47" s="265">
        <f t="shared" si="11"/>
        <v>3045.7736367725884</v>
      </c>
      <c r="H47" s="265">
        <f t="shared" si="11"/>
        <v>3424.0611795734276</v>
      </c>
      <c r="I47" s="265">
        <f t="shared" si="11"/>
        <v>3424.0611795734276</v>
      </c>
      <c r="J47" s="265">
        <f t="shared" si="11"/>
        <v>3424.0611795734276</v>
      </c>
      <c r="K47" s="265">
        <f t="shared" si="11"/>
        <v>3424.0611795734276</v>
      </c>
      <c r="L47" s="265">
        <f t="shared" si="11"/>
        <v>3424.0611795734276</v>
      </c>
      <c r="M47" s="265">
        <f t="shared" si="11"/>
        <v>3424.0611795734276</v>
      </c>
      <c r="N47" s="265">
        <f>SUM(B47:M47)</f>
        <v>37106.705714213167</v>
      </c>
      <c r="O47" s="7">
        <f>+N47-N23</f>
        <v>811.15930672566901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279" customFormat="1" ht="15" customHeight="1" x14ac:dyDescent="0.25">
      <c r="N48" s="280"/>
    </row>
    <row r="49" spans="1:49" s="270" customFormat="1" ht="15" customHeight="1" x14ac:dyDescent="0.25">
      <c r="A49" s="4" t="s">
        <v>416</v>
      </c>
      <c r="B49" s="4" t="s">
        <v>277</v>
      </c>
      <c r="C49" s="4" t="s">
        <v>278</v>
      </c>
      <c r="D49" s="4" t="s">
        <v>279</v>
      </c>
      <c r="E49" s="4" t="s">
        <v>280</v>
      </c>
      <c r="F49" s="4" t="s">
        <v>281</v>
      </c>
      <c r="G49" s="4" t="s">
        <v>282</v>
      </c>
      <c r="H49" s="4" t="s">
        <v>283</v>
      </c>
      <c r="I49" s="4" t="s">
        <v>284</v>
      </c>
      <c r="J49" s="4" t="s">
        <v>285</v>
      </c>
      <c r="K49" s="4" t="s">
        <v>286</v>
      </c>
      <c r="L49" s="4" t="s">
        <v>287</v>
      </c>
      <c r="M49" s="4" t="s">
        <v>288</v>
      </c>
      <c r="N49" s="265" t="s">
        <v>228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270" customFormat="1" ht="15" customHeight="1" x14ac:dyDescent="0.25">
      <c r="A50" t="s">
        <v>289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270" customFormat="1" ht="15" customHeight="1" x14ac:dyDescent="0.25">
      <c r="A51" s="1" t="s">
        <v>290</v>
      </c>
      <c r="B51" s="298">
        <f>+B27</f>
        <v>670000</v>
      </c>
      <c r="C51" s="298">
        <f t="shared" ref="C51:M51" si="12">+C27</f>
        <v>670000</v>
      </c>
      <c r="D51" s="298">
        <f t="shared" si="12"/>
        <v>670000</v>
      </c>
      <c r="E51" s="298">
        <f t="shared" si="12"/>
        <v>670000</v>
      </c>
      <c r="F51" s="298">
        <f t="shared" si="12"/>
        <v>670000</v>
      </c>
      <c r="G51" s="298">
        <f t="shared" si="12"/>
        <v>771720.98121958075</v>
      </c>
      <c r="H51" s="298">
        <f t="shared" si="12"/>
        <v>771720.98121958075</v>
      </c>
      <c r="I51" s="298">
        <f t="shared" si="12"/>
        <v>771720.98121958075</v>
      </c>
      <c r="J51" s="298">
        <f t="shared" si="12"/>
        <v>771720.98121958075</v>
      </c>
      <c r="K51" s="298">
        <f t="shared" si="12"/>
        <v>771720.98121958075</v>
      </c>
      <c r="L51" s="298">
        <f t="shared" si="12"/>
        <v>771720.98121958075</v>
      </c>
      <c r="M51" s="298">
        <f t="shared" si="12"/>
        <v>771720.98121958075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270" customFormat="1" ht="15" customHeight="1" x14ac:dyDescent="0.25">
      <c r="A52" s="1" t="s">
        <v>149</v>
      </c>
      <c r="B52" s="289">
        <v>3.8151119402985073E-2</v>
      </c>
      <c r="C52" s="289">
        <v>3.8151119402985073E-2</v>
      </c>
      <c r="D52" s="289">
        <v>3.8151119402985073E-2</v>
      </c>
      <c r="E52" s="289">
        <v>3.8151119402985073E-2</v>
      </c>
      <c r="F52" s="289">
        <v>3.8151119402985073E-2</v>
      </c>
      <c r="G52" s="289">
        <v>3.8065294984348588E-2</v>
      </c>
      <c r="H52" s="289">
        <v>3.8065294984348588E-2</v>
      </c>
      <c r="I52" s="289">
        <v>3.8065294984348588E-2</v>
      </c>
      <c r="J52" s="289">
        <v>3.8065294984348588E-2</v>
      </c>
      <c r="K52" s="289">
        <v>3.8065294984348588E-2</v>
      </c>
      <c r="L52" s="289">
        <v>3.8065294984348588E-2</v>
      </c>
      <c r="M52" s="289">
        <v>3.8065294984348588E-2</v>
      </c>
      <c r="N52" s="189"/>
      <c r="O52" t="s">
        <v>91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270" customFormat="1" ht="15" customHeight="1" x14ac:dyDescent="0.25">
      <c r="A53" s="1" t="s">
        <v>7</v>
      </c>
      <c r="B53" s="265">
        <f t="shared" ref="B53:M53" si="13">(B51*B52)/12</f>
        <v>2130.1041666666665</v>
      </c>
      <c r="C53" s="265">
        <f t="shared" si="13"/>
        <v>2130.1041666666665</v>
      </c>
      <c r="D53" s="265">
        <f t="shared" si="13"/>
        <v>2130.1041666666665</v>
      </c>
      <c r="E53" s="265">
        <f t="shared" si="13"/>
        <v>2130.1041666666665</v>
      </c>
      <c r="F53" s="265">
        <f t="shared" si="13"/>
        <v>2130.1041666666665</v>
      </c>
      <c r="G53" s="265">
        <f t="shared" si="13"/>
        <v>2447.9822329778567</v>
      </c>
      <c r="H53" s="265">
        <f t="shared" si="13"/>
        <v>2447.9822329778567</v>
      </c>
      <c r="I53" s="265">
        <f t="shared" si="13"/>
        <v>2447.9822329778567</v>
      </c>
      <c r="J53" s="265">
        <f t="shared" si="13"/>
        <v>2447.9822329778567</v>
      </c>
      <c r="K53" s="265">
        <f t="shared" si="13"/>
        <v>2447.9822329778567</v>
      </c>
      <c r="L53" s="265">
        <f t="shared" si="13"/>
        <v>2447.9822329778567</v>
      </c>
      <c r="M53" s="265">
        <f t="shared" si="13"/>
        <v>2447.9822329778567</v>
      </c>
      <c r="N53" s="265">
        <f>SUM(B53:M53)</f>
        <v>27786.396464178335</v>
      </c>
      <c r="O53" s="7">
        <f>+N53-N29</f>
        <v>-3453.7862500348165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270" customFormat="1" ht="15" customHeight="1" x14ac:dyDescent="0.25">
      <c r="A54" s="273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</row>
    <row r="55" spans="1:49" s="270" customFormat="1" ht="15" customHeight="1" x14ac:dyDescent="0.25">
      <c r="A55" t="s">
        <v>393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70" customFormat="1" ht="15" customHeight="1" x14ac:dyDescent="0.25">
      <c r="A56" s="1" t="s">
        <v>290</v>
      </c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270" customFormat="1" ht="15" customHeight="1" x14ac:dyDescent="0.25">
      <c r="A57" s="1" t="s">
        <v>149</v>
      </c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6"/>
      <c r="O57" s="28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270" customFormat="1" ht="15" customHeight="1" x14ac:dyDescent="0.25">
      <c r="A58" s="1" t="s">
        <v>7</v>
      </c>
      <c r="B58" s="265">
        <f t="shared" ref="B58:M58" si="14">(B56*B57)/12</f>
        <v>0</v>
      </c>
      <c r="C58" s="265">
        <f t="shared" si="14"/>
        <v>0</v>
      </c>
      <c r="D58" s="265">
        <f t="shared" si="14"/>
        <v>0</v>
      </c>
      <c r="E58" s="265">
        <f t="shared" si="14"/>
        <v>0</v>
      </c>
      <c r="F58" s="265">
        <f t="shared" si="14"/>
        <v>0</v>
      </c>
      <c r="G58" s="265">
        <f t="shared" si="14"/>
        <v>0</v>
      </c>
      <c r="H58" s="265">
        <f t="shared" si="14"/>
        <v>0</v>
      </c>
      <c r="I58" s="265">
        <f t="shared" si="14"/>
        <v>0</v>
      </c>
      <c r="J58" s="265">
        <f t="shared" si="14"/>
        <v>0</v>
      </c>
      <c r="K58" s="265">
        <f t="shared" si="14"/>
        <v>0</v>
      </c>
      <c r="L58" s="265">
        <f t="shared" si="14"/>
        <v>0</v>
      </c>
      <c r="M58" s="265">
        <f t="shared" si="14"/>
        <v>0</v>
      </c>
      <c r="N58" s="265">
        <f>SUM(B58:M58)</f>
        <v>0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270" customFormat="1" ht="15" customHeight="1" x14ac:dyDescent="0.25">
      <c r="A59" t="s">
        <v>384</v>
      </c>
      <c r="B59"/>
      <c r="C59"/>
      <c r="D59"/>
      <c r="E59"/>
      <c r="F59"/>
      <c r="G59"/>
      <c r="H59"/>
      <c r="I59"/>
      <c r="J59"/>
      <c r="K59"/>
      <c r="L59"/>
      <c r="M59"/>
      <c r="N59" s="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270" customFormat="1" ht="15" customHeight="1" x14ac:dyDescent="0.25">
      <c r="A60" s="1" t="s">
        <v>290</v>
      </c>
      <c r="B60" s="302">
        <f>+B36</f>
        <v>141362</v>
      </c>
      <c r="C60" s="302">
        <f t="shared" ref="C60:M60" si="15">+C36</f>
        <v>141362</v>
      </c>
      <c r="D60" s="302">
        <f t="shared" si="15"/>
        <v>141362</v>
      </c>
      <c r="E60" s="302">
        <f t="shared" si="15"/>
        <v>141362</v>
      </c>
      <c r="F60" s="302">
        <f t="shared" si="15"/>
        <v>141362</v>
      </c>
      <c r="G60" s="302">
        <f t="shared" si="15"/>
        <v>141362</v>
      </c>
      <c r="H60" s="302">
        <f t="shared" si="15"/>
        <v>141362</v>
      </c>
      <c r="I60" s="302">
        <f t="shared" si="15"/>
        <v>141362</v>
      </c>
      <c r="J60" s="302">
        <f t="shared" si="15"/>
        <v>141362</v>
      </c>
      <c r="K60" s="302">
        <f t="shared" si="15"/>
        <v>141362</v>
      </c>
      <c r="L60" s="302">
        <f t="shared" si="15"/>
        <v>141362</v>
      </c>
      <c r="M60" s="302">
        <f t="shared" si="15"/>
        <v>141362</v>
      </c>
      <c r="N60" s="281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270" customFormat="1" ht="15" customHeight="1" x14ac:dyDescent="0.25">
      <c r="A61" s="1" t="s">
        <v>149</v>
      </c>
      <c r="B61" s="289">
        <v>2.8299999999999999E-2</v>
      </c>
      <c r="C61" s="289">
        <v>2.8299999999999999E-2</v>
      </c>
      <c r="D61" s="289">
        <v>2.8299999999999999E-2</v>
      </c>
      <c r="E61" s="289">
        <v>2.8299999999999999E-2</v>
      </c>
      <c r="F61" s="289">
        <v>2.8299999999999999E-2</v>
      </c>
      <c r="G61" s="289">
        <v>2.8299999999999999E-2</v>
      </c>
      <c r="H61" s="289">
        <v>2.8299999999999999E-2</v>
      </c>
      <c r="I61" s="289">
        <v>2.8299999999999999E-2</v>
      </c>
      <c r="J61" s="289">
        <v>2.8299999999999999E-2</v>
      </c>
      <c r="K61" s="289">
        <v>2.8299999999999999E-2</v>
      </c>
      <c r="L61" s="289">
        <v>2.8299999999999999E-2</v>
      </c>
      <c r="M61" s="289">
        <v>2.8299999999999999E-2</v>
      </c>
      <c r="N61" s="286"/>
      <c r="O61" s="287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70" customFormat="1" ht="15" customHeight="1" x14ac:dyDescent="0.25">
      <c r="A62" s="1" t="s">
        <v>7</v>
      </c>
      <c r="B62" s="265">
        <f>(B60*B61)/12</f>
        <v>333.37871666666666</v>
      </c>
      <c r="C62" s="265">
        <f t="shared" ref="C62:M62" si="16">(C60*C61)/12</f>
        <v>333.37871666666666</v>
      </c>
      <c r="D62" s="265">
        <f t="shared" si="16"/>
        <v>333.37871666666666</v>
      </c>
      <c r="E62" s="265">
        <f t="shared" si="16"/>
        <v>333.37871666666666</v>
      </c>
      <c r="F62" s="265">
        <f t="shared" si="16"/>
        <v>333.37871666666666</v>
      </c>
      <c r="G62" s="265">
        <f t="shared" si="16"/>
        <v>333.37871666666666</v>
      </c>
      <c r="H62" s="265">
        <f t="shared" si="16"/>
        <v>333.37871666666666</v>
      </c>
      <c r="I62" s="265">
        <f t="shared" si="16"/>
        <v>333.37871666666666</v>
      </c>
      <c r="J62" s="265">
        <f t="shared" si="16"/>
        <v>333.37871666666666</v>
      </c>
      <c r="K62" s="265">
        <f t="shared" si="16"/>
        <v>333.37871666666666</v>
      </c>
      <c r="L62" s="265">
        <f t="shared" si="16"/>
        <v>333.37871666666666</v>
      </c>
      <c r="M62" s="265">
        <f t="shared" si="16"/>
        <v>333.37871666666666</v>
      </c>
      <c r="N62" s="265">
        <f>SUM(B62:M62)</f>
        <v>4000.5445999999997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270" customFormat="1" ht="15" customHeight="1" x14ac:dyDescent="0.25">
      <c r="A63" t="s">
        <v>404</v>
      </c>
      <c r="B63"/>
      <c r="C63"/>
      <c r="D63"/>
      <c r="E63"/>
      <c r="F63"/>
      <c r="G63"/>
      <c r="H63"/>
      <c r="I63"/>
      <c r="J63"/>
      <c r="K63"/>
      <c r="L63"/>
      <c r="M63"/>
      <c r="N63" s="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270" customFormat="1" ht="15" customHeight="1" x14ac:dyDescent="0.25">
      <c r="A64" s="1" t="s">
        <v>290</v>
      </c>
      <c r="B64" s="6">
        <f t="shared" ref="B64:M64" si="17">+B56+B60</f>
        <v>141362</v>
      </c>
      <c r="C64" s="6">
        <f t="shared" si="17"/>
        <v>141362</v>
      </c>
      <c r="D64" s="6">
        <f t="shared" si="17"/>
        <v>141362</v>
      </c>
      <c r="E64" s="6">
        <f t="shared" si="17"/>
        <v>141362</v>
      </c>
      <c r="F64" s="6">
        <f t="shared" si="17"/>
        <v>141362</v>
      </c>
      <c r="G64" s="6">
        <f t="shared" si="17"/>
        <v>141362</v>
      </c>
      <c r="H64" s="6">
        <f t="shared" si="17"/>
        <v>141362</v>
      </c>
      <c r="I64" s="6">
        <f t="shared" si="17"/>
        <v>141362</v>
      </c>
      <c r="J64" s="6">
        <f t="shared" si="17"/>
        <v>141362</v>
      </c>
      <c r="K64" s="6">
        <f t="shared" si="17"/>
        <v>141362</v>
      </c>
      <c r="L64" s="6">
        <f t="shared" si="17"/>
        <v>141362</v>
      </c>
      <c r="M64" s="6">
        <f t="shared" si="17"/>
        <v>141362</v>
      </c>
      <c r="N64" s="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270" customFormat="1" ht="15" customHeight="1" x14ac:dyDescent="0.25">
      <c r="A65" s="1" t="s">
        <v>149</v>
      </c>
      <c r="B65" s="80">
        <f t="shared" ref="B65:M65" si="18">+B66/B64*12</f>
        <v>2.8299999999999999E-2</v>
      </c>
      <c r="C65" s="80">
        <f t="shared" si="18"/>
        <v>2.8299999999999999E-2</v>
      </c>
      <c r="D65" s="80">
        <f t="shared" si="18"/>
        <v>2.8299999999999999E-2</v>
      </c>
      <c r="E65" s="80">
        <f t="shared" si="18"/>
        <v>2.8299999999999999E-2</v>
      </c>
      <c r="F65" s="80">
        <f t="shared" si="18"/>
        <v>2.8299999999999999E-2</v>
      </c>
      <c r="G65" s="80">
        <f t="shared" si="18"/>
        <v>2.8299999999999999E-2</v>
      </c>
      <c r="H65" s="80">
        <f t="shared" si="18"/>
        <v>2.8299999999999999E-2</v>
      </c>
      <c r="I65" s="80">
        <f t="shared" si="18"/>
        <v>2.8299999999999999E-2</v>
      </c>
      <c r="J65" s="80">
        <f t="shared" si="18"/>
        <v>2.8299999999999999E-2</v>
      </c>
      <c r="K65" s="80">
        <f t="shared" si="18"/>
        <v>2.8299999999999999E-2</v>
      </c>
      <c r="L65" s="80">
        <f t="shared" si="18"/>
        <v>2.8299999999999999E-2</v>
      </c>
      <c r="M65" s="80">
        <f t="shared" si="18"/>
        <v>2.8299999999999999E-2</v>
      </c>
      <c r="N65" s="79"/>
      <c r="O65" t="s">
        <v>91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270" customFormat="1" ht="15" customHeight="1" x14ac:dyDescent="0.25">
      <c r="A66" s="1" t="s">
        <v>7</v>
      </c>
      <c r="B66" s="265">
        <f t="shared" ref="B66:M66" si="19">+B62+B58</f>
        <v>333.37871666666666</v>
      </c>
      <c r="C66" s="265">
        <f t="shared" si="19"/>
        <v>333.37871666666666</v>
      </c>
      <c r="D66" s="265">
        <f t="shared" si="19"/>
        <v>333.37871666666666</v>
      </c>
      <c r="E66" s="265">
        <f t="shared" si="19"/>
        <v>333.37871666666666</v>
      </c>
      <c r="F66" s="265">
        <f t="shared" si="19"/>
        <v>333.37871666666666</v>
      </c>
      <c r="G66" s="265">
        <f t="shared" si="19"/>
        <v>333.37871666666666</v>
      </c>
      <c r="H66" s="265">
        <f t="shared" si="19"/>
        <v>333.37871666666666</v>
      </c>
      <c r="I66" s="265">
        <f t="shared" si="19"/>
        <v>333.37871666666666</v>
      </c>
      <c r="J66" s="265">
        <f t="shared" si="19"/>
        <v>333.37871666666666</v>
      </c>
      <c r="K66" s="265">
        <f t="shared" si="19"/>
        <v>333.37871666666666</v>
      </c>
      <c r="L66" s="265">
        <f t="shared" si="19"/>
        <v>333.37871666666666</v>
      </c>
      <c r="M66" s="265">
        <f t="shared" si="19"/>
        <v>333.37871666666666</v>
      </c>
      <c r="N66" s="265">
        <f>SUM(B66:M66)</f>
        <v>4000.5445999999997</v>
      </c>
      <c r="O66" s="7">
        <f>+N66-N42</f>
        <v>-1865.9784000000004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270" customFormat="1" ht="15" customHeight="1" x14ac:dyDescent="0.25">
      <c r="A67" s="275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7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</row>
    <row r="68" spans="1:49" s="270" customFormat="1" ht="15" customHeight="1" x14ac:dyDescent="0.25">
      <c r="A68" t="s">
        <v>405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7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270" customFormat="1" ht="15" customHeight="1" x14ac:dyDescent="0.25">
      <c r="A69" s="1" t="s">
        <v>290</v>
      </c>
      <c r="B69" s="6">
        <f t="shared" ref="B69:M69" si="20">+B64+B51</f>
        <v>811362</v>
      </c>
      <c r="C69" s="6">
        <f t="shared" si="20"/>
        <v>811362</v>
      </c>
      <c r="D69" s="6">
        <f t="shared" si="20"/>
        <v>811362</v>
      </c>
      <c r="E69" s="6">
        <f t="shared" si="20"/>
        <v>811362</v>
      </c>
      <c r="F69" s="6">
        <f t="shared" si="20"/>
        <v>811362</v>
      </c>
      <c r="G69" s="6">
        <f t="shared" si="20"/>
        <v>913082.98121958075</v>
      </c>
      <c r="H69" s="6">
        <f t="shared" si="20"/>
        <v>913082.98121958075</v>
      </c>
      <c r="I69" s="6">
        <f t="shared" si="20"/>
        <v>913082.98121958075</v>
      </c>
      <c r="J69" s="6">
        <f t="shared" si="20"/>
        <v>913082.98121958075</v>
      </c>
      <c r="K69" s="6">
        <f t="shared" si="20"/>
        <v>913082.98121958075</v>
      </c>
      <c r="L69" s="6">
        <f t="shared" si="20"/>
        <v>913082.98121958075</v>
      </c>
      <c r="M69" s="6">
        <f t="shared" si="20"/>
        <v>913082.98121958075</v>
      </c>
      <c r="N69" s="6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270" customFormat="1" ht="15" customHeight="1" x14ac:dyDescent="0.25">
      <c r="A70" s="1" t="s">
        <v>149</v>
      </c>
      <c r="B70" s="80">
        <f>+B71/B69*12</f>
        <v>3.6434778311037488E-2</v>
      </c>
      <c r="C70" s="80">
        <f t="shared" ref="C70:M70" si="21">+C71/C69*12</f>
        <v>3.6434778311037488E-2</v>
      </c>
      <c r="D70" s="80">
        <f t="shared" si="21"/>
        <v>3.6434778311037488E-2</v>
      </c>
      <c r="E70" s="80">
        <f t="shared" si="21"/>
        <v>3.6434778311037488E-2</v>
      </c>
      <c r="F70" s="80">
        <f t="shared" si="21"/>
        <v>3.6434778311037488E-2</v>
      </c>
      <c r="G70" s="80">
        <f t="shared" si="21"/>
        <v>3.6553448133656373E-2</v>
      </c>
      <c r="H70" s="80">
        <f t="shared" si="21"/>
        <v>3.6553448133656373E-2</v>
      </c>
      <c r="I70" s="80">
        <f t="shared" si="21"/>
        <v>3.6553448133656373E-2</v>
      </c>
      <c r="J70" s="80">
        <f t="shared" si="21"/>
        <v>3.6553448133656373E-2</v>
      </c>
      <c r="K70" s="80">
        <f t="shared" si="21"/>
        <v>3.6553448133656373E-2</v>
      </c>
      <c r="L70" s="80">
        <f t="shared" si="21"/>
        <v>3.6553448133656373E-2</v>
      </c>
      <c r="M70" s="80">
        <f t="shared" si="21"/>
        <v>3.6553448133656373E-2</v>
      </c>
      <c r="N70" s="80"/>
      <c r="O70" t="s">
        <v>91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270" customFormat="1" ht="15" customHeight="1" x14ac:dyDescent="0.25">
      <c r="A71" s="1" t="s">
        <v>7</v>
      </c>
      <c r="B71" s="265">
        <f t="shared" ref="B71:M71" si="22">+B66+B53</f>
        <v>2463.4828833333331</v>
      </c>
      <c r="C71" s="265">
        <f t="shared" si="22"/>
        <v>2463.4828833333331</v>
      </c>
      <c r="D71" s="265">
        <f t="shared" si="22"/>
        <v>2463.4828833333331</v>
      </c>
      <c r="E71" s="265">
        <f t="shared" si="22"/>
        <v>2463.4828833333331</v>
      </c>
      <c r="F71" s="265">
        <f t="shared" si="22"/>
        <v>2463.4828833333331</v>
      </c>
      <c r="G71" s="265">
        <f t="shared" si="22"/>
        <v>2781.3609496445233</v>
      </c>
      <c r="H71" s="265">
        <f t="shared" si="22"/>
        <v>2781.3609496445233</v>
      </c>
      <c r="I71" s="265">
        <f t="shared" si="22"/>
        <v>2781.3609496445233</v>
      </c>
      <c r="J71" s="265">
        <f t="shared" si="22"/>
        <v>2781.3609496445233</v>
      </c>
      <c r="K71" s="265">
        <f t="shared" si="22"/>
        <v>2781.3609496445233</v>
      </c>
      <c r="L71" s="265">
        <f t="shared" si="22"/>
        <v>2781.3609496445233</v>
      </c>
      <c r="M71" s="265">
        <f t="shared" si="22"/>
        <v>2781.3609496445233</v>
      </c>
      <c r="N71" s="265">
        <f>SUM(B71:M71)</f>
        <v>31786.941064178336</v>
      </c>
      <c r="O71" s="7">
        <f>+N71-N47</f>
        <v>-5319.764650034831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ht="15" customHeight="1" x14ac:dyDescent="0.25">
      <c r="A72" s="1"/>
      <c r="B72" s="265"/>
      <c r="C72" s="265"/>
      <c r="D72" s="265"/>
      <c r="E72" s="265"/>
      <c r="N72"/>
    </row>
    <row r="73" spans="1:49" ht="15" customHeight="1" x14ac:dyDescent="0.25">
      <c r="A73" s="1"/>
      <c r="B73" s="265"/>
      <c r="C73" s="265"/>
      <c r="D73" s="265"/>
      <c r="E73" s="265"/>
      <c r="F73" s="189"/>
      <c r="G73" s="189"/>
      <c r="H73" s="189"/>
      <c r="I73" s="189"/>
      <c r="J73" s="189"/>
      <c r="K73" s="189"/>
      <c r="L73" s="189"/>
      <c r="M73" s="189"/>
      <c r="N73" s="189"/>
      <c r="O73" s="189"/>
    </row>
    <row r="74" spans="1:49" ht="15" customHeight="1" x14ac:dyDescent="0.25">
      <c r="A74" s="1"/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</row>
    <row r="75" spans="1:49" ht="15" customHeight="1" x14ac:dyDescent="0.25">
      <c r="A75" s="1"/>
      <c r="B75" s="265"/>
      <c r="C75" s="265"/>
      <c r="D75" s="265"/>
      <c r="E75" s="265"/>
      <c r="F75" s="6"/>
      <c r="G75" s="6"/>
      <c r="H75" s="6"/>
      <c r="I75" s="6"/>
      <c r="J75" s="6"/>
      <c r="K75" s="6"/>
      <c r="L75" s="6"/>
      <c r="M75" s="6"/>
      <c r="O75" s="6"/>
    </row>
    <row r="76" spans="1:49" ht="15" customHeight="1" x14ac:dyDescent="0.25">
      <c r="A76" s="1"/>
      <c r="B76" s="265"/>
      <c r="C76" s="265"/>
      <c r="D76" s="265"/>
      <c r="E76" s="265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49" ht="15" customHeight="1" x14ac:dyDescent="0.25">
      <c r="A77" s="1"/>
      <c r="B77" s="265"/>
      <c r="C77" s="265"/>
      <c r="D77" s="265"/>
      <c r="E77" s="265"/>
      <c r="G77" s="6"/>
      <c r="H77" s="6"/>
      <c r="I77" s="6"/>
      <c r="J77" s="6"/>
      <c r="K77" s="6"/>
      <c r="L77" s="6"/>
      <c r="M77" s="6"/>
      <c r="O77" s="6"/>
    </row>
    <row r="78" spans="1:49" ht="15" customHeight="1" x14ac:dyDescent="0.25">
      <c r="A78" s="192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</row>
    <row r="79" spans="1:49" ht="15" customHeight="1" x14ac:dyDescent="0.25">
      <c r="A79" s="192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</row>
    <row r="80" spans="1:49" ht="15" customHeight="1" x14ac:dyDescent="0.25">
      <c r="N80"/>
    </row>
    <row r="81" spans="1:15" ht="15" customHeight="1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O81" s="6"/>
    </row>
    <row r="82" spans="1:15" ht="15" customHeight="1" x14ac:dyDescent="0.25">
      <c r="A82" s="192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</row>
    <row r="83" spans="1:15" ht="15" customHeight="1" x14ac:dyDescent="0.25">
      <c r="A83" s="192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</row>
    <row r="84" spans="1:15" ht="15" customHeight="1" x14ac:dyDescent="0.25">
      <c r="N84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3FD8-BF14-475A-807F-E36C30B4B54D}">
  <sheetPr>
    <tabColor theme="9"/>
  </sheetPr>
  <dimension ref="A1:AW95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Q5" sqref="Q5"/>
    </sheetView>
    <sheetView workbookViewId="1"/>
  </sheetViews>
  <sheetFormatPr defaultRowHeight="15" customHeight="1" x14ac:dyDescent="0.25"/>
  <cols>
    <col min="1" max="1" width="48.85546875" bestFit="1" customWidth="1"/>
    <col min="2" max="13" width="10.5703125" bestFit="1" customWidth="1"/>
    <col min="14" max="14" width="8.42578125" style="6" bestFit="1" customWidth="1"/>
    <col min="15" max="15" width="5.140625" customWidth="1"/>
    <col min="17" max="17" width="13.42578125" bestFit="1" customWidth="1"/>
    <col min="18" max="18" width="10.5703125" bestFit="1" customWidth="1"/>
    <col min="19" max="19" width="16.42578125" bestFit="1" customWidth="1"/>
    <col min="20" max="20" width="15.85546875" bestFit="1" customWidth="1"/>
    <col min="22" max="22" width="11.85546875" bestFit="1" customWidth="1"/>
  </cols>
  <sheetData>
    <row r="1" spans="1:18" ht="15" customHeight="1" x14ac:dyDescent="0.25">
      <c r="A1" s="4" t="str">
        <f>+'LTF Interest Schedules RP'!A49</f>
        <v>2023 LTF Balances at LTF Rates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265" t="s">
        <v>228</v>
      </c>
    </row>
    <row r="2" spans="1:18" ht="15" customHeight="1" x14ac:dyDescent="0.25">
      <c r="A2" t="s">
        <v>289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/>
      <c r="Q2" t="s">
        <v>423</v>
      </c>
      <c r="R2" s="278">
        <f>ROUND(+O47/1000,1)</f>
        <v>-1.1000000000000001</v>
      </c>
    </row>
    <row r="3" spans="1:18" ht="15" customHeight="1" x14ac:dyDescent="0.25">
      <c r="A3" s="1" t="s">
        <v>290</v>
      </c>
      <c r="B3" s="298">
        <f>+'LTF Interest Schedules RP'!B51</f>
        <v>670000</v>
      </c>
      <c r="C3" s="298">
        <f>+'LTF Interest Schedules RP'!C51</f>
        <v>670000</v>
      </c>
      <c r="D3" s="298">
        <f>+'LTF Interest Schedules RP'!D51</f>
        <v>670000</v>
      </c>
      <c r="E3" s="298">
        <f>+'LTF Interest Schedules RP'!E51</f>
        <v>670000</v>
      </c>
      <c r="F3" s="298">
        <f>+'LTF Interest Schedules RP'!F51</f>
        <v>670000</v>
      </c>
      <c r="G3" s="298">
        <f>+'LTF Interest Schedules RP'!G51</f>
        <v>771720.98121958075</v>
      </c>
      <c r="H3" s="298">
        <f>+'LTF Interest Schedules RP'!H51</f>
        <v>771720.98121958075</v>
      </c>
      <c r="I3" s="298">
        <f>+'LTF Interest Schedules RP'!I51</f>
        <v>771720.98121958075</v>
      </c>
      <c r="J3" s="298">
        <f>+'LTF Interest Schedules RP'!J51</f>
        <v>771720.98121958075</v>
      </c>
      <c r="K3" s="298">
        <f>+'LTF Interest Schedules RP'!K51</f>
        <v>771720.98121958075</v>
      </c>
      <c r="L3" s="298">
        <f>+'LTF Interest Schedules RP'!L51</f>
        <v>771720.98121958075</v>
      </c>
      <c r="M3" s="298">
        <f>+'LTF Interest Schedules RP'!M51</f>
        <v>771720.98121958075</v>
      </c>
      <c r="N3"/>
      <c r="Q3" t="s">
        <v>411</v>
      </c>
      <c r="R3" s="278">
        <f>ROUND(+O71/1000,1)</f>
        <v>7.8</v>
      </c>
    </row>
    <row r="4" spans="1:18" ht="15" customHeight="1" x14ac:dyDescent="0.25">
      <c r="A4" s="1" t="s">
        <v>149</v>
      </c>
      <c r="B4" s="290">
        <f>+'LTF Interest Schedules RP'!B52</f>
        <v>3.8151119402985073E-2</v>
      </c>
      <c r="C4" s="290">
        <f>+'LTF Interest Schedules RP'!C52</f>
        <v>3.8151119402985073E-2</v>
      </c>
      <c r="D4" s="290">
        <f>+'LTF Interest Schedules RP'!D52</f>
        <v>3.8151119402985073E-2</v>
      </c>
      <c r="E4" s="290">
        <f>+'LTF Interest Schedules RP'!E52</f>
        <v>3.8151119402985073E-2</v>
      </c>
      <c r="F4" s="290">
        <f>+'LTF Interest Schedules RP'!F52</f>
        <v>3.8151119402985073E-2</v>
      </c>
      <c r="G4" s="290">
        <f>+'LTF Interest Schedules RP'!G52</f>
        <v>3.8065294984348588E-2</v>
      </c>
      <c r="H4" s="290">
        <f>+'LTF Interest Schedules RP'!H52</f>
        <v>3.8065294984348588E-2</v>
      </c>
      <c r="I4" s="290">
        <f>+'LTF Interest Schedules RP'!I52</f>
        <v>3.8065294984348588E-2</v>
      </c>
      <c r="J4" s="290">
        <f>+'LTF Interest Schedules RP'!J52</f>
        <v>3.8065294984348588E-2</v>
      </c>
      <c r="K4" s="290">
        <f>+'LTF Interest Schedules RP'!K52</f>
        <v>3.8065294984348588E-2</v>
      </c>
      <c r="L4" s="290">
        <f>+'LTF Interest Schedules RP'!L52</f>
        <v>3.8065294984348588E-2</v>
      </c>
      <c r="M4" s="290">
        <f>+'LTF Interest Schedules RP'!M52</f>
        <v>3.8065294984348588E-2</v>
      </c>
      <c r="N4" s="189"/>
      <c r="Q4" t="s">
        <v>421</v>
      </c>
      <c r="R4" s="278">
        <f>ROUND(+O95/1000,1)</f>
        <v>-2.2000000000000002</v>
      </c>
    </row>
    <row r="5" spans="1:18" ht="15" customHeight="1" x14ac:dyDescent="0.25">
      <c r="A5" s="1" t="s">
        <v>7</v>
      </c>
      <c r="B5" s="265">
        <f t="shared" ref="B5:M5" si="0">(B3*B4)/12</f>
        <v>2130.1041666666665</v>
      </c>
      <c r="C5" s="265">
        <f t="shared" si="0"/>
        <v>2130.1041666666665</v>
      </c>
      <c r="D5" s="265">
        <f t="shared" si="0"/>
        <v>2130.1041666666665</v>
      </c>
      <c r="E5" s="265">
        <f t="shared" si="0"/>
        <v>2130.1041666666665</v>
      </c>
      <c r="F5" s="265">
        <f t="shared" si="0"/>
        <v>2130.1041666666665</v>
      </c>
      <c r="G5" s="265">
        <f t="shared" si="0"/>
        <v>2447.9822329778567</v>
      </c>
      <c r="H5" s="265">
        <f t="shared" si="0"/>
        <v>2447.9822329778567</v>
      </c>
      <c r="I5" s="265">
        <f t="shared" si="0"/>
        <v>2447.9822329778567</v>
      </c>
      <c r="J5" s="265">
        <f t="shared" si="0"/>
        <v>2447.9822329778567</v>
      </c>
      <c r="K5" s="265">
        <f t="shared" si="0"/>
        <v>2447.9822329778567</v>
      </c>
      <c r="L5" s="265">
        <f t="shared" si="0"/>
        <v>2447.9822329778567</v>
      </c>
      <c r="M5" s="265">
        <f t="shared" si="0"/>
        <v>2447.9822329778567</v>
      </c>
      <c r="N5" s="265">
        <f>SUM(B5:M5)</f>
        <v>27786.396464178335</v>
      </c>
      <c r="O5" s="7"/>
      <c r="Q5" t="s">
        <v>24</v>
      </c>
      <c r="R5" s="143">
        <f>+R6-SUM(R2:R4)</f>
        <v>-0.19999999999999929</v>
      </c>
    </row>
    <row r="6" spans="1:18" s="273" customFormat="1" ht="15" customHeight="1" x14ac:dyDescent="0.25"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274"/>
      <c r="P6"/>
      <c r="Q6"/>
      <c r="R6" s="278">
        <v>4.3</v>
      </c>
    </row>
    <row r="7" spans="1:18" ht="15" customHeight="1" x14ac:dyDescent="0.25">
      <c r="A7" t="s">
        <v>393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7"/>
      <c r="R7" s="79"/>
    </row>
    <row r="8" spans="1:18" ht="15" customHeight="1" x14ac:dyDescent="0.25">
      <c r="A8" s="1" t="s">
        <v>290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281"/>
      <c r="R8" s="79"/>
    </row>
    <row r="9" spans="1:18" s="287" customFormat="1" ht="15" customHeight="1" x14ac:dyDescent="0.25">
      <c r="A9" s="1" t="s">
        <v>149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86"/>
      <c r="P9"/>
    </row>
    <row r="10" spans="1:18" ht="15" customHeight="1" x14ac:dyDescent="0.25">
      <c r="A10" s="1" t="s">
        <v>7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65"/>
    </row>
    <row r="11" spans="1:18" ht="15" customHeight="1" x14ac:dyDescent="0.25">
      <c r="A11" t="s">
        <v>384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8" ht="15" customHeight="1" x14ac:dyDescent="0.25">
      <c r="A12" s="1" t="s">
        <v>290</v>
      </c>
      <c r="B12" s="302">
        <f>+'LTF Interest Schedules RP'!B60</f>
        <v>141362</v>
      </c>
      <c r="C12" s="302">
        <f>+'LTF Interest Schedules RP'!C60</f>
        <v>141362</v>
      </c>
      <c r="D12" s="302">
        <f>+'LTF Interest Schedules RP'!D60</f>
        <v>141362</v>
      </c>
      <c r="E12" s="302">
        <f>+'LTF Interest Schedules RP'!E60</f>
        <v>141362</v>
      </c>
      <c r="F12" s="302">
        <f>+'LTF Interest Schedules RP'!F60</f>
        <v>141362</v>
      </c>
      <c r="G12" s="302">
        <f>+'LTF Interest Schedules RP'!G60</f>
        <v>141362</v>
      </c>
      <c r="H12" s="302">
        <f>+'LTF Interest Schedules RP'!H60</f>
        <v>141362</v>
      </c>
      <c r="I12" s="302">
        <f>+'LTF Interest Schedules RP'!I60</f>
        <v>141362</v>
      </c>
      <c r="J12" s="302">
        <f>+'LTF Interest Schedules RP'!J60</f>
        <v>141362</v>
      </c>
      <c r="K12" s="302">
        <f>+'LTF Interest Schedules RP'!K60</f>
        <v>141362</v>
      </c>
      <c r="L12" s="302">
        <f>+'LTF Interest Schedules RP'!L60</f>
        <v>141362</v>
      </c>
      <c r="M12" s="302">
        <f>+'LTF Interest Schedules RP'!M60</f>
        <v>141362</v>
      </c>
      <c r="N12" s="281"/>
    </row>
    <row r="13" spans="1:18" s="287" customFormat="1" ht="15" customHeight="1" x14ac:dyDescent="0.25">
      <c r="A13" s="1" t="s">
        <v>149</v>
      </c>
      <c r="B13" s="290">
        <f>+'LTF Interest Schedules RP'!B61</f>
        <v>2.8299999999999999E-2</v>
      </c>
      <c r="C13" s="290">
        <f>+'LTF Interest Schedules RP'!C61</f>
        <v>2.8299999999999999E-2</v>
      </c>
      <c r="D13" s="290">
        <f>+'LTF Interest Schedules RP'!D61</f>
        <v>2.8299999999999999E-2</v>
      </c>
      <c r="E13" s="290">
        <f>+'LTF Interest Schedules RP'!E61</f>
        <v>2.8299999999999999E-2</v>
      </c>
      <c r="F13" s="290">
        <f>+'LTF Interest Schedules RP'!F61</f>
        <v>2.8299999999999999E-2</v>
      </c>
      <c r="G13" s="290">
        <f>+'LTF Interest Schedules RP'!G61</f>
        <v>2.8299999999999999E-2</v>
      </c>
      <c r="H13" s="290">
        <f>+'LTF Interest Schedules RP'!H61</f>
        <v>2.8299999999999999E-2</v>
      </c>
      <c r="I13" s="290">
        <f>+'LTF Interest Schedules RP'!I61</f>
        <v>2.8299999999999999E-2</v>
      </c>
      <c r="J13" s="290">
        <f>+'LTF Interest Schedules RP'!J61</f>
        <v>2.8299999999999999E-2</v>
      </c>
      <c r="K13" s="290">
        <f>+'LTF Interest Schedules RP'!K61</f>
        <v>2.8299999999999999E-2</v>
      </c>
      <c r="L13" s="290">
        <f>+'LTF Interest Schedules RP'!L61</f>
        <v>2.8299999999999999E-2</v>
      </c>
      <c r="M13" s="290">
        <f>+'LTF Interest Schedules RP'!M61</f>
        <v>2.8299999999999999E-2</v>
      </c>
      <c r="N13" s="286"/>
    </row>
    <row r="14" spans="1:18" ht="15" customHeight="1" x14ac:dyDescent="0.25">
      <c r="A14" s="1" t="s">
        <v>7</v>
      </c>
      <c r="B14" s="265">
        <f t="shared" ref="B14:M14" si="1">(B12*B13)/12</f>
        <v>333.37871666666666</v>
      </c>
      <c r="C14" s="265">
        <f t="shared" si="1"/>
        <v>333.37871666666666</v>
      </c>
      <c r="D14" s="265">
        <f t="shared" si="1"/>
        <v>333.37871666666666</v>
      </c>
      <c r="E14" s="265">
        <f t="shared" si="1"/>
        <v>333.37871666666666</v>
      </c>
      <c r="F14" s="265">
        <f t="shared" si="1"/>
        <v>333.37871666666666</v>
      </c>
      <c r="G14" s="265">
        <f t="shared" si="1"/>
        <v>333.37871666666666</v>
      </c>
      <c r="H14" s="265">
        <f t="shared" si="1"/>
        <v>333.37871666666666</v>
      </c>
      <c r="I14" s="265">
        <f t="shared" si="1"/>
        <v>333.37871666666666</v>
      </c>
      <c r="J14" s="265">
        <f t="shared" si="1"/>
        <v>333.37871666666666</v>
      </c>
      <c r="K14" s="265">
        <f t="shared" si="1"/>
        <v>333.37871666666666</v>
      </c>
      <c r="L14" s="265">
        <f t="shared" si="1"/>
        <v>333.37871666666666</v>
      </c>
      <c r="M14" s="265">
        <f t="shared" si="1"/>
        <v>333.37871666666666</v>
      </c>
      <c r="N14" s="265">
        <f>SUM(B14:M14)</f>
        <v>4000.5445999999997</v>
      </c>
    </row>
    <row r="15" spans="1:18" ht="15" customHeight="1" x14ac:dyDescent="0.25">
      <c r="A15" t="s">
        <v>404</v>
      </c>
      <c r="B15" s="163">
        <f>+'Q3F Interest Schedules RP'!B87</f>
        <v>0</v>
      </c>
      <c r="C15" s="163">
        <f>+'Q3F Interest Schedules RP'!C87</f>
        <v>0</v>
      </c>
      <c r="D15" s="163">
        <f>+'Q3F Interest Schedules RP'!D87</f>
        <v>0</v>
      </c>
      <c r="E15" s="163">
        <f>+'Q3F Interest Schedules RP'!E87</f>
        <v>0</v>
      </c>
      <c r="F15" s="163">
        <f>+'Q3F Interest Schedules RP'!F87</f>
        <v>0</v>
      </c>
      <c r="G15" s="163">
        <f>+'Q3F Interest Schedules RP'!G87</f>
        <v>0</v>
      </c>
      <c r="H15" s="163">
        <f>+'Q3F Interest Schedules RP'!H87</f>
        <v>0</v>
      </c>
      <c r="I15" s="163">
        <f>+'Q3F Interest Schedules RP'!I87</f>
        <v>0</v>
      </c>
      <c r="J15" s="163">
        <f>+'Q3F Interest Schedules RP'!J87</f>
        <v>0</v>
      </c>
      <c r="K15" s="163">
        <f>+'Q3F Interest Schedules RP'!K87</f>
        <v>0</v>
      </c>
      <c r="L15" s="163">
        <f>+'Q3F Interest Schedules RP'!L87</f>
        <v>0</v>
      </c>
      <c r="M15" s="163">
        <f>+'Q3F Interest Schedules RP'!M87</f>
        <v>0</v>
      </c>
    </row>
    <row r="16" spans="1:18" ht="15" customHeight="1" x14ac:dyDescent="0.25">
      <c r="A16" s="1" t="s">
        <v>290</v>
      </c>
      <c r="B16" s="6">
        <f t="shared" ref="B16:M16" si="2">+B8+B12</f>
        <v>141362</v>
      </c>
      <c r="C16" s="6">
        <f t="shared" si="2"/>
        <v>141362</v>
      </c>
      <c r="D16" s="6">
        <f t="shared" si="2"/>
        <v>141362</v>
      </c>
      <c r="E16" s="6">
        <f t="shared" si="2"/>
        <v>141362</v>
      </c>
      <c r="F16" s="6">
        <f t="shared" si="2"/>
        <v>141362</v>
      </c>
      <c r="G16" s="6">
        <f t="shared" si="2"/>
        <v>141362</v>
      </c>
      <c r="H16" s="6">
        <f t="shared" si="2"/>
        <v>141362</v>
      </c>
      <c r="I16" s="6">
        <f t="shared" si="2"/>
        <v>141362</v>
      </c>
      <c r="J16" s="6">
        <f t="shared" si="2"/>
        <v>141362</v>
      </c>
      <c r="K16" s="6">
        <f t="shared" si="2"/>
        <v>141362</v>
      </c>
      <c r="L16" s="6">
        <f t="shared" si="2"/>
        <v>141362</v>
      </c>
      <c r="M16" s="6">
        <f t="shared" si="2"/>
        <v>141362</v>
      </c>
    </row>
    <row r="17" spans="1:49" ht="15" customHeight="1" x14ac:dyDescent="0.25">
      <c r="A17" s="1" t="s">
        <v>149</v>
      </c>
      <c r="B17" s="80">
        <f t="shared" ref="B17:M17" si="3">+B18/B16*12</f>
        <v>2.8299999999999999E-2</v>
      </c>
      <c r="C17" s="80">
        <f t="shared" si="3"/>
        <v>2.8299999999999999E-2</v>
      </c>
      <c r="D17" s="80">
        <f t="shared" si="3"/>
        <v>2.8299999999999999E-2</v>
      </c>
      <c r="E17" s="80">
        <f t="shared" si="3"/>
        <v>2.8299999999999999E-2</v>
      </c>
      <c r="F17" s="80">
        <f t="shared" si="3"/>
        <v>2.8299999999999999E-2</v>
      </c>
      <c r="G17" s="80">
        <f t="shared" si="3"/>
        <v>2.8299999999999999E-2</v>
      </c>
      <c r="H17" s="80">
        <f t="shared" si="3"/>
        <v>2.8299999999999999E-2</v>
      </c>
      <c r="I17" s="80">
        <f t="shared" si="3"/>
        <v>2.8299999999999999E-2</v>
      </c>
      <c r="J17" s="80">
        <f t="shared" si="3"/>
        <v>2.8299999999999999E-2</v>
      </c>
      <c r="K17" s="80">
        <f t="shared" si="3"/>
        <v>2.8299999999999999E-2</v>
      </c>
      <c r="L17" s="80">
        <f t="shared" si="3"/>
        <v>2.8299999999999999E-2</v>
      </c>
      <c r="M17" s="80">
        <f t="shared" si="3"/>
        <v>2.8299999999999999E-2</v>
      </c>
      <c r="N17" s="79"/>
    </row>
    <row r="18" spans="1:49" ht="15" customHeight="1" x14ac:dyDescent="0.25">
      <c r="A18" s="1" t="s">
        <v>7</v>
      </c>
      <c r="B18" s="265">
        <f t="shared" ref="B18:M18" si="4">+B14+B10</f>
        <v>333.37871666666666</v>
      </c>
      <c r="C18" s="265">
        <f t="shared" si="4"/>
        <v>333.37871666666666</v>
      </c>
      <c r="D18" s="265">
        <f t="shared" si="4"/>
        <v>333.37871666666666</v>
      </c>
      <c r="E18" s="265">
        <f t="shared" si="4"/>
        <v>333.37871666666666</v>
      </c>
      <c r="F18" s="265">
        <f t="shared" si="4"/>
        <v>333.37871666666666</v>
      </c>
      <c r="G18" s="265">
        <f t="shared" si="4"/>
        <v>333.37871666666666</v>
      </c>
      <c r="H18" s="265">
        <f t="shared" si="4"/>
        <v>333.37871666666666</v>
      </c>
      <c r="I18" s="265">
        <f t="shared" si="4"/>
        <v>333.37871666666666</v>
      </c>
      <c r="J18" s="265">
        <f t="shared" si="4"/>
        <v>333.37871666666666</v>
      </c>
      <c r="K18" s="265">
        <f t="shared" si="4"/>
        <v>333.37871666666666</v>
      </c>
      <c r="L18" s="265">
        <f t="shared" si="4"/>
        <v>333.37871666666666</v>
      </c>
      <c r="M18" s="265">
        <f t="shared" si="4"/>
        <v>333.37871666666666</v>
      </c>
      <c r="N18" s="265">
        <f>SUM(B18:M18)</f>
        <v>4000.5445999999997</v>
      </c>
      <c r="O18" s="7"/>
    </row>
    <row r="19" spans="1:49" s="273" customFormat="1" ht="15" customHeight="1" x14ac:dyDescent="0.25">
      <c r="A19" s="275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277"/>
    </row>
    <row r="20" spans="1:49" ht="15" customHeight="1" x14ac:dyDescent="0.25">
      <c r="A20" t="s">
        <v>405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267"/>
    </row>
    <row r="21" spans="1:49" ht="15" customHeight="1" x14ac:dyDescent="0.25">
      <c r="A21" s="1" t="s">
        <v>290</v>
      </c>
      <c r="B21" s="6">
        <f t="shared" ref="B21:M21" si="5">+B16+B3</f>
        <v>811362</v>
      </c>
      <c r="C21" s="6">
        <f t="shared" si="5"/>
        <v>811362</v>
      </c>
      <c r="D21" s="6">
        <f t="shared" si="5"/>
        <v>811362</v>
      </c>
      <c r="E21" s="6">
        <f t="shared" si="5"/>
        <v>811362</v>
      </c>
      <c r="F21" s="6">
        <f t="shared" si="5"/>
        <v>811362</v>
      </c>
      <c r="G21" s="6">
        <f t="shared" si="5"/>
        <v>913082.98121958075</v>
      </c>
      <c r="H21" s="6">
        <f t="shared" si="5"/>
        <v>913082.98121958075</v>
      </c>
      <c r="I21" s="6">
        <f t="shared" si="5"/>
        <v>913082.98121958075</v>
      </c>
      <c r="J21" s="6">
        <f t="shared" si="5"/>
        <v>913082.98121958075</v>
      </c>
      <c r="K21" s="6">
        <f t="shared" si="5"/>
        <v>913082.98121958075</v>
      </c>
      <c r="L21" s="6">
        <f t="shared" si="5"/>
        <v>913082.98121958075</v>
      </c>
      <c r="M21" s="6">
        <f t="shared" si="5"/>
        <v>913082.98121958075</v>
      </c>
    </row>
    <row r="22" spans="1:49" ht="15" customHeight="1" x14ac:dyDescent="0.25">
      <c r="A22" s="1" t="s">
        <v>149</v>
      </c>
      <c r="B22" s="80">
        <f>+B23/B21*12</f>
        <v>3.6434778311037488E-2</v>
      </c>
      <c r="C22" s="80">
        <f t="shared" ref="C22:M22" si="6">+C23/C21*12</f>
        <v>3.6434778311037488E-2</v>
      </c>
      <c r="D22" s="80">
        <f t="shared" si="6"/>
        <v>3.6434778311037488E-2</v>
      </c>
      <c r="E22" s="80">
        <f t="shared" si="6"/>
        <v>3.6434778311037488E-2</v>
      </c>
      <c r="F22" s="80">
        <f t="shared" si="6"/>
        <v>3.6434778311037488E-2</v>
      </c>
      <c r="G22" s="80">
        <f t="shared" si="6"/>
        <v>3.6553448133656373E-2</v>
      </c>
      <c r="H22" s="80">
        <f t="shared" si="6"/>
        <v>3.6553448133656373E-2</v>
      </c>
      <c r="I22" s="80">
        <f t="shared" si="6"/>
        <v>3.6553448133656373E-2</v>
      </c>
      <c r="J22" s="80">
        <f t="shared" si="6"/>
        <v>3.6553448133656373E-2</v>
      </c>
      <c r="K22" s="80">
        <f t="shared" si="6"/>
        <v>3.6553448133656373E-2</v>
      </c>
      <c r="L22" s="80">
        <f t="shared" si="6"/>
        <v>3.6553448133656373E-2</v>
      </c>
      <c r="M22" s="80">
        <f t="shared" si="6"/>
        <v>3.6553448133656373E-2</v>
      </c>
      <c r="N22" s="80"/>
    </row>
    <row r="23" spans="1:49" ht="15" customHeight="1" x14ac:dyDescent="0.25">
      <c r="A23" s="1" t="s">
        <v>7</v>
      </c>
      <c r="B23" s="265">
        <f t="shared" ref="B23:M23" si="7">+B18+B5</f>
        <v>2463.4828833333331</v>
      </c>
      <c r="C23" s="265">
        <f t="shared" si="7"/>
        <v>2463.4828833333331</v>
      </c>
      <c r="D23" s="265">
        <f t="shared" si="7"/>
        <v>2463.4828833333331</v>
      </c>
      <c r="E23" s="265">
        <f t="shared" si="7"/>
        <v>2463.4828833333331</v>
      </c>
      <c r="F23" s="265">
        <f t="shared" si="7"/>
        <v>2463.4828833333331</v>
      </c>
      <c r="G23" s="265">
        <f t="shared" si="7"/>
        <v>2781.3609496445233</v>
      </c>
      <c r="H23" s="265">
        <f t="shared" si="7"/>
        <v>2781.3609496445233</v>
      </c>
      <c r="I23" s="265">
        <f t="shared" si="7"/>
        <v>2781.3609496445233</v>
      </c>
      <c r="J23" s="265">
        <f t="shared" si="7"/>
        <v>2781.3609496445233</v>
      </c>
      <c r="K23" s="265">
        <f t="shared" si="7"/>
        <v>2781.3609496445233</v>
      </c>
      <c r="L23" s="265">
        <f t="shared" si="7"/>
        <v>2781.3609496445233</v>
      </c>
      <c r="M23" s="265">
        <f t="shared" si="7"/>
        <v>2781.3609496445233</v>
      </c>
      <c r="N23" s="265">
        <f>SUM(B23:M23)</f>
        <v>31786.941064178336</v>
      </c>
      <c r="O23" s="7"/>
    </row>
    <row r="24" spans="1:49" s="279" customFormat="1" ht="15" customHeight="1" x14ac:dyDescent="0.25"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280"/>
    </row>
    <row r="25" spans="1:49" s="270" customFormat="1" ht="15" customHeight="1" x14ac:dyDescent="0.25">
      <c r="A25" s="4" t="s">
        <v>418</v>
      </c>
      <c r="B25" s="4" t="s">
        <v>277</v>
      </c>
      <c r="C25" s="4" t="s">
        <v>278</v>
      </c>
      <c r="D25" s="4" t="s">
        <v>279</v>
      </c>
      <c r="E25" s="4" t="s">
        <v>280</v>
      </c>
      <c r="F25" s="4" t="s">
        <v>281</v>
      </c>
      <c r="G25" s="4" t="s">
        <v>282</v>
      </c>
      <c r="H25" s="4" t="s">
        <v>283</v>
      </c>
      <c r="I25" s="4" t="s">
        <v>284</v>
      </c>
      <c r="J25" s="4" t="s">
        <v>285</v>
      </c>
      <c r="K25" s="4" t="s">
        <v>286</v>
      </c>
      <c r="L25" s="4" t="s">
        <v>287</v>
      </c>
      <c r="M25" s="4" t="s">
        <v>288</v>
      </c>
      <c r="N25" s="265" t="s">
        <v>228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270" customFormat="1" ht="15" customHeight="1" x14ac:dyDescent="0.25">
      <c r="A26" t="s">
        <v>289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270" customFormat="1" ht="15" customHeight="1" x14ac:dyDescent="0.25">
      <c r="A27" s="1" t="s">
        <v>290</v>
      </c>
      <c r="B27" s="298">
        <f>+'LTF Interest Schedules RP'!B3</f>
        <v>570000</v>
      </c>
      <c r="C27" s="298">
        <f>+'LTF Interest Schedules RP'!C3</f>
        <v>570000</v>
      </c>
      <c r="D27" s="298">
        <f>+'LTF Interest Schedules RP'!D3</f>
        <v>570000</v>
      </c>
      <c r="E27" s="298">
        <f>+'LTF Interest Schedules RP'!E3</f>
        <v>570000</v>
      </c>
      <c r="F27" s="298">
        <f>+'LTF Interest Schedules RP'!F3</f>
        <v>570000</v>
      </c>
      <c r="G27" s="298">
        <f>+'LTF Interest Schedules RP'!G3</f>
        <v>570000</v>
      </c>
      <c r="H27" s="298">
        <f>+'LTF Interest Schedules RP'!H3</f>
        <v>750000</v>
      </c>
      <c r="I27" s="298">
        <f>+'LTF Interest Schedules RP'!I3</f>
        <v>750000</v>
      </c>
      <c r="J27" s="298">
        <f>+'LTF Interest Schedules RP'!J3</f>
        <v>750000</v>
      </c>
      <c r="K27" s="298">
        <f>+'LTF Interest Schedules RP'!K3</f>
        <v>750000</v>
      </c>
      <c r="L27" s="298">
        <f>+'LTF Interest Schedules RP'!L3</f>
        <v>750000</v>
      </c>
      <c r="M27" s="298">
        <f>+'LTF Interest Schedules RP'!M3</f>
        <v>750000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270" customFormat="1" ht="15" customHeight="1" x14ac:dyDescent="0.25">
      <c r="A28" s="1" t="s">
        <v>149</v>
      </c>
      <c r="B28" s="288">
        <f>+B4</f>
        <v>3.8151119402985073E-2</v>
      </c>
      <c r="C28" s="288">
        <f t="shared" ref="C28:M28" si="8">+C4</f>
        <v>3.8151119402985073E-2</v>
      </c>
      <c r="D28" s="288">
        <f t="shared" si="8"/>
        <v>3.8151119402985073E-2</v>
      </c>
      <c r="E28" s="288">
        <f t="shared" si="8"/>
        <v>3.8151119402985073E-2</v>
      </c>
      <c r="F28" s="288">
        <f t="shared" si="8"/>
        <v>3.8151119402985073E-2</v>
      </c>
      <c r="G28" s="288">
        <f t="shared" si="8"/>
        <v>3.8065294984348588E-2</v>
      </c>
      <c r="H28" s="288">
        <f t="shared" si="8"/>
        <v>3.8065294984348588E-2</v>
      </c>
      <c r="I28" s="288">
        <f t="shared" si="8"/>
        <v>3.8065294984348588E-2</v>
      </c>
      <c r="J28" s="288">
        <f t="shared" si="8"/>
        <v>3.8065294984348588E-2</v>
      </c>
      <c r="K28" s="288">
        <f t="shared" si="8"/>
        <v>3.8065294984348588E-2</v>
      </c>
      <c r="L28" s="288">
        <f t="shared" si="8"/>
        <v>3.8065294984348588E-2</v>
      </c>
      <c r="M28" s="288">
        <f t="shared" si="8"/>
        <v>3.8065294984348588E-2</v>
      </c>
      <c r="N28" s="189"/>
      <c r="O28"/>
      <c r="P28"/>
      <c r="Q28" s="297"/>
      <c r="R28" s="297"/>
      <c r="S28" s="297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270" customFormat="1" ht="15" customHeight="1" x14ac:dyDescent="0.25">
      <c r="A29" s="1" t="s">
        <v>7</v>
      </c>
      <c r="B29" s="265">
        <f t="shared" ref="B29:M29" si="9">(B27*B28)/12</f>
        <v>1812.1781716417909</v>
      </c>
      <c r="C29" s="265">
        <f t="shared" si="9"/>
        <v>1812.1781716417909</v>
      </c>
      <c r="D29" s="265">
        <f t="shared" si="9"/>
        <v>1812.1781716417909</v>
      </c>
      <c r="E29" s="265">
        <f t="shared" si="9"/>
        <v>1812.1781716417909</v>
      </c>
      <c r="F29" s="265">
        <f t="shared" si="9"/>
        <v>1812.1781716417909</v>
      </c>
      <c r="G29" s="265">
        <f t="shared" si="9"/>
        <v>1808.1015117565578</v>
      </c>
      <c r="H29" s="265">
        <f t="shared" si="9"/>
        <v>2379.080936521787</v>
      </c>
      <c r="I29" s="265">
        <f t="shared" si="9"/>
        <v>2379.080936521787</v>
      </c>
      <c r="J29" s="265">
        <f t="shared" si="9"/>
        <v>2379.080936521787</v>
      </c>
      <c r="K29" s="265">
        <f t="shared" si="9"/>
        <v>2379.080936521787</v>
      </c>
      <c r="L29" s="265">
        <f t="shared" si="9"/>
        <v>2379.080936521787</v>
      </c>
      <c r="M29" s="265">
        <f t="shared" si="9"/>
        <v>2379.080936521787</v>
      </c>
      <c r="N29" s="265">
        <f>SUM(B29:M29)</f>
        <v>25143.477989096231</v>
      </c>
      <c r="O29" s="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270" customFormat="1" ht="15" customHeight="1" x14ac:dyDescent="0.25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</row>
    <row r="31" spans="1:49" s="270" customFormat="1" ht="15" customHeight="1" x14ac:dyDescent="0.25">
      <c r="A31" t="s">
        <v>393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270" customFormat="1" ht="15" customHeight="1" x14ac:dyDescent="0.25">
      <c r="A32" s="1" t="s">
        <v>290</v>
      </c>
      <c r="B32" s="298">
        <f>+'LTF Interest Schedules RP'!B8</f>
        <v>161878.97078</v>
      </c>
      <c r="C32" s="298">
        <f>+'LTF Interest Schedules RP'!C8</f>
        <v>158243.07549000002</v>
      </c>
      <c r="D32" s="298">
        <f>+'LTF Interest Schedules RP'!D8</f>
        <v>172190.08760999999</v>
      </c>
      <c r="E32" s="298">
        <f>+'LTF Interest Schedules RP'!E8</f>
        <v>177260.00104</v>
      </c>
      <c r="F32" s="298">
        <f>+'LTF Interest Schedules RP'!F8</f>
        <v>164247.49713999999</v>
      </c>
      <c r="G32" s="298">
        <f>+'LTF Interest Schedules RP'!G8</f>
        <v>0</v>
      </c>
      <c r="H32" s="298">
        <f>+'LTF Interest Schedules RP'!H8</f>
        <v>0</v>
      </c>
      <c r="I32" s="298">
        <f>+'LTF Interest Schedules RP'!I8</f>
        <v>0</v>
      </c>
      <c r="J32" s="298">
        <f>+'LTF Interest Schedules RP'!J8</f>
        <v>0</v>
      </c>
      <c r="K32" s="298">
        <f>+'LTF Interest Schedules RP'!K8</f>
        <v>0</v>
      </c>
      <c r="L32" s="298">
        <f>+'LTF Interest Schedules RP'!L8</f>
        <v>0</v>
      </c>
      <c r="M32" s="298">
        <f>+'LTF Interest Schedules RP'!M8</f>
        <v>0</v>
      </c>
      <c r="N32" s="28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270" customFormat="1" ht="15" customHeight="1" x14ac:dyDescent="0.25">
      <c r="A33" s="1" t="s">
        <v>149</v>
      </c>
      <c r="B33" s="288">
        <f>+B13</f>
        <v>2.8299999999999999E-2</v>
      </c>
      <c r="C33" s="288">
        <f t="shared" ref="C33:F33" si="10">+C13</f>
        <v>2.8299999999999999E-2</v>
      </c>
      <c r="D33" s="288">
        <f t="shared" si="10"/>
        <v>2.8299999999999999E-2</v>
      </c>
      <c r="E33" s="288">
        <f t="shared" si="10"/>
        <v>2.8299999999999999E-2</v>
      </c>
      <c r="F33" s="288">
        <f t="shared" si="10"/>
        <v>2.8299999999999999E-2</v>
      </c>
      <c r="G33" s="288">
        <f t="shared" ref="G33:M33" si="11">+G9</f>
        <v>0</v>
      </c>
      <c r="H33" s="288">
        <f t="shared" si="11"/>
        <v>0</v>
      </c>
      <c r="I33" s="288">
        <f t="shared" si="11"/>
        <v>0</v>
      </c>
      <c r="J33" s="288">
        <f t="shared" si="11"/>
        <v>0</v>
      </c>
      <c r="K33" s="288">
        <f t="shared" si="11"/>
        <v>0</v>
      </c>
      <c r="L33" s="288">
        <f t="shared" si="11"/>
        <v>0</v>
      </c>
      <c r="M33" s="288">
        <f t="shared" si="11"/>
        <v>0</v>
      </c>
      <c r="N33" s="286"/>
      <c r="O33" s="287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270" customFormat="1" ht="15" customHeight="1" x14ac:dyDescent="0.25">
      <c r="A34" s="1" t="s">
        <v>7</v>
      </c>
      <c r="B34" s="265">
        <f t="shared" ref="B34:M34" si="12">(B32*B33)/12</f>
        <v>381.76457275616667</v>
      </c>
      <c r="C34" s="265">
        <f t="shared" si="12"/>
        <v>373.18991969724999</v>
      </c>
      <c r="D34" s="265">
        <f t="shared" si="12"/>
        <v>406.08162328024997</v>
      </c>
      <c r="E34" s="265">
        <f t="shared" si="12"/>
        <v>418.0381691193333</v>
      </c>
      <c r="F34" s="265">
        <f t="shared" si="12"/>
        <v>387.35034742183331</v>
      </c>
      <c r="G34" s="265">
        <f t="shared" si="12"/>
        <v>0</v>
      </c>
      <c r="H34" s="265">
        <f t="shared" si="12"/>
        <v>0</v>
      </c>
      <c r="I34" s="265">
        <f t="shared" si="12"/>
        <v>0</v>
      </c>
      <c r="J34" s="265">
        <f t="shared" si="12"/>
        <v>0</v>
      </c>
      <c r="K34" s="265">
        <f t="shared" si="12"/>
        <v>0</v>
      </c>
      <c r="L34" s="265">
        <f t="shared" si="12"/>
        <v>0</v>
      </c>
      <c r="M34" s="265">
        <f t="shared" si="12"/>
        <v>0</v>
      </c>
      <c r="N34" s="265">
        <f>SUM(B34:M34)</f>
        <v>1966.4246322748331</v>
      </c>
      <c r="O34"/>
      <c r="P34"/>
      <c r="Q34" s="7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270" customFormat="1" ht="15" customHeight="1" x14ac:dyDescent="0.25">
      <c r="A35" t="s">
        <v>384</v>
      </c>
      <c r="B35"/>
      <c r="C35"/>
      <c r="D35"/>
      <c r="E35"/>
      <c r="F35"/>
      <c r="G35"/>
      <c r="H35"/>
      <c r="I35"/>
      <c r="J35"/>
      <c r="K35"/>
      <c r="L35"/>
      <c r="M35"/>
      <c r="N35" s="6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270" customFormat="1" ht="15" customHeight="1" x14ac:dyDescent="0.25">
      <c r="A36" s="1" t="s">
        <v>290</v>
      </c>
      <c r="B36" s="298">
        <f>+'LTF Interest Schedules RP'!B12</f>
        <v>100000</v>
      </c>
      <c r="C36" s="298">
        <f>+'LTF Interest Schedules RP'!C12</f>
        <v>100000</v>
      </c>
      <c r="D36" s="298">
        <f>+'LTF Interest Schedules RP'!D12</f>
        <v>100000</v>
      </c>
      <c r="E36" s="298">
        <f>+'LTF Interest Schedules RP'!E12</f>
        <v>100000</v>
      </c>
      <c r="F36" s="298">
        <f>+'LTF Interest Schedules RP'!F12</f>
        <v>100000</v>
      </c>
      <c r="G36" s="298">
        <f>+'LTF Interest Schedules RP'!G12</f>
        <v>118265.64174000002</v>
      </c>
      <c r="H36" s="298">
        <f>+'LTF Interest Schedules RP'!H12</f>
        <v>133760.05127999972</v>
      </c>
      <c r="I36" s="298">
        <f>+'LTF Interest Schedules RP'!I12</f>
        <v>124327.29631999985</v>
      </c>
      <c r="J36" s="298">
        <f>+'LTF Interest Schedules RP'!J12</f>
        <v>141357.49864999991</v>
      </c>
      <c r="K36" s="298">
        <f>+'LTF Interest Schedules RP'!K12</f>
        <v>150257.85579999955</v>
      </c>
      <c r="L36" s="298">
        <f>+'LTF Interest Schedules RP'!L12</f>
        <v>158196.75796999983</v>
      </c>
      <c r="M36" s="298">
        <f>+'LTF Interest Schedules RP'!M12</f>
        <v>174307.57298999961</v>
      </c>
      <c r="N36" s="281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270" customFormat="1" ht="15" customHeight="1" x14ac:dyDescent="0.25">
      <c r="A37" s="1" t="s">
        <v>149</v>
      </c>
      <c r="B37" s="288">
        <f>+B13</f>
        <v>2.8299999999999999E-2</v>
      </c>
      <c r="C37" s="288">
        <f t="shared" ref="C37:M37" si="13">+C13</f>
        <v>2.8299999999999999E-2</v>
      </c>
      <c r="D37" s="288">
        <f t="shared" si="13"/>
        <v>2.8299999999999999E-2</v>
      </c>
      <c r="E37" s="288">
        <f t="shared" si="13"/>
        <v>2.8299999999999999E-2</v>
      </c>
      <c r="F37" s="288">
        <f t="shared" si="13"/>
        <v>2.8299999999999999E-2</v>
      </c>
      <c r="G37" s="288">
        <f t="shared" si="13"/>
        <v>2.8299999999999999E-2</v>
      </c>
      <c r="H37" s="288">
        <f t="shared" si="13"/>
        <v>2.8299999999999999E-2</v>
      </c>
      <c r="I37" s="288">
        <f t="shared" si="13"/>
        <v>2.8299999999999999E-2</v>
      </c>
      <c r="J37" s="288">
        <f t="shared" si="13"/>
        <v>2.8299999999999999E-2</v>
      </c>
      <c r="K37" s="288">
        <f t="shared" si="13"/>
        <v>2.8299999999999999E-2</v>
      </c>
      <c r="L37" s="288">
        <f t="shared" si="13"/>
        <v>2.8299999999999999E-2</v>
      </c>
      <c r="M37" s="288">
        <f t="shared" si="13"/>
        <v>2.8299999999999999E-2</v>
      </c>
      <c r="N37" s="286"/>
      <c r="O37" s="28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270" customFormat="1" ht="15" customHeight="1" x14ac:dyDescent="0.25">
      <c r="A38" s="1" t="s">
        <v>7</v>
      </c>
      <c r="B38" s="265">
        <f>(B36*B37)/12</f>
        <v>235.83333333333334</v>
      </c>
      <c r="C38" s="265">
        <f t="shared" ref="C38:M38" si="14">(C36*C37)/12</f>
        <v>235.83333333333334</v>
      </c>
      <c r="D38" s="265">
        <f t="shared" si="14"/>
        <v>235.83333333333334</v>
      </c>
      <c r="E38" s="265">
        <f t="shared" si="14"/>
        <v>235.83333333333334</v>
      </c>
      <c r="F38" s="265">
        <f t="shared" si="14"/>
        <v>235.83333333333334</v>
      </c>
      <c r="G38" s="265">
        <f t="shared" si="14"/>
        <v>278.90980510350005</v>
      </c>
      <c r="H38" s="265">
        <f t="shared" si="14"/>
        <v>315.45078760199937</v>
      </c>
      <c r="I38" s="265">
        <f t="shared" si="14"/>
        <v>293.20520715466631</v>
      </c>
      <c r="J38" s="265">
        <f t="shared" si="14"/>
        <v>333.36810098291642</v>
      </c>
      <c r="K38" s="265">
        <f t="shared" si="14"/>
        <v>354.35810992833223</v>
      </c>
      <c r="L38" s="265">
        <f t="shared" si="14"/>
        <v>373.08068754591631</v>
      </c>
      <c r="M38" s="265">
        <f t="shared" si="14"/>
        <v>411.07535963474902</v>
      </c>
      <c r="N38" s="265">
        <f>SUM(B38:M38)</f>
        <v>3538.6147246187465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 s="270" customFormat="1" ht="15" customHeight="1" x14ac:dyDescent="0.25">
      <c r="A39" t="s">
        <v>404</v>
      </c>
      <c r="B39"/>
      <c r="C39"/>
      <c r="D39"/>
      <c r="E39"/>
      <c r="F39"/>
      <c r="G39"/>
      <c r="H39"/>
      <c r="I39"/>
      <c r="J39"/>
      <c r="K39"/>
      <c r="L39"/>
      <c r="M39"/>
      <c r="N39" s="6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s="270" customFormat="1" ht="15" customHeight="1" x14ac:dyDescent="0.25">
      <c r="A40" s="1" t="s">
        <v>290</v>
      </c>
      <c r="B40" s="298">
        <f>+'LTF Interest Schedules RP'!B16</f>
        <v>261878.97078</v>
      </c>
      <c r="C40" s="298">
        <f>+'LTF Interest Schedules RP'!C16</f>
        <v>258243.07549000002</v>
      </c>
      <c r="D40" s="298">
        <f>+'LTF Interest Schedules RP'!D16</f>
        <v>272190.08760999999</v>
      </c>
      <c r="E40" s="298">
        <f>+'LTF Interest Schedules RP'!E16</f>
        <v>277260.00104</v>
      </c>
      <c r="F40" s="298">
        <f>+'LTF Interest Schedules RP'!F16</f>
        <v>264247.49713999999</v>
      </c>
      <c r="G40" s="298">
        <f>+'LTF Interest Schedules RP'!G16</f>
        <v>118265.64174000002</v>
      </c>
      <c r="H40" s="298">
        <f>+'LTF Interest Schedules RP'!H16</f>
        <v>133760.05127999972</v>
      </c>
      <c r="I40" s="298">
        <f>+'LTF Interest Schedules RP'!I16</f>
        <v>124327.29631999985</v>
      </c>
      <c r="J40" s="298">
        <f>+'LTF Interest Schedules RP'!J16</f>
        <v>141357.49864999991</v>
      </c>
      <c r="K40" s="298">
        <f>+'LTF Interest Schedules RP'!K16</f>
        <v>150257.85579999955</v>
      </c>
      <c r="L40" s="298">
        <f>+'LTF Interest Schedules RP'!L16</f>
        <v>158196.75796999983</v>
      </c>
      <c r="M40" s="298">
        <f>+'LTF Interest Schedules RP'!M16</f>
        <v>174307.57298999961</v>
      </c>
      <c r="N40" s="6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</row>
    <row r="41" spans="1:49" s="270" customFormat="1" ht="15" customHeight="1" x14ac:dyDescent="0.25">
      <c r="A41" s="1" t="s">
        <v>149</v>
      </c>
      <c r="B41" s="288">
        <f>+B17</f>
        <v>2.8299999999999999E-2</v>
      </c>
      <c r="C41" s="288">
        <f t="shared" ref="C41:M41" si="15">+C17</f>
        <v>2.8299999999999999E-2</v>
      </c>
      <c r="D41" s="288">
        <f t="shared" si="15"/>
        <v>2.8299999999999999E-2</v>
      </c>
      <c r="E41" s="288">
        <f t="shared" si="15"/>
        <v>2.8299999999999999E-2</v>
      </c>
      <c r="F41" s="288">
        <f t="shared" si="15"/>
        <v>2.8299999999999999E-2</v>
      </c>
      <c r="G41" s="288">
        <f t="shared" si="15"/>
        <v>2.8299999999999999E-2</v>
      </c>
      <c r="H41" s="288">
        <f t="shared" si="15"/>
        <v>2.8299999999999999E-2</v>
      </c>
      <c r="I41" s="288">
        <f t="shared" si="15"/>
        <v>2.8299999999999999E-2</v>
      </c>
      <c r="J41" s="288">
        <f t="shared" si="15"/>
        <v>2.8299999999999999E-2</v>
      </c>
      <c r="K41" s="288">
        <f t="shared" si="15"/>
        <v>2.8299999999999999E-2</v>
      </c>
      <c r="L41" s="288">
        <f t="shared" si="15"/>
        <v>2.8299999999999999E-2</v>
      </c>
      <c r="M41" s="288">
        <f t="shared" si="15"/>
        <v>2.8299999999999999E-2</v>
      </c>
      <c r="N41" s="79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</row>
    <row r="42" spans="1:49" s="270" customFormat="1" ht="15" customHeight="1" x14ac:dyDescent="0.25">
      <c r="A42" s="1" t="s">
        <v>7</v>
      </c>
      <c r="B42" s="265">
        <f t="shared" ref="B42:M42" si="16">+B38+B34</f>
        <v>617.59790608950004</v>
      </c>
      <c r="C42" s="265">
        <f t="shared" si="16"/>
        <v>609.02325303058331</v>
      </c>
      <c r="D42" s="265">
        <f t="shared" si="16"/>
        <v>641.91495661358329</v>
      </c>
      <c r="E42" s="265">
        <f t="shared" si="16"/>
        <v>653.87150245266662</v>
      </c>
      <c r="F42" s="265">
        <f t="shared" si="16"/>
        <v>623.18368075516662</v>
      </c>
      <c r="G42" s="265">
        <f t="shared" si="16"/>
        <v>278.90980510350005</v>
      </c>
      <c r="H42" s="265">
        <f t="shared" si="16"/>
        <v>315.45078760199937</v>
      </c>
      <c r="I42" s="265">
        <f t="shared" si="16"/>
        <v>293.20520715466631</v>
      </c>
      <c r="J42" s="265">
        <f t="shared" si="16"/>
        <v>333.36810098291642</v>
      </c>
      <c r="K42" s="265">
        <f t="shared" si="16"/>
        <v>354.35810992833223</v>
      </c>
      <c r="L42" s="265">
        <f t="shared" si="16"/>
        <v>373.08068754591631</v>
      </c>
      <c r="M42" s="265">
        <f t="shared" si="16"/>
        <v>411.07535963474902</v>
      </c>
      <c r="N42" s="265">
        <f>SUM(B42:M42)</f>
        <v>5505.0393568935797</v>
      </c>
      <c r="O42" s="7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</row>
    <row r="43" spans="1:49" s="270" customFormat="1" ht="15" customHeight="1" x14ac:dyDescent="0.25">
      <c r="A43" s="275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7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</row>
    <row r="44" spans="1:49" s="270" customFormat="1" ht="15" customHeight="1" x14ac:dyDescent="0.25">
      <c r="A44" t="s">
        <v>405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</row>
    <row r="45" spans="1:49" s="270" customFormat="1" ht="15" customHeight="1" x14ac:dyDescent="0.25">
      <c r="A45" s="1" t="s">
        <v>290</v>
      </c>
      <c r="B45" s="6">
        <f t="shared" ref="B45:M45" si="17">+B40+B27</f>
        <v>831878.97077999997</v>
      </c>
      <c r="C45" s="6">
        <f t="shared" si="17"/>
        <v>828243.07548999996</v>
      </c>
      <c r="D45" s="6">
        <f t="shared" si="17"/>
        <v>842190.08761000005</v>
      </c>
      <c r="E45" s="6">
        <f t="shared" si="17"/>
        <v>847260.00104</v>
      </c>
      <c r="F45" s="6">
        <f t="shared" si="17"/>
        <v>834247.49713999999</v>
      </c>
      <c r="G45" s="6">
        <f t="shared" si="17"/>
        <v>688265.64173999999</v>
      </c>
      <c r="H45" s="6">
        <f t="shared" si="17"/>
        <v>883760.05127999978</v>
      </c>
      <c r="I45" s="6">
        <f t="shared" si="17"/>
        <v>874327.29631999985</v>
      </c>
      <c r="J45" s="6">
        <f t="shared" si="17"/>
        <v>891357.49864999996</v>
      </c>
      <c r="K45" s="6">
        <f t="shared" si="17"/>
        <v>900257.85579999955</v>
      </c>
      <c r="L45" s="6">
        <f t="shared" si="17"/>
        <v>908196.7579699998</v>
      </c>
      <c r="M45" s="6">
        <f t="shared" si="17"/>
        <v>924307.57298999955</v>
      </c>
      <c r="N45" s="6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</row>
    <row r="46" spans="1:49" s="270" customFormat="1" ht="15" customHeight="1" x14ac:dyDescent="0.25">
      <c r="A46" s="1" t="s">
        <v>149</v>
      </c>
      <c r="B46" s="80">
        <f>+B47/B45*12</f>
        <v>3.5049945913930888E-2</v>
      </c>
      <c r="C46" s="80">
        <f t="shared" ref="C46:M46" si="18">+C47/C45*12</f>
        <v>3.5079577428256188E-2</v>
      </c>
      <c r="D46" s="80">
        <f t="shared" si="18"/>
        <v>3.4967304854698955E-2</v>
      </c>
      <c r="E46" s="80">
        <f t="shared" si="18"/>
        <v>3.4927408413956737E-2</v>
      </c>
      <c r="F46" s="80">
        <f t="shared" si="18"/>
        <v>3.5030782026858373E-2</v>
      </c>
      <c r="G46" s="80">
        <f t="shared" si="18"/>
        <v>3.6387310775831808E-2</v>
      </c>
      <c r="H46" s="80">
        <f t="shared" si="18"/>
        <v>3.6587284798236488E-2</v>
      </c>
      <c r="I46" s="80">
        <f t="shared" si="18"/>
        <v>3.6676692880443826E-2</v>
      </c>
      <c r="J46" s="80">
        <f t="shared" si="18"/>
        <v>3.6516648482066871E-2</v>
      </c>
      <c r="K46" s="80">
        <f t="shared" si="18"/>
        <v>3.6435414971472943E-2</v>
      </c>
      <c r="L46" s="80">
        <f t="shared" si="18"/>
        <v>3.6364300135393539E-2</v>
      </c>
      <c r="M46" s="80">
        <f t="shared" si="18"/>
        <v>3.6223738214725937E-2</v>
      </c>
      <c r="N46" s="80"/>
      <c r="O46" t="s">
        <v>91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</row>
    <row r="47" spans="1:49" s="270" customFormat="1" ht="15" customHeight="1" x14ac:dyDescent="0.25">
      <c r="A47" s="1" t="s">
        <v>7</v>
      </c>
      <c r="B47" s="265">
        <f t="shared" ref="B47:M47" si="19">+B42+B29</f>
        <v>2429.776077731291</v>
      </c>
      <c r="C47" s="265">
        <f t="shared" si="19"/>
        <v>2421.2014246723743</v>
      </c>
      <c r="D47" s="265">
        <f t="shared" si="19"/>
        <v>2454.0931282553743</v>
      </c>
      <c r="E47" s="265">
        <f t="shared" si="19"/>
        <v>2466.0496740944573</v>
      </c>
      <c r="F47" s="265">
        <f t="shared" si="19"/>
        <v>2435.3618523969576</v>
      </c>
      <c r="G47" s="265">
        <f t="shared" si="19"/>
        <v>2087.0113168600578</v>
      </c>
      <c r="H47" s="265">
        <f t="shared" si="19"/>
        <v>2694.5317241237863</v>
      </c>
      <c r="I47" s="265">
        <f t="shared" si="19"/>
        <v>2672.2861436764533</v>
      </c>
      <c r="J47" s="265">
        <f t="shared" si="19"/>
        <v>2712.4490375047035</v>
      </c>
      <c r="K47" s="265">
        <f t="shared" si="19"/>
        <v>2733.4390464501193</v>
      </c>
      <c r="L47" s="265">
        <f t="shared" si="19"/>
        <v>2752.1616240677031</v>
      </c>
      <c r="M47" s="265">
        <f t="shared" si="19"/>
        <v>2790.156296156536</v>
      </c>
      <c r="N47" s="265">
        <f>SUM(B47:M47)</f>
        <v>30648.517345989818</v>
      </c>
      <c r="O47" s="7">
        <f>+N47-N23</f>
        <v>-1138.4237181885183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1:49" s="279" customFormat="1" ht="15" customHeight="1" x14ac:dyDescent="0.25">
      <c r="N48" s="280"/>
    </row>
    <row r="49" spans="1:49" s="270" customFormat="1" ht="15" customHeight="1" x14ac:dyDescent="0.25">
      <c r="A49" s="4" t="s">
        <v>425</v>
      </c>
      <c r="B49" s="4" t="s">
        <v>277</v>
      </c>
      <c r="C49" s="4" t="s">
        <v>278</v>
      </c>
      <c r="D49" s="4" t="s">
        <v>279</v>
      </c>
      <c r="E49" s="4" t="s">
        <v>280</v>
      </c>
      <c r="F49" s="4" t="s">
        <v>281</v>
      </c>
      <c r="G49" s="4" t="s">
        <v>282</v>
      </c>
      <c r="H49" s="4" t="s">
        <v>283</v>
      </c>
      <c r="I49" s="4" t="s">
        <v>284</v>
      </c>
      <c r="J49" s="4" t="s">
        <v>285</v>
      </c>
      <c r="K49" s="4" t="s">
        <v>286</v>
      </c>
      <c r="L49" s="4" t="s">
        <v>287</v>
      </c>
      <c r="M49" s="4" t="s">
        <v>288</v>
      </c>
      <c r="N49" s="265" t="s">
        <v>228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</row>
    <row r="50" spans="1:49" s="270" customFormat="1" ht="15" customHeight="1" x14ac:dyDescent="0.25">
      <c r="A50" t="s">
        <v>289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</row>
    <row r="51" spans="1:49" s="270" customFormat="1" ht="15" customHeight="1" x14ac:dyDescent="0.25">
      <c r="A51" s="1" t="s">
        <v>290</v>
      </c>
      <c r="B51" s="298">
        <f>+'Q3F Interest Schedules RP'!B51</f>
        <v>570000</v>
      </c>
      <c r="C51" s="298">
        <f>+'Q3F Interest Schedules RP'!C51</f>
        <v>570000</v>
      </c>
      <c r="D51" s="298">
        <f>+'Q3F Interest Schedules RP'!D51</f>
        <v>570000</v>
      </c>
      <c r="E51" s="298">
        <f>+'Q3F Interest Schedules RP'!E51</f>
        <v>570000</v>
      </c>
      <c r="F51" s="298">
        <f>+'Q3F Interest Schedules RP'!F51</f>
        <v>570000</v>
      </c>
      <c r="G51" s="298">
        <f>+'Q3F Interest Schedules RP'!G51</f>
        <v>570000</v>
      </c>
      <c r="H51" s="298">
        <f>+'Q3F Interest Schedules RP'!H51</f>
        <v>750000</v>
      </c>
      <c r="I51" s="298">
        <f>+'Q3F Interest Schedules RP'!I51</f>
        <v>750000</v>
      </c>
      <c r="J51" s="298">
        <f>+'Q3F Interest Schedules RP'!J51</f>
        <v>750000</v>
      </c>
      <c r="K51" s="298">
        <f>+'Q3F Interest Schedules RP'!K51</f>
        <v>750000</v>
      </c>
      <c r="L51" s="298">
        <f>+'Q3F Interest Schedules RP'!L51</f>
        <v>750000</v>
      </c>
      <c r="M51" s="298">
        <f>+'Q3F Interest Schedules RP'!M51</f>
        <v>750000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</row>
    <row r="52" spans="1:49" s="270" customFormat="1" ht="15" customHeight="1" x14ac:dyDescent="0.25">
      <c r="A52" s="1" t="s">
        <v>149</v>
      </c>
      <c r="B52" s="289">
        <f>'Q3F Interest Schedules RP'!$H$76</f>
        <v>4.4999999999999998E-2</v>
      </c>
      <c r="C52" s="289">
        <f>'Q3F Interest Schedules RP'!$H$76</f>
        <v>4.4999999999999998E-2</v>
      </c>
      <c r="D52" s="289">
        <f>'Q3F Interest Schedules RP'!$H$76</f>
        <v>4.4999999999999998E-2</v>
      </c>
      <c r="E52" s="289">
        <f>'Q3F Interest Schedules RP'!$H$76</f>
        <v>4.4999999999999998E-2</v>
      </c>
      <c r="F52" s="289">
        <f>'Q3F Interest Schedules RP'!$H$76</f>
        <v>4.4999999999999998E-2</v>
      </c>
      <c r="G52" s="289">
        <f>'Q3F Interest Schedules RP'!$H$76</f>
        <v>4.4999999999999998E-2</v>
      </c>
      <c r="H52" s="289">
        <f>'Q3F Interest Schedules RP'!$H$76</f>
        <v>4.4999999999999998E-2</v>
      </c>
      <c r="I52" s="289">
        <f>'Q3F Interest Schedules RP'!$H$76</f>
        <v>4.4999999999999998E-2</v>
      </c>
      <c r="J52" s="289">
        <f>'Q3F Interest Schedules RP'!$H$76</f>
        <v>4.4999999999999998E-2</v>
      </c>
      <c r="K52" s="289">
        <f>'Q3F Interest Schedules RP'!$H$76</f>
        <v>4.4999999999999998E-2</v>
      </c>
      <c r="L52" s="289">
        <f>'Q3F Interest Schedules RP'!$H$76</f>
        <v>4.4999999999999998E-2</v>
      </c>
      <c r="M52" s="289">
        <f>'Q3F Interest Schedules RP'!$H$76</f>
        <v>4.4999999999999998E-2</v>
      </c>
      <c r="N52" s="189"/>
      <c r="O52" t="s">
        <v>91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</row>
    <row r="53" spans="1:49" s="270" customFormat="1" ht="15" customHeight="1" x14ac:dyDescent="0.25">
      <c r="A53" s="1" t="s">
        <v>7</v>
      </c>
      <c r="B53" s="265">
        <f t="shared" ref="B53:M53" si="20">(B51*B52)/12</f>
        <v>2137.5</v>
      </c>
      <c r="C53" s="265">
        <f t="shared" si="20"/>
        <v>2137.5</v>
      </c>
      <c r="D53" s="265">
        <f t="shared" si="20"/>
        <v>2137.5</v>
      </c>
      <c r="E53" s="265">
        <f t="shared" si="20"/>
        <v>2137.5</v>
      </c>
      <c r="F53" s="265">
        <f t="shared" si="20"/>
        <v>2137.5</v>
      </c>
      <c r="G53" s="265">
        <f t="shared" si="20"/>
        <v>2137.5</v>
      </c>
      <c r="H53" s="265">
        <f t="shared" si="20"/>
        <v>2812.5</v>
      </c>
      <c r="I53" s="265">
        <f t="shared" si="20"/>
        <v>2812.5</v>
      </c>
      <c r="J53" s="265">
        <f t="shared" si="20"/>
        <v>2812.5</v>
      </c>
      <c r="K53" s="265">
        <f t="shared" si="20"/>
        <v>2812.5</v>
      </c>
      <c r="L53" s="265">
        <f t="shared" si="20"/>
        <v>2812.5</v>
      </c>
      <c r="M53" s="265">
        <f t="shared" si="20"/>
        <v>2812.5</v>
      </c>
      <c r="N53" s="265">
        <f>SUM(B53:M53)</f>
        <v>29700</v>
      </c>
      <c r="O53" s="7">
        <f>+N53-N29</f>
        <v>4556.5220109037691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1:49" s="270" customFormat="1" ht="15" customHeight="1" x14ac:dyDescent="0.25">
      <c r="A54" s="273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</row>
    <row r="55" spans="1:49" s="270" customFormat="1" ht="15" customHeight="1" x14ac:dyDescent="0.25">
      <c r="A55" t="s">
        <v>393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1:49" s="270" customFormat="1" ht="15" customHeight="1" x14ac:dyDescent="0.25">
      <c r="A56" s="1" t="s">
        <v>290</v>
      </c>
      <c r="B56" s="298">
        <f>+'Q3F Interest Schedules RP'!B56</f>
        <v>161878.97078</v>
      </c>
      <c r="C56" s="298">
        <f>+'Q3F Interest Schedules RP'!C56</f>
        <v>158243.07549000002</v>
      </c>
      <c r="D56" s="298">
        <f>+'Q3F Interest Schedules RP'!D56</f>
        <v>172190.08760999999</v>
      </c>
      <c r="E56" s="298">
        <f>+'Q3F Interest Schedules RP'!E56</f>
        <v>177260.00104</v>
      </c>
      <c r="F56" s="298">
        <f>+'Q3F Interest Schedules RP'!F56</f>
        <v>164247.49713999999</v>
      </c>
      <c r="G56" s="298">
        <f>+'Q3F Interest Schedules RP'!G56</f>
        <v>0</v>
      </c>
      <c r="H56" s="298">
        <f>+'Q3F Interest Schedules RP'!H56</f>
        <v>0</v>
      </c>
      <c r="I56" s="298">
        <f>+'Q3F Interest Schedules RP'!I56</f>
        <v>0</v>
      </c>
      <c r="J56" s="298">
        <f>+'Q3F Interest Schedules RP'!J56</f>
        <v>0</v>
      </c>
      <c r="K56" s="298">
        <f>+'Q3F Interest Schedules RP'!K56</f>
        <v>0</v>
      </c>
      <c r="L56" s="298">
        <f>+'Q3F Interest Schedules RP'!L56</f>
        <v>0</v>
      </c>
      <c r="M56" s="298">
        <f>+'Q3F Interest Schedules RP'!M56</f>
        <v>0</v>
      </c>
      <c r="N56" s="281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1:49" s="270" customFormat="1" ht="15" customHeight="1" x14ac:dyDescent="0.25">
      <c r="A57" s="1" t="s">
        <v>149</v>
      </c>
      <c r="B57" s="289">
        <f>'Q3F Interest Schedules RP'!$H$85</f>
        <v>4.4999999999999998E-2</v>
      </c>
      <c r="C57" s="289">
        <f>'Q3F Interest Schedules RP'!$H$85</f>
        <v>4.4999999999999998E-2</v>
      </c>
      <c r="D57" s="289">
        <f>'Q3F Interest Schedules RP'!$H$85</f>
        <v>4.4999999999999998E-2</v>
      </c>
      <c r="E57" s="289">
        <f>'Q3F Interest Schedules RP'!$H$85</f>
        <v>4.4999999999999998E-2</v>
      </c>
      <c r="F57" s="289">
        <f>'Q3F Interest Schedules RP'!$H$85</f>
        <v>4.4999999999999998E-2</v>
      </c>
      <c r="G57" s="289">
        <f>'Q3F Interest Schedules RP'!$H$85</f>
        <v>4.4999999999999998E-2</v>
      </c>
      <c r="H57" s="289">
        <f>'Q3F Interest Schedules RP'!$H$85</f>
        <v>4.4999999999999998E-2</v>
      </c>
      <c r="I57" s="289">
        <f>'Q3F Interest Schedules RP'!$H$85</f>
        <v>4.4999999999999998E-2</v>
      </c>
      <c r="J57" s="289">
        <f>'Q3F Interest Schedules RP'!$H$85</f>
        <v>4.4999999999999998E-2</v>
      </c>
      <c r="K57" s="289">
        <f>'Q3F Interest Schedules RP'!$H$85</f>
        <v>4.4999999999999998E-2</v>
      </c>
      <c r="L57" s="289">
        <f>'Q3F Interest Schedules RP'!$H$85</f>
        <v>4.4999999999999998E-2</v>
      </c>
      <c r="M57" s="289">
        <f>'Q3F Interest Schedules RP'!$H$85</f>
        <v>4.4999999999999998E-2</v>
      </c>
      <c r="N57" s="286"/>
      <c r="O57" s="28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1:49" s="270" customFormat="1" ht="15" customHeight="1" x14ac:dyDescent="0.25">
      <c r="A58" s="1" t="s">
        <v>7</v>
      </c>
      <c r="B58" s="265">
        <f t="shared" ref="B58:M58" si="21">(B56*B57)/12</f>
        <v>607.04614042499998</v>
      </c>
      <c r="C58" s="265">
        <f t="shared" si="21"/>
        <v>593.41153308750006</v>
      </c>
      <c r="D58" s="265">
        <f t="shared" si="21"/>
        <v>645.71282853749995</v>
      </c>
      <c r="E58" s="265">
        <f t="shared" si="21"/>
        <v>664.72500389999993</v>
      </c>
      <c r="F58" s="265">
        <f t="shared" si="21"/>
        <v>615.92811427499998</v>
      </c>
      <c r="G58" s="265">
        <f t="shared" si="21"/>
        <v>0</v>
      </c>
      <c r="H58" s="265">
        <f t="shared" si="21"/>
        <v>0</v>
      </c>
      <c r="I58" s="265">
        <f t="shared" si="21"/>
        <v>0</v>
      </c>
      <c r="J58" s="265">
        <f t="shared" si="21"/>
        <v>0</v>
      </c>
      <c r="K58" s="265">
        <f t="shared" si="21"/>
        <v>0</v>
      </c>
      <c r="L58" s="265">
        <f t="shared" si="21"/>
        <v>0</v>
      </c>
      <c r="M58" s="265">
        <f t="shared" si="21"/>
        <v>0</v>
      </c>
      <c r="N58" s="265">
        <f>SUM(B58:M58)</f>
        <v>3126.823620225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1:49" s="270" customFormat="1" ht="15" customHeight="1" x14ac:dyDescent="0.25">
      <c r="A59" t="s">
        <v>384</v>
      </c>
      <c r="B59"/>
      <c r="C59"/>
      <c r="D59"/>
      <c r="E59"/>
      <c r="F59"/>
      <c r="G59"/>
      <c r="H59"/>
      <c r="I59"/>
      <c r="J59"/>
      <c r="K59"/>
      <c r="L59"/>
      <c r="M59"/>
      <c r="N59" s="6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</row>
    <row r="60" spans="1:49" s="270" customFormat="1" ht="15" customHeight="1" x14ac:dyDescent="0.25">
      <c r="A60" s="1" t="s">
        <v>290</v>
      </c>
      <c r="B60" s="298">
        <f>+'Q3F Interest Schedules RP'!B60</f>
        <v>100000</v>
      </c>
      <c r="C60" s="298">
        <f>+'Q3F Interest Schedules RP'!C60</f>
        <v>100000</v>
      </c>
      <c r="D60" s="298">
        <f>+'Q3F Interest Schedules RP'!D60</f>
        <v>100000</v>
      </c>
      <c r="E60" s="298">
        <f>+'Q3F Interest Schedules RP'!E60</f>
        <v>100000</v>
      </c>
      <c r="F60" s="298">
        <f>+'Q3F Interest Schedules RP'!F60</f>
        <v>100000</v>
      </c>
      <c r="G60" s="298">
        <f>+'Q3F Interest Schedules RP'!G60</f>
        <v>118265.64174000002</v>
      </c>
      <c r="H60" s="298">
        <f>+'Q3F Interest Schedules RP'!H60</f>
        <v>133760.05127999972</v>
      </c>
      <c r="I60" s="298">
        <f>+'Q3F Interest Schedules RP'!I60</f>
        <v>124327.29631999985</v>
      </c>
      <c r="J60" s="298">
        <f>+'Q3F Interest Schedules RP'!J60</f>
        <v>141357.49864999991</v>
      </c>
      <c r="K60" s="298">
        <f>+'Q3F Interest Schedules RP'!K60</f>
        <v>150257.85579999955</v>
      </c>
      <c r="L60" s="298">
        <f>+'Q3F Interest Schedules RP'!L60</f>
        <v>158196.75796999983</v>
      </c>
      <c r="M60" s="298">
        <f>+'Q3F Interest Schedules RP'!M60</f>
        <v>174307.57298999961</v>
      </c>
      <c r="N60" s="281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</row>
    <row r="61" spans="1:49" s="270" customFormat="1" ht="15" customHeight="1" x14ac:dyDescent="0.25">
      <c r="A61" s="1" t="s">
        <v>149</v>
      </c>
      <c r="B61" s="289">
        <f>'Q3F Interest Schedules RP'!$H$85</f>
        <v>4.4999999999999998E-2</v>
      </c>
      <c r="C61" s="289">
        <f>'Q3F Interest Schedules RP'!$H$85</f>
        <v>4.4999999999999998E-2</v>
      </c>
      <c r="D61" s="289">
        <f>'Q3F Interest Schedules RP'!$H$85</f>
        <v>4.4999999999999998E-2</v>
      </c>
      <c r="E61" s="289">
        <f>'Q3F Interest Schedules RP'!$H$85</f>
        <v>4.4999999999999998E-2</v>
      </c>
      <c r="F61" s="289">
        <f>'Q3F Interest Schedules RP'!$H$85</f>
        <v>4.4999999999999998E-2</v>
      </c>
      <c r="G61" s="289">
        <f>'Q3F Interest Schedules RP'!$H$85</f>
        <v>4.4999999999999998E-2</v>
      </c>
      <c r="H61" s="289">
        <f>'Q3F Interest Schedules RP'!$H$85</f>
        <v>4.4999999999999998E-2</v>
      </c>
      <c r="I61" s="289">
        <f>'Q3F Interest Schedules RP'!$H$85</f>
        <v>4.4999999999999998E-2</v>
      </c>
      <c r="J61" s="289">
        <f>'Q3F Interest Schedules RP'!$H$85</f>
        <v>4.4999999999999998E-2</v>
      </c>
      <c r="K61" s="289">
        <f>'Q3F Interest Schedules RP'!$H$85</f>
        <v>4.4999999999999998E-2</v>
      </c>
      <c r="L61" s="289">
        <f>'Q3F Interest Schedules RP'!$H$85</f>
        <v>4.4999999999999998E-2</v>
      </c>
      <c r="M61" s="289">
        <f>'Q3F Interest Schedules RP'!$H$85</f>
        <v>4.4999999999999998E-2</v>
      </c>
      <c r="N61" s="286"/>
      <c r="O61" s="287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</row>
    <row r="62" spans="1:49" s="270" customFormat="1" ht="15" customHeight="1" x14ac:dyDescent="0.25">
      <c r="A62" s="1" t="s">
        <v>7</v>
      </c>
      <c r="B62" s="265">
        <f>(B60*B61)/12</f>
        <v>375</v>
      </c>
      <c r="C62" s="265">
        <f t="shared" ref="C62:M62" si="22">(C60*C61)/12</f>
        <v>375</v>
      </c>
      <c r="D62" s="265">
        <f t="shared" si="22"/>
        <v>375</v>
      </c>
      <c r="E62" s="265">
        <f t="shared" si="22"/>
        <v>375</v>
      </c>
      <c r="F62" s="265">
        <f t="shared" si="22"/>
        <v>375</v>
      </c>
      <c r="G62" s="265">
        <f t="shared" si="22"/>
        <v>443.49615652500006</v>
      </c>
      <c r="H62" s="265">
        <f t="shared" si="22"/>
        <v>501.60019229999898</v>
      </c>
      <c r="I62" s="265">
        <f t="shared" si="22"/>
        <v>466.22736119999945</v>
      </c>
      <c r="J62" s="265">
        <f t="shared" si="22"/>
        <v>530.09061993749958</v>
      </c>
      <c r="K62" s="265">
        <f t="shared" si="22"/>
        <v>563.46695924999824</v>
      </c>
      <c r="L62" s="265">
        <f t="shared" si="22"/>
        <v>593.23784238749931</v>
      </c>
      <c r="M62" s="265">
        <f t="shared" si="22"/>
        <v>653.65339871249853</v>
      </c>
      <c r="N62" s="265">
        <f>SUM(B62:M62)</f>
        <v>5626.7725303124935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</row>
    <row r="63" spans="1:49" s="270" customFormat="1" ht="15" customHeight="1" x14ac:dyDescent="0.25">
      <c r="A63" t="s">
        <v>404</v>
      </c>
      <c r="B63"/>
      <c r="C63"/>
      <c r="D63"/>
      <c r="E63"/>
      <c r="F63"/>
      <c r="G63"/>
      <c r="H63"/>
      <c r="I63"/>
      <c r="J63"/>
      <c r="K63"/>
      <c r="L63"/>
      <c r="M63"/>
      <c r="N63" s="6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</row>
    <row r="64" spans="1:49" s="270" customFormat="1" ht="15" customHeight="1" x14ac:dyDescent="0.25">
      <c r="A64" s="1" t="s">
        <v>290</v>
      </c>
      <c r="B64" s="298">
        <f>+B40</f>
        <v>261878.97078</v>
      </c>
      <c r="C64" s="298">
        <f t="shared" ref="C64:M64" si="23">+C40</f>
        <v>258243.07549000002</v>
      </c>
      <c r="D64" s="298">
        <f t="shared" si="23"/>
        <v>272190.08760999999</v>
      </c>
      <c r="E64" s="298">
        <f t="shared" si="23"/>
        <v>277260.00104</v>
      </c>
      <c r="F64" s="298">
        <f t="shared" si="23"/>
        <v>264247.49713999999</v>
      </c>
      <c r="G64" s="298">
        <f t="shared" si="23"/>
        <v>118265.64174000002</v>
      </c>
      <c r="H64" s="298">
        <f t="shared" si="23"/>
        <v>133760.05127999972</v>
      </c>
      <c r="I64" s="298">
        <f t="shared" si="23"/>
        <v>124327.29631999985</v>
      </c>
      <c r="J64" s="298">
        <f t="shared" si="23"/>
        <v>141357.49864999991</v>
      </c>
      <c r="K64" s="298">
        <f t="shared" si="23"/>
        <v>150257.85579999955</v>
      </c>
      <c r="L64" s="298">
        <f t="shared" si="23"/>
        <v>158196.75796999983</v>
      </c>
      <c r="M64" s="298">
        <f t="shared" si="23"/>
        <v>174307.57298999961</v>
      </c>
      <c r="N64" s="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270" customFormat="1" ht="15" customHeight="1" x14ac:dyDescent="0.25">
      <c r="A65" s="1" t="s">
        <v>149</v>
      </c>
      <c r="B65" s="80">
        <f t="shared" ref="B65:M65" si="24">+B66/B64*12</f>
        <v>4.4999999999999998E-2</v>
      </c>
      <c r="C65" s="80">
        <f t="shared" si="24"/>
        <v>4.4999999999999998E-2</v>
      </c>
      <c r="D65" s="80">
        <f t="shared" si="24"/>
        <v>4.4999999999999998E-2</v>
      </c>
      <c r="E65" s="80">
        <f t="shared" si="24"/>
        <v>4.5000000000000005E-2</v>
      </c>
      <c r="F65" s="80">
        <f t="shared" si="24"/>
        <v>4.4999999999999998E-2</v>
      </c>
      <c r="G65" s="80">
        <f t="shared" si="24"/>
        <v>4.4999999999999998E-2</v>
      </c>
      <c r="H65" s="80">
        <f t="shared" si="24"/>
        <v>4.5000000000000005E-2</v>
      </c>
      <c r="I65" s="80">
        <f t="shared" si="24"/>
        <v>4.5000000000000005E-2</v>
      </c>
      <c r="J65" s="80">
        <f t="shared" si="24"/>
        <v>4.4999999999999991E-2</v>
      </c>
      <c r="K65" s="80">
        <f t="shared" si="24"/>
        <v>4.4999999999999991E-2</v>
      </c>
      <c r="L65" s="80">
        <f t="shared" si="24"/>
        <v>4.4999999999999998E-2</v>
      </c>
      <c r="M65" s="80">
        <f t="shared" si="24"/>
        <v>4.4999999999999998E-2</v>
      </c>
      <c r="N65" s="79"/>
      <c r="O65" t="s">
        <v>91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270" customFormat="1" ht="15" customHeight="1" x14ac:dyDescent="0.25">
      <c r="A66" s="1" t="s">
        <v>7</v>
      </c>
      <c r="B66" s="265">
        <f t="shared" ref="B66:M66" si="25">+B62+B58</f>
        <v>982.04614042499998</v>
      </c>
      <c r="C66" s="265">
        <f t="shared" si="25"/>
        <v>968.41153308750006</v>
      </c>
      <c r="D66" s="265">
        <f t="shared" si="25"/>
        <v>1020.7128285374999</v>
      </c>
      <c r="E66" s="265">
        <f t="shared" si="25"/>
        <v>1039.7250039</v>
      </c>
      <c r="F66" s="265">
        <f t="shared" si="25"/>
        <v>990.92811427499998</v>
      </c>
      <c r="G66" s="265">
        <f t="shared" si="25"/>
        <v>443.49615652500006</v>
      </c>
      <c r="H66" s="265">
        <f t="shared" si="25"/>
        <v>501.60019229999898</v>
      </c>
      <c r="I66" s="265">
        <f t="shared" si="25"/>
        <v>466.22736119999945</v>
      </c>
      <c r="J66" s="265">
        <f t="shared" si="25"/>
        <v>530.09061993749958</v>
      </c>
      <c r="K66" s="265">
        <f t="shared" si="25"/>
        <v>563.46695924999824</v>
      </c>
      <c r="L66" s="265">
        <f t="shared" si="25"/>
        <v>593.23784238749931</v>
      </c>
      <c r="M66" s="265">
        <f t="shared" si="25"/>
        <v>653.65339871249853</v>
      </c>
      <c r="N66" s="265">
        <f>SUM(B66:M66)</f>
        <v>8753.5961505374944</v>
      </c>
      <c r="O66" s="7">
        <f>+N66-N42</f>
        <v>3248.5567936439147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270" customFormat="1" ht="15" customHeight="1" x14ac:dyDescent="0.25">
      <c r="A67" s="275"/>
      <c r="B67" s="276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7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</row>
    <row r="68" spans="1:49" s="270" customFormat="1" ht="15" customHeight="1" x14ac:dyDescent="0.25">
      <c r="A68" t="s">
        <v>405</v>
      </c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7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270" customFormat="1" ht="15" customHeight="1" x14ac:dyDescent="0.25">
      <c r="A69" s="1" t="s">
        <v>290</v>
      </c>
      <c r="B69" s="6">
        <f t="shared" ref="B69:M69" si="26">+B64+B51</f>
        <v>831878.97077999997</v>
      </c>
      <c r="C69" s="6">
        <f t="shared" si="26"/>
        <v>828243.07548999996</v>
      </c>
      <c r="D69" s="6">
        <f t="shared" si="26"/>
        <v>842190.08761000005</v>
      </c>
      <c r="E69" s="6">
        <f t="shared" si="26"/>
        <v>847260.00104</v>
      </c>
      <c r="F69" s="6">
        <f t="shared" si="26"/>
        <v>834247.49713999999</v>
      </c>
      <c r="G69" s="6">
        <f t="shared" si="26"/>
        <v>688265.64173999999</v>
      </c>
      <c r="H69" s="6">
        <f t="shared" si="26"/>
        <v>883760.05127999978</v>
      </c>
      <c r="I69" s="6">
        <f t="shared" si="26"/>
        <v>874327.29631999985</v>
      </c>
      <c r="J69" s="6">
        <f t="shared" si="26"/>
        <v>891357.49864999996</v>
      </c>
      <c r="K69" s="6">
        <f t="shared" si="26"/>
        <v>900257.85579999955</v>
      </c>
      <c r="L69" s="6">
        <f t="shared" si="26"/>
        <v>908196.7579699998</v>
      </c>
      <c r="M69" s="6">
        <f t="shared" si="26"/>
        <v>924307.57298999955</v>
      </c>
      <c r="N69" s="6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270" customFormat="1" ht="15" customHeight="1" x14ac:dyDescent="0.25">
      <c r="A70" s="1" t="s">
        <v>149</v>
      </c>
      <c r="B70" s="80">
        <f>+B71/B69*12</f>
        <v>4.5000000000000005E-2</v>
      </c>
      <c r="C70" s="80">
        <f t="shared" ref="C70:M70" si="27">+C71/C69*12</f>
        <v>4.5000000000000005E-2</v>
      </c>
      <c r="D70" s="80">
        <f t="shared" si="27"/>
        <v>4.4999999999999998E-2</v>
      </c>
      <c r="E70" s="80">
        <f t="shared" si="27"/>
        <v>4.4999999999999998E-2</v>
      </c>
      <c r="F70" s="80">
        <f t="shared" si="27"/>
        <v>4.5000000000000005E-2</v>
      </c>
      <c r="G70" s="80">
        <f t="shared" si="27"/>
        <v>4.5000000000000005E-2</v>
      </c>
      <c r="H70" s="80">
        <f t="shared" si="27"/>
        <v>4.4999999999999998E-2</v>
      </c>
      <c r="I70" s="80">
        <f t="shared" si="27"/>
        <v>4.4999999999999998E-2</v>
      </c>
      <c r="J70" s="80">
        <f t="shared" si="27"/>
        <v>4.4999999999999991E-2</v>
      </c>
      <c r="K70" s="80">
        <f t="shared" si="27"/>
        <v>4.4999999999999998E-2</v>
      </c>
      <c r="L70" s="80">
        <f t="shared" si="27"/>
        <v>4.4999999999999998E-2</v>
      </c>
      <c r="M70" s="80">
        <f t="shared" si="27"/>
        <v>4.5000000000000005E-2</v>
      </c>
      <c r="N70" s="80"/>
      <c r="O70" t="s">
        <v>91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270" customFormat="1" ht="15" customHeight="1" x14ac:dyDescent="0.25">
      <c r="A71" s="1" t="s">
        <v>7</v>
      </c>
      <c r="B71" s="265">
        <f t="shared" ref="B71:M71" si="28">+B66+B53</f>
        <v>3119.546140425</v>
      </c>
      <c r="C71" s="265">
        <f t="shared" si="28"/>
        <v>3105.9115330875002</v>
      </c>
      <c r="D71" s="265">
        <f t="shared" si="28"/>
        <v>3158.2128285375002</v>
      </c>
      <c r="E71" s="265">
        <f t="shared" si="28"/>
        <v>3177.2250039</v>
      </c>
      <c r="F71" s="265">
        <f t="shared" si="28"/>
        <v>3128.4281142750001</v>
      </c>
      <c r="G71" s="265">
        <f t="shared" si="28"/>
        <v>2580.9961565250001</v>
      </c>
      <c r="H71" s="265">
        <f t="shared" si="28"/>
        <v>3314.100192299999</v>
      </c>
      <c r="I71" s="265">
        <f t="shared" si="28"/>
        <v>3278.7273611999995</v>
      </c>
      <c r="J71" s="265">
        <f t="shared" si="28"/>
        <v>3342.5906199374995</v>
      </c>
      <c r="K71" s="265">
        <f t="shared" si="28"/>
        <v>3375.9669592499981</v>
      </c>
      <c r="L71" s="265">
        <f t="shared" si="28"/>
        <v>3405.7378423874993</v>
      </c>
      <c r="M71" s="265">
        <f t="shared" si="28"/>
        <v>3466.1533987124985</v>
      </c>
      <c r="N71" s="265">
        <f>SUM(B71:M71)</f>
        <v>38453.596150537502</v>
      </c>
      <c r="O71" s="7">
        <f>+N71-N47</f>
        <v>7805.0788045476838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ht="15" customHeight="1" x14ac:dyDescent="0.25">
      <c r="A72" s="279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80"/>
      <c r="O72" s="279"/>
    </row>
    <row r="73" spans="1:49" ht="15" customHeight="1" x14ac:dyDescent="0.25">
      <c r="A73" s="4" t="s">
        <v>420</v>
      </c>
      <c r="B73" s="4" t="s">
        <v>277</v>
      </c>
      <c r="C73" s="4" t="s">
        <v>278</v>
      </c>
      <c r="D73" s="4" t="s">
        <v>279</v>
      </c>
      <c r="E73" s="4" t="s">
        <v>280</v>
      </c>
      <c r="F73" s="4" t="s">
        <v>281</v>
      </c>
      <c r="G73" s="4" t="s">
        <v>282</v>
      </c>
      <c r="H73" s="4" t="s">
        <v>283</v>
      </c>
      <c r="I73" s="4" t="s">
        <v>284</v>
      </c>
      <c r="J73" s="4" t="s">
        <v>285</v>
      </c>
      <c r="K73" s="4" t="s">
        <v>286</v>
      </c>
      <c r="L73" s="4" t="s">
        <v>287</v>
      </c>
      <c r="M73" s="4" t="s">
        <v>288</v>
      </c>
      <c r="N73" s="265" t="s">
        <v>228</v>
      </c>
    </row>
    <row r="74" spans="1:49" ht="15" customHeight="1" x14ac:dyDescent="0.25">
      <c r="A74" t="s">
        <v>289</v>
      </c>
      <c r="N74"/>
    </row>
    <row r="75" spans="1:49" ht="15" customHeight="1" x14ac:dyDescent="0.25">
      <c r="A75" s="1" t="s">
        <v>290</v>
      </c>
      <c r="B75" s="298">
        <f>+B51</f>
        <v>570000</v>
      </c>
      <c r="C75" s="298">
        <f t="shared" ref="C75:M75" si="29">+C51</f>
        <v>570000</v>
      </c>
      <c r="D75" s="298">
        <f t="shared" si="29"/>
        <v>570000</v>
      </c>
      <c r="E75" s="298">
        <f t="shared" si="29"/>
        <v>570000</v>
      </c>
      <c r="F75" s="298">
        <f t="shared" si="29"/>
        <v>570000</v>
      </c>
      <c r="G75" s="298">
        <f t="shared" si="29"/>
        <v>570000</v>
      </c>
      <c r="H75" s="298">
        <f t="shared" si="29"/>
        <v>750000</v>
      </c>
      <c r="I75" s="298">
        <f t="shared" si="29"/>
        <v>750000</v>
      </c>
      <c r="J75" s="298">
        <f t="shared" si="29"/>
        <v>750000</v>
      </c>
      <c r="K75" s="298">
        <f t="shared" si="29"/>
        <v>750000</v>
      </c>
      <c r="L75" s="298">
        <f t="shared" si="29"/>
        <v>750000</v>
      </c>
      <c r="M75" s="298">
        <f t="shared" si="29"/>
        <v>750000</v>
      </c>
      <c r="N75"/>
    </row>
    <row r="76" spans="1:49" ht="15" customHeight="1" x14ac:dyDescent="0.25">
      <c r="A76" s="1" t="s">
        <v>149</v>
      </c>
      <c r="B76" s="289">
        <f>+'Q3F Interest Schedules RP'!B76</f>
        <v>4.0399999999999998E-2</v>
      </c>
      <c r="C76" s="289">
        <f>+'Q3F Interest Schedules RP'!C76</f>
        <v>4.0399999999999998E-2</v>
      </c>
      <c r="D76" s="289">
        <f>+'Q3F Interest Schedules RP'!D76</f>
        <v>4.0399999999999998E-2</v>
      </c>
      <c r="E76" s="289">
        <f>+'Q3F Interest Schedules RP'!E76</f>
        <v>4.0399999999999998E-2</v>
      </c>
      <c r="F76" s="289">
        <f>+'Q3F Interest Schedules RP'!F76</f>
        <v>4.0399999999999998E-2</v>
      </c>
      <c r="G76" s="289">
        <f>+'Q3F Interest Schedules RP'!G76</f>
        <v>4.0399999999999998E-2</v>
      </c>
      <c r="H76" s="289">
        <f>+'Q3F Interest Schedules RP'!H76</f>
        <v>4.4999999999999998E-2</v>
      </c>
      <c r="I76" s="289">
        <f>+'Q3F Interest Schedules RP'!I76</f>
        <v>4.4999999999999998E-2</v>
      </c>
      <c r="J76" s="289">
        <f>+'Q3F Interest Schedules RP'!J76</f>
        <v>4.4999999999999998E-2</v>
      </c>
      <c r="K76" s="289">
        <f>+'Q3F Interest Schedules RP'!K76</f>
        <v>4.4999999999999998E-2</v>
      </c>
      <c r="L76" s="289">
        <f>+'Q3F Interest Schedules RP'!L76</f>
        <v>4.4999999999999998E-2</v>
      </c>
      <c r="M76" s="289">
        <f>+'Q3F Interest Schedules RP'!M76</f>
        <v>4.4999999999999998E-2</v>
      </c>
      <c r="N76" s="189"/>
      <c r="O76" t="s">
        <v>91</v>
      </c>
    </row>
    <row r="77" spans="1:49" ht="15" customHeight="1" x14ac:dyDescent="0.25">
      <c r="A77" s="1" t="s">
        <v>7</v>
      </c>
      <c r="B77" s="265">
        <f t="shared" ref="B77:M77" si="30">(B75*B76)/12</f>
        <v>1919</v>
      </c>
      <c r="C77" s="265">
        <f t="shared" si="30"/>
        <v>1919</v>
      </c>
      <c r="D77" s="265">
        <f t="shared" si="30"/>
        <v>1919</v>
      </c>
      <c r="E77" s="265">
        <f t="shared" si="30"/>
        <v>1919</v>
      </c>
      <c r="F77" s="265">
        <f t="shared" si="30"/>
        <v>1919</v>
      </c>
      <c r="G77" s="265">
        <f t="shared" si="30"/>
        <v>1919</v>
      </c>
      <c r="H77" s="265">
        <f t="shared" si="30"/>
        <v>2812.5</v>
      </c>
      <c r="I77" s="265">
        <f t="shared" si="30"/>
        <v>2812.5</v>
      </c>
      <c r="J77" s="265">
        <f t="shared" si="30"/>
        <v>2812.5</v>
      </c>
      <c r="K77" s="265">
        <f t="shared" si="30"/>
        <v>2812.5</v>
      </c>
      <c r="L77" s="265">
        <f t="shared" si="30"/>
        <v>2812.5</v>
      </c>
      <c r="M77" s="265">
        <f t="shared" si="30"/>
        <v>2812.5</v>
      </c>
      <c r="N77" s="265">
        <f>SUM(B77:M77)</f>
        <v>28389</v>
      </c>
      <c r="O77" s="7">
        <f>+N77-N53</f>
        <v>-1311</v>
      </c>
    </row>
    <row r="78" spans="1:49" ht="15" customHeight="1" x14ac:dyDescent="0.25">
      <c r="A78" s="273"/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3"/>
    </row>
    <row r="79" spans="1:49" ht="15" customHeight="1" x14ac:dyDescent="0.25">
      <c r="A79" t="s">
        <v>393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49" ht="15" customHeight="1" x14ac:dyDescent="0.25">
      <c r="A80" s="1" t="s">
        <v>290</v>
      </c>
      <c r="B80" s="298">
        <f>+B56</f>
        <v>161878.97078</v>
      </c>
      <c r="C80" s="298">
        <f t="shared" ref="C80:M80" si="31">+C56</f>
        <v>158243.07549000002</v>
      </c>
      <c r="D80" s="298">
        <f t="shared" si="31"/>
        <v>172190.08760999999</v>
      </c>
      <c r="E80" s="298">
        <f t="shared" si="31"/>
        <v>177260.00104</v>
      </c>
      <c r="F80" s="298">
        <f t="shared" si="31"/>
        <v>164247.49713999999</v>
      </c>
      <c r="G80" s="298">
        <f t="shared" si="31"/>
        <v>0</v>
      </c>
      <c r="H80" s="298">
        <f t="shared" si="31"/>
        <v>0</v>
      </c>
      <c r="I80" s="298">
        <f t="shared" si="31"/>
        <v>0</v>
      </c>
      <c r="J80" s="298">
        <f t="shared" si="31"/>
        <v>0</v>
      </c>
      <c r="K80" s="298">
        <f t="shared" si="31"/>
        <v>0</v>
      </c>
      <c r="L80" s="298">
        <f t="shared" si="31"/>
        <v>0</v>
      </c>
      <c r="M80" s="298">
        <f t="shared" si="31"/>
        <v>0</v>
      </c>
      <c r="N80" s="281"/>
    </row>
    <row r="81" spans="1:15" ht="15" customHeight="1" x14ac:dyDescent="0.25">
      <c r="A81" s="1" t="s">
        <v>149</v>
      </c>
      <c r="B81" s="289">
        <f>+'Q3F Interest Schedules RP'!B81</f>
        <v>3.7999999999999999E-2</v>
      </c>
      <c r="C81" s="289">
        <f>+'Q3F Interest Schedules RP'!C81</f>
        <v>3.7999999999999999E-2</v>
      </c>
      <c r="D81" s="289">
        <f>+'Q3F Interest Schedules RP'!D81</f>
        <v>3.7999999999999999E-2</v>
      </c>
      <c r="E81" s="289">
        <f>+'Q3F Interest Schedules RP'!E81</f>
        <v>3.7999999999999999E-2</v>
      </c>
      <c r="F81" s="289">
        <f>+'Q3F Interest Schedules RP'!F81</f>
        <v>3.7999999999999999E-2</v>
      </c>
      <c r="G81" s="289">
        <f>+'Q3F Interest Schedules RP'!G81</f>
        <v>0</v>
      </c>
      <c r="H81" s="289">
        <f>+'Q3F Interest Schedules RP'!H81</f>
        <v>0</v>
      </c>
      <c r="I81" s="289">
        <f>+'Q3F Interest Schedules RP'!I81</f>
        <v>0</v>
      </c>
      <c r="J81" s="289">
        <f>+'Q3F Interest Schedules RP'!J81</f>
        <v>0</v>
      </c>
      <c r="K81" s="289">
        <f>+'Q3F Interest Schedules RP'!K81</f>
        <v>0</v>
      </c>
      <c r="L81" s="289">
        <f>+'Q3F Interest Schedules RP'!L81</f>
        <v>0</v>
      </c>
      <c r="M81" s="289">
        <f>+'Q3F Interest Schedules RP'!M81</f>
        <v>0</v>
      </c>
      <c r="N81" s="286"/>
      <c r="O81" s="287"/>
    </row>
    <row r="82" spans="1:15" ht="15" customHeight="1" x14ac:dyDescent="0.25">
      <c r="A82" s="1" t="s">
        <v>7</v>
      </c>
      <c r="B82" s="265">
        <f t="shared" ref="B82:M82" si="32">(B80*B81)/12</f>
        <v>512.6167408033333</v>
      </c>
      <c r="C82" s="265">
        <f t="shared" si="32"/>
        <v>501.10307238500008</v>
      </c>
      <c r="D82" s="265">
        <f t="shared" si="32"/>
        <v>545.26861076499995</v>
      </c>
      <c r="E82" s="265">
        <f t="shared" si="32"/>
        <v>561.32333662666667</v>
      </c>
      <c r="F82" s="265">
        <f t="shared" si="32"/>
        <v>520.11707427666659</v>
      </c>
      <c r="G82" s="265">
        <f t="shared" si="32"/>
        <v>0</v>
      </c>
      <c r="H82" s="265">
        <f t="shared" si="32"/>
        <v>0</v>
      </c>
      <c r="I82" s="265">
        <f t="shared" si="32"/>
        <v>0</v>
      </c>
      <c r="J82" s="265">
        <f t="shared" si="32"/>
        <v>0</v>
      </c>
      <c r="K82" s="265">
        <f t="shared" si="32"/>
        <v>0</v>
      </c>
      <c r="L82" s="265">
        <f t="shared" si="32"/>
        <v>0</v>
      </c>
      <c r="M82" s="265">
        <f t="shared" si="32"/>
        <v>0</v>
      </c>
      <c r="N82" s="265">
        <f>SUM(B82:M82)</f>
        <v>2640.4288348566665</v>
      </c>
    </row>
    <row r="83" spans="1:15" ht="15" customHeight="1" x14ac:dyDescent="0.25">
      <c r="A83" t="s">
        <v>384</v>
      </c>
    </row>
    <row r="84" spans="1:15" ht="15" customHeight="1" x14ac:dyDescent="0.25">
      <c r="A84" s="1" t="s">
        <v>290</v>
      </c>
      <c r="B84" s="298">
        <f>+B60</f>
        <v>100000</v>
      </c>
      <c r="C84" s="298">
        <f t="shared" ref="C84:M84" si="33">+C60</f>
        <v>100000</v>
      </c>
      <c r="D84" s="298">
        <f t="shared" si="33"/>
        <v>100000</v>
      </c>
      <c r="E84" s="298">
        <f t="shared" si="33"/>
        <v>100000</v>
      </c>
      <c r="F84" s="298">
        <f t="shared" si="33"/>
        <v>100000</v>
      </c>
      <c r="G84" s="298">
        <f t="shared" si="33"/>
        <v>118265.64174000002</v>
      </c>
      <c r="H84" s="298">
        <f t="shared" si="33"/>
        <v>133760.05127999972</v>
      </c>
      <c r="I84" s="298">
        <f t="shared" si="33"/>
        <v>124327.29631999985</v>
      </c>
      <c r="J84" s="298">
        <f t="shared" si="33"/>
        <v>141357.49864999991</v>
      </c>
      <c r="K84" s="298">
        <f t="shared" si="33"/>
        <v>150257.85579999955</v>
      </c>
      <c r="L84" s="298">
        <f t="shared" si="33"/>
        <v>158196.75796999983</v>
      </c>
      <c r="M84" s="298">
        <f t="shared" si="33"/>
        <v>174307.57298999961</v>
      </c>
      <c r="N84" s="281"/>
    </row>
    <row r="85" spans="1:15" ht="15" customHeight="1" x14ac:dyDescent="0.25">
      <c r="A85" s="1" t="s">
        <v>149</v>
      </c>
      <c r="B85" s="289">
        <f>+'Q3F Interest Schedules RP'!B85</f>
        <v>3.7999999999999999E-2</v>
      </c>
      <c r="C85" s="289">
        <f>+'Q3F Interest Schedules RP'!C85</f>
        <v>3.7999999999999999E-2</v>
      </c>
      <c r="D85" s="289">
        <f>+'Q3F Interest Schedules RP'!D85</f>
        <v>3.7999999999999999E-2</v>
      </c>
      <c r="E85" s="289">
        <f>+'Q3F Interest Schedules RP'!E85</f>
        <v>3.7999999999999999E-2</v>
      </c>
      <c r="F85" s="289">
        <f>+'Q3F Interest Schedules RP'!F85</f>
        <v>3.7999999999999999E-2</v>
      </c>
      <c r="G85" s="289">
        <f>+'Q3F Interest Schedules RP'!G85</f>
        <v>3.7999999999999999E-2</v>
      </c>
      <c r="H85" s="289">
        <f>+'Q3F Interest Schedules RP'!H85</f>
        <v>4.4999999999999998E-2</v>
      </c>
      <c r="I85" s="289">
        <f>+'Q3F Interest Schedules RP'!I85</f>
        <v>4.4999999999999998E-2</v>
      </c>
      <c r="J85" s="289">
        <f>+'Q3F Interest Schedules RP'!J85</f>
        <v>4.4999999999999998E-2</v>
      </c>
      <c r="K85" s="289">
        <f>+'Q3F Interest Schedules RP'!K85</f>
        <v>4.4999999999999998E-2</v>
      </c>
      <c r="L85" s="289">
        <f>+'Q3F Interest Schedules RP'!L85</f>
        <v>4.4999999999999998E-2</v>
      </c>
      <c r="M85" s="289">
        <f>+'Q3F Interest Schedules RP'!M85</f>
        <v>4.4999999999999998E-2</v>
      </c>
      <c r="N85" s="286"/>
      <c r="O85" s="287"/>
    </row>
    <row r="86" spans="1:15" ht="15" customHeight="1" x14ac:dyDescent="0.25">
      <c r="A86" s="1" t="s">
        <v>7</v>
      </c>
      <c r="B86" s="265">
        <f>(B84*B85)/12</f>
        <v>316.66666666666669</v>
      </c>
      <c r="C86" s="265">
        <f t="shared" ref="C86:M86" si="34">(C84*C85)/12</f>
        <v>316.66666666666669</v>
      </c>
      <c r="D86" s="265">
        <f t="shared" si="34"/>
        <v>316.66666666666669</v>
      </c>
      <c r="E86" s="265">
        <f t="shared" si="34"/>
        <v>316.66666666666669</v>
      </c>
      <c r="F86" s="265">
        <f t="shared" si="34"/>
        <v>316.66666666666669</v>
      </c>
      <c r="G86" s="265">
        <f t="shared" si="34"/>
        <v>374.50786551000004</v>
      </c>
      <c r="H86" s="265">
        <f t="shared" si="34"/>
        <v>501.60019229999898</v>
      </c>
      <c r="I86" s="265">
        <f t="shared" si="34"/>
        <v>466.22736119999945</v>
      </c>
      <c r="J86" s="265">
        <f t="shared" si="34"/>
        <v>530.09061993749958</v>
      </c>
      <c r="K86" s="265">
        <f t="shared" si="34"/>
        <v>563.46695924999824</v>
      </c>
      <c r="L86" s="265">
        <f t="shared" si="34"/>
        <v>593.23784238749931</v>
      </c>
      <c r="M86" s="265">
        <f t="shared" si="34"/>
        <v>653.65339871249853</v>
      </c>
      <c r="N86" s="265">
        <f>SUM(B86:M86)</f>
        <v>5266.1175726308275</v>
      </c>
    </row>
    <row r="87" spans="1:15" ht="15" customHeight="1" x14ac:dyDescent="0.25">
      <c r="A87" t="s">
        <v>404</v>
      </c>
    </row>
    <row r="88" spans="1:15" ht="15" customHeight="1" x14ac:dyDescent="0.25">
      <c r="A88" s="1" t="s">
        <v>290</v>
      </c>
      <c r="B88" s="298">
        <f>+B64</f>
        <v>261878.97078</v>
      </c>
      <c r="C88" s="298">
        <f t="shared" ref="C88:M88" si="35">+C64</f>
        <v>258243.07549000002</v>
      </c>
      <c r="D88" s="298">
        <f t="shared" si="35"/>
        <v>272190.08760999999</v>
      </c>
      <c r="E88" s="298">
        <f t="shared" si="35"/>
        <v>277260.00104</v>
      </c>
      <c r="F88" s="298">
        <f t="shared" si="35"/>
        <v>264247.49713999999</v>
      </c>
      <c r="G88" s="298">
        <f t="shared" si="35"/>
        <v>118265.64174000002</v>
      </c>
      <c r="H88" s="298">
        <f t="shared" si="35"/>
        <v>133760.05127999972</v>
      </c>
      <c r="I88" s="298">
        <f t="shared" si="35"/>
        <v>124327.29631999985</v>
      </c>
      <c r="J88" s="298">
        <f t="shared" si="35"/>
        <v>141357.49864999991</v>
      </c>
      <c r="K88" s="298">
        <f t="shared" si="35"/>
        <v>150257.85579999955</v>
      </c>
      <c r="L88" s="298">
        <f t="shared" si="35"/>
        <v>158196.75796999983</v>
      </c>
      <c r="M88" s="298">
        <f t="shared" si="35"/>
        <v>174307.57298999961</v>
      </c>
    </row>
    <row r="89" spans="1:15" ht="15" customHeight="1" x14ac:dyDescent="0.25">
      <c r="A89" s="1" t="s">
        <v>149</v>
      </c>
      <c r="B89" s="80">
        <f t="shared" ref="B89:M89" si="36">+B90/B88*12</f>
        <v>3.7999999999999992E-2</v>
      </c>
      <c r="C89" s="80">
        <f t="shared" si="36"/>
        <v>3.8000000000000006E-2</v>
      </c>
      <c r="D89" s="80">
        <f t="shared" si="36"/>
        <v>3.8000000000000006E-2</v>
      </c>
      <c r="E89" s="80">
        <f t="shared" si="36"/>
        <v>3.7999999999999999E-2</v>
      </c>
      <c r="F89" s="80">
        <f t="shared" si="36"/>
        <v>3.7999999999999992E-2</v>
      </c>
      <c r="G89" s="80">
        <f t="shared" si="36"/>
        <v>3.7999999999999999E-2</v>
      </c>
      <c r="H89" s="80">
        <f t="shared" si="36"/>
        <v>4.5000000000000005E-2</v>
      </c>
      <c r="I89" s="80">
        <f t="shared" si="36"/>
        <v>4.5000000000000005E-2</v>
      </c>
      <c r="J89" s="80">
        <f t="shared" si="36"/>
        <v>4.4999999999999991E-2</v>
      </c>
      <c r="K89" s="80">
        <f t="shared" si="36"/>
        <v>4.4999999999999991E-2</v>
      </c>
      <c r="L89" s="80">
        <f t="shared" si="36"/>
        <v>4.4999999999999998E-2</v>
      </c>
      <c r="M89" s="80">
        <f t="shared" si="36"/>
        <v>4.4999999999999998E-2</v>
      </c>
      <c r="N89" s="79"/>
      <c r="O89" t="s">
        <v>91</v>
      </c>
    </row>
    <row r="90" spans="1:15" ht="15" customHeight="1" x14ac:dyDescent="0.25">
      <c r="A90" s="1" t="s">
        <v>7</v>
      </c>
      <c r="B90" s="265">
        <f t="shared" ref="B90:M90" si="37">+B86+B82</f>
        <v>829.28340746999993</v>
      </c>
      <c r="C90" s="265">
        <f t="shared" si="37"/>
        <v>817.76973905166676</v>
      </c>
      <c r="D90" s="265">
        <f t="shared" si="37"/>
        <v>861.93527743166669</v>
      </c>
      <c r="E90" s="265">
        <f t="shared" si="37"/>
        <v>877.9900032933333</v>
      </c>
      <c r="F90" s="265">
        <f t="shared" si="37"/>
        <v>836.78374094333321</v>
      </c>
      <c r="G90" s="265">
        <f t="shared" si="37"/>
        <v>374.50786551000004</v>
      </c>
      <c r="H90" s="265">
        <f t="shared" si="37"/>
        <v>501.60019229999898</v>
      </c>
      <c r="I90" s="265">
        <f t="shared" si="37"/>
        <v>466.22736119999945</v>
      </c>
      <c r="J90" s="265">
        <f t="shared" si="37"/>
        <v>530.09061993749958</v>
      </c>
      <c r="K90" s="265">
        <f t="shared" si="37"/>
        <v>563.46695924999824</v>
      </c>
      <c r="L90" s="265">
        <f t="shared" si="37"/>
        <v>593.23784238749931</v>
      </c>
      <c r="M90" s="265">
        <f t="shared" si="37"/>
        <v>653.65339871249853</v>
      </c>
      <c r="N90" s="265">
        <f>SUM(B90:M90)</f>
        <v>7906.5464074874944</v>
      </c>
      <c r="O90" s="7">
        <f>+N90-N66</f>
        <v>-847.04974304999996</v>
      </c>
    </row>
    <row r="91" spans="1:15" ht="15" customHeight="1" x14ac:dyDescent="0.25">
      <c r="A91" s="275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7"/>
      <c r="O91" s="273"/>
    </row>
    <row r="92" spans="1:15" ht="15" customHeight="1" x14ac:dyDescent="0.25">
      <c r="A92" t="s">
        <v>405</v>
      </c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7"/>
    </row>
    <row r="93" spans="1:15" ht="15" customHeight="1" x14ac:dyDescent="0.25">
      <c r="A93" s="1" t="s">
        <v>290</v>
      </c>
      <c r="B93" s="6">
        <f t="shared" ref="B93:M93" si="38">+B88+B75</f>
        <v>831878.97077999997</v>
      </c>
      <c r="C93" s="6">
        <f t="shared" si="38"/>
        <v>828243.07548999996</v>
      </c>
      <c r="D93" s="6">
        <f t="shared" si="38"/>
        <v>842190.08761000005</v>
      </c>
      <c r="E93" s="6">
        <f t="shared" si="38"/>
        <v>847260.00104</v>
      </c>
      <c r="F93" s="6">
        <f t="shared" si="38"/>
        <v>834247.49713999999</v>
      </c>
      <c r="G93" s="6">
        <f t="shared" si="38"/>
        <v>688265.64173999999</v>
      </c>
      <c r="H93" s="6">
        <f t="shared" si="38"/>
        <v>883760.05127999978</v>
      </c>
      <c r="I93" s="6">
        <f t="shared" si="38"/>
        <v>874327.29631999985</v>
      </c>
      <c r="J93" s="6">
        <f t="shared" si="38"/>
        <v>891357.49864999996</v>
      </c>
      <c r="K93" s="6">
        <f t="shared" si="38"/>
        <v>900257.85579999955</v>
      </c>
      <c r="L93" s="6">
        <f t="shared" si="38"/>
        <v>908196.7579699998</v>
      </c>
      <c r="M93" s="6">
        <f t="shared" si="38"/>
        <v>924307.57298999955</v>
      </c>
    </row>
    <row r="94" spans="1:15" ht="15" customHeight="1" x14ac:dyDescent="0.25">
      <c r="A94" s="1" t="s">
        <v>149</v>
      </c>
      <c r="B94" s="80">
        <f>+B95/B93*12</f>
        <v>3.964446998668246E-2</v>
      </c>
      <c r="C94" s="80">
        <f t="shared" ref="C94:M94" si="39">+C95/C93*12</f>
        <v>3.9651689027633191E-2</v>
      </c>
      <c r="D94" s="80">
        <f t="shared" si="39"/>
        <v>3.962433638216066E-2</v>
      </c>
      <c r="E94" s="80">
        <f t="shared" si="39"/>
        <v>3.9614616526592546E-2</v>
      </c>
      <c r="F94" s="80">
        <f t="shared" si="39"/>
        <v>3.9639801143773079E-2</v>
      </c>
      <c r="G94" s="80">
        <f t="shared" si="39"/>
        <v>3.9987604664590795E-2</v>
      </c>
      <c r="H94" s="80">
        <f t="shared" si="39"/>
        <v>4.4999999999999998E-2</v>
      </c>
      <c r="I94" s="80">
        <f t="shared" si="39"/>
        <v>4.4999999999999998E-2</v>
      </c>
      <c r="J94" s="80">
        <f t="shared" si="39"/>
        <v>4.4999999999999991E-2</v>
      </c>
      <c r="K94" s="80">
        <f t="shared" si="39"/>
        <v>4.4999999999999998E-2</v>
      </c>
      <c r="L94" s="80">
        <f t="shared" si="39"/>
        <v>4.4999999999999998E-2</v>
      </c>
      <c r="M94" s="80">
        <f t="shared" si="39"/>
        <v>4.5000000000000005E-2</v>
      </c>
      <c r="N94" s="80"/>
      <c r="O94" t="s">
        <v>91</v>
      </c>
    </row>
    <row r="95" spans="1:15" ht="15" customHeight="1" x14ac:dyDescent="0.25">
      <c r="A95" s="1" t="s">
        <v>7</v>
      </c>
      <c r="B95" s="265">
        <f t="shared" ref="B95:M95" si="40">+B90+B77</f>
        <v>2748.2834074699999</v>
      </c>
      <c r="C95" s="265">
        <f t="shared" si="40"/>
        <v>2736.7697390516669</v>
      </c>
      <c r="D95" s="265">
        <f t="shared" si="40"/>
        <v>2780.9352774316667</v>
      </c>
      <c r="E95" s="265">
        <f t="shared" si="40"/>
        <v>2796.9900032933333</v>
      </c>
      <c r="F95" s="265">
        <f t="shared" si="40"/>
        <v>2755.7837409433332</v>
      </c>
      <c r="G95" s="265">
        <f t="shared" si="40"/>
        <v>2293.5078655100001</v>
      </c>
      <c r="H95" s="265">
        <f t="shared" si="40"/>
        <v>3314.100192299999</v>
      </c>
      <c r="I95" s="265">
        <f t="shared" si="40"/>
        <v>3278.7273611999995</v>
      </c>
      <c r="J95" s="265">
        <f t="shared" si="40"/>
        <v>3342.5906199374995</v>
      </c>
      <c r="K95" s="265">
        <f t="shared" si="40"/>
        <v>3375.9669592499981</v>
      </c>
      <c r="L95" s="265">
        <f t="shared" si="40"/>
        <v>3405.7378423874993</v>
      </c>
      <c r="M95" s="265">
        <f t="shared" si="40"/>
        <v>3466.1533987124985</v>
      </c>
      <c r="N95" s="265">
        <f>SUM(B95:M95)</f>
        <v>36295.546407487498</v>
      </c>
      <c r="O95" s="7">
        <f>+N95-N71</f>
        <v>-2158.0497430500036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9416-E228-4ADC-9B0B-DBD5620468B9}">
  <sheetPr>
    <tabColor rgb="FFFFFF00"/>
  </sheetPr>
  <dimension ref="A1:Z7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  <sheetView workbookViewId="1"/>
  </sheetViews>
  <sheetFormatPr defaultRowHeight="15" x14ac:dyDescent="0.25"/>
  <cols>
    <col min="1" max="1" width="30.5703125" bestFit="1" customWidth="1"/>
    <col min="2" max="2" width="12.5703125" bestFit="1" customWidth="1"/>
    <col min="3" max="13" width="11.5703125" bestFit="1" customWidth="1"/>
    <col min="14" max="14" width="10.5703125" bestFit="1" customWidth="1"/>
    <col min="17" max="17" width="15.28515625" bestFit="1" customWidth="1"/>
    <col min="18" max="18" width="8.42578125" bestFit="1" customWidth="1"/>
    <col min="19" max="19" width="37.42578125" bestFit="1" customWidth="1"/>
    <col min="20" max="20" width="28.7109375" bestFit="1" customWidth="1"/>
    <col min="21" max="21" width="1.140625" customWidth="1"/>
    <col min="22" max="22" width="23.42578125" bestFit="1" customWidth="1"/>
    <col min="23" max="23" width="1" customWidth="1"/>
    <col min="24" max="24" width="10.5703125" bestFit="1" customWidth="1"/>
    <col min="26" max="26" width="13.5703125" bestFit="1" customWidth="1"/>
  </cols>
  <sheetData>
    <row r="1" spans="1:26" x14ac:dyDescent="0.25">
      <c r="A1" s="4" t="s">
        <v>22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4"/>
      <c r="R1" t="s">
        <v>22</v>
      </c>
      <c r="S1" t="s">
        <v>152</v>
      </c>
      <c r="T1" t="s">
        <v>396</v>
      </c>
      <c r="X1" t="s">
        <v>92</v>
      </c>
      <c r="Z1" t="s">
        <v>399</v>
      </c>
    </row>
    <row r="2" spans="1:26" ht="2.2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8"/>
      <c r="R2" s="6"/>
      <c r="S2" s="6"/>
      <c r="T2" s="6"/>
      <c r="U2" s="6"/>
      <c r="V2" s="6"/>
    </row>
    <row r="3" spans="1:26" x14ac:dyDescent="0.25">
      <c r="A3" t="s">
        <v>289</v>
      </c>
      <c r="Q3" t="s">
        <v>386</v>
      </c>
      <c r="R3" s="6">
        <f>SUM(N6:N14)</f>
        <v>27752.146874999999</v>
      </c>
      <c r="S3" s="6">
        <f>SUM(N26:N34)</f>
        <v>29619.501749999999</v>
      </c>
      <c r="T3" s="6">
        <f>SUM(N46:N54)</f>
        <v>31262.222750000001</v>
      </c>
      <c r="U3" s="6"/>
      <c r="V3" s="6"/>
      <c r="X3" s="8">
        <f>N66</f>
        <v>28433.985896415001</v>
      </c>
      <c r="Z3" s="8">
        <f>R3-X3</f>
        <v>-681.83902141500221</v>
      </c>
    </row>
    <row r="4" spans="1:26" x14ac:dyDescent="0.25">
      <c r="A4" t="s">
        <v>290</v>
      </c>
      <c r="B4" s="6">
        <v>570000</v>
      </c>
      <c r="C4" s="6">
        <v>570000</v>
      </c>
      <c r="D4" s="6">
        <v>570000</v>
      </c>
      <c r="E4" s="6">
        <v>570000</v>
      </c>
      <c r="F4" s="6">
        <v>570000</v>
      </c>
      <c r="G4" s="6">
        <v>570000</v>
      </c>
      <c r="H4" s="6">
        <v>570000</v>
      </c>
      <c r="I4" s="6">
        <v>570000</v>
      </c>
      <c r="J4" s="6">
        <v>570000</v>
      </c>
      <c r="K4" s="6">
        <v>570000</v>
      </c>
      <c r="L4" s="6">
        <v>570000</v>
      </c>
      <c r="M4" s="6">
        <v>570000</v>
      </c>
      <c r="Q4" t="s">
        <v>388</v>
      </c>
      <c r="R4" s="6">
        <f>N19</f>
        <v>3993.4744072580265</v>
      </c>
      <c r="S4" s="6">
        <f>N39</f>
        <v>5371.7531849842462</v>
      </c>
      <c r="T4" s="6">
        <f>N59</f>
        <v>5866.5199257064814</v>
      </c>
      <c r="U4" s="6"/>
      <c r="V4" s="6"/>
      <c r="X4" s="8">
        <f>SUM(N71:N76)</f>
        <v>8370.9797772683269</v>
      </c>
      <c r="Z4" s="8">
        <f>R4-X4</f>
        <v>-4377.5053700102999</v>
      </c>
    </row>
    <row r="5" spans="1:26" x14ac:dyDescent="0.25">
      <c r="B5" s="189">
        <v>3.8100000000000002E-2</v>
      </c>
      <c r="C5" s="189">
        <v>3.8100000000000002E-2</v>
      </c>
      <c r="D5" s="189">
        <v>3.8100000000000002E-2</v>
      </c>
      <c r="E5" s="189">
        <v>3.8100000000000002E-2</v>
      </c>
      <c r="F5" s="189">
        <v>3.8100000000000002E-2</v>
      </c>
      <c r="G5" s="189">
        <v>3.8100000000000002E-2</v>
      </c>
      <c r="H5" s="189">
        <v>3.8100000000000002E-2</v>
      </c>
      <c r="I5" s="189">
        <v>3.8100000000000002E-2</v>
      </c>
      <c r="J5" s="189">
        <v>3.8100000000000002E-2</v>
      </c>
      <c r="K5" s="189">
        <v>3.8100000000000002E-2</v>
      </c>
      <c r="L5" s="189">
        <v>3.8100000000000002E-2</v>
      </c>
      <c r="M5" s="189">
        <v>3.8100000000000002E-2</v>
      </c>
      <c r="R5" s="6">
        <f>SUM(R3:R4)</f>
        <v>31745.621282258024</v>
      </c>
      <c r="S5" s="6">
        <f>SUM(S3:S4)</f>
        <v>34991.254934984245</v>
      </c>
      <c r="T5" s="6">
        <f>SUM(T3:T4)</f>
        <v>37128.742675706482</v>
      </c>
      <c r="U5" s="6"/>
      <c r="V5" s="6" t="s">
        <v>398</v>
      </c>
      <c r="X5" s="8">
        <f>SUM(X3:X4)</f>
        <v>36804.965673683328</v>
      </c>
      <c r="Z5" s="8">
        <f>R5-X5</f>
        <v>-5059.3443914253039</v>
      </c>
    </row>
    <row r="6" spans="1:26" x14ac:dyDescent="0.25">
      <c r="B6" s="265">
        <f t="shared" ref="B6:M6" si="0">(B4*B5)/12</f>
        <v>1809.75</v>
      </c>
      <c r="C6" s="265">
        <f t="shared" si="0"/>
        <v>1809.75</v>
      </c>
      <c r="D6" s="265">
        <f t="shared" si="0"/>
        <v>1809.75</v>
      </c>
      <c r="E6" s="265">
        <f t="shared" si="0"/>
        <v>1809.75</v>
      </c>
      <c r="F6" s="265">
        <f t="shared" si="0"/>
        <v>1809.75</v>
      </c>
      <c r="G6" s="265">
        <f t="shared" si="0"/>
        <v>1809.75</v>
      </c>
      <c r="H6" s="265">
        <f t="shared" si="0"/>
        <v>1809.75</v>
      </c>
      <c r="I6" s="265">
        <f t="shared" si="0"/>
        <v>1809.75</v>
      </c>
      <c r="J6" s="265">
        <f t="shared" si="0"/>
        <v>1809.75</v>
      </c>
      <c r="K6" s="265">
        <f t="shared" si="0"/>
        <v>1809.75</v>
      </c>
      <c r="L6" s="265">
        <f t="shared" si="0"/>
        <v>1809.75</v>
      </c>
      <c r="M6" s="265">
        <f t="shared" si="0"/>
        <v>1809.75</v>
      </c>
      <c r="N6" s="266">
        <f>SUM(B6:M6)</f>
        <v>21717</v>
      </c>
      <c r="S6" s="271">
        <f>R5-S5</f>
        <v>-3245.633652726221</v>
      </c>
      <c r="T6" s="6">
        <f>R5-T5</f>
        <v>-5383.1213934484585</v>
      </c>
      <c r="U6" s="6"/>
      <c r="V6" s="6">
        <f>R5-T5</f>
        <v>-5383.1213934484585</v>
      </c>
    </row>
    <row r="7" spans="1:26" x14ac:dyDescent="0.25"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6"/>
      <c r="Q7" t="s">
        <v>394</v>
      </c>
      <c r="R7" s="6">
        <v>597</v>
      </c>
      <c r="S7" s="272" t="s">
        <v>400</v>
      </c>
      <c r="T7" s="271">
        <f>T6-S6</f>
        <v>-2137.4877407222375</v>
      </c>
      <c r="U7" s="6"/>
      <c r="V7" s="6"/>
    </row>
    <row r="8" spans="1:26" x14ac:dyDescent="0.25">
      <c r="A8" t="s">
        <v>290</v>
      </c>
      <c r="B8" s="6">
        <v>100000</v>
      </c>
      <c r="C8" s="6">
        <v>100000</v>
      </c>
      <c r="D8" s="6">
        <v>100000</v>
      </c>
      <c r="E8" s="6">
        <v>100000</v>
      </c>
      <c r="F8" s="6">
        <v>100000</v>
      </c>
      <c r="G8" s="6">
        <v>100000</v>
      </c>
      <c r="H8" s="6">
        <v>100000</v>
      </c>
      <c r="I8" s="6">
        <v>100000</v>
      </c>
      <c r="J8" s="6">
        <v>100000</v>
      </c>
      <c r="K8" s="6">
        <v>100000</v>
      </c>
      <c r="L8" s="6">
        <v>100000</v>
      </c>
      <c r="M8" s="6">
        <v>100000</v>
      </c>
      <c r="R8" s="6">
        <f>SUM(R5:R7)</f>
        <v>32342.621282258024</v>
      </c>
      <c r="S8" s="6"/>
      <c r="T8" s="272" t="s">
        <v>401</v>
      </c>
      <c r="U8" s="6"/>
      <c r="V8" s="6"/>
    </row>
    <row r="9" spans="1:26" x14ac:dyDescent="0.25">
      <c r="B9" s="189">
        <v>3.8100000000000002E-2</v>
      </c>
      <c r="C9" s="189">
        <v>3.8100000000000002E-2</v>
      </c>
      <c r="D9" s="189">
        <v>3.8100000000000002E-2</v>
      </c>
      <c r="E9" s="189">
        <v>3.8100000000000002E-2</v>
      </c>
      <c r="F9" s="189">
        <v>3.8100000000000002E-2</v>
      </c>
      <c r="G9" s="189">
        <v>3.8100000000000002E-2</v>
      </c>
      <c r="H9" s="189">
        <v>3.8100000000000002E-2</v>
      </c>
      <c r="I9" s="189">
        <v>3.8100000000000002E-2</v>
      </c>
      <c r="J9" s="189">
        <v>3.8100000000000002E-2</v>
      </c>
      <c r="K9" s="189">
        <v>3.8100000000000002E-2</v>
      </c>
      <c r="L9" s="189">
        <v>3.8100000000000002E-2</v>
      </c>
      <c r="M9" s="189">
        <v>3.8100000000000002E-2</v>
      </c>
      <c r="R9" s="6">
        <v>1077.5999999999999</v>
      </c>
      <c r="X9" t="s">
        <v>8</v>
      </c>
    </row>
    <row r="10" spans="1:26" x14ac:dyDescent="0.25">
      <c r="B10" s="265">
        <f t="shared" ref="B10:M10" si="1">(B8*B9)/12</f>
        <v>317.5</v>
      </c>
      <c r="C10" s="265">
        <f t="shared" si="1"/>
        <v>317.5</v>
      </c>
      <c r="D10" s="265">
        <f t="shared" si="1"/>
        <v>317.5</v>
      </c>
      <c r="E10" s="265">
        <f t="shared" si="1"/>
        <v>317.5</v>
      </c>
      <c r="F10" s="265">
        <f t="shared" si="1"/>
        <v>317.5</v>
      </c>
      <c r="G10" s="265">
        <f t="shared" si="1"/>
        <v>317.5</v>
      </c>
      <c r="H10" s="265">
        <f t="shared" si="1"/>
        <v>317.5</v>
      </c>
      <c r="I10" s="265">
        <f t="shared" si="1"/>
        <v>317.5</v>
      </c>
      <c r="J10" s="265">
        <f t="shared" si="1"/>
        <v>317.5</v>
      </c>
      <c r="K10" s="265">
        <f t="shared" si="1"/>
        <v>317.5</v>
      </c>
      <c r="L10" s="265">
        <f t="shared" si="1"/>
        <v>317.5</v>
      </c>
      <c r="M10" s="265">
        <f t="shared" si="1"/>
        <v>317.5</v>
      </c>
      <c r="N10" s="266">
        <f>SUM(B10:M10)</f>
        <v>3810</v>
      </c>
      <c r="R10" s="6">
        <f>SUM(R8:R9)</f>
        <v>33420.221282258026</v>
      </c>
    </row>
    <row r="11" spans="1:26" x14ac:dyDescent="0.25"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6"/>
    </row>
    <row r="12" spans="1:26" x14ac:dyDescent="0.25">
      <c r="A12" t="s">
        <v>290</v>
      </c>
      <c r="B12" s="6"/>
      <c r="C12" s="6"/>
      <c r="D12" s="6"/>
      <c r="E12" s="6"/>
      <c r="F12" s="6"/>
      <c r="G12" s="6">
        <v>101721</v>
      </c>
      <c r="H12" s="6">
        <v>101721</v>
      </c>
      <c r="I12" s="6">
        <v>101721</v>
      </c>
      <c r="J12" s="6">
        <v>101721</v>
      </c>
      <c r="K12" s="6">
        <v>101721</v>
      </c>
      <c r="L12" s="6">
        <v>101721</v>
      </c>
      <c r="M12" s="6">
        <v>101721</v>
      </c>
    </row>
    <row r="13" spans="1:26" x14ac:dyDescent="0.25">
      <c r="B13" s="189"/>
      <c r="C13" s="189"/>
      <c r="D13" s="189"/>
      <c r="E13" s="189"/>
      <c r="F13" s="189"/>
      <c r="G13" s="189">
        <v>3.7499999999999999E-2</v>
      </c>
      <c r="H13" s="189">
        <v>3.7499999999999999E-2</v>
      </c>
      <c r="I13" s="189">
        <v>3.7499999999999999E-2</v>
      </c>
      <c r="J13" s="189">
        <v>3.7499999999999999E-2</v>
      </c>
      <c r="K13" s="189">
        <v>3.7499999999999999E-2</v>
      </c>
      <c r="L13" s="189">
        <v>3.7499999999999999E-2</v>
      </c>
      <c r="M13" s="189">
        <v>3.7499999999999999E-2</v>
      </c>
    </row>
    <row r="14" spans="1:26" x14ac:dyDescent="0.25">
      <c r="B14" s="265">
        <f t="shared" ref="B14:M14" si="2">(B12*B13)/12</f>
        <v>0</v>
      </c>
      <c r="C14" s="265">
        <f t="shared" si="2"/>
        <v>0</v>
      </c>
      <c r="D14" s="265">
        <f t="shared" si="2"/>
        <v>0</v>
      </c>
      <c r="E14" s="265">
        <f t="shared" si="2"/>
        <v>0</v>
      </c>
      <c r="F14" s="265">
        <f t="shared" si="2"/>
        <v>0</v>
      </c>
      <c r="G14" s="265">
        <f t="shared" si="2"/>
        <v>317.87812500000001</v>
      </c>
      <c r="H14" s="265">
        <f t="shared" si="2"/>
        <v>317.87812500000001</v>
      </c>
      <c r="I14" s="265">
        <f t="shared" si="2"/>
        <v>317.87812500000001</v>
      </c>
      <c r="J14" s="265">
        <f t="shared" si="2"/>
        <v>317.87812500000001</v>
      </c>
      <c r="K14" s="265">
        <f t="shared" si="2"/>
        <v>317.87812500000001</v>
      </c>
      <c r="L14" s="265">
        <f t="shared" si="2"/>
        <v>317.87812500000001</v>
      </c>
      <c r="M14" s="265">
        <f t="shared" si="2"/>
        <v>317.87812500000001</v>
      </c>
      <c r="N14" s="266">
        <f>SUM(B14:M14)</f>
        <v>2225.1468749999999</v>
      </c>
    </row>
    <row r="15" spans="1:26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90"/>
    </row>
    <row r="16" spans="1:26" x14ac:dyDescent="0.25">
      <c r="A16" t="s">
        <v>291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4" x14ac:dyDescent="0.25">
      <c r="A17" t="s">
        <v>290</v>
      </c>
      <c r="B17" s="6">
        <v>141361.92592063808</v>
      </c>
      <c r="C17" s="6">
        <v>141361.92592063808</v>
      </c>
      <c r="D17" s="6">
        <v>141361.92592063808</v>
      </c>
      <c r="E17" s="6">
        <v>141361.92592063808</v>
      </c>
      <c r="F17" s="6">
        <v>141361.92592063808</v>
      </c>
      <c r="G17" s="6">
        <v>141361.92592063808</v>
      </c>
      <c r="H17" s="6">
        <v>141361.92592063808</v>
      </c>
      <c r="I17" s="6">
        <v>141361.92592063808</v>
      </c>
      <c r="J17" s="6">
        <v>141361.92592063808</v>
      </c>
      <c r="K17" s="6">
        <v>141361.92592063808</v>
      </c>
      <c r="L17" s="6">
        <v>141361.92592063808</v>
      </c>
      <c r="M17" s="6">
        <v>141361.92592063808</v>
      </c>
      <c r="N17" s="62"/>
    </row>
    <row r="18" spans="1:14" x14ac:dyDescent="0.25">
      <c r="A18" s="192"/>
      <c r="B18" s="80">
        <v>2.8250000000000001E-2</v>
      </c>
      <c r="C18" s="80">
        <v>2.8250000000000001E-2</v>
      </c>
      <c r="D18" s="80">
        <v>2.8250000000000001E-2</v>
      </c>
      <c r="E18" s="80">
        <v>2.8250000000000001E-2</v>
      </c>
      <c r="F18" s="80">
        <v>2.8250000000000001E-2</v>
      </c>
      <c r="G18" s="80">
        <v>2.8250000000000001E-2</v>
      </c>
      <c r="H18" s="80">
        <v>2.8250000000000001E-2</v>
      </c>
      <c r="I18" s="80">
        <v>2.8250000000000001E-2</v>
      </c>
      <c r="J18" s="80">
        <v>2.8250000000000001E-2</v>
      </c>
      <c r="K18" s="80">
        <v>2.8250000000000001E-2</v>
      </c>
      <c r="L18" s="80">
        <v>2.8250000000000001E-2</v>
      </c>
      <c r="M18" s="80">
        <v>2.8250000000000001E-2</v>
      </c>
      <c r="N18" s="62"/>
    </row>
    <row r="19" spans="1:14" x14ac:dyDescent="0.25">
      <c r="A19" s="192"/>
      <c r="B19" s="267">
        <f>(B17*B18)/12</f>
        <v>332.78953393816886</v>
      </c>
      <c r="C19" s="267">
        <f t="shared" ref="C19:M19" si="3">(C17*C18)/12</f>
        <v>332.78953393816886</v>
      </c>
      <c r="D19" s="267">
        <f t="shared" si="3"/>
        <v>332.78953393816886</v>
      </c>
      <c r="E19" s="267">
        <f t="shared" si="3"/>
        <v>332.78953393816886</v>
      </c>
      <c r="F19" s="267">
        <f t="shared" si="3"/>
        <v>332.78953393816886</v>
      </c>
      <c r="G19" s="267">
        <f t="shared" si="3"/>
        <v>332.78953393816886</v>
      </c>
      <c r="H19" s="267">
        <f t="shared" si="3"/>
        <v>332.78953393816886</v>
      </c>
      <c r="I19" s="267">
        <f t="shared" si="3"/>
        <v>332.78953393816886</v>
      </c>
      <c r="J19" s="267">
        <f t="shared" si="3"/>
        <v>332.78953393816886</v>
      </c>
      <c r="K19" s="267">
        <f t="shared" si="3"/>
        <v>332.78953393816886</v>
      </c>
      <c r="L19" s="267">
        <f t="shared" si="3"/>
        <v>332.78953393816886</v>
      </c>
      <c r="M19" s="267">
        <f t="shared" si="3"/>
        <v>332.78953393816886</v>
      </c>
      <c r="N19" s="268">
        <f>SUM(B19:M19)</f>
        <v>3993.4744072580265</v>
      </c>
    </row>
    <row r="20" spans="1:14" s="270" customFormat="1" x14ac:dyDescent="0.25"/>
    <row r="21" spans="1:14" x14ac:dyDescent="0.25">
      <c r="A21" s="4" t="s">
        <v>395</v>
      </c>
      <c r="B21" s="4" t="s">
        <v>277</v>
      </c>
      <c r="C21" s="4" t="s">
        <v>278</v>
      </c>
      <c r="D21" s="4" t="s">
        <v>279</v>
      </c>
      <c r="E21" s="4" t="s">
        <v>280</v>
      </c>
      <c r="F21" s="4" t="s">
        <v>281</v>
      </c>
      <c r="G21" s="4" t="s">
        <v>282</v>
      </c>
      <c r="H21" s="4" t="s">
        <v>283</v>
      </c>
      <c r="I21" s="4" t="s">
        <v>284</v>
      </c>
      <c r="J21" s="4" t="s">
        <v>285</v>
      </c>
      <c r="K21" s="4" t="s">
        <v>286</v>
      </c>
      <c r="L21" s="4" t="s">
        <v>287</v>
      </c>
      <c r="M21" s="4" t="s">
        <v>288</v>
      </c>
      <c r="N21" s="4"/>
    </row>
    <row r="22" spans="1:1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t="s">
        <v>289</v>
      </c>
    </row>
    <row r="24" spans="1:14" x14ac:dyDescent="0.25">
      <c r="A24" t="s">
        <v>290</v>
      </c>
      <c r="B24" s="6">
        <v>570000</v>
      </c>
      <c r="C24" s="6">
        <v>570000</v>
      </c>
      <c r="D24" s="6">
        <v>570000</v>
      </c>
      <c r="E24" s="6">
        <v>570000</v>
      </c>
      <c r="F24" s="6">
        <v>570000</v>
      </c>
      <c r="G24" s="6">
        <v>570000</v>
      </c>
      <c r="H24" s="6">
        <v>570000</v>
      </c>
      <c r="I24" s="6">
        <v>570000</v>
      </c>
      <c r="J24" s="6">
        <v>570000</v>
      </c>
      <c r="K24" s="6">
        <v>570000</v>
      </c>
      <c r="L24" s="6">
        <v>570000</v>
      </c>
      <c r="M24" s="6">
        <v>570000</v>
      </c>
    </row>
    <row r="25" spans="1:14" x14ac:dyDescent="0.25">
      <c r="B25" s="189">
        <v>4.0399999999999998E-2</v>
      </c>
      <c r="C25" s="189">
        <v>4.0399999999999998E-2</v>
      </c>
      <c r="D25" s="189">
        <v>4.0399999999999998E-2</v>
      </c>
      <c r="E25" s="189">
        <v>4.0399999999999998E-2</v>
      </c>
      <c r="F25" s="189">
        <v>4.0399999999999998E-2</v>
      </c>
      <c r="G25" s="189">
        <v>4.0399999999999998E-2</v>
      </c>
      <c r="H25" s="189">
        <v>4.0399999999999998E-2</v>
      </c>
      <c r="I25" s="189">
        <v>4.0399999999999998E-2</v>
      </c>
      <c r="J25" s="189">
        <v>4.0399999999999998E-2</v>
      </c>
      <c r="K25" s="189">
        <v>4.0399999999999998E-2</v>
      </c>
      <c r="L25" s="189">
        <v>4.0399999999999998E-2</v>
      </c>
      <c r="M25" s="189">
        <v>4.0399999999999998E-2</v>
      </c>
    </row>
    <row r="26" spans="1:14" x14ac:dyDescent="0.25">
      <c r="B26" s="265">
        <f t="shared" ref="B26:M26" si="4">(B24*B25)/12</f>
        <v>1919</v>
      </c>
      <c r="C26" s="265">
        <f t="shared" si="4"/>
        <v>1919</v>
      </c>
      <c r="D26" s="265">
        <f t="shared" si="4"/>
        <v>1919</v>
      </c>
      <c r="E26" s="265">
        <f t="shared" si="4"/>
        <v>1919</v>
      </c>
      <c r="F26" s="265">
        <f t="shared" si="4"/>
        <v>1919</v>
      </c>
      <c r="G26" s="265">
        <f t="shared" si="4"/>
        <v>1919</v>
      </c>
      <c r="H26" s="265">
        <f t="shared" si="4"/>
        <v>1919</v>
      </c>
      <c r="I26" s="265">
        <f t="shared" si="4"/>
        <v>1919</v>
      </c>
      <c r="J26" s="265">
        <f t="shared" si="4"/>
        <v>1919</v>
      </c>
      <c r="K26" s="265">
        <f t="shared" si="4"/>
        <v>1919</v>
      </c>
      <c r="L26" s="265">
        <f t="shared" si="4"/>
        <v>1919</v>
      </c>
      <c r="M26" s="265">
        <f t="shared" si="4"/>
        <v>1919</v>
      </c>
      <c r="N26" s="266">
        <f>SUM(B26:M26)</f>
        <v>23028</v>
      </c>
    </row>
    <row r="27" spans="1:14" x14ac:dyDescent="0.25"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6"/>
    </row>
    <row r="28" spans="1:14" x14ac:dyDescent="0.25">
      <c r="A28" t="s">
        <v>290</v>
      </c>
      <c r="B28" s="6">
        <v>100000</v>
      </c>
      <c r="C28" s="6">
        <v>100000</v>
      </c>
      <c r="D28" s="6">
        <v>100000</v>
      </c>
      <c r="E28" s="6">
        <v>100000</v>
      </c>
      <c r="F28" s="6">
        <v>100000</v>
      </c>
      <c r="G28" s="6">
        <v>100000</v>
      </c>
      <c r="H28" s="6">
        <v>100000</v>
      </c>
      <c r="I28" s="6">
        <v>100000</v>
      </c>
      <c r="J28" s="6">
        <v>100000</v>
      </c>
      <c r="K28" s="6">
        <v>100000</v>
      </c>
      <c r="L28" s="6">
        <v>100000</v>
      </c>
      <c r="M28" s="6">
        <v>100000</v>
      </c>
    </row>
    <row r="29" spans="1:14" x14ac:dyDescent="0.25">
      <c r="B29" s="189">
        <v>4.0399999999999998E-2</v>
      </c>
      <c r="C29" s="189">
        <v>4.0399999999999998E-2</v>
      </c>
      <c r="D29" s="189">
        <v>4.0399999999999998E-2</v>
      </c>
      <c r="E29" s="189">
        <v>4.0399999999999998E-2</v>
      </c>
      <c r="F29" s="189">
        <v>4.0399999999999998E-2</v>
      </c>
      <c r="G29" s="189">
        <v>4.0399999999999998E-2</v>
      </c>
      <c r="H29" s="189">
        <v>4.0399999999999998E-2</v>
      </c>
      <c r="I29" s="189">
        <v>4.0399999999999998E-2</v>
      </c>
      <c r="J29" s="189">
        <v>4.0399999999999998E-2</v>
      </c>
      <c r="K29" s="189">
        <v>4.0399999999999998E-2</v>
      </c>
      <c r="L29" s="189">
        <v>4.0399999999999998E-2</v>
      </c>
      <c r="M29" s="189">
        <v>4.0399999999999998E-2</v>
      </c>
    </row>
    <row r="30" spans="1:14" x14ac:dyDescent="0.25">
      <c r="B30" s="265">
        <f t="shared" ref="B30:M30" si="5">(B28*B29)/12</f>
        <v>336.66666666666669</v>
      </c>
      <c r="C30" s="265">
        <f t="shared" si="5"/>
        <v>336.66666666666669</v>
      </c>
      <c r="D30" s="265">
        <f t="shared" si="5"/>
        <v>336.66666666666669</v>
      </c>
      <c r="E30" s="265">
        <f t="shared" si="5"/>
        <v>336.66666666666669</v>
      </c>
      <c r="F30" s="265">
        <f t="shared" si="5"/>
        <v>336.66666666666669</v>
      </c>
      <c r="G30" s="265">
        <f t="shared" si="5"/>
        <v>336.66666666666669</v>
      </c>
      <c r="H30" s="265">
        <f t="shared" si="5"/>
        <v>336.66666666666669</v>
      </c>
      <c r="I30" s="265">
        <f t="shared" si="5"/>
        <v>336.66666666666669</v>
      </c>
      <c r="J30" s="265">
        <f t="shared" si="5"/>
        <v>336.66666666666669</v>
      </c>
      <c r="K30" s="265">
        <f t="shared" si="5"/>
        <v>336.66666666666669</v>
      </c>
      <c r="L30" s="265">
        <f t="shared" si="5"/>
        <v>336.66666666666669</v>
      </c>
      <c r="M30" s="265">
        <f t="shared" si="5"/>
        <v>336.66666666666669</v>
      </c>
      <c r="N30" s="266">
        <f>SUM(B30:M30)</f>
        <v>4039.9999999999995</v>
      </c>
    </row>
    <row r="31" spans="1:14" x14ac:dyDescent="0.25"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6"/>
    </row>
    <row r="32" spans="1:14" x14ac:dyDescent="0.25">
      <c r="A32" t="s">
        <v>290</v>
      </c>
      <c r="B32" s="6"/>
      <c r="C32" s="6"/>
      <c r="D32" s="6"/>
      <c r="E32" s="6"/>
      <c r="F32" s="6"/>
      <c r="G32" s="6">
        <v>101721</v>
      </c>
      <c r="H32" s="6">
        <v>101721</v>
      </c>
      <c r="I32" s="6">
        <v>101721</v>
      </c>
      <c r="J32" s="6">
        <v>101721</v>
      </c>
      <c r="K32" s="6">
        <v>101721</v>
      </c>
      <c r="L32" s="6">
        <v>101721</v>
      </c>
      <c r="M32" s="6">
        <v>101721</v>
      </c>
    </row>
    <row r="33" spans="1:16" x14ac:dyDescent="0.25">
      <c r="B33" s="189"/>
      <c r="C33" s="189"/>
      <c r="D33" s="189"/>
      <c r="E33" s="189"/>
      <c r="F33" s="189"/>
      <c r="G33" s="189">
        <v>4.2999999999999997E-2</v>
      </c>
      <c r="H33" s="189">
        <v>4.2999999999999997E-2</v>
      </c>
      <c r="I33" s="189">
        <v>4.2999999999999997E-2</v>
      </c>
      <c r="J33" s="189">
        <v>4.2999999999999997E-2</v>
      </c>
      <c r="K33" s="189">
        <v>4.2999999999999997E-2</v>
      </c>
      <c r="L33" s="189">
        <v>4.2999999999999997E-2</v>
      </c>
      <c r="M33" s="189">
        <v>4.2999999999999997E-2</v>
      </c>
    </row>
    <row r="34" spans="1:16" x14ac:dyDescent="0.25">
      <c r="B34" s="265">
        <f t="shared" ref="B34:M34" si="6">(B32*B33)/12</f>
        <v>0</v>
      </c>
      <c r="C34" s="265">
        <f t="shared" si="6"/>
        <v>0</v>
      </c>
      <c r="D34" s="265">
        <f t="shared" si="6"/>
        <v>0</v>
      </c>
      <c r="E34" s="265">
        <f t="shared" si="6"/>
        <v>0</v>
      </c>
      <c r="F34" s="265">
        <f t="shared" si="6"/>
        <v>0</v>
      </c>
      <c r="G34" s="265">
        <f t="shared" si="6"/>
        <v>364.50024999999999</v>
      </c>
      <c r="H34" s="265">
        <f t="shared" si="6"/>
        <v>364.50024999999999</v>
      </c>
      <c r="I34" s="265">
        <f t="shared" si="6"/>
        <v>364.50024999999999</v>
      </c>
      <c r="J34" s="265">
        <f t="shared" si="6"/>
        <v>364.50024999999999</v>
      </c>
      <c r="K34" s="265">
        <f t="shared" si="6"/>
        <v>364.50024999999999</v>
      </c>
      <c r="L34" s="265">
        <f t="shared" si="6"/>
        <v>364.50024999999999</v>
      </c>
      <c r="M34" s="265">
        <f t="shared" si="6"/>
        <v>364.50024999999999</v>
      </c>
      <c r="N34" s="266">
        <f>SUM(B34:M34)</f>
        <v>2551.5017499999999</v>
      </c>
    </row>
    <row r="35" spans="1:16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90"/>
    </row>
    <row r="36" spans="1:16" x14ac:dyDescent="0.25">
      <c r="A36" t="s">
        <v>291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x14ac:dyDescent="0.25">
      <c r="A37" t="s">
        <v>290</v>
      </c>
      <c r="B37" s="6">
        <v>141361.92592063808</v>
      </c>
      <c r="C37" s="6">
        <v>141361.92592063808</v>
      </c>
      <c r="D37" s="6">
        <v>141361.92592063808</v>
      </c>
      <c r="E37" s="6">
        <v>141361.92592063808</v>
      </c>
      <c r="F37" s="6">
        <v>141361.92592063808</v>
      </c>
      <c r="G37" s="6">
        <v>141361.92592063808</v>
      </c>
      <c r="H37" s="6">
        <v>141361.92592063808</v>
      </c>
      <c r="I37" s="6">
        <v>141361.92592063808</v>
      </c>
      <c r="J37" s="6">
        <v>141361.92592063808</v>
      </c>
      <c r="K37" s="6">
        <v>141361.92592063808</v>
      </c>
      <c r="L37" s="6">
        <v>141361.92592063808</v>
      </c>
      <c r="M37" s="6">
        <v>141361.92592063808</v>
      </c>
      <c r="N37" s="62"/>
    </row>
    <row r="38" spans="1:16" s="270" customFormat="1" x14ac:dyDescent="0.25">
      <c r="A38" s="192"/>
      <c r="B38" s="80">
        <v>3.7999999999999999E-2</v>
      </c>
      <c r="C38" s="80">
        <v>3.7999999999999999E-2</v>
      </c>
      <c r="D38" s="80">
        <v>3.7999999999999999E-2</v>
      </c>
      <c r="E38" s="80">
        <v>3.7999999999999999E-2</v>
      </c>
      <c r="F38" s="80">
        <v>3.7999999999999999E-2</v>
      </c>
      <c r="G38" s="80">
        <v>3.7999999999999999E-2</v>
      </c>
      <c r="H38" s="80">
        <v>3.7999999999999999E-2</v>
      </c>
      <c r="I38" s="80">
        <v>3.7999999999999999E-2</v>
      </c>
      <c r="J38" s="80">
        <v>3.7999999999999999E-2</v>
      </c>
      <c r="K38" s="80">
        <v>3.7999999999999999E-2</v>
      </c>
      <c r="L38" s="80">
        <v>3.7999999999999999E-2</v>
      </c>
      <c r="M38" s="80">
        <v>3.7999999999999999E-2</v>
      </c>
      <c r="N38" s="62"/>
      <c r="O38"/>
      <c r="P38"/>
    </row>
    <row r="39" spans="1:16" x14ac:dyDescent="0.25">
      <c r="A39" s="192"/>
      <c r="B39" s="267">
        <f>(B37*B38)/12</f>
        <v>447.64609874868728</v>
      </c>
      <c r="C39" s="267">
        <f t="shared" ref="C39" si="7">(C37*C38)/12</f>
        <v>447.64609874868728</v>
      </c>
      <c r="D39" s="267">
        <f t="shared" ref="D39" si="8">(D37*D38)/12</f>
        <v>447.64609874868728</v>
      </c>
      <c r="E39" s="267">
        <f t="shared" ref="E39" si="9">(E37*E38)/12</f>
        <v>447.64609874868728</v>
      </c>
      <c r="F39" s="267">
        <f t="shared" ref="F39" si="10">(F37*F38)/12</f>
        <v>447.64609874868728</v>
      </c>
      <c r="G39" s="267">
        <f t="shared" ref="G39" si="11">(G37*G38)/12</f>
        <v>447.64609874868728</v>
      </c>
      <c r="H39" s="267">
        <f t="shared" ref="H39" si="12">(H37*H38)/12</f>
        <v>447.64609874868728</v>
      </c>
      <c r="I39" s="267">
        <f t="shared" ref="I39" si="13">(I37*I38)/12</f>
        <v>447.64609874868728</v>
      </c>
      <c r="J39" s="267">
        <f t="shared" ref="J39" si="14">(J37*J38)/12</f>
        <v>447.64609874868728</v>
      </c>
      <c r="K39" s="267">
        <f t="shared" ref="K39" si="15">(K37*K38)/12</f>
        <v>447.64609874868728</v>
      </c>
      <c r="L39" s="267">
        <f t="shared" ref="L39" si="16">(L37*L38)/12</f>
        <v>447.64609874868728</v>
      </c>
      <c r="M39" s="267">
        <f t="shared" ref="M39" si="17">(M37*M38)/12</f>
        <v>447.64609874868728</v>
      </c>
      <c r="N39" s="268">
        <f>SUM(B39:M39)</f>
        <v>5371.7531849842462</v>
      </c>
    </row>
    <row r="40" spans="1:16" x14ac:dyDescent="0.25">
      <c r="A40" s="270"/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</row>
    <row r="41" spans="1:16" x14ac:dyDescent="0.25">
      <c r="A41" s="4" t="s">
        <v>397</v>
      </c>
      <c r="B41" s="4" t="s">
        <v>277</v>
      </c>
      <c r="C41" s="4" t="s">
        <v>278</v>
      </c>
      <c r="D41" s="4" t="s">
        <v>279</v>
      </c>
      <c r="E41" s="4" t="s">
        <v>280</v>
      </c>
      <c r="F41" s="4" t="s">
        <v>281</v>
      </c>
      <c r="G41" s="4" t="s">
        <v>282</v>
      </c>
      <c r="H41" s="4" t="s">
        <v>283</v>
      </c>
      <c r="I41" s="4" t="s">
        <v>284</v>
      </c>
      <c r="J41" s="4" t="s">
        <v>285</v>
      </c>
      <c r="K41" s="4" t="s">
        <v>286</v>
      </c>
      <c r="L41" s="4" t="s">
        <v>287</v>
      </c>
      <c r="M41" s="4" t="s">
        <v>288</v>
      </c>
      <c r="N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 x14ac:dyDescent="0.25">
      <c r="A43" t="s">
        <v>289</v>
      </c>
    </row>
    <row r="44" spans="1:16" x14ac:dyDescent="0.25">
      <c r="A44" t="s">
        <v>290</v>
      </c>
      <c r="B44" s="6">
        <v>570000</v>
      </c>
      <c r="C44" s="6">
        <v>570000</v>
      </c>
      <c r="D44" s="6">
        <v>570000</v>
      </c>
      <c r="E44" s="6">
        <v>570000</v>
      </c>
      <c r="F44" s="6">
        <v>570000</v>
      </c>
      <c r="G44" s="6">
        <v>570000</v>
      </c>
      <c r="H44" s="6">
        <v>570000</v>
      </c>
      <c r="I44" s="6">
        <v>570000</v>
      </c>
      <c r="J44" s="6">
        <v>570000</v>
      </c>
      <c r="K44" s="6">
        <v>570000</v>
      </c>
      <c r="L44" s="6">
        <v>570000</v>
      </c>
      <c r="M44" s="6">
        <v>570000</v>
      </c>
    </row>
    <row r="45" spans="1:16" x14ac:dyDescent="0.25">
      <c r="B45" s="189">
        <v>4.0399999999999998E-2</v>
      </c>
      <c r="C45" s="189">
        <v>4.0399999999999998E-2</v>
      </c>
      <c r="D45" s="189">
        <v>4.0399999999999998E-2</v>
      </c>
      <c r="E45" s="189">
        <v>4.0399999999999998E-2</v>
      </c>
      <c r="F45" s="189">
        <v>4.0399999999999998E-2</v>
      </c>
      <c r="G45" s="189">
        <v>4.0399999999999998E-2</v>
      </c>
      <c r="H45" s="189">
        <v>4.4999999999999998E-2</v>
      </c>
      <c r="I45" s="189">
        <v>4.4999999999999998E-2</v>
      </c>
      <c r="J45" s="189">
        <v>4.4999999999999998E-2</v>
      </c>
      <c r="K45" s="189">
        <v>4.4999999999999998E-2</v>
      </c>
      <c r="L45" s="189">
        <v>4.4999999999999998E-2</v>
      </c>
      <c r="M45" s="189">
        <v>4.4999999999999998E-2</v>
      </c>
    </row>
    <row r="46" spans="1:16" x14ac:dyDescent="0.25">
      <c r="B46" s="265">
        <f t="shared" ref="B46:M46" si="18">(B44*B45)/12</f>
        <v>1919</v>
      </c>
      <c r="C46" s="265">
        <f t="shared" si="18"/>
        <v>1919</v>
      </c>
      <c r="D46" s="265">
        <f t="shared" si="18"/>
        <v>1919</v>
      </c>
      <c r="E46" s="265">
        <f t="shared" si="18"/>
        <v>1919</v>
      </c>
      <c r="F46" s="265">
        <f t="shared" si="18"/>
        <v>1919</v>
      </c>
      <c r="G46" s="265">
        <f t="shared" si="18"/>
        <v>1919</v>
      </c>
      <c r="H46" s="265">
        <f t="shared" si="18"/>
        <v>2137.5</v>
      </c>
      <c r="I46" s="265">
        <f t="shared" si="18"/>
        <v>2137.5</v>
      </c>
      <c r="J46" s="265">
        <f t="shared" si="18"/>
        <v>2137.5</v>
      </c>
      <c r="K46" s="265">
        <f t="shared" si="18"/>
        <v>2137.5</v>
      </c>
      <c r="L46" s="265">
        <f t="shared" si="18"/>
        <v>2137.5</v>
      </c>
      <c r="M46" s="265">
        <f t="shared" si="18"/>
        <v>2137.5</v>
      </c>
      <c r="N46" s="266">
        <f>SUM(B46:M46)</f>
        <v>24339</v>
      </c>
    </row>
    <row r="47" spans="1:16" x14ac:dyDescent="0.25"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6"/>
    </row>
    <row r="48" spans="1:16" x14ac:dyDescent="0.25">
      <c r="A48" t="s">
        <v>290</v>
      </c>
      <c r="B48" s="6">
        <v>100000</v>
      </c>
      <c r="C48" s="6">
        <v>100000</v>
      </c>
      <c r="D48" s="6">
        <v>100000</v>
      </c>
      <c r="E48" s="6">
        <v>100000</v>
      </c>
      <c r="F48" s="6">
        <v>100000</v>
      </c>
      <c r="G48" s="6">
        <v>100000</v>
      </c>
      <c r="H48" s="6">
        <v>100000</v>
      </c>
      <c r="I48" s="6">
        <v>100000</v>
      </c>
      <c r="J48" s="6">
        <v>100000</v>
      </c>
      <c r="K48" s="6">
        <v>100000</v>
      </c>
      <c r="L48" s="6">
        <v>100000</v>
      </c>
      <c r="M48" s="6">
        <v>100000</v>
      </c>
    </row>
    <row r="49" spans="1:16" x14ac:dyDescent="0.25">
      <c r="B49" s="189">
        <v>4.0399999999999998E-2</v>
      </c>
      <c r="C49" s="189">
        <v>4.0399999999999998E-2</v>
      </c>
      <c r="D49" s="189">
        <v>4.0399999999999998E-2</v>
      </c>
      <c r="E49" s="189">
        <v>4.0399999999999998E-2</v>
      </c>
      <c r="F49" s="189">
        <v>4.0399999999999998E-2</v>
      </c>
      <c r="G49" s="189">
        <v>4.0399999999999998E-2</v>
      </c>
      <c r="H49" s="189">
        <v>4.4999999999999998E-2</v>
      </c>
      <c r="I49" s="189">
        <v>4.4999999999999998E-2</v>
      </c>
      <c r="J49" s="189">
        <v>4.4999999999999998E-2</v>
      </c>
      <c r="K49" s="189">
        <v>4.4999999999999998E-2</v>
      </c>
      <c r="L49" s="189">
        <v>4.4999999999999998E-2</v>
      </c>
      <c r="M49" s="189">
        <v>4.4999999999999998E-2</v>
      </c>
    </row>
    <row r="50" spans="1:16" x14ac:dyDescent="0.25">
      <c r="B50" s="265">
        <f t="shared" ref="B50:M50" si="19">(B48*B49)/12</f>
        <v>336.66666666666669</v>
      </c>
      <c r="C50" s="265">
        <f t="shared" si="19"/>
        <v>336.66666666666669</v>
      </c>
      <c r="D50" s="265">
        <f t="shared" si="19"/>
        <v>336.66666666666669</v>
      </c>
      <c r="E50" s="265">
        <f t="shared" si="19"/>
        <v>336.66666666666669</v>
      </c>
      <c r="F50" s="265">
        <f t="shared" si="19"/>
        <v>336.66666666666669</v>
      </c>
      <c r="G50" s="265">
        <f t="shared" si="19"/>
        <v>336.66666666666669</v>
      </c>
      <c r="H50" s="265">
        <f t="shared" si="19"/>
        <v>375</v>
      </c>
      <c r="I50" s="265">
        <f t="shared" si="19"/>
        <v>375</v>
      </c>
      <c r="J50" s="265">
        <f t="shared" si="19"/>
        <v>375</v>
      </c>
      <c r="K50" s="265">
        <f t="shared" si="19"/>
        <v>375</v>
      </c>
      <c r="L50" s="265">
        <f t="shared" si="19"/>
        <v>375</v>
      </c>
      <c r="M50" s="265">
        <f t="shared" si="19"/>
        <v>375</v>
      </c>
      <c r="N50" s="266">
        <f>SUM(B50:M50)</f>
        <v>4270</v>
      </c>
    </row>
    <row r="51" spans="1:16" x14ac:dyDescent="0.25"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6"/>
    </row>
    <row r="52" spans="1:16" x14ac:dyDescent="0.25">
      <c r="A52" t="s">
        <v>290</v>
      </c>
      <c r="B52" s="6"/>
      <c r="C52" s="6"/>
      <c r="D52" s="6"/>
      <c r="E52" s="6"/>
      <c r="F52" s="6"/>
      <c r="G52" s="6">
        <v>101721</v>
      </c>
      <c r="H52" s="6">
        <v>101721</v>
      </c>
      <c r="I52" s="6">
        <v>101721</v>
      </c>
      <c r="J52" s="6">
        <v>101721</v>
      </c>
      <c r="K52" s="6">
        <v>101721</v>
      </c>
      <c r="L52" s="6">
        <v>101721</v>
      </c>
      <c r="M52" s="6">
        <v>101721</v>
      </c>
    </row>
    <row r="53" spans="1:16" x14ac:dyDescent="0.25">
      <c r="B53" s="189"/>
      <c r="C53" s="189"/>
      <c r="D53" s="189"/>
      <c r="E53" s="189"/>
      <c r="F53" s="189"/>
      <c r="G53" s="189">
        <v>4.2999999999999997E-2</v>
      </c>
      <c r="H53" s="189">
        <v>4.4999999999999998E-2</v>
      </c>
      <c r="I53" s="189">
        <v>4.4999999999999998E-2</v>
      </c>
      <c r="J53" s="189">
        <v>4.4999999999999998E-2</v>
      </c>
      <c r="K53" s="189">
        <v>4.4999999999999998E-2</v>
      </c>
      <c r="L53" s="189">
        <v>4.4999999999999998E-2</v>
      </c>
      <c r="M53" s="189">
        <v>4.4999999999999998E-2</v>
      </c>
    </row>
    <row r="54" spans="1:16" x14ac:dyDescent="0.25">
      <c r="B54" s="265">
        <f t="shared" ref="B54:M54" si="20">(B52*B53)/12</f>
        <v>0</v>
      </c>
      <c r="C54" s="265">
        <f t="shared" si="20"/>
        <v>0</v>
      </c>
      <c r="D54" s="265">
        <f t="shared" si="20"/>
        <v>0</v>
      </c>
      <c r="E54" s="265">
        <f t="shared" si="20"/>
        <v>0</v>
      </c>
      <c r="F54" s="265">
        <f t="shared" si="20"/>
        <v>0</v>
      </c>
      <c r="G54" s="265">
        <f t="shared" si="20"/>
        <v>364.50024999999999</v>
      </c>
      <c r="H54" s="265">
        <f t="shared" si="20"/>
        <v>381.45374999999996</v>
      </c>
      <c r="I54" s="265">
        <f t="shared" si="20"/>
        <v>381.45374999999996</v>
      </c>
      <c r="J54" s="265">
        <f t="shared" si="20"/>
        <v>381.45374999999996</v>
      </c>
      <c r="K54" s="265">
        <f t="shared" si="20"/>
        <v>381.45374999999996</v>
      </c>
      <c r="L54" s="265">
        <f t="shared" si="20"/>
        <v>381.45374999999996</v>
      </c>
      <c r="M54" s="265">
        <f t="shared" si="20"/>
        <v>381.45374999999996</v>
      </c>
      <c r="N54" s="266">
        <f>SUM(B54:M54)</f>
        <v>2653.2227499999999</v>
      </c>
    </row>
    <row r="55" spans="1:16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90"/>
    </row>
    <row r="56" spans="1:16" x14ac:dyDescent="0.25">
      <c r="A56" t="s">
        <v>291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6" x14ac:dyDescent="0.25">
      <c r="A57" t="s">
        <v>290</v>
      </c>
      <c r="B57" s="6">
        <v>141361.92592063808</v>
      </c>
      <c r="C57" s="6">
        <v>141361.92592063808</v>
      </c>
      <c r="D57" s="6">
        <v>141361.92592063808</v>
      </c>
      <c r="E57" s="6">
        <v>141361.92592063808</v>
      </c>
      <c r="F57" s="6">
        <v>141361.92592063808</v>
      </c>
      <c r="G57" s="6">
        <v>141361.92592063808</v>
      </c>
      <c r="H57" s="6">
        <v>141361.92592063808</v>
      </c>
      <c r="I57" s="6">
        <v>141361.92592063808</v>
      </c>
      <c r="J57" s="6">
        <v>141361.92592063808</v>
      </c>
      <c r="K57" s="6">
        <v>141361.92592063808</v>
      </c>
      <c r="L57" s="6">
        <v>141361.92592063808</v>
      </c>
      <c r="M57" s="6">
        <v>141361.92592063808</v>
      </c>
      <c r="N57" s="62"/>
    </row>
    <row r="58" spans="1:16" x14ac:dyDescent="0.25">
      <c r="A58" s="192"/>
      <c r="B58" s="80">
        <v>3.7999999999999999E-2</v>
      </c>
      <c r="C58" s="80">
        <v>3.7999999999999999E-2</v>
      </c>
      <c r="D58" s="80">
        <v>3.7999999999999999E-2</v>
      </c>
      <c r="E58" s="80">
        <v>3.7999999999999999E-2</v>
      </c>
      <c r="F58" s="80">
        <v>3.7999999999999999E-2</v>
      </c>
      <c r="G58" s="80">
        <v>3.7999999999999999E-2</v>
      </c>
      <c r="H58" s="189">
        <v>4.4999999999999998E-2</v>
      </c>
      <c r="I58" s="189">
        <v>4.4999999999999998E-2</v>
      </c>
      <c r="J58" s="189">
        <v>4.4999999999999998E-2</v>
      </c>
      <c r="K58" s="189">
        <v>4.4999999999999998E-2</v>
      </c>
      <c r="L58" s="189">
        <v>4.4999999999999998E-2</v>
      </c>
      <c r="M58" s="189">
        <v>4.4999999999999998E-2</v>
      </c>
      <c r="N58" s="62"/>
    </row>
    <row r="59" spans="1:16" x14ac:dyDescent="0.25">
      <c r="A59" s="192"/>
      <c r="B59" s="267">
        <f>(B57*B58)/12</f>
        <v>447.64609874868728</v>
      </c>
      <c r="C59" s="267">
        <f t="shared" ref="C59" si="21">(C57*C58)/12</f>
        <v>447.64609874868728</v>
      </c>
      <c r="D59" s="267">
        <f t="shared" ref="D59" si="22">(D57*D58)/12</f>
        <v>447.64609874868728</v>
      </c>
      <c r="E59" s="267">
        <f t="shared" ref="E59" si="23">(E57*E58)/12</f>
        <v>447.64609874868728</v>
      </c>
      <c r="F59" s="267">
        <f t="shared" ref="F59" si="24">(F57*F58)/12</f>
        <v>447.64609874868728</v>
      </c>
      <c r="G59" s="267">
        <f t="shared" ref="G59" si="25">(G57*G58)/12</f>
        <v>447.64609874868728</v>
      </c>
      <c r="H59" s="267">
        <f t="shared" ref="H59" si="26">(H57*H58)/12</f>
        <v>530.10722220239279</v>
      </c>
      <c r="I59" s="267">
        <f t="shared" ref="I59" si="27">(I57*I58)/12</f>
        <v>530.10722220239279</v>
      </c>
      <c r="J59" s="267">
        <f t="shared" ref="J59" si="28">(J57*J58)/12</f>
        <v>530.10722220239279</v>
      </c>
      <c r="K59" s="267">
        <f t="shared" ref="K59" si="29">(K57*K58)/12</f>
        <v>530.10722220239279</v>
      </c>
      <c r="L59" s="267">
        <f t="shared" ref="L59" si="30">(L57*L58)/12</f>
        <v>530.10722220239279</v>
      </c>
      <c r="M59" s="267">
        <f t="shared" ref="M59" si="31">(M57*M58)/12</f>
        <v>530.10722220239279</v>
      </c>
      <c r="N59" s="268">
        <f>SUM(B59:M59)</f>
        <v>5866.5199257064814</v>
      </c>
    </row>
    <row r="60" spans="1:16" x14ac:dyDescent="0.25">
      <c r="A60" s="270"/>
      <c r="B60" s="270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</row>
    <row r="61" spans="1:16" x14ac:dyDescent="0.25">
      <c r="A61" s="4" t="s">
        <v>92</v>
      </c>
      <c r="B61" s="4" t="s">
        <v>277</v>
      </c>
      <c r="C61" s="4" t="s">
        <v>278</v>
      </c>
      <c r="D61" s="4" t="s">
        <v>279</v>
      </c>
      <c r="E61" s="4" t="s">
        <v>280</v>
      </c>
      <c r="F61" s="4" t="s">
        <v>281</v>
      </c>
      <c r="G61" s="4" t="s">
        <v>282</v>
      </c>
      <c r="H61" s="4" t="s">
        <v>283</v>
      </c>
      <c r="I61" s="4" t="s">
        <v>284</v>
      </c>
      <c r="J61" s="4" t="s">
        <v>285</v>
      </c>
      <c r="K61" s="4" t="s">
        <v>286</v>
      </c>
      <c r="L61" s="4" t="s">
        <v>287</v>
      </c>
      <c r="M61" s="4" t="s">
        <v>288</v>
      </c>
      <c r="N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6" x14ac:dyDescent="0.25">
      <c r="A63" t="s">
        <v>289</v>
      </c>
    </row>
    <row r="64" spans="1:16" x14ac:dyDescent="0.25">
      <c r="A64" t="s">
        <v>290</v>
      </c>
      <c r="B64" s="6">
        <f>'BS Sheet Details'!L$16/1000</f>
        <v>568937.50804999995</v>
      </c>
      <c r="C64" s="6">
        <f>'BS Sheet Details'!M$16/1000</f>
        <v>570855.19035000005</v>
      </c>
      <c r="D64" s="6">
        <f>'BS Sheet Details'!N$16/1000</f>
        <v>572772.87265000003</v>
      </c>
      <c r="E64" s="6">
        <f>'BS Sheet Details'!O$16/1000</f>
        <v>574689.81637000002</v>
      </c>
      <c r="F64" s="6">
        <f>'BS Sheet Details'!P$16/1000</f>
        <v>576606.76003</v>
      </c>
      <c r="G64" s="6">
        <v>569500</v>
      </c>
      <c r="H64" s="6">
        <v>750000</v>
      </c>
      <c r="I64" s="6">
        <v>750000</v>
      </c>
      <c r="J64" s="6">
        <v>750000</v>
      </c>
      <c r="K64" s="6">
        <v>750000</v>
      </c>
      <c r="L64" s="6">
        <v>750000</v>
      </c>
      <c r="M64" s="6">
        <v>750000</v>
      </c>
    </row>
    <row r="65" spans="1:14" x14ac:dyDescent="0.25">
      <c r="B65" s="189">
        <v>4.0399999999999998E-2</v>
      </c>
      <c r="C65" s="189">
        <f>$B65</f>
        <v>4.0399999999999998E-2</v>
      </c>
      <c r="D65" s="189">
        <f t="shared" ref="D65:G65" si="32">$B65</f>
        <v>4.0399999999999998E-2</v>
      </c>
      <c r="E65" s="189">
        <f t="shared" si="32"/>
        <v>4.0399999999999998E-2</v>
      </c>
      <c r="F65" s="189">
        <f t="shared" si="32"/>
        <v>4.0399999999999998E-2</v>
      </c>
      <c r="G65" s="189">
        <f t="shared" si="32"/>
        <v>4.0399999999999998E-2</v>
      </c>
      <c r="H65" s="189">
        <v>4.4999999999999998E-2</v>
      </c>
      <c r="I65" s="189">
        <v>4.4999999999999998E-2</v>
      </c>
      <c r="J65" s="189">
        <v>4.4999999999999998E-2</v>
      </c>
      <c r="K65" s="189">
        <v>4.4999999999999998E-2</v>
      </c>
      <c r="L65" s="189">
        <v>4.4999999999999998E-2</v>
      </c>
      <c r="M65" s="189">
        <v>4.4999999999999998E-2</v>
      </c>
    </row>
    <row r="66" spans="1:14" x14ac:dyDescent="0.25">
      <c r="B66" s="265">
        <f t="shared" ref="B66:M66" si="33">(B64*B65)/12</f>
        <v>1915.4229437683332</v>
      </c>
      <c r="C66" s="265">
        <f t="shared" si="33"/>
        <v>1921.8791408449999</v>
      </c>
      <c r="D66" s="265">
        <f t="shared" si="33"/>
        <v>1928.3353379216667</v>
      </c>
      <c r="E66" s="265">
        <f t="shared" si="33"/>
        <v>1934.7890484456666</v>
      </c>
      <c r="F66" s="265">
        <f t="shared" si="33"/>
        <v>1941.2427587676666</v>
      </c>
      <c r="G66" s="265">
        <f t="shared" si="33"/>
        <v>1917.3166666666666</v>
      </c>
      <c r="H66" s="265">
        <f t="shared" si="33"/>
        <v>2812.5</v>
      </c>
      <c r="I66" s="265">
        <f t="shared" si="33"/>
        <v>2812.5</v>
      </c>
      <c r="J66" s="265">
        <f t="shared" si="33"/>
        <v>2812.5</v>
      </c>
      <c r="K66" s="265">
        <f t="shared" si="33"/>
        <v>2812.5</v>
      </c>
      <c r="L66" s="265">
        <f t="shared" si="33"/>
        <v>2812.5</v>
      </c>
      <c r="M66" s="265">
        <f t="shared" si="33"/>
        <v>2812.5</v>
      </c>
      <c r="N66" s="266">
        <f>SUM(B66:M66)</f>
        <v>28433.985896415001</v>
      </c>
    </row>
    <row r="67" spans="1:14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90"/>
    </row>
    <row r="68" spans="1:14" x14ac:dyDescent="0.25">
      <c r="A68" t="s">
        <v>291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4" x14ac:dyDescent="0.25">
      <c r="A69" t="s">
        <v>290</v>
      </c>
      <c r="B69" s="6">
        <f>('BS Sheet Details'!L$17/1000)-B73</f>
        <v>161878.97078</v>
      </c>
      <c r="C69" s="6">
        <f>('BS Sheet Details'!M$17/1000)-C73</f>
        <v>158243.07549000002</v>
      </c>
      <c r="D69" s="6">
        <f>('BS Sheet Details'!N$17/1000)-D73</f>
        <v>172190.08760999999</v>
      </c>
      <c r="E69" s="6">
        <f>('BS Sheet Details'!O$17/1000)-E73</f>
        <v>177260.00104</v>
      </c>
      <c r="F69" s="6">
        <f>('BS Sheet Details'!P$17/1000)-F73</f>
        <v>164247.49713999999</v>
      </c>
      <c r="G69" s="6">
        <f>('BS Sheet Details'!Q53/1000)</f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2"/>
    </row>
    <row r="70" spans="1:14" x14ac:dyDescent="0.25">
      <c r="A70" s="192" t="s">
        <v>393</v>
      </c>
      <c r="B70" s="87">
        <v>3.7999999999999999E-2</v>
      </c>
      <c r="C70" s="87">
        <v>3.7999999999999999E-2</v>
      </c>
      <c r="D70" s="87">
        <v>3.7999999999999999E-2</v>
      </c>
      <c r="E70" s="87">
        <v>3.7999999999999999E-2</v>
      </c>
      <c r="F70" s="87">
        <v>3.7999999999999999E-2</v>
      </c>
      <c r="G70" s="87">
        <v>3.7999999999999999E-2</v>
      </c>
      <c r="H70" s="87">
        <v>4.4999999999999998E-2</v>
      </c>
      <c r="I70" s="87">
        <v>4.4999999999999998E-2</v>
      </c>
      <c r="J70" s="87">
        <v>4.4999999999999998E-2</v>
      </c>
      <c r="K70" s="87">
        <v>4.4999999999999998E-2</v>
      </c>
      <c r="L70" s="87">
        <v>4.4999999999999998E-2</v>
      </c>
      <c r="M70" s="87">
        <v>4.4999999999999998E-2</v>
      </c>
      <c r="N70" s="62"/>
    </row>
    <row r="71" spans="1:14" x14ac:dyDescent="0.25">
      <c r="A71" s="192"/>
      <c r="B71" s="267">
        <f>(B69*B70)/12</f>
        <v>512.6167408033333</v>
      </c>
      <c r="C71" s="267">
        <f t="shared" ref="C71:M71" si="34">(C69*C70)/12</f>
        <v>501.10307238500008</v>
      </c>
      <c r="D71" s="267">
        <f t="shared" si="34"/>
        <v>545.26861076499995</v>
      </c>
      <c r="E71" s="267">
        <f t="shared" si="34"/>
        <v>561.32333662666667</v>
      </c>
      <c r="F71" s="267">
        <f t="shared" si="34"/>
        <v>520.11707427666659</v>
      </c>
      <c r="G71" s="267">
        <f t="shared" si="34"/>
        <v>0</v>
      </c>
      <c r="H71" s="267">
        <f t="shared" si="34"/>
        <v>0</v>
      </c>
      <c r="I71" s="267">
        <f t="shared" si="34"/>
        <v>0</v>
      </c>
      <c r="J71" s="267">
        <f t="shared" si="34"/>
        <v>0</v>
      </c>
      <c r="K71" s="267">
        <f t="shared" si="34"/>
        <v>0</v>
      </c>
      <c r="L71" s="267">
        <f t="shared" si="34"/>
        <v>0</v>
      </c>
      <c r="M71" s="267">
        <f t="shared" si="34"/>
        <v>0</v>
      </c>
      <c r="N71" s="268">
        <f>SUM(B71:M71)</f>
        <v>2640.4288348566665</v>
      </c>
    </row>
    <row r="73" spans="1:14" x14ac:dyDescent="0.25">
      <c r="A73" t="s">
        <v>384</v>
      </c>
      <c r="B73" s="6">
        <v>100000</v>
      </c>
      <c r="C73" s="6">
        <v>100000</v>
      </c>
      <c r="D73" s="6">
        <v>100000</v>
      </c>
      <c r="E73" s="6">
        <v>100000</v>
      </c>
      <c r="F73" s="6">
        <v>100000</v>
      </c>
      <c r="G73" s="6">
        <v>118265.64174000002</v>
      </c>
      <c r="H73" s="6">
        <v>133760.05127999972</v>
      </c>
      <c r="I73" s="6">
        <v>124327.29631999985</v>
      </c>
      <c r="J73" s="6">
        <v>141357.49864999991</v>
      </c>
      <c r="K73" s="6">
        <v>150257.85579999955</v>
      </c>
      <c r="L73" s="6">
        <v>158196.75796999983</v>
      </c>
      <c r="M73" s="6">
        <v>174307.57298999961</v>
      </c>
      <c r="N73" s="62"/>
    </row>
    <row r="74" spans="1:14" x14ac:dyDescent="0.25">
      <c r="A74" s="192"/>
      <c r="B74" s="80">
        <v>4.2999999999999997E-2</v>
      </c>
      <c r="C74" s="80">
        <v>4.2999999999999997E-2</v>
      </c>
      <c r="D74" s="80">
        <v>4.2999999999999997E-2</v>
      </c>
      <c r="E74" s="80">
        <v>4.2999999999999997E-2</v>
      </c>
      <c r="F74" s="80">
        <v>4.2999999999999997E-2</v>
      </c>
      <c r="G74" s="80">
        <v>4.4999999999999998E-2</v>
      </c>
      <c r="H74" s="80">
        <v>4.4999999999999998E-2</v>
      </c>
      <c r="I74" s="80">
        <v>4.8000000000000001E-2</v>
      </c>
      <c r="J74" s="80">
        <v>4.8000000000000001E-2</v>
      </c>
      <c r="K74" s="80">
        <v>4.8000000000000001E-2</v>
      </c>
      <c r="L74" s="80">
        <v>4.8000000000000001E-2</v>
      </c>
      <c r="M74" s="80">
        <v>4.8000000000000001E-2</v>
      </c>
      <c r="N74" s="62"/>
    </row>
    <row r="75" spans="1:14" x14ac:dyDescent="0.25">
      <c r="A75" s="192"/>
      <c r="B75" s="267">
        <f>(B73*B74)/12</f>
        <v>358.33333333333331</v>
      </c>
      <c r="C75" s="267">
        <f t="shared" ref="C75:M75" si="35">(C73*C74)/12</f>
        <v>358.33333333333331</v>
      </c>
      <c r="D75" s="267">
        <f t="shared" si="35"/>
        <v>358.33333333333331</v>
      </c>
      <c r="E75" s="267">
        <f t="shared" si="35"/>
        <v>358.33333333333331</v>
      </c>
      <c r="F75" s="267">
        <f t="shared" si="35"/>
        <v>358.33333333333331</v>
      </c>
      <c r="G75" s="267">
        <f t="shared" si="35"/>
        <v>443.49615652500006</v>
      </c>
      <c r="H75" s="267">
        <f t="shared" si="35"/>
        <v>501.60019229999898</v>
      </c>
      <c r="I75" s="267">
        <f t="shared" si="35"/>
        <v>497.30918527999938</v>
      </c>
      <c r="J75" s="267">
        <f t="shared" si="35"/>
        <v>565.42999459999965</v>
      </c>
      <c r="K75" s="267">
        <f t="shared" si="35"/>
        <v>601.03142319999824</v>
      </c>
      <c r="L75" s="267">
        <f t="shared" si="35"/>
        <v>632.78703187999929</v>
      </c>
      <c r="M75" s="267">
        <f t="shared" si="35"/>
        <v>697.23029195999845</v>
      </c>
      <c r="N75" s="268">
        <f>SUM(B75:M75)</f>
        <v>5730.5509424116608</v>
      </c>
    </row>
    <row r="77" spans="1:14" x14ac:dyDescent="0.25">
      <c r="A77" t="s">
        <v>228</v>
      </c>
      <c r="B77" s="6">
        <f>B69+B73</f>
        <v>261878.97078</v>
      </c>
      <c r="C77" s="6">
        <f t="shared" ref="C77:M77" si="36">C69+C73</f>
        <v>258243.07549000002</v>
      </c>
      <c r="D77" s="6">
        <f t="shared" si="36"/>
        <v>272190.08760999999</v>
      </c>
      <c r="E77" s="6">
        <f t="shared" si="36"/>
        <v>277260.00104</v>
      </c>
      <c r="F77" s="6">
        <f t="shared" si="36"/>
        <v>264247.49713999999</v>
      </c>
      <c r="G77" s="6">
        <f t="shared" si="36"/>
        <v>118265.64174000002</v>
      </c>
      <c r="H77" s="6">
        <f t="shared" si="36"/>
        <v>133760.05127999972</v>
      </c>
      <c r="I77" s="6">
        <f t="shared" si="36"/>
        <v>124327.29631999985</v>
      </c>
      <c r="J77" s="6">
        <f t="shared" si="36"/>
        <v>141357.49864999991</v>
      </c>
      <c r="K77" s="6">
        <f t="shared" si="36"/>
        <v>150257.85579999955</v>
      </c>
      <c r="L77" s="6">
        <f t="shared" si="36"/>
        <v>158196.75796999983</v>
      </c>
      <c r="M77" s="6">
        <f t="shared" si="36"/>
        <v>174307.57298999961</v>
      </c>
      <c r="N77" s="62"/>
    </row>
    <row r="78" spans="1:14" x14ac:dyDescent="0.25">
      <c r="A78" s="192" t="s">
        <v>385</v>
      </c>
      <c r="B78" s="269">
        <f>AVERAGE(B70,B74)</f>
        <v>4.0499999999999994E-2</v>
      </c>
      <c r="C78" s="269">
        <f t="shared" ref="C78:M78" si="37">AVERAGE(C70,C74)</f>
        <v>4.0499999999999994E-2</v>
      </c>
      <c r="D78" s="269">
        <f t="shared" si="37"/>
        <v>4.0499999999999994E-2</v>
      </c>
      <c r="E78" s="269">
        <f t="shared" si="37"/>
        <v>4.0499999999999994E-2</v>
      </c>
      <c r="F78" s="269">
        <f t="shared" si="37"/>
        <v>4.0499999999999994E-2</v>
      </c>
      <c r="G78" s="269">
        <f t="shared" si="37"/>
        <v>4.1499999999999995E-2</v>
      </c>
      <c r="H78" s="269">
        <f t="shared" si="37"/>
        <v>4.4999999999999998E-2</v>
      </c>
      <c r="I78" s="269">
        <f t="shared" si="37"/>
        <v>4.65E-2</v>
      </c>
      <c r="J78" s="269">
        <f t="shared" si="37"/>
        <v>4.65E-2</v>
      </c>
      <c r="K78" s="269">
        <f t="shared" si="37"/>
        <v>4.65E-2</v>
      </c>
      <c r="L78" s="269">
        <f t="shared" si="37"/>
        <v>4.65E-2</v>
      </c>
      <c r="M78" s="269">
        <f t="shared" si="37"/>
        <v>4.65E-2</v>
      </c>
      <c r="N78" s="62"/>
    </row>
    <row r="79" spans="1:14" x14ac:dyDescent="0.25">
      <c r="A79" s="192"/>
      <c r="B79" s="267">
        <f>SUM(B71,B75)</f>
        <v>870.95007413666667</v>
      </c>
      <c r="C79" s="267">
        <f t="shared" ref="C79:M79" si="38">SUM(C71,C75)</f>
        <v>859.43640571833339</v>
      </c>
      <c r="D79" s="267">
        <f t="shared" si="38"/>
        <v>903.60194409833321</v>
      </c>
      <c r="E79" s="267">
        <f t="shared" si="38"/>
        <v>919.65666996000004</v>
      </c>
      <c r="F79" s="267">
        <f t="shared" si="38"/>
        <v>878.45040760999996</v>
      </c>
      <c r="G79" s="267">
        <f t="shared" si="38"/>
        <v>443.49615652500006</v>
      </c>
      <c r="H79" s="267">
        <f t="shared" si="38"/>
        <v>501.60019229999898</v>
      </c>
      <c r="I79" s="267">
        <f t="shared" si="38"/>
        <v>497.30918527999938</v>
      </c>
      <c r="J79" s="267">
        <f t="shared" si="38"/>
        <v>565.42999459999965</v>
      </c>
      <c r="K79" s="267">
        <f t="shared" si="38"/>
        <v>601.03142319999824</v>
      </c>
      <c r="L79" s="267">
        <f t="shared" si="38"/>
        <v>632.78703187999929</v>
      </c>
      <c r="M79" s="267">
        <f t="shared" si="38"/>
        <v>697.23029195999845</v>
      </c>
      <c r="N79" s="268">
        <f>SUM(B79:M79)</f>
        <v>8370.9797772683269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AF39-A134-4740-95DC-BE48F737BADB}">
  <sheetPr>
    <tabColor rgb="FFFFFF00"/>
  </sheetPr>
  <dimension ref="A1:V63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S1" sqref="S1:S6"/>
    </sheetView>
    <sheetView workbookViewId="1"/>
  </sheetViews>
  <sheetFormatPr defaultRowHeight="15" x14ac:dyDescent="0.25"/>
  <cols>
    <col min="1" max="1" width="30.5703125" bestFit="1" customWidth="1"/>
    <col min="2" max="2" width="12.5703125" bestFit="1" customWidth="1"/>
    <col min="3" max="13" width="11.5703125" bestFit="1" customWidth="1"/>
    <col min="14" max="14" width="10.5703125" bestFit="1" customWidth="1"/>
    <col min="17" max="17" width="15.28515625" bestFit="1" customWidth="1"/>
    <col min="18" max="18" width="8.42578125" bestFit="1" customWidth="1"/>
    <col min="19" max="19" width="37.42578125" bestFit="1" customWidth="1"/>
    <col min="20" max="20" width="28.7109375" bestFit="1" customWidth="1"/>
  </cols>
  <sheetData>
    <row r="1" spans="1:22" x14ac:dyDescent="0.25">
      <c r="A1" s="4" t="s">
        <v>273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4"/>
      <c r="R1" t="s">
        <v>387</v>
      </c>
      <c r="S1" t="s">
        <v>324</v>
      </c>
      <c r="T1" t="s">
        <v>92</v>
      </c>
    </row>
    <row r="2" spans="1:22" ht="2.2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8"/>
      <c r="R2" s="6"/>
      <c r="S2" s="6"/>
      <c r="T2" s="6"/>
      <c r="U2" s="6"/>
      <c r="V2" s="6"/>
    </row>
    <row r="3" spans="1:22" x14ac:dyDescent="0.25">
      <c r="A3" t="s">
        <v>289</v>
      </c>
      <c r="Q3" t="s">
        <v>386</v>
      </c>
      <c r="R3" s="6">
        <f>N6</f>
        <v>21989.652777777777</v>
      </c>
      <c r="S3" s="6">
        <f>N26</f>
        <v>23072.985896415001</v>
      </c>
      <c r="T3" s="6">
        <f>N50</f>
        <v>28433.985896415001</v>
      </c>
      <c r="U3" s="6"/>
      <c r="V3" s="6"/>
    </row>
    <row r="4" spans="1:22" x14ac:dyDescent="0.25">
      <c r="A4" t="s">
        <v>290</v>
      </c>
      <c r="B4" s="6">
        <v>520000</v>
      </c>
      <c r="C4" s="6">
        <v>520000</v>
      </c>
      <c r="D4" s="6">
        <v>520000</v>
      </c>
      <c r="E4" s="6">
        <v>520000</v>
      </c>
      <c r="F4" s="6">
        <v>520000</v>
      </c>
      <c r="G4" s="6">
        <v>520000</v>
      </c>
      <c r="H4" s="6">
        <v>595000</v>
      </c>
      <c r="I4" s="6">
        <v>595000</v>
      </c>
      <c r="J4" s="6">
        <v>570000</v>
      </c>
      <c r="K4" s="6">
        <v>570000</v>
      </c>
      <c r="L4" s="6">
        <v>570000</v>
      </c>
      <c r="M4" s="6">
        <v>570000</v>
      </c>
      <c r="Q4" t="s">
        <v>388</v>
      </c>
      <c r="R4" s="6">
        <f>N19</f>
        <v>4000.0016719368296</v>
      </c>
      <c r="S4" s="6">
        <f>SUM(N35:N40)</f>
        <v>7750.8537828299959</v>
      </c>
      <c r="T4" s="6">
        <f>SUM(N55:N60)</f>
        <v>8370.9797772683269</v>
      </c>
      <c r="U4" s="6"/>
      <c r="V4" s="6"/>
    </row>
    <row r="5" spans="1:22" x14ac:dyDescent="0.25">
      <c r="B5" s="189">
        <f>AVERAGE('LTD Details'!$D$5:$D$14)</f>
        <v>3.9625E-2</v>
      </c>
      <c r="C5" s="189">
        <f>AVERAGE('LTD Details'!$D$5:$D$14)</f>
        <v>3.9625E-2</v>
      </c>
      <c r="D5" s="189">
        <f>AVERAGE('LTD Details'!$D$5:$D$14)</f>
        <v>3.9625E-2</v>
      </c>
      <c r="E5" s="189">
        <f>AVERAGE('LTD Details'!$D$5:$D$14)</f>
        <v>3.9625E-2</v>
      </c>
      <c r="F5" s="189">
        <f>AVERAGE('LTD Details'!$D$5:$D$14)</f>
        <v>3.9625E-2</v>
      </c>
      <c r="G5" s="189">
        <f>AVERAGE('LTD Details'!$D$5:$D$14)</f>
        <v>3.9625E-2</v>
      </c>
      <c r="H5" s="189">
        <f>AVERAGE('LTD Details'!$D$5:$D$16)</f>
        <v>4.0416666666666663E-2</v>
      </c>
      <c r="I5" s="189">
        <f>AVERAGE('LTD Details'!$D$5:$D$16)</f>
        <v>4.0416666666666663E-2</v>
      </c>
      <c r="J5" s="189">
        <f>AVERAGE('LTD Details'!$D$5:$D$16)</f>
        <v>4.0416666666666663E-2</v>
      </c>
      <c r="K5" s="189">
        <f>AVERAGE('LTD Details'!$D$5:$D$16)</f>
        <v>4.0416666666666663E-2</v>
      </c>
      <c r="L5" s="189">
        <f>AVERAGE('LTD Details'!$D$5:$D$16)</f>
        <v>4.0416666666666663E-2</v>
      </c>
      <c r="M5" s="189">
        <f>AVERAGE('LTD Details'!$D$5:$D$16)</f>
        <v>4.0416666666666663E-2</v>
      </c>
      <c r="R5" s="6">
        <f>SUM(R3:R4)</f>
        <v>25989.654449714606</v>
      </c>
      <c r="S5" s="6">
        <f>SUM(S3:S4)</f>
        <v>30823.839679244997</v>
      </c>
      <c r="T5" s="6">
        <f>SUM(T3:T4)</f>
        <v>36804.965673683328</v>
      </c>
      <c r="U5" s="6"/>
      <c r="V5" s="6"/>
    </row>
    <row r="6" spans="1:22" x14ac:dyDescent="0.25">
      <c r="B6" s="265">
        <f t="shared" ref="B6:M6" si="0">(B4*B5)/12</f>
        <v>1717.0833333333333</v>
      </c>
      <c r="C6" s="265">
        <f t="shared" si="0"/>
        <v>1717.0833333333333</v>
      </c>
      <c r="D6" s="265">
        <f t="shared" si="0"/>
        <v>1717.0833333333333</v>
      </c>
      <c r="E6" s="265">
        <f t="shared" si="0"/>
        <v>1717.0833333333333</v>
      </c>
      <c r="F6" s="265">
        <f t="shared" si="0"/>
        <v>1717.0833333333333</v>
      </c>
      <c r="G6" s="265">
        <f t="shared" si="0"/>
        <v>1717.0833333333333</v>
      </c>
      <c r="H6" s="265">
        <f t="shared" si="0"/>
        <v>2003.9930555555554</v>
      </c>
      <c r="I6" s="265">
        <f t="shared" si="0"/>
        <v>2003.9930555555554</v>
      </c>
      <c r="J6" s="265">
        <f t="shared" si="0"/>
        <v>1919.7916666666663</v>
      </c>
      <c r="K6" s="265">
        <f t="shared" si="0"/>
        <v>1919.7916666666663</v>
      </c>
      <c r="L6" s="265">
        <f t="shared" si="0"/>
        <v>1919.7916666666663</v>
      </c>
      <c r="M6" s="265">
        <f t="shared" si="0"/>
        <v>1919.7916666666663</v>
      </c>
      <c r="N6" s="266">
        <f>SUM(B6:M6)</f>
        <v>21989.652777777777</v>
      </c>
      <c r="R6" s="6"/>
      <c r="S6" s="6">
        <f>R5-S5</f>
        <v>-4834.1852295303906</v>
      </c>
      <c r="T6" s="6">
        <f>R5-T5</f>
        <v>-10815.311223968722</v>
      </c>
      <c r="U6" s="6"/>
      <c r="V6" s="6"/>
    </row>
    <row r="7" spans="1:22" ht="2.25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90"/>
      <c r="R7" s="6"/>
      <c r="S7" s="6"/>
      <c r="T7" s="6"/>
      <c r="U7" s="6"/>
      <c r="V7" s="6"/>
    </row>
    <row r="8" spans="1:22" x14ac:dyDescent="0.25">
      <c r="A8" t="s">
        <v>291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R8" s="6"/>
    </row>
    <row r="9" spans="1:22" x14ac:dyDescent="0.25">
      <c r="A9" t="s">
        <v>290</v>
      </c>
      <c r="B9" s="6">
        <f>210398.8-B13</f>
        <v>110398.79999999999</v>
      </c>
      <c r="C9" s="6">
        <f>158200.1-C13</f>
        <v>58200.100000000006</v>
      </c>
      <c r="D9" s="6">
        <f>166329.5-D13</f>
        <v>66329.5</v>
      </c>
      <c r="E9" s="6">
        <f>174484-E13</f>
        <v>74484</v>
      </c>
      <c r="F9" s="6">
        <f>177717.8-F13</f>
        <v>77717.799999999988</v>
      </c>
      <c r="G9" s="6">
        <f>198344.9-G13</f>
        <v>98344.9</v>
      </c>
      <c r="H9" s="6">
        <f>100000-H13</f>
        <v>0</v>
      </c>
      <c r="I9" s="6">
        <f>100000-I13</f>
        <v>0</v>
      </c>
      <c r="J9" s="6">
        <f>155726.978998445-J13</f>
        <v>55726.978998445004</v>
      </c>
      <c r="K9" s="6">
        <f>211077.961330205-K13</f>
        <v>111077.961330205</v>
      </c>
      <c r="L9" s="6">
        <f>228022.99880717-L13</f>
        <v>128022.99880716999</v>
      </c>
      <c r="M9" s="6">
        <f>237720.024341656-M13</f>
        <v>137720.02434165601</v>
      </c>
      <c r="N9" s="62"/>
      <c r="O9" t="s">
        <v>389</v>
      </c>
    </row>
    <row r="10" spans="1:22" x14ac:dyDescent="0.25">
      <c r="A10" s="192"/>
      <c r="B10" s="80">
        <v>4.0000000000000001E-3</v>
      </c>
      <c r="C10" s="80">
        <v>4.0000000000000001E-3</v>
      </c>
      <c r="D10" s="80">
        <v>4.0000000000000001E-3</v>
      </c>
      <c r="E10" s="80">
        <v>7.0000000000000001E-3</v>
      </c>
      <c r="F10" s="80">
        <v>7.0000000000000001E-3</v>
      </c>
      <c r="G10" s="80">
        <v>0.02</v>
      </c>
      <c r="H10" s="80">
        <v>2.5000000000000001E-2</v>
      </c>
      <c r="I10" s="80">
        <v>2.5000000000000001E-2</v>
      </c>
      <c r="J10" s="80">
        <v>2.9000000000000001E-2</v>
      </c>
      <c r="K10" s="80">
        <v>3.4000000000000002E-2</v>
      </c>
      <c r="L10" s="80">
        <v>3.4000000000000002E-2</v>
      </c>
      <c r="M10" s="80">
        <v>3.4000000000000002E-2</v>
      </c>
      <c r="N10" s="62"/>
      <c r="O10" t="s">
        <v>383</v>
      </c>
    </row>
    <row r="11" spans="1:22" x14ac:dyDescent="0.25">
      <c r="A11" s="192"/>
      <c r="B11" s="267">
        <f>(B9*B10)/12</f>
        <v>36.799599999999998</v>
      </c>
      <c r="C11" s="267">
        <f t="shared" ref="C11:M11" si="1">(C9*C10)/12</f>
        <v>19.400033333333337</v>
      </c>
      <c r="D11" s="267">
        <f t="shared" si="1"/>
        <v>22.109833333333331</v>
      </c>
      <c r="E11" s="267">
        <f t="shared" si="1"/>
        <v>43.449000000000005</v>
      </c>
      <c r="F11" s="267">
        <f t="shared" si="1"/>
        <v>45.335383333333333</v>
      </c>
      <c r="G11" s="267">
        <f t="shared" si="1"/>
        <v>163.90816666666666</v>
      </c>
      <c r="H11" s="267">
        <f t="shared" si="1"/>
        <v>0</v>
      </c>
      <c r="I11" s="267">
        <f t="shared" si="1"/>
        <v>0</v>
      </c>
      <c r="J11" s="267">
        <f t="shared" si="1"/>
        <v>134.67353257957544</v>
      </c>
      <c r="K11" s="267">
        <f t="shared" si="1"/>
        <v>314.72089043558088</v>
      </c>
      <c r="L11" s="267">
        <f t="shared" si="1"/>
        <v>362.73182995364829</v>
      </c>
      <c r="M11" s="267">
        <f t="shared" si="1"/>
        <v>390.20673563469205</v>
      </c>
      <c r="N11" s="268">
        <f>SUM(B11:M11)</f>
        <v>1533.3350052701633</v>
      </c>
    </row>
    <row r="12" spans="1:22" ht="3.75" customHeight="1" x14ac:dyDescent="0.25"/>
    <row r="13" spans="1:22" x14ac:dyDescent="0.25">
      <c r="A13" t="s">
        <v>384</v>
      </c>
      <c r="B13" s="6">
        <v>100000</v>
      </c>
      <c r="C13" s="6">
        <v>100000</v>
      </c>
      <c r="D13" s="6">
        <v>100000</v>
      </c>
      <c r="E13" s="6">
        <v>100000</v>
      </c>
      <c r="F13" s="6">
        <v>100000</v>
      </c>
      <c r="G13" s="6">
        <v>100000</v>
      </c>
      <c r="H13" s="6">
        <v>100000</v>
      </c>
      <c r="I13" s="6">
        <v>100000</v>
      </c>
      <c r="J13" s="6">
        <v>100000</v>
      </c>
      <c r="K13" s="6">
        <v>100000</v>
      </c>
      <c r="L13" s="6">
        <v>100000</v>
      </c>
      <c r="M13" s="6">
        <v>100000</v>
      </c>
      <c r="N13" s="62"/>
      <c r="O13" t="s">
        <v>383</v>
      </c>
    </row>
    <row r="14" spans="1:22" x14ac:dyDescent="0.25">
      <c r="A14" s="192"/>
      <c r="B14" s="80">
        <v>8.9999999999999993E-3</v>
      </c>
      <c r="C14" s="80">
        <v>8.9999999999999993E-3</v>
      </c>
      <c r="D14" s="80">
        <v>8.9999999999999993E-3</v>
      </c>
      <c r="E14" s="80">
        <v>1.2999999999999999E-2</v>
      </c>
      <c r="F14" s="80">
        <v>1.2999999999999999E-2</v>
      </c>
      <c r="G14" s="80">
        <v>1.7999999999999999E-2</v>
      </c>
      <c r="H14" s="80">
        <v>2.7E-2</v>
      </c>
      <c r="I14" s="80">
        <v>2.7E-2</v>
      </c>
      <c r="J14" s="80">
        <v>3.9E-2</v>
      </c>
      <c r="K14" s="80">
        <v>4.3999999999999997E-2</v>
      </c>
      <c r="L14" s="80">
        <v>4.3999999999999997E-2</v>
      </c>
      <c r="M14" s="80">
        <v>4.3999999999999997E-2</v>
      </c>
      <c r="N14" s="62"/>
    </row>
    <row r="15" spans="1:22" x14ac:dyDescent="0.25">
      <c r="A15" s="192"/>
      <c r="B15" s="267">
        <f>(B13*B14)/12</f>
        <v>74.999999999999986</v>
      </c>
      <c r="C15" s="267">
        <f t="shared" ref="C15:M15" si="2">(C13*C14)/12</f>
        <v>74.999999999999986</v>
      </c>
      <c r="D15" s="267">
        <f t="shared" si="2"/>
        <v>74.999999999999986</v>
      </c>
      <c r="E15" s="267">
        <f t="shared" si="2"/>
        <v>108.33333333333333</v>
      </c>
      <c r="F15" s="267">
        <f t="shared" si="2"/>
        <v>108.33333333333333</v>
      </c>
      <c r="G15" s="267">
        <f t="shared" si="2"/>
        <v>149.99999999999997</v>
      </c>
      <c r="H15" s="267">
        <f t="shared" si="2"/>
        <v>225</v>
      </c>
      <c r="I15" s="267">
        <f t="shared" si="2"/>
        <v>225</v>
      </c>
      <c r="J15" s="267">
        <f t="shared" si="2"/>
        <v>325</v>
      </c>
      <c r="K15" s="267">
        <f t="shared" si="2"/>
        <v>366.66666666666669</v>
      </c>
      <c r="L15" s="267">
        <f t="shared" si="2"/>
        <v>366.66666666666669</v>
      </c>
      <c r="M15" s="267">
        <f t="shared" si="2"/>
        <v>366.66666666666669</v>
      </c>
      <c r="N15" s="268">
        <f>SUM(B15:M15)</f>
        <v>2466.6666666666665</v>
      </c>
    </row>
    <row r="16" spans="1:22" ht="3.75" customHeight="1" x14ac:dyDescent="0.25"/>
    <row r="17" spans="1:15" x14ac:dyDescent="0.25">
      <c r="A17" t="s">
        <v>228</v>
      </c>
      <c r="B17" s="6">
        <f>B9+B13</f>
        <v>210398.8</v>
      </c>
      <c r="C17" s="6">
        <f t="shared" ref="C17:M17" si="3">C9+C13</f>
        <v>158200.1</v>
      </c>
      <c r="D17" s="6">
        <f t="shared" si="3"/>
        <v>166329.5</v>
      </c>
      <c r="E17" s="6">
        <f t="shared" si="3"/>
        <v>174484</v>
      </c>
      <c r="F17" s="6">
        <f t="shared" si="3"/>
        <v>177717.8</v>
      </c>
      <c r="G17" s="6">
        <f t="shared" si="3"/>
        <v>198344.9</v>
      </c>
      <c r="H17" s="6">
        <f t="shared" si="3"/>
        <v>100000</v>
      </c>
      <c r="I17" s="6">
        <f t="shared" si="3"/>
        <v>100000</v>
      </c>
      <c r="J17" s="6">
        <f t="shared" si="3"/>
        <v>155726.978998445</v>
      </c>
      <c r="K17" s="6">
        <f t="shared" si="3"/>
        <v>211077.961330205</v>
      </c>
      <c r="L17" s="6">
        <f t="shared" si="3"/>
        <v>228022.99880716999</v>
      </c>
      <c r="M17" s="6">
        <f t="shared" si="3"/>
        <v>237720.02434165601</v>
      </c>
      <c r="N17" s="62"/>
      <c r="O17" t="s">
        <v>383</v>
      </c>
    </row>
    <row r="18" spans="1:15" x14ac:dyDescent="0.25">
      <c r="A18" s="192" t="s">
        <v>385</v>
      </c>
      <c r="B18" s="269">
        <f>AVERAGE(B10,B14)</f>
        <v>6.4999999999999997E-3</v>
      </c>
      <c r="C18" s="269">
        <f t="shared" ref="C18:M18" si="4">AVERAGE(C10,C14)</f>
        <v>6.4999999999999997E-3</v>
      </c>
      <c r="D18" s="269">
        <f t="shared" si="4"/>
        <v>6.4999999999999997E-3</v>
      </c>
      <c r="E18" s="269">
        <f t="shared" si="4"/>
        <v>0.01</v>
      </c>
      <c r="F18" s="269">
        <f t="shared" si="4"/>
        <v>0.01</v>
      </c>
      <c r="G18" s="269">
        <f t="shared" si="4"/>
        <v>1.9E-2</v>
      </c>
      <c r="H18" s="269">
        <f t="shared" si="4"/>
        <v>2.6000000000000002E-2</v>
      </c>
      <c r="I18" s="269">
        <f t="shared" si="4"/>
        <v>2.6000000000000002E-2</v>
      </c>
      <c r="J18" s="269">
        <f t="shared" si="4"/>
        <v>3.4000000000000002E-2</v>
      </c>
      <c r="K18" s="269">
        <f t="shared" si="4"/>
        <v>3.9E-2</v>
      </c>
      <c r="L18" s="269">
        <f t="shared" si="4"/>
        <v>3.9E-2</v>
      </c>
      <c r="M18" s="269">
        <f t="shared" si="4"/>
        <v>3.9E-2</v>
      </c>
      <c r="N18" s="62"/>
    </row>
    <row r="19" spans="1:15" x14ac:dyDescent="0.25">
      <c r="A19" s="192"/>
      <c r="B19" s="267">
        <f>SUM(B11,B15)</f>
        <v>111.79959999999998</v>
      </c>
      <c r="C19" s="267">
        <f t="shared" ref="C19:M19" si="5">SUM(C11,C15)</f>
        <v>94.400033333333326</v>
      </c>
      <c r="D19" s="267">
        <f t="shared" si="5"/>
        <v>97.109833333333313</v>
      </c>
      <c r="E19" s="267">
        <f t="shared" si="5"/>
        <v>151.78233333333333</v>
      </c>
      <c r="F19" s="267">
        <f t="shared" si="5"/>
        <v>153.66871666666665</v>
      </c>
      <c r="G19" s="267">
        <f t="shared" si="5"/>
        <v>313.9081666666666</v>
      </c>
      <c r="H19" s="267">
        <f t="shared" si="5"/>
        <v>225</v>
      </c>
      <c r="I19" s="267">
        <f t="shared" si="5"/>
        <v>225</v>
      </c>
      <c r="J19" s="267">
        <f t="shared" si="5"/>
        <v>459.67353257957541</v>
      </c>
      <c r="K19" s="267">
        <f t="shared" si="5"/>
        <v>681.38755710224757</v>
      </c>
      <c r="L19" s="267">
        <f t="shared" si="5"/>
        <v>729.39849662031497</v>
      </c>
      <c r="M19" s="267">
        <f t="shared" si="5"/>
        <v>756.87340230135874</v>
      </c>
      <c r="N19" s="268">
        <f>SUM(B19:M19)</f>
        <v>4000.0016719368296</v>
      </c>
    </row>
    <row r="20" spans="1:15" s="270" customFormat="1" x14ac:dyDescent="0.25"/>
    <row r="21" spans="1:15" x14ac:dyDescent="0.25">
      <c r="A21" s="4" t="s">
        <v>390</v>
      </c>
      <c r="B21" s="4" t="s">
        <v>277</v>
      </c>
      <c r="C21" s="4" t="s">
        <v>278</v>
      </c>
      <c r="D21" s="4" t="s">
        <v>279</v>
      </c>
      <c r="E21" s="4" t="s">
        <v>280</v>
      </c>
      <c r="F21" s="4" t="s">
        <v>281</v>
      </c>
      <c r="G21" s="4" t="s">
        <v>282</v>
      </c>
      <c r="H21" s="4" t="s">
        <v>283</v>
      </c>
      <c r="I21" s="4" t="s">
        <v>284</v>
      </c>
      <c r="J21" s="4" t="s">
        <v>285</v>
      </c>
      <c r="K21" s="4" t="s">
        <v>286</v>
      </c>
      <c r="L21" s="4" t="s">
        <v>287</v>
      </c>
      <c r="M21" s="4" t="s">
        <v>288</v>
      </c>
      <c r="N21" s="4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5" x14ac:dyDescent="0.25">
      <c r="A23" t="s">
        <v>289</v>
      </c>
    </row>
    <row r="24" spans="1:15" x14ac:dyDescent="0.25">
      <c r="A24" t="s">
        <v>290</v>
      </c>
      <c r="B24" s="6">
        <f>'BS Sheet Details'!L$16/1000</f>
        <v>568937.50804999995</v>
      </c>
      <c r="C24" s="6">
        <f>'BS Sheet Details'!M16/1000</f>
        <v>570855.19035000005</v>
      </c>
      <c r="D24" s="6">
        <f>'BS Sheet Details'!N16/1000</f>
        <v>572772.87265000003</v>
      </c>
      <c r="E24" s="6">
        <f>'BS Sheet Details'!O16/1000</f>
        <v>574689.81637000002</v>
      </c>
      <c r="F24" s="6">
        <f>'BS Sheet Details'!P16/1000</f>
        <v>576606.76003</v>
      </c>
      <c r="G24" s="6">
        <v>569500</v>
      </c>
      <c r="H24" s="6">
        <v>570000</v>
      </c>
      <c r="I24" s="6">
        <v>570000</v>
      </c>
      <c r="J24" s="6">
        <v>570000</v>
      </c>
      <c r="K24" s="6">
        <v>570000</v>
      </c>
      <c r="L24" s="6">
        <v>570000</v>
      </c>
      <c r="M24" s="6">
        <v>570000</v>
      </c>
    </row>
    <row r="25" spans="1:15" x14ac:dyDescent="0.25">
      <c r="B25" s="189">
        <v>4.0399999999999998E-2</v>
      </c>
      <c r="C25" s="189">
        <f>$B25</f>
        <v>4.0399999999999998E-2</v>
      </c>
      <c r="D25" s="189">
        <f t="shared" ref="D25:M25" si="6">$B25</f>
        <v>4.0399999999999998E-2</v>
      </c>
      <c r="E25" s="189">
        <f t="shared" si="6"/>
        <v>4.0399999999999998E-2</v>
      </c>
      <c r="F25" s="189">
        <f t="shared" si="6"/>
        <v>4.0399999999999998E-2</v>
      </c>
      <c r="G25" s="189">
        <f t="shared" si="6"/>
        <v>4.0399999999999998E-2</v>
      </c>
      <c r="H25" s="189">
        <f t="shared" si="6"/>
        <v>4.0399999999999998E-2</v>
      </c>
      <c r="I25" s="189">
        <f t="shared" si="6"/>
        <v>4.0399999999999998E-2</v>
      </c>
      <c r="J25" s="189">
        <f t="shared" si="6"/>
        <v>4.0399999999999998E-2</v>
      </c>
      <c r="K25" s="189">
        <f t="shared" si="6"/>
        <v>4.0399999999999998E-2</v>
      </c>
      <c r="L25" s="189">
        <f t="shared" si="6"/>
        <v>4.0399999999999998E-2</v>
      </c>
      <c r="M25" s="189">
        <f t="shared" si="6"/>
        <v>4.0399999999999998E-2</v>
      </c>
    </row>
    <row r="26" spans="1:15" x14ac:dyDescent="0.25">
      <c r="B26" s="265">
        <f t="shared" ref="B26:M26" si="7">(B24*B25)/12</f>
        <v>1915.4229437683332</v>
      </c>
      <c r="C26" s="265">
        <f t="shared" si="7"/>
        <v>1921.8791408449999</v>
      </c>
      <c r="D26" s="265">
        <f t="shared" si="7"/>
        <v>1928.3353379216667</v>
      </c>
      <c r="E26" s="265">
        <f t="shared" si="7"/>
        <v>1934.7890484456666</v>
      </c>
      <c r="F26" s="265">
        <f t="shared" si="7"/>
        <v>1941.2427587676666</v>
      </c>
      <c r="G26" s="265">
        <f t="shared" si="7"/>
        <v>1917.3166666666666</v>
      </c>
      <c r="H26" s="265">
        <f t="shared" si="7"/>
        <v>1919</v>
      </c>
      <c r="I26" s="265">
        <f t="shared" si="7"/>
        <v>1919</v>
      </c>
      <c r="J26" s="265">
        <f t="shared" si="7"/>
        <v>1919</v>
      </c>
      <c r="K26" s="265">
        <f t="shared" si="7"/>
        <v>1919</v>
      </c>
      <c r="L26" s="265">
        <f t="shared" si="7"/>
        <v>1919</v>
      </c>
      <c r="M26" s="265">
        <f t="shared" si="7"/>
        <v>1919</v>
      </c>
      <c r="N26" s="266">
        <f>SUM(B26:M26)</f>
        <v>23072.985896415001</v>
      </c>
    </row>
    <row r="27" spans="1:15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8"/>
    </row>
    <row r="28" spans="1:15" x14ac:dyDescent="0.25">
      <c r="A28" t="s">
        <v>290</v>
      </c>
      <c r="B28" s="6">
        <f>'BS Sheet Details'!L20/1000</f>
        <v>0</v>
      </c>
      <c r="C28" s="6">
        <f>'BS Sheet Details'!M20/1000</f>
        <v>0</v>
      </c>
      <c r="D28" s="6">
        <f>'BS Sheet Details'!N20/1000</f>
        <v>0</v>
      </c>
      <c r="E28" s="6">
        <f>'BS Sheet Details'!O20/1000</f>
        <v>0</v>
      </c>
      <c r="F28" s="6">
        <f>'BS Sheet Details'!P20/1000</f>
        <v>0</v>
      </c>
      <c r="G28" s="6"/>
      <c r="H28" s="6">
        <v>180000</v>
      </c>
      <c r="I28" s="6">
        <v>180000</v>
      </c>
      <c r="J28" s="6">
        <v>180000</v>
      </c>
      <c r="K28" s="6">
        <v>180000</v>
      </c>
      <c r="L28" s="6">
        <v>180000</v>
      </c>
      <c r="M28" s="6">
        <v>180000</v>
      </c>
    </row>
    <row r="29" spans="1:15" x14ac:dyDescent="0.25">
      <c r="B29" s="189"/>
      <c r="C29" s="189"/>
      <c r="D29" s="189"/>
      <c r="E29" s="189"/>
      <c r="F29" s="189"/>
      <c r="G29" s="189"/>
      <c r="H29" s="189">
        <v>4.2000000000000003E-2</v>
      </c>
      <c r="I29" s="189">
        <f>$H29</f>
        <v>4.2000000000000003E-2</v>
      </c>
      <c r="J29" s="189">
        <f t="shared" ref="J29:M29" si="8">$H29</f>
        <v>4.2000000000000003E-2</v>
      </c>
      <c r="K29" s="189">
        <f t="shared" si="8"/>
        <v>4.2000000000000003E-2</v>
      </c>
      <c r="L29" s="189">
        <f t="shared" si="8"/>
        <v>4.2000000000000003E-2</v>
      </c>
      <c r="M29" s="189">
        <f t="shared" si="8"/>
        <v>4.2000000000000003E-2</v>
      </c>
    </row>
    <row r="30" spans="1:15" x14ac:dyDescent="0.25">
      <c r="B30" s="265">
        <f t="shared" ref="B30:M30" si="9">(B28*B29)/12</f>
        <v>0</v>
      </c>
      <c r="C30" s="265">
        <f t="shared" si="9"/>
        <v>0</v>
      </c>
      <c r="D30" s="265">
        <f t="shared" si="9"/>
        <v>0</v>
      </c>
      <c r="E30" s="265">
        <f t="shared" si="9"/>
        <v>0</v>
      </c>
      <c r="F30" s="265">
        <f t="shared" si="9"/>
        <v>0</v>
      </c>
      <c r="G30" s="265">
        <f t="shared" si="9"/>
        <v>0</v>
      </c>
      <c r="H30" s="265">
        <f t="shared" si="9"/>
        <v>630.00000000000011</v>
      </c>
      <c r="I30" s="265">
        <f t="shared" si="9"/>
        <v>630.00000000000011</v>
      </c>
      <c r="J30" s="265">
        <f t="shared" si="9"/>
        <v>630.00000000000011</v>
      </c>
      <c r="K30" s="265">
        <f t="shared" si="9"/>
        <v>630.00000000000011</v>
      </c>
      <c r="L30" s="265">
        <f t="shared" si="9"/>
        <v>630.00000000000011</v>
      </c>
      <c r="M30" s="265">
        <f t="shared" si="9"/>
        <v>630.00000000000011</v>
      </c>
      <c r="N30" s="266">
        <f>SUM(B30:M30)</f>
        <v>3780.0000000000005</v>
      </c>
    </row>
    <row r="31" spans="1:15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8"/>
    </row>
    <row r="32" spans="1:15" x14ac:dyDescent="0.25">
      <c r="A32" t="s">
        <v>291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4" x14ac:dyDescent="0.25">
      <c r="A33" t="s">
        <v>290</v>
      </c>
      <c r="B33" s="6">
        <f>('BS Sheet Details'!L$17/1000)-B37</f>
        <v>161878.97078</v>
      </c>
      <c r="C33" s="6">
        <f>('BS Sheet Details'!M17/1000)-C37</f>
        <v>158243.07549000002</v>
      </c>
      <c r="D33" s="6">
        <f>('BS Sheet Details'!N17/1000)-D37</f>
        <v>172190.08760999999</v>
      </c>
      <c r="E33" s="6">
        <f>('BS Sheet Details'!O17/1000)-E37</f>
        <v>177260.00104</v>
      </c>
      <c r="F33" s="6">
        <f>('BS Sheet Details'!P17/1000)-F37</f>
        <v>164247.49713999999</v>
      </c>
      <c r="G33" s="6">
        <f>('BS Sheet Details'!Q17/1000)</f>
        <v>0</v>
      </c>
      <c r="H33" s="6"/>
      <c r="I33" s="6"/>
      <c r="J33" s="6"/>
      <c r="K33" s="6"/>
      <c r="L33" s="6"/>
      <c r="M33" s="6"/>
      <c r="N33" s="62"/>
    </row>
    <row r="34" spans="1:14" x14ac:dyDescent="0.25">
      <c r="A34" s="192" t="s">
        <v>393</v>
      </c>
      <c r="B34" s="87">
        <v>3.7999999999999999E-2</v>
      </c>
      <c r="C34" s="87">
        <v>3.7999999999999999E-2</v>
      </c>
      <c r="D34" s="87">
        <v>3.7999999999999999E-2</v>
      </c>
      <c r="E34" s="87">
        <v>3.7999999999999999E-2</v>
      </c>
      <c r="F34" s="87">
        <v>3.7999999999999999E-2</v>
      </c>
      <c r="G34" s="87">
        <v>3.7999999999999999E-2</v>
      </c>
      <c r="H34" s="87">
        <f>$G34</f>
        <v>3.7999999999999999E-2</v>
      </c>
      <c r="I34" s="87">
        <f t="shared" ref="I34:M34" si="10">$G34</f>
        <v>3.7999999999999999E-2</v>
      </c>
      <c r="J34" s="87">
        <f t="shared" si="10"/>
        <v>3.7999999999999999E-2</v>
      </c>
      <c r="K34" s="87">
        <f t="shared" si="10"/>
        <v>3.7999999999999999E-2</v>
      </c>
      <c r="L34" s="87">
        <f t="shared" si="10"/>
        <v>3.7999999999999999E-2</v>
      </c>
      <c r="M34" s="87">
        <f t="shared" si="10"/>
        <v>3.7999999999999999E-2</v>
      </c>
      <c r="N34" s="62"/>
    </row>
    <row r="35" spans="1:14" x14ac:dyDescent="0.25">
      <c r="A35" s="192"/>
      <c r="B35" s="267">
        <f>(B33*B34)/12</f>
        <v>512.6167408033333</v>
      </c>
      <c r="C35" s="267">
        <f t="shared" ref="C35" si="11">(C33*C34)/12</f>
        <v>501.10307238500008</v>
      </c>
      <c r="D35" s="267">
        <f t="shared" ref="D35" si="12">(D33*D34)/12</f>
        <v>545.26861076499995</v>
      </c>
      <c r="E35" s="267">
        <f t="shared" ref="E35" si="13">(E33*E34)/12</f>
        <v>561.32333662666667</v>
      </c>
      <c r="F35" s="267">
        <f t="shared" ref="F35" si="14">(F33*F34)/12</f>
        <v>520.11707427666659</v>
      </c>
      <c r="G35" s="267">
        <f t="shared" ref="G35" si="15">(G33*G34)/12</f>
        <v>0</v>
      </c>
      <c r="H35" s="267">
        <f t="shared" ref="H35" si="16">(H33*H34)/12</f>
        <v>0</v>
      </c>
      <c r="I35" s="267">
        <f t="shared" ref="I35" si="17">(I33*I34)/12</f>
        <v>0</v>
      </c>
      <c r="J35" s="267">
        <f t="shared" ref="J35" si="18">(J33*J34)/12</f>
        <v>0</v>
      </c>
      <c r="K35" s="267">
        <f t="shared" ref="K35" si="19">(K33*K34)/12</f>
        <v>0</v>
      </c>
      <c r="L35" s="267">
        <f t="shared" ref="L35" si="20">(L33*L34)/12</f>
        <v>0</v>
      </c>
      <c r="M35" s="267">
        <f t="shared" ref="M35" si="21">(M33*M34)/12</f>
        <v>0</v>
      </c>
      <c r="N35" s="268">
        <f>SUM(B35:M35)</f>
        <v>2640.4288348566665</v>
      </c>
    </row>
    <row r="37" spans="1:14" x14ac:dyDescent="0.25">
      <c r="A37" t="s">
        <v>384</v>
      </c>
      <c r="B37" s="6">
        <v>100000</v>
      </c>
      <c r="C37" s="6">
        <v>100000</v>
      </c>
      <c r="D37" s="6">
        <v>100000</v>
      </c>
      <c r="E37" s="6">
        <v>100000</v>
      </c>
      <c r="F37" s="6">
        <v>100000</v>
      </c>
      <c r="G37" s="6">
        <v>100000</v>
      </c>
      <c r="H37" s="6">
        <v>118265.64174000002</v>
      </c>
      <c r="I37" s="6">
        <v>133760.05127999972</v>
      </c>
      <c r="J37" s="6">
        <v>124327.29631999985</v>
      </c>
      <c r="K37" s="6">
        <v>141357.49864999991</v>
      </c>
      <c r="L37" s="6">
        <v>150257.85579999955</v>
      </c>
      <c r="M37" s="6">
        <v>158196.75796999983</v>
      </c>
      <c r="N37" s="62"/>
    </row>
    <row r="38" spans="1:14" x14ac:dyDescent="0.25">
      <c r="A38" s="192"/>
      <c r="B38" s="80">
        <v>4.2999999999999997E-2</v>
      </c>
      <c r="C38" s="80">
        <v>4.2999999999999997E-2</v>
      </c>
      <c r="D38" s="80">
        <v>4.2999999999999997E-2</v>
      </c>
      <c r="E38" s="80">
        <v>4.2999999999999997E-2</v>
      </c>
      <c r="F38" s="80">
        <v>4.2999999999999997E-2</v>
      </c>
      <c r="G38" s="80">
        <v>4.2999999999999997E-2</v>
      </c>
      <c r="H38" s="87">
        <f>$G38</f>
        <v>4.2999999999999997E-2</v>
      </c>
      <c r="I38" s="87">
        <f t="shared" ref="I38:M38" si="22">$G38</f>
        <v>4.2999999999999997E-2</v>
      </c>
      <c r="J38" s="87">
        <f t="shared" si="22"/>
        <v>4.2999999999999997E-2</v>
      </c>
      <c r="K38" s="87">
        <f t="shared" si="22"/>
        <v>4.2999999999999997E-2</v>
      </c>
      <c r="L38" s="87">
        <f t="shared" si="22"/>
        <v>4.2999999999999997E-2</v>
      </c>
      <c r="M38" s="87">
        <f t="shared" si="22"/>
        <v>4.2999999999999997E-2</v>
      </c>
      <c r="N38" s="62"/>
    </row>
    <row r="39" spans="1:14" x14ac:dyDescent="0.25">
      <c r="A39" s="192"/>
      <c r="B39" s="267">
        <f>(B37*B38)/12</f>
        <v>358.33333333333331</v>
      </c>
      <c r="C39" s="267">
        <f t="shared" ref="C39" si="23">(C37*C38)/12</f>
        <v>358.33333333333331</v>
      </c>
      <c r="D39" s="267">
        <f t="shared" ref="D39" si="24">(D37*D38)/12</f>
        <v>358.33333333333331</v>
      </c>
      <c r="E39" s="267">
        <f t="shared" ref="E39" si="25">(E37*E38)/12</f>
        <v>358.33333333333331</v>
      </c>
      <c r="F39" s="267">
        <f t="shared" ref="F39" si="26">(F37*F38)/12</f>
        <v>358.33333333333331</v>
      </c>
      <c r="G39" s="267">
        <f t="shared" ref="G39" si="27">(G37*G38)/12</f>
        <v>358.33333333333331</v>
      </c>
      <c r="H39" s="267">
        <f t="shared" ref="H39" si="28">(H37*H38)/12</f>
        <v>423.78521623500001</v>
      </c>
      <c r="I39" s="267">
        <f t="shared" ref="I39" si="29">(I37*I38)/12</f>
        <v>479.30685041999897</v>
      </c>
      <c r="J39" s="267">
        <f t="shared" ref="J39" si="30">(J37*J38)/12</f>
        <v>445.50614514666609</v>
      </c>
      <c r="K39" s="267">
        <f t="shared" ref="K39" si="31">(K37*K38)/12</f>
        <v>506.53103682916634</v>
      </c>
      <c r="L39" s="267">
        <f t="shared" ref="L39" si="32">(L37*L38)/12</f>
        <v>538.42398328333172</v>
      </c>
      <c r="M39" s="267">
        <f t="shared" ref="M39" si="33">(M37*M38)/12</f>
        <v>566.87171605916603</v>
      </c>
      <c r="N39" s="268">
        <f>SUM(B39:M39)</f>
        <v>5110.4249479733289</v>
      </c>
    </row>
    <row r="41" spans="1:14" x14ac:dyDescent="0.25">
      <c r="A41" t="s">
        <v>228</v>
      </c>
      <c r="B41" s="6">
        <f>B33+B37</f>
        <v>261878.97078</v>
      </c>
      <c r="C41" s="6">
        <f t="shared" ref="C41:M41" si="34">C33+C37</f>
        <v>258243.07549000002</v>
      </c>
      <c r="D41" s="6">
        <f t="shared" si="34"/>
        <v>272190.08760999999</v>
      </c>
      <c r="E41" s="6">
        <f t="shared" si="34"/>
        <v>277260.00104</v>
      </c>
      <c r="F41" s="6">
        <f t="shared" si="34"/>
        <v>264247.49713999999</v>
      </c>
      <c r="G41" s="6">
        <f t="shared" si="34"/>
        <v>100000</v>
      </c>
      <c r="H41" s="6">
        <f t="shared" si="34"/>
        <v>118265.64174000002</v>
      </c>
      <c r="I41" s="6">
        <f t="shared" si="34"/>
        <v>133760.05127999972</v>
      </c>
      <c r="J41" s="6">
        <f t="shared" si="34"/>
        <v>124327.29631999985</v>
      </c>
      <c r="K41" s="6">
        <f t="shared" si="34"/>
        <v>141357.49864999991</v>
      </c>
      <c r="L41" s="6">
        <f t="shared" si="34"/>
        <v>150257.85579999955</v>
      </c>
      <c r="M41" s="6">
        <f t="shared" si="34"/>
        <v>158196.75796999983</v>
      </c>
      <c r="N41" s="62"/>
    </row>
    <row r="42" spans="1:14" x14ac:dyDescent="0.25">
      <c r="A42" s="192" t="s">
        <v>385</v>
      </c>
      <c r="B42" s="269">
        <f>AVERAGE(B34,B38)</f>
        <v>4.0499999999999994E-2</v>
      </c>
      <c r="C42" s="269">
        <f t="shared" ref="C42:M42" si="35">AVERAGE(C34,C38)</f>
        <v>4.0499999999999994E-2</v>
      </c>
      <c r="D42" s="269">
        <f t="shared" si="35"/>
        <v>4.0499999999999994E-2</v>
      </c>
      <c r="E42" s="269">
        <f t="shared" si="35"/>
        <v>4.0499999999999994E-2</v>
      </c>
      <c r="F42" s="269">
        <f t="shared" si="35"/>
        <v>4.0499999999999994E-2</v>
      </c>
      <c r="G42" s="269">
        <f t="shared" si="35"/>
        <v>4.0499999999999994E-2</v>
      </c>
      <c r="H42" s="269">
        <f t="shared" si="35"/>
        <v>4.0499999999999994E-2</v>
      </c>
      <c r="I42" s="269">
        <f t="shared" si="35"/>
        <v>4.0499999999999994E-2</v>
      </c>
      <c r="J42" s="269">
        <f t="shared" si="35"/>
        <v>4.0499999999999994E-2</v>
      </c>
      <c r="K42" s="269">
        <f t="shared" si="35"/>
        <v>4.0499999999999994E-2</v>
      </c>
      <c r="L42" s="269">
        <f t="shared" si="35"/>
        <v>4.0499999999999994E-2</v>
      </c>
      <c r="M42" s="269">
        <f t="shared" si="35"/>
        <v>4.0499999999999994E-2</v>
      </c>
      <c r="N42" s="62"/>
    </row>
    <row r="43" spans="1:14" x14ac:dyDescent="0.25">
      <c r="A43" s="192"/>
      <c r="B43" s="267">
        <f>SUM(B35,B39)</f>
        <v>870.95007413666667</v>
      </c>
      <c r="C43" s="267">
        <f t="shared" ref="C43:M43" si="36">SUM(C35,C39)</f>
        <v>859.43640571833339</v>
      </c>
      <c r="D43" s="267">
        <f t="shared" si="36"/>
        <v>903.60194409833321</v>
      </c>
      <c r="E43" s="267">
        <f t="shared" si="36"/>
        <v>919.65666996000004</v>
      </c>
      <c r="F43" s="267">
        <f t="shared" si="36"/>
        <v>878.45040760999996</v>
      </c>
      <c r="G43" s="267">
        <f t="shared" si="36"/>
        <v>358.33333333333331</v>
      </c>
      <c r="H43" s="267">
        <f t="shared" si="36"/>
        <v>423.78521623500001</v>
      </c>
      <c r="I43" s="267">
        <f t="shared" si="36"/>
        <v>479.30685041999897</v>
      </c>
      <c r="J43" s="267">
        <f t="shared" si="36"/>
        <v>445.50614514666609</v>
      </c>
      <c r="K43" s="267">
        <f t="shared" si="36"/>
        <v>506.53103682916634</v>
      </c>
      <c r="L43" s="267">
        <f t="shared" si="36"/>
        <v>538.42398328333172</v>
      </c>
      <c r="M43" s="267">
        <f t="shared" si="36"/>
        <v>566.87171605916603</v>
      </c>
      <c r="N43" s="268">
        <f>SUM(B43:M43)</f>
        <v>7750.8537828299959</v>
      </c>
    </row>
    <row r="44" spans="1:14" s="270" customFormat="1" x14ac:dyDescent="0.25"/>
    <row r="45" spans="1:14" x14ac:dyDescent="0.25">
      <c r="A45" s="4" t="s">
        <v>92</v>
      </c>
      <c r="B45" s="4" t="s">
        <v>277</v>
      </c>
      <c r="C45" s="4" t="s">
        <v>278</v>
      </c>
      <c r="D45" s="4" t="s">
        <v>279</v>
      </c>
      <c r="E45" s="4" t="s">
        <v>280</v>
      </c>
      <c r="F45" s="4" t="s">
        <v>281</v>
      </c>
      <c r="G45" s="4" t="s">
        <v>282</v>
      </c>
      <c r="H45" s="4" t="s">
        <v>283</v>
      </c>
      <c r="I45" s="4" t="s">
        <v>284</v>
      </c>
      <c r="J45" s="4" t="s">
        <v>285</v>
      </c>
      <c r="K45" s="4" t="s">
        <v>286</v>
      </c>
      <c r="L45" s="4" t="s">
        <v>287</v>
      </c>
      <c r="M45" s="4" t="s">
        <v>288</v>
      </c>
      <c r="N45" s="4"/>
    </row>
    <row r="46" spans="1:1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5">
      <c r="A47" t="s">
        <v>289</v>
      </c>
    </row>
    <row r="48" spans="1:14" x14ac:dyDescent="0.25">
      <c r="A48" t="s">
        <v>290</v>
      </c>
      <c r="B48" s="6">
        <f>'BS Sheet Details'!L$16/1000</f>
        <v>568937.50804999995</v>
      </c>
      <c r="C48" s="6">
        <f>'BS Sheet Details'!M$16/1000</f>
        <v>570855.19035000005</v>
      </c>
      <c r="D48" s="6">
        <f>'BS Sheet Details'!N$16/1000</f>
        <v>572772.87265000003</v>
      </c>
      <c r="E48" s="6">
        <f>'BS Sheet Details'!O$16/1000</f>
        <v>574689.81637000002</v>
      </c>
      <c r="F48" s="6">
        <f>'BS Sheet Details'!P$16/1000</f>
        <v>576606.76003</v>
      </c>
      <c r="G48" s="6">
        <v>569500</v>
      </c>
      <c r="H48" s="6">
        <v>750000</v>
      </c>
      <c r="I48" s="6">
        <v>750000</v>
      </c>
      <c r="J48" s="6">
        <v>750000</v>
      </c>
      <c r="K48" s="6">
        <v>750000</v>
      </c>
      <c r="L48" s="6">
        <v>750000</v>
      </c>
      <c r="M48" s="6">
        <v>750000</v>
      </c>
    </row>
    <row r="49" spans="1:14" x14ac:dyDescent="0.25">
      <c r="B49" s="189">
        <v>4.0399999999999998E-2</v>
      </c>
      <c r="C49" s="189">
        <f>$B49</f>
        <v>4.0399999999999998E-2</v>
      </c>
      <c r="D49" s="189">
        <f t="shared" ref="D49:G49" si="37">$B49</f>
        <v>4.0399999999999998E-2</v>
      </c>
      <c r="E49" s="189">
        <f t="shared" si="37"/>
        <v>4.0399999999999998E-2</v>
      </c>
      <c r="F49" s="189">
        <f t="shared" si="37"/>
        <v>4.0399999999999998E-2</v>
      </c>
      <c r="G49" s="189">
        <f t="shared" si="37"/>
        <v>4.0399999999999998E-2</v>
      </c>
      <c r="H49" s="189">
        <v>4.4999999999999998E-2</v>
      </c>
      <c r="I49" s="189">
        <v>4.4999999999999998E-2</v>
      </c>
      <c r="J49" s="189">
        <v>4.4999999999999998E-2</v>
      </c>
      <c r="K49" s="189">
        <v>4.4999999999999998E-2</v>
      </c>
      <c r="L49" s="189">
        <v>4.4999999999999998E-2</v>
      </c>
      <c r="M49" s="189">
        <v>4.4999999999999998E-2</v>
      </c>
    </row>
    <row r="50" spans="1:14" x14ac:dyDescent="0.25">
      <c r="B50" s="265">
        <f t="shared" ref="B50:M50" si="38">(B48*B49)/12</f>
        <v>1915.4229437683332</v>
      </c>
      <c r="C50" s="265">
        <f t="shared" si="38"/>
        <v>1921.8791408449999</v>
      </c>
      <c r="D50" s="265">
        <f t="shared" si="38"/>
        <v>1928.3353379216667</v>
      </c>
      <c r="E50" s="265">
        <f t="shared" si="38"/>
        <v>1934.7890484456666</v>
      </c>
      <c r="F50" s="265">
        <f t="shared" si="38"/>
        <v>1941.2427587676666</v>
      </c>
      <c r="G50" s="265">
        <f t="shared" si="38"/>
        <v>1917.3166666666666</v>
      </c>
      <c r="H50" s="265">
        <f t="shared" si="38"/>
        <v>2812.5</v>
      </c>
      <c r="I50" s="265">
        <f t="shared" si="38"/>
        <v>2812.5</v>
      </c>
      <c r="J50" s="265">
        <f t="shared" si="38"/>
        <v>2812.5</v>
      </c>
      <c r="K50" s="265">
        <f t="shared" si="38"/>
        <v>2812.5</v>
      </c>
      <c r="L50" s="265">
        <f t="shared" si="38"/>
        <v>2812.5</v>
      </c>
      <c r="M50" s="265">
        <f t="shared" si="38"/>
        <v>2812.5</v>
      </c>
      <c r="N50" s="266">
        <f>SUM(B50:M50)</f>
        <v>28433.985896415001</v>
      </c>
    </row>
    <row r="51" spans="1:14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90"/>
    </row>
    <row r="52" spans="1:14" x14ac:dyDescent="0.25">
      <c r="A52" t="s">
        <v>291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4" x14ac:dyDescent="0.25">
      <c r="A53" t="s">
        <v>290</v>
      </c>
      <c r="B53" s="6">
        <f>('BS Sheet Details'!L$17/1000)-B57</f>
        <v>161878.97078</v>
      </c>
      <c r="C53" s="6">
        <f>('BS Sheet Details'!M$17/1000)-C57</f>
        <v>158243.07549000002</v>
      </c>
      <c r="D53" s="6">
        <f>('BS Sheet Details'!N$17/1000)-D57</f>
        <v>172190.08760999999</v>
      </c>
      <c r="E53" s="6">
        <f>('BS Sheet Details'!O$17/1000)-E57</f>
        <v>177260.00104</v>
      </c>
      <c r="F53" s="6">
        <f>('BS Sheet Details'!P$17/1000)-F57</f>
        <v>164247.49713999999</v>
      </c>
      <c r="G53" s="6">
        <f>('BS Sheet Details'!Q37/1000)</f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2"/>
    </row>
    <row r="54" spans="1:14" x14ac:dyDescent="0.25">
      <c r="A54" s="192" t="s">
        <v>393</v>
      </c>
      <c r="B54" s="87">
        <v>3.7999999999999999E-2</v>
      </c>
      <c r="C54" s="87">
        <v>3.7999999999999999E-2</v>
      </c>
      <c r="D54" s="87">
        <v>3.7999999999999999E-2</v>
      </c>
      <c r="E54" s="87">
        <v>3.7999999999999999E-2</v>
      </c>
      <c r="F54" s="87">
        <v>3.7999999999999999E-2</v>
      </c>
      <c r="G54" s="87">
        <v>3.7999999999999999E-2</v>
      </c>
      <c r="H54" s="87">
        <v>4.4999999999999998E-2</v>
      </c>
      <c r="I54" s="87">
        <v>4.4999999999999998E-2</v>
      </c>
      <c r="J54" s="87">
        <v>4.4999999999999998E-2</v>
      </c>
      <c r="K54" s="87">
        <v>4.4999999999999998E-2</v>
      </c>
      <c r="L54" s="87">
        <v>4.4999999999999998E-2</v>
      </c>
      <c r="M54" s="87">
        <v>4.4999999999999998E-2</v>
      </c>
      <c r="N54" s="62"/>
    </row>
    <row r="55" spans="1:14" x14ac:dyDescent="0.25">
      <c r="A55" s="192"/>
      <c r="B55" s="267">
        <f>(B53*B54)/12</f>
        <v>512.6167408033333</v>
      </c>
      <c r="C55" s="267">
        <f t="shared" ref="C55" si="39">(C53*C54)/12</f>
        <v>501.10307238500008</v>
      </c>
      <c r="D55" s="267">
        <f t="shared" ref="D55" si="40">(D53*D54)/12</f>
        <v>545.26861076499995</v>
      </c>
      <c r="E55" s="267">
        <f t="shared" ref="E55" si="41">(E53*E54)/12</f>
        <v>561.32333662666667</v>
      </c>
      <c r="F55" s="267">
        <f t="shared" ref="F55" si="42">(F53*F54)/12</f>
        <v>520.11707427666659</v>
      </c>
      <c r="G55" s="267">
        <f t="shared" ref="G55" si="43">(G53*G54)/12</f>
        <v>0</v>
      </c>
      <c r="H55" s="267">
        <f t="shared" ref="H55" si="44">(H53*H54)/12</f>
        <v>0</v>
      </c>
      <c r="I55" s="267">
        <f t="shared" ref="I55" si="45">(I53*I54)/12</f>
        <v>0</v>
      </c>
      <c r="J55" s="267">
        <f t="shared" ref="J55" si="46">(J53*J54)/12</f>
        <v>0</v>
      </c>
      <c r="K55" s="267">
        <f t="shared" ref="K55" si="47">(K53*K54)/12</f>
        <v>0</v>
      </c>
      <c r="L55" s="267">
        <f t="shared" ref="L55" si="48">(L53*L54)/12</f>
        <v>0</v>
      </c>
      <c r="M55" s="267">
        <f t="shared" ref="M55" si="49">(M53*M54)/12</f>
        <v>0</v>
      </c>
      <c r="N55" s="268">
        <f>SUM(B55:M55)</f>
        <v>2640.4288348566665</v>
      </c>
    </row>
    <row r="57" spans="1:14" x14ac:dyDescent="0.25">
      <c r="A57" t="s">
        <v>384</v>
      </c>
      <c r="B57" s="6">
        <v>100000</v>
      </c>
      <c r="C57" s="6">
        <v>100000</v>
      </c>
      <c r="D57" s="6">
        <v>100000</v>
      </c>
      <c r="E57" s="6">
        <v>100000</v>
      </c>
      <c r="F57" s="6">
        <v>100000</v>
      </c>
      <c r="G57" s="6">
        <v>118265.64174000002</v>
      </c>
      <c r="H57" s="6">
        <v>133760.05127999972</v>
      </c>
      <c r="I57" s="6">
        <v>124327.29631999985</v>
      </c>
      <c r="J57" s="6">
        <v>141357.49864999991</v>
      </c>
      <c r="K57" s="6">
        <v>150257.85579999955</v>
      </c>
      <c r="L57" s="6">
        <v>158196.75796999983</v>
      </c>
      <c r="M57" s="6">
        <v>174307.57298999961</v>
      </c>
      <c r="N57" s="62"/>
    </row>
    <row r="58" spans="1:14" x14ac:dyDescent="0.25">
      <c r="A58" s="192"/>
      <c r="B58" s="80">
        <v>4.2999999999999997E-2</v>
      </c>
      <c r="C58" s="80">
        <v>4.2999999999999997E-2</v>
      </c>
      <c r="D58" s="80">
        <v>4.2999999999999997E-2</v>
      </c>
      <c r="E58" s="80">
        <v>4.2999999999999997E-2</v>
      </c>
      <c r="F58" s="80">
        <v>4.2999999999999997E-2</v>
      </c>
      <c r="G58" s="80">
        <v>4.4999999999999998E-2</v>
      </c>
      <c r="H58" s="80">
        <v>4.4999999999999998E-2</v>
      </c>
      <c r="I58" s="80">
        <v>4.8000000000000001E-2</v>
      </c>
      <c r="J58" s="80">
        <v>4.8000000000000001E-2</v>
      </c>
      <c r="K58" s="80">
        <v>4.8000000000000001E-2</v>
      </c>
      <c r="L58" s="80">
        <v>4.8000000000000001E-2</v>
      </c>
      <c r="M58" s="80">
        <v>4.8000000000000001E-2</v>
      </c>
      <c r="N58" s="62"/>
    </row>
    <row r="59" spans="1:14" x14ac:dyDescent="0.25">
      <c r="A59" s="192"/>
      <c r="B59" s="267">
        <f>(B57*B58)/12</f>
        <v>358.33333333333331</v>
      </c>
      <c r="C59" s="267">
        <f t="shared" ref="C59" si="50">(C57*C58)/12</f>
        <v>358.33333333333331</v>
      </c>
      <c r="D59" s="267">
        <f t="shared" ref="D59" si="51">(D57*D58)/12</f>
        <v>358.33333333333331</v>
      </c>
      <c r="E59" s="267">
        <f t="shared" ref="E59" si="52">(E57*E58)/12</f>
        <v>358.33333333333331</v>
      </c>
      <c r="F59" s="267">
        <f t="shared" ref="F59" si="53">(F57*F58)/12</f>
        <v>358.33333333333331</v>
      </c>
      <c r="G59" s="267">
        <f t="shared" ref="G59" si="54">(G57*G58)/12</f>
        <v>443.49615652500006</v>
      </c>
      <c r="H59" s="267">
        <f t="shared" ref="H59" si="55">(H57*H58)/12</f>
        <v>501.60019229999898</v>
      </c>
      <c r="I59" s="267">
        <f t="shared" ref="I59" si="56">(I57*I58)/12</f>
        <v>497.30918527999938</v>
      </c>
      <c r="J59" s="267">
        <f t="shared" ref="J59" si="57">(J57*J58)/12</f>
        <v>565.42999459999965</v>
      </c>
      <c r="K59" s="267">
        <f t="shared" ref="K59" si="58">(K57*K58)/12</f>
        <v>601.03142319999824</v>
      </c>
      <c r="L59" s="267">
        <f t="shared" ref="L59" si="59">(L57*L58)/12</f>
        <v>632.78703187999929</v>
      </c>
      <c r="M59" s="267">
        <f t="shared" ref="M59" si="60">(M57*M58)/12</f>
        <v>697.23029195999845</v>
      </c>
      <c r="N59" s="268">
        <f>SUM(B59:M59)</f>
        <v>5730.5509424116608</v>
      </c>
    </row>
    <row r="61" spans="1:14" x14ac:dyDescent="0.25">
      <c r="A61" t="s">
        <v>228</v>
      </c>
      <c r="B61" s="6">
        <f>B53+B57</f>
        <v>261878.97078</v>
      </c>
      <c r="C61" s="6">
        <f t="shared" ref="C61:M61" si="61">C53+C57</f>
        <v>258243.07549000002</v>
      </c>
      <c r="D61" s="6">
        <f t="shared" si="61"/>
        <v>272190.08760999999</v>
      </c>
      <c r="E61" s="6">
        <f t="shared" si="61"/>
        <v>277260.00104</v>
      </c>
      <c r="F61" s="6">
        <f t="shared" si="61"/>
        <v>264247.49713999999</v>
      </c>
      <c r="G61" s="6">
        <f t="shared" si="61"/>
        <v>118265.64174000002</v>
      </c>
      <c r="H61" s="6">
        <f t="shared" si="61"/>
        <v>133760.05127999972</v>
      </c>
      <c r="I61" s="6">
        <f t="shared" si="61"/>
        <v>124327.29631999985</v>
      </c>
      <c r="J61" s="6">
        <f t="shared" si="61"/>
        <v>141357.49864999991</v>
      </c>
      <c r="K61" s="6">
        <f t="shared" si="61"/>
        <v>150257.85579999955</v>
      </c>
      <c r="L61" s="6">
        <f t="shared" si="61"/>
        <v>158196.75796999983</v>
      </c>
      <c r="M61" s="6">
        <f t="shared" si="61"/>
        <v>174307.57298999961</v>
      </c>
      <c r="N61" s="62"/>
    </row>
    <row r="62" spans="1:14" x14ac:dyDescent="0.25">
      <c r="A62" s="192" t="s">
        <v>385</v>
      </c>
      <c r="B62" s="269">
        <f>AVERAGE(B54,B58)</f>
        <v>4.0499999999999994E-2</v>
      </c>
      <c r="C62" s="269">
        <f t="shared" ref="C62:M62" si="62">AVERAGE(C54,C58)</f>
        <v>4.0499999999999994E-2</v>
      </c>
      <c r="D62" s="269">
        <f t="shared" si="62"/>
        <v>4.0499999999999994E-2</v>
      </c>
      <c r="E62" s="269">
        <f t="shared" si="62"/>
        <v>4.0499999999999994E-2</v>
      </c>
      <c r="F62" s="269">
        <f t="shared" si="62"/>
        <v>4.0499999999999994E-2</v>
      </c>
      <c r="G62" s="269">
        <f t="shared" si="62"/>
        <v>4.1499999999999995E-2</v>
      </c>
      <c r="H62" s="269">
        <f t="shared" si="62"/>
        <v>4.4999999999999998E-2</v>
      </c>
      <c r="I62" s="269">
        <f t="shared" si="62"/>
        <v>4.65E-2</v>
      </c>
      <c r="J62" s="269">
        <f t="shared" si="62"/>
        <v>4.65E-2</v>
      </c>
      <c r="K62" s="269">
        <f t="shared" si="62"/>
        <v>4.65E-2</v>
      </c>
      <c r="L62" s="269">
        <f t="shared" si="62"/>
        <v>4.65E-2</v>
      </c>
      <c r="M62" s="269">
        <f t="shared" si="62"/>
        <v>4.65E-2</v>
      </c>
      <c r="N62" s="62"/>
    </row>
    <row r="63" spans="1:14" x14ac:dyDescent="0.25">
      <c r="A63" s="192"/>
      <c r="B63" s="267">
        <f>SUM(B55,B59)</f>
        <v>870.95007413666667</v>
      </c>
      <c r="C63" s="267">
        <f t="shared" ref="C63:M63" si="63">SUM(C55,C59)</f>
        <v>859.43640571833339</v>
      </c>
      <c r="D63" s="267">
        <f t="shared" si="63"/>
        <v>903.60194409833321</v>
      </c>
      <c r="E63" s="267">
        <f t="shared" si="63"/>
        <v>919.65666996000004</v>
      </c>
      <c r="F63" s="267">
        <f t="shared" si="63"/>
        <v>878.45040760999996</v>
      </c>
      <c r="G63" s="267">
        <f t="shared" si="63"/>
        <v>443.49615652500006</v>
      </c>
      <c r="H63" s="267">
        <f t="shared" si="63"/>
        <v>501.60019229999898</v>
      </c>
      <c r="I63" s="267">
        <f t="shared" si="63"/>
        <v>497.30918527999938</v>
      </c>
      <c r="J63" s="267">
        <f t="shared" si="63"/>
        <v>565.42999459999965</v>
      </c>
      <c r="K63" s="267">
        <f t="shared" si="63"/>
        <v>601.03142319999824</v>
      </c>
      <c r="L63" s="267">
        <f t="shared" si="63"/>
        <v>632.78703187999929</v>
      </c>
      <c r="M63" s="267">
        <f t="shared" si="63"/>
        <v>697.23029195999845</v>
      </c>
      <c r="N63" s="268">
        <f>SUM(B63:M63)</f>
        <v>8370.9797772683269</v>
      </c>
    </row>
  </sheetData>
  <pageMargins left="0.7" right="0.7" top="0.75" bottom="0.75" header="0.3" footer="0.3"/>
  <pageSetup orientation="portrait" r:id="rId1"/>
  <customProperties>
    <customPr name="EpmWorksheetKeyString_GUID" r:id="rId2"/>
    <customPr name="FPMExcelClientCellBasedFunctionStatus" r:id="rId3"/>
  </customProperties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DB2B-416C-4DB8-9357-1AF6E7DCC863}">
  <dimension ref="K15:U18"/>
  <sheetViews>
    <sheetView workbookViewId="0">
      <selection activeCell="D5" sqref="D5:D14"/>
    </sheetView>
    <sheetView workbookViewId="1"/>
  </sheetViews>
  <sheetFormatPr defaultRowHeight="15" x14ac:dyDescent="0.25"/>
  <cols>
    <col min="12" max="16" width="15.28515625" bestFit="1" customWidth="1"/>
  </cols>
  <sheetData>
    <row r="15" spans="11:21" x14ac:dyDescent="0.25">
      <c r="L15" t="s">
        <v>277</v>
      </c>
      <c r="M15" t="s">
        <v>278</v>
      </c>
      <c r="N15" t="s">
        <v>279</v>
      </c>
      <c r="O15" t="s">
        <v>280</v>
      </c>
      <c r="P15" t="s">
        <v>281</v>
      </c>
    </row>
    <row r="16" spans="11:21" x14ac:dyDescent="0.25">
      <c r="K16" t="s">
        <v>391</v>
      </c>
      <c r="L16" s="62">
        <v>568937508.04999995</v>
      </c>
      <c r="M16" s="62">
        <v>570855190.35000002</v>
      </c>
      <c r="N16" s="62">
        <v>572772872.64999998</v>
      </c>
      <c r="O16" s="62">
        <v>574689816.37</v>
      </c>
      <c r="P16" s="62">
        <v>576606760.02999997</v>
      </c>
      <c r="Q16" s="62"/>
      <c r="R16" s="62"/>
      <c r="S16" s="62"/>
      <c r="T16" s="62"/>
      <c r="U16" s="62"/>
    </row>
    <row r="17" spans="11:21" x14ac:dyDescent="0.25">
      <c r="K17" t="s">
        <v>392</v>
      </c>
      <c r="L17" s="62">
        <v>261878970.78</v>
      </c>
      <c r="M17" s="62">
        <v>258243075.49000001</v>
      </c>
      <c r="N17" s="62">
        <v>272190087.61000001</v>
      </c>
      <c r="O17" s="62">
        <v>277260001.04000002</v>
      </c>
      <c r="P17" s="62">
        <v>264247497.13999999</v>
      </c>
      <c r="Q17" s="62"/>
      <c r="R17" s="62"/>
      <c r="S17" s="62"/>
      <c r="T17" s="62"/>
      <c r="U17" s="62"/>
    </row>
    <row r="18" spans="11:21" x14ac:dyDescent="0.25">
      <c r="L18" s="62">
        <f>SUM(L16:L17)</f>
        <v>830816478.82999992</v>
      </c>
      <c r="M18" s="62">
        <f t="shared" ref="M18:P18" si="0">SUM(M16:M17)</f>
        <v>829098265.84000003</v>
      </c>
      <c r="N18" s="62">
        <f t="shared" si="0"/>
        <v>844962960.25999999</v>
      </c>
      <c r="O18" s="62">
        <f t="shared" si="0"/>
        <v>851949817.41000009</v>
      </c>
      <c r="P18" s="62">
        <f t="shared" si="0"/>
        <v>840854257.16999996</v>
      </c>
      <c r="Q18" s="62"/>
      <c r="R18" s="62"/>
      <c r="S18" s="62"/>
      <c r="T18" s="62"/>
      <c r="U18" s="62"/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63CD-DC9C-4ACC-8AE7-3425155FB64A}">
  <dimension ref="E6:Y58"/>
  <sheetViews>
    <sheetView topLeftCell="F7" zoomScale="70" zoomScaleNormal="70" workbookViewId="0">
      <selection activeCell="D5" sqref="D5:D14"/>
    </sheetView>
    <sheetView workbookViewId="1"/>
  </sheetViews>
  <sheetFormatPr defaultRowHeight="15" x14ac:dyDescent="0.25"/>
  <cols>
    <col min="5" max="5" width="4.5703125" bestFit="1" customWidth="1"/>
    <col min="6" max="6" width="64.7109375" bestFit="1" customWidth="1"/>
    <col min="7" max="7" width="13.140625" bestFit="1" customWidth="1"/>
    <col min="9" max="9" width="13.140625" bestFit="1" customWidth="1"/>
    <col min="11" max="11" width="16.28515625" bestFit="1" customWidth="1"/>
    <col min="13" max="13" width="67.28515625" bestFit="1" customWidth="1"/>
    <col min="15" max="16" width="12" bestFit="1" customWidth="1"/>
    <col min="17" max="17" width="9" bestFit="1" customWidth="1"/>
    <col min="18" max="18" width="16.42578125" bestFit="1" customWidth="1"/>
    <col min="19" max="19" width="11.5703125" bestFit="1" customWidth="1"/>
    <col min="23" max="23" width="20.140625" customWidth="1"/>
    <col min="24" max="24" width="15.28515625" bestFit="1" customWidth="1"/>
  </cols>
  <sheetData>
    <row r="6" spans="5:25" ht="18" x14ac:dyDescent="0.25">
      <c r="E6" s="316" t="s">
        <v>87</v>
      </c>
      <c r="F6" s="317"/>
      <c r="G6" s="317"/>
      <c r="H6" s="317"/>
      <c r="I6" s="317"/>
      <c r="J6" s="317"/>
      <c r="K6" s="317"/>
      <c r="L6" s="42"/>
      <c r="M6" s="43"/>
    </row>
    <row r="7" spans="5:25" ht="18" x14ac:dyDescent="0.25">
      <c r="E7" s="316" t="s">
        <v>88</v>
      </c>
      <c r="F7" s="317"/>
      <c r="G7" s="317"/>
      <c r="H7" s="317"/>
      <c r="I7" s="317"/>
      <c r="J7" s="317"/>
      <c r="K7" s="317"/>
      <c r="L7" s="42"/>
      <c r="M7" s="43"/>
    </row>
    <row r="8" spans="5:25" ht="18" x14ac:dyDescent="0.25">
      <c r="E8" s="316" t="s">
        <v>89</v>
      </c>
      <c r="F8" s="317"/>
      <c r="G8" s="317"/>
      <c r="H8" s="317"/>
      <c r="I8" s="317"/>
      <c r="J8" s="317"/>
      <c r="K8" s="317"/>
      <c r="L8" s="42"/>
      <c r="M8" s="43"/>
    </row>
    <row r="9" spans="5:25" ht="18" x14ac:dyDescent="0.25">
      <c r="E9" s="316" t="s">
        <v>90</v>
      </c>
      <c r="F9" s="317"/>
      <c r="G9" s="317"/>
      <c r="H9" s="317"/>
      <c r="I9" s="317"/>
      <c r="J9" s="317"/>
      <c r="K9" s="317"/>
      <c r="L9" s="42"/>
      <c r="M9" s="43"/>
    </row>
    <row r="10" spans="5:25" ht="18" x14ac:dyDescent="0.25">
      <c r="E10" s="44"/>
      <c r="F10" s="45"/>
      <c r="G10" s="45"/>
      <c r="H10" s="45"/>
      <c r="I10" s="45"/>
      <c r="J10" s="45"/>
      <c r="K10" s="45"/>
      <c r="L10" s="42"/>
      <c r="M10" s="43"/>
    </row>
    <row r="11" spans="5:25" ht="19.5" x14ac:dyDescent="0.3">
      <c r="E11" s="44"/>
      <c r="F11" s="45"/>
      <c r="G11" s="46"/>
      <c r="H11" s="47"/>
      <c r="I11" s="45"/>
      <c r="J11" s="47"/>
      <c r="K11" s="47"/>
      <c r="L11" s="42"/>
      <c r="M11" s="43"/>
    </row>
    <row r="12" spans="5:25" ht="18" x14ac:dyDescent="0.25">
      <c r="E12" s="44"/>
      <c r="F12" s="48"/>
      <c r="G12" s="45">
        <v>2023</v>
      </c>
      <c r="H12" s="45"/>
      <c r="I12" s="45">
        <v>2023</v>
      </c>
      <c r="J12" s="45"/>
      <c r="K12" s="45" t="s">
        <v>91</v>
      </c>
      <c r="L12" s="42"/>
      <c r="M12" s="43"/>
    </row>
    <row r="13" spans="5:25" ht="18" x14ac:dyDescent="0.25">
      <c r="E13" s="44"/>
      <c r="F13" s="48"/>
      <c r="G13" s="49" t="s">
        <v>92</v>
      </c>
      <c r="H13" s="50"/>
      <c r="I13" s="49" t="s">
        <v>22</v>
      </c>
      <c r="J13" s="50"/>
      <c r="K13" s="51" t="s">
        <v>93</v>
      </c>
      <c r="L13" s="42"/>
      <c r="M13" s="43"/>
    </row>
    <row r="14" spans="5:25" ht="18" x14ac:dyDescent="0.25">
      <c r="E14" s="44"/>
      <c r="F14" s="48"/>
      <c r="G14" s="52"/>
      <c r="H14" s="52"/>
      <c r="I14" s="52"/>
      <c r="J14" s="52"/>
      <c r="K14" s="53"/>
      <c r="L14" s="42"/>
      <c r="M14" s="43"/>
      <c r="P14" t="s">
        <v>262</v>
      </c>
      <c r="Q14" t="s">
        <v>263</v>
      </c>
    </row>
    <row r="15" spans="5:25" ht="20.25" x14ac:dyDescent="0.3">
      <c r="E15" s="54" t="s">
        <v>94</v>
      </c>
      <c r="F15" s="55" t="s">
        <v>95</v>
      </c>
      <c r="G15" s="56">
        <v>319379</v>
      </c>
      <c r="H15" s="57"/>
      <c r="I15" s="57">
        <v>321865.675843884</v>
      </c>
      <c r="J15" s="57"/>
      <c r="K15" s="57">
        <v>-2486.6758438840043</v>
      </c>
      <c r="L15" s="42"/>
      <c r="M15" s="43" t="s">
        <v>96</v>
      </c>
      <c r="O15" t="s">
        <v>257</v>
      </c>
      <c r="P15" s="187">
        <v>130.3466</v>
      </c>
      <c r="Q15" s="224">
        <v>129.19999999999999</v>
      </c>
      <c r="S15" t="s">
        <v>257</v>
      </c>
      <c r="T15" s="62">
        <f>P15-Q15</f>
        <v>1.1466000000000065</v>
      </c>
      <c r="X15" s="62"/>
      <c r="Y15" s="62"/>
    </row>
    <row r="16" spans="5:25" ht="20.25" x14ac:dyDescent="0.3">
      <c r="E16" s="54" t="s">
        <v>97</v>
      </c>
      <c r="F16" s="55" t="s">
        <v>98</v>
      </c>
      <c r="G16" s="56">
        <v>14225</v>
      </c>
      <c r="H16" s="57"/>
      <c r="I16" s="57">
        <v>20901.386263621898</v>
      </c>
      <c r="J16" s="57"/>
      <c r="K16" s="57">
        <v>-6676.3862636218983</v>
      </c>
      <c r="L16" s="42"/>
      <c r="M16" s="58" t="s">
        <v>99</v>
      </c>
      <c r="O16" t="s">
        <v>264</v>
      </c>
      <c r="P16" s="187">
        <v>149.12270000000001</v>
      </c>
      <c r="Q16" s="224">
        <v>116.2</v>
      </c>
      <c r="S16" t="s">
        <v>264</v>
      </c>
      <c r="T16" s="62">
        <f>SUM(P16:P17)-SUM(Q16:Q17)</f>
        <v>-1.3772999999999911</v>
      </c>
      <c r="X16" s="62"/>
      <c r="Y16" s="62"/>
    </row>
    <row r="17" spans="5:25" ht="20.25" x14ac:dyDescent="0.3">
      <c r="E17" s="54" t="s">
        <v>100</v>
      </c>
      <c r="F17" s="55" t="s">
        <v>101</v>
      </c>
      <c r="G17" s="56">
        <v>128377</v>
      </c>
      <c r="H17" s="57"/>
      <c r="I17" s="57">
        <v>131000</v>
      </c>
      <c r="J17" s="57"/>
      <c r="K17" s="57">
        <v>2623</v>
      </c>
      <c r="L17" s="42"/>
      <c r="M17" s="43"/>
      <c r="P17" s="187"/>
      <c r="Q17" s="224">
        <v>34.299999999999997</v>
      </c>
      <c r="S17" t="s">
        <v>265</v>
      </c>
      <c r="T17" s="62">
        <f>P18-Q18</f>
        <v>-0.79319999999999169</v>
      </c>
      <c r="X17" s="62"/>
      <c r="Y17" s="62"/>
    </row>
    <row r="18" spans="5:25" ht="20.25" x14ac:dyDescent="0.3">
      <c r="E18" s="54" t="s">
        <v>102</v>
      </c>
      <c r="F18" s="55" t="s">
        <v>103</v>
      </c>
      <c r="G18" s="56">
        <v>55918</v>
      </c>
      <c r="H18" s="57"/>
      <c r="I18" s="57">
        <v>56684.777103007902</v>
      </c>
      <c r="J18" s="57"/>
      <c r="K18" s="57">
        <v>766.77710300790204</v>
      </c>
      <c r="L18" s="42"/>
      <c r="M18" s="43" t="s">
        <v>104</v>
      </c>
      <c r="O18" t="s">
        <v>258</v>
      </c>
      <c r="P18" s="187">
        <f>35.3115+0.6953</f>
        <v>36.006800000000005</v>
      </c>
      <c r="Q18" s="224">
        <v>36.799999999999997</v>
      </c>
      <c r="S18" t="s">
        <v>266</v>
      </c>
      <c r="T18" s="62">
        <f>P19-Q19</f>
        <v>2.5049999999999999</v>
      </c>
      <c r="X18" s="62"/>
      <c r="Y18" s="62"/>
    </row>
    <row r="19" spans="5:25" ht="20.25" x14ac:dyDescent="0.3">
      <c r="E19" s="54" t="s">
        <v>105</v>
      </c>
      <c r="F19" s="55" t="s">
        <v>106</v>
      </c>
      <c r="G19" s="56">
        <v>20400</v>
      </c>
      <c r="H19" s="57"/>
      <c r="I19" s="57">
        <v>19575.583074498099</v>
      </c>
      <c r="J19" s="57"/>
      <c r="K19" s="57">
        <v>-824.41692550190055</v>
      </c>
      <c r="L19" s="42"/>
      <c r="M19" s="43" t="s">
        <v>107</v>
      </c>
      <c r="O19" t="s">
        <v>259</v>
      </c>
      <c r="P19" s="187">
        <v>3.9049999999999998</v>
      </c>
      <c r="Q19" s="224">
        <v>1.4</v>
      </c>
      <c r="S19" t="s">
        <v>267</v>
      </c>
      <c r="T19" s="62">
        <f>SUM(P20:P23)-SUM(Q20:Q23)</f>
        <v>-10.599999999999998</v>
      </c>
      <c r="X19" s="62"/>
      <c r="Y19" s="62"/>
    </row>
    <row r="20" spans="5:25" ht="20.25" x14ac:dyDescent="0.3">
      <c r="E20" s="54" t="s">
        <v>108</v>
      </c>
      <c r="F20" s="55" t="s">
        <v>109</v>
      </c>
      <c r="G20" s="56">
        <v>6009</v>
      </c>
      <c r="H20" s="57"/>
      <c r="I20" s="57">
        <v>5859.9829999999993</v>
      </c>
      <c r="J20" s="57"/>
      <c r="K20" s="57">
        <v>149.01700000000073</v>
      </c>
      <c r="L20" s="42"/>
      <c r="M20" s="43"/>
      <c r="O20" t="s">
        <v>260</v>
      </c>
      <c r="P20">
        <v>8.1</v>
      </c>
      <c r="Q20">
        <v>7.7</v>
      </c>
      <c r="X20" s="8"/>
    </row>
    <row r="21" spans="5:25" ht="20.25" x14ac:dyDescent="0.3">
      <c r="E21" s="54" t="s">
        <v>110</v>
      </c>
      <c r="F21" s="55" t="s">
        <v>111</v>
      </c>
      <c r="G21" s="57">
        <v>-3618</v>
      </c>
      <c r="H21" s="57"/>
      <c r="I21" s="57">
        <v>-6907</v>
      </c>
      <c r="J21" s="57"/>
      <c r="K21" s="57">
        <v>3289</v>
      </c>
      <c r="L21" s="42"/>
      <c r="M21" s="43"/>
      <c r="O21" t="s">
        <v>261</v>
      </c>
      <c r="P21">
        <v>4.5</v>
      </c>
      <c r="Q21">
        <v>6.5</v>
      </c>
    </row>
    <row r="22" spans="5:25" ht="20.25" x14ac:dyDescent="0.3">
      <c r="E22" s="54"/>
      <c r="F22" s="55" t="s">
        <v>112</v>
      </c>
      <c r="G22" s="59">
        <v>131300</v>
      </c>
      <c r="H22" s="57"/>
      <c r="I22" s="59">
        <v>134459.68492999993</v>
      </c>
      <c r="J22" s="57"/>
      <c r="K22" s="59">
        <v>-3159.6849299999303</v>
      </c>
      <c r="L22" s="42"/>
      <c r="M22" s="43"/>
      <c r="O22" t="s">
        <v>10</v>
      </c>
      <c r="P22">
        <v>1.3</v>
      </c>
      <c r="Q22">
        <v>5</v>
      </c>
    </row>
    <row r="23" spans="5:25" ht="20.25" x14ac:dyDescent="0.3">
      <c r="E23" s="54" t="s">
        <v>113</v>
      </c>
      <c r="F23" s="55" t="s">
        <v>7</v>
      </c>
      <c r="G23" s="57">
        <v>37717</v>
      </c>
      <c r="H23" s="57"/>
      <c r="I23" s="57">
        <v>33454.470871436402</v>
      </c>
      <c r="J23" s="57"/>
      <c r="K23" s="57">
        <v>-4262.5291285635976</v>
      </c>
      <c r="L23" s="42"/>
      <c r="M23" s="43" t="s">
        <v>114</v>
      </c>
      <c r="O23" t="s">
        <v>24</v>
      </c>
      <c r="P23">
        <v>0.4</v>
      </c>
      <c r="Q23">
        <v>5.7</v>
      </c>
    </row>
    <row r="24" spans="5:25" ht="31.5" x14ac:dyDescent="0.3">
      <c r="E24" s="54" t="s">
        <v>116</v>
      </c>
      <c r="F24" s="55" t="s">
        <v>26</v>
      </c>
      <c r="G24" s="57">
        <v>4743</v>
      </c>
      <c r="H24" s="57"/>
      <c r="I24" s="57">
        <v>5739</v>
      </c>
      <c r="J24" s="57"/>
      <c r="K24" s="57">
        <v>-996</v>
      </c>
      <c r="L24" s="42"/>
      <c r="M24" s="58" t="s">
        <v>117</v>
      </c>
      <c r="P24">
        <f>SUM(P15:P23)</f>
        <v>333.68109999999996</v>
      </c>
      <c r="Q24">
        <f>SUM(Q15:Q23)</f>
        <v>342.79999999999995</v>
      </c>
    </row>
    <row r="25" spans="5:25" ht="20.25" x14ac:dyDescent="0.3">
      <c r="E25" s="54" t="s">
        <v>115</v>
      </c>
      <c r="F25" s="55" t="s">
        <v>118</v>
      </c>
      <c r="G25" s="57">
        <v>3867</v>
      </c>
      <c r="H25" s="57"/>
      <c r="I25" s="57">
        <v>3900</v>
      </c>
      <c r="J25" s="57"/>
      <c r="K25" s="57">
        <v>-33</v>
      </c>
      <c r="L25" s="42"/>
      <c r="M25" s="43" t="s">
        <v>119</v>
      </c>
    </row>
    <row r="26" spans="5:25" ht="20.25" x14ac:dyDescent="0.3">
      <c r="E26" s="54" t="s">
        <v>120</v>
      </c>
      <c r="F26" s="55" t="s">
        <v>121</v>
      </c>
      <c r="G26" s="57">
        <v>130</v>
      </c>
      <c r="H26" s="57"/>
      <c r="I26" s="57">
        <v>215</v>
      </c>
      <c r="J26" s="57"/>
      <c r="K26" s="57">
        <v>-85</v>
      </c>
      <c r="L26" s="42"/>
      <c r="M26" s="43"/>
      <c r="P26" t="s">
        <v>268</v>
      </c>
      <c r="Q26" s="6">
        <v>316499</v>
      </c>
    </row>
    <row r="27" spans="5:25" ht="20.25" x14ac:dyDescent="0.3">
      <c r="E27" s="54"/>
      <c r="F27" s="55" t="s">
        <v>122</v>
      </c>
      <c r="G27" s="59">
        <v>102323</v>
      </c>
      <c r="H27" s="57"/>
      <c r="I27" s="59">
        <v>110859.21405856352</v>
      </c>
      <c r="J27" s="57"/>
      <c r="K27" s="59">
        <v>-8536.2140585635207</v>
      </c>
      <c r="L27" s="42"/>
      <c r="M27" s="43"/>
      <c r="P27" t="s">
        <v>259</v>
      </c>
      <c r="Q27" s="6">
        <v>1367</v>
      </c>
      <c r="Y27">
        <v>76.5</v>
      </c>
    </row>
    <row r="28" spans="5:25" ht="20.25" x14ac:dyDescent="0.3">
      <c r="E28" s="54" t="s">
        <v>123</v>
      </c>
      <c r="F28" s="55" t="s">
        <v>124</v>
      </c>
      <c r="G28" s="57">
        <v>23854</v>
      </c>
      <c r="H28" s="57"/>
      <c r="I28" s="57">
        <v>26160</v>
      </c>
      <c r="J28" s="57"/>
      <c r="K28" s="57">
        <v>2306</v>
      </c>
      <c r="L28" s="42"/>
      <c r="M28" s="43"/>
      <c r="P28" t="s">
        <v>269</v>
      </c>
      <c r="Q28" s="6">
        <v>24901</v>
      </c>
      <c r="Y28">
        <v>-63.7</v>
      </c>
    </row>
    <row r="29" spans="5:25" ht="21" thickBot="1" x14ac:dyDescent="0.35">
      <c r="E29" s="60"/>
      <c r="F29" s="55" t="s">
        <v>125</v>
      </c>
      <c r="G29" s="61">
        <v>78469</v>
      </c>
      <c r="H29" s="57"/>
      <c r="I29" s="61">
        <v>84699.214058563521</v>
      </c>
      <c r="J29" s="57"/>
      <c r="K29" s="61">
        <v>-6230.2140585635207</v>
      </c>
      <c r="L29" s="42"/>
      <c r="M29" s="43"/>
      <c r="Q29" s="6"/>
      <c r="Y29">
        <v>7.4</v>
      </c>
    </row>
    <row r="30" spans="5:25" ht="15.75" thickTop="1" x14ac:dyDescent="0.25">
      <c r="Q30" s="6">
        <v>19722</v>
      </c>
      <c r="R30" t="s">
        <v>270</v>
      </c>
      <c r="Y30">
        <v>7.8</v>
      </c>
    </row>
    <row r="31" spans="5:25" ht="18" x14ac:dyDescent="0.25">
      <c r="F31" s="48" t="s">
        <v>209</v>
      </c>
      <c r="G31" s="56">
        <f>+'Alliance-PGS'!D10/1000</f>
        <v>1266.0137298875097</v>
      </c>
      <c r="Q31" s="6">
        <v>4000</v>
      </c>
      <c r="R31" t="s">
        <v>271</v>
      </c>
      <c r="Y31">
        <f>SUM(Y27:Y30)</f>
        <v>27.999999999999996</v>
      </c>
    </row>
    <row r="32" spans="5:25" ht="18" x14ac:dyDescent="0.25">
      <c r="F32" s="48" t="s">
        <v>210</v>
      </c>
      <c r="G32" s="56">
        <f>+G31*0.75</f>
        <v>949.51029741563229</v>
      </c>
      <c r="Q32" s="6">
        <v>1179</v>
      </c>
      <c r="R32" t="s">
        <v>272</v>
      </c>
    </row>
    <row r="33" spans="5:23" x14ac:dyDescent="0.25">
      <c r="Q33" s="6">
        <f>SUM(Q30:Q32)</f>
        <v>24901</v>
      </c>
    </row>
    <row r="34" spans="5:23" ht="18" x14ac:dyDescent="0.25">
      <c r="F34" s="48" t="s">
        <v>211</v>
      </c>
      <c r="G34" s="57">
        <f>+G29+G32</f>
        <v>79418.510297415633</v>
      </c>
      <c r="Q34" s="6"/>
    </row>
    <row r="39" spans="5:23" ht="18" x14ac:dyDescent="0.25">
      <c r="E39" s="167"/>
      <c r="F39" s="168"/>
      <c r="G39" s="168">
        <v>2023</v>
      </c>
      <c r="H39" s="168"/>
      <c r="I39" s="168">
        <v>2022</v>
      </c>
      <c r="J39" s="168"/>
      <c r="K39" s="168" t="s">
        <v>91</v>
      </c>
      <c r="W39" s="62"/>
    </row>
    <row r="40" spans="5:23" ht="18" x14ac:dyDescent="0.25">
      <c r="E40" s="167"/>
      <c r="F40" s="169"/>
      <c r="G40" s="170" t="s">
        <v>92</v>
      </c>
      <c r="H40" s="171"/>
      <c r="I40" s="170" t="s">
        <v>256</v>
      </c>
      <c r="J40" s="171"/>
      <c r="K40" s="172" t="s">
        <v>93</v>
      </c>
      <c r="W40" s="62"/>
    </row>
    <row r="41" spans="5:23" ht="18" x14ac:dyDescent="0.25">
      <c r="E41" s="167"/>
      <c r="F41" s="169"/>
      <c r="G41" s="173"/>
      <c r="H41" s="174"/>
      <c r="I41" s="174"/>
      <c r="J41" s="174"/>
      <c r="K41" s="174"/>
      <c r="Q41" t="s">
        <v>262</v>
      </c>
      <c r="R41" t="s">
        <v>273</v>
      </c>
      <c r="W41" s="62"/>
    </row>
    <row r="42" spans="5:23" ht="20.25" x14ac:dyDescent="0.3">
      <c r="E42" s="175" t="s">
        <v>94</v>
      </c>
      <c r="F42" s="176" t="s">
        <v>95</v>
      </c>
      <c r="G42" s="177">
        <v>319379</v>
      </c>
      <c r="H42" s="177"/>
      <c r="I42" s="178">
        <v>302206</v>
      </c>
      <c r="J42" s="177"/>
      <c r="K42" s="198">
        <v>17173</v>
      </c>
      <c r="P42" t="s">
        <v>257</v>
      </c>
      <c r="Q42" s="188">
        <v>130.3466</v>
      </c>
      <c r="R42" s="62">
        <v>124.24649581190459</v>
      </c>
      <c r="T42" s="8">
        <f>Q42-R42</f>
        <v>6.1001041880954006</v>
      </c>
      <c r="W42" s="62">
        <v>124246495.81190459</v>
      </c>
    </row>
    <row r="43" spans="5:23" ht="20.25" x14ac:dyDescent="0.3">
      <c r="E43" s="175" t="s">
        <v>97</v>
      </c>
      <c r="F43" s="176" t="s">
        <v>98</v>
      </c>
      <c r="G43" s="177">
        <v>14225</v>
      </c>
      <c r="H43" s="177"/>
      <c r="I43" s="178">
        <v>10800</v>
      </c>
      <c r="J43" s="177"/>
      <c r="K43" s="198">
        <v>3425</v>
      </c>
      <c r="P43" t="s">
        <v>264</v>
      </c>
      <c r="Q43" s="188">
        <v>149.12270000000001</v>
      </c>
      <c r="R43" s="62">
        <v>143.32728960611971</v>
      </c>
      <c r="T43" s="8">
        <f>Q43-R43</f>
        <v>5.795410393880303</v>
      </c>
      <c r="W43" s="62">
        <v>143327289.60611969</v>
      </c>
    </row>
    <row r="44" spans="5:23" ht="20.25" x14ac:dyDescent="0.3">
      <c r="E44" s="175" t="s">
        <v>100</v>
      </c>
      <c r="F44" s="176" t="s">
        <v>101</v>
      </c>
      <c r="G44" s="179">
        <v>128377</v>
      </c>
      <c r="H44" s="177"/>
      <c r="I44" s="178">
        <v>124532</v>
      </c>
      <c r="J44" s="177"/>
      <c r="K44" s="198">
        <v>-3845</v>
      </c>
      <c r="P44" t="s">
        <v>258</v>
      </c>
      <c r="Q44" s="188">
        <f>35.3115+0.6953</f>
        <v>36.006800000000005</v>
      </c>
      <c r="R44" s="62">
        <v>30.417064744785204</v>
      </c>
      <c r="T44" s="8">
        <f>Q44-R44</f>
        <v>5.5897352552148014</v>
      </c>
      <c r="W44" s="62">
        <v>19090584.980785202</v>
      </c>
    </row>
    <row r="45" spans="5:23" ht="20.25" x14ac:dyDescent="0.3">
      <c r="E45" s="175" t="s">
        <v>102</v>
      </c>
      <c r="F45" s="176" t="s">
        <v>103</v>
      </c>
      <c r="G45" s="177">
        <v>55918</v>
      </c>
      <c r="H45" s="177"/>
      <c r="I45" s="178">
        <v>42593</v>
      </c>
      <c r="J45" s="177"/>
      <c r="K45" s="198">
        <v>-13325</v>
      </c>
      <c r="P45" t="s">
        <v>259</v>
      </c>
      <c r="Q45" s="188">
        <v>3.9049999999999998</v>
      </c>
      <c r="R45" s="62">
        <v>4.2144409999999999</v>
      </c>
      <c r="T45" s="8">
        <f>Q45-R45</f>
        <v>-0.30944100000000008</v>
      </c>
      <c r="W45" s="62">
        <v>4214440.55</v>
      </c>
    </row>
    <row r="46" spans="5:23" ht="20.25" x14ac:dyDescent="0.3">
      <c r="E46" s="175" t="s">
        <v>105</v>
      </c>
      <c r="F46" s="176" t="s">
        <v>106</v>
      </c>
      <c r="G46" s="177">
        <v>20400</v>
      </c>
      <c r="H46" s="177"/>
      <c r="I46" s="178">
        <v>16825</v>
      </c>
      <c r="J46" s="177"/>
      <c r="K46" s="198">
        <v>-3575</v>
      </c>
      <c r="P46" t="s">
        <v>260</v>
      </c>
      <c r="Q46">
        <v>8.1</v>
      </c>
      <c r="R46" s="62">
        <v>10.8</v>
      </c>
      <c r="T46" s="8">
        <f>SUM(Q46:Q49)-R46</f>
        <v>3.5</v>
      </c>
      <c r="W46" s="62">
        <v>11326479.764</v>
      </c>
    </row>
    <row r="47" spans="5:23" ht="20.25" x14ac:dyDescent="0.3">
      <c r="E47" s="175" t="s">
        <v>108</v>
      </c>
      <c r="F47" s="176" t="s">
        <v>109</v>
      </c>
      <c r="G47" s="177">
        <v>6009</v>
      </c>
      <c r="H47" s="177"/>
      <c r="I47" s="178">
        <v>4225</v>
      </c>
      <c r="J47" s="177"/>
      <c r="K47" s="177">
        <v>1784</v>
      </c>
      <c r="P47" t="s">
        <v>261</v>
      </c>
      <c r="Q47">
        <v>4.5</v>
      </c>
      <c r="W47" s="62"/>
    </row>
    <row r="48" spans="5:23" ht="20.25" x14ac:dyDescent="0.3">
      <c r="E48" s="175" t="s">
        <v>110</v>
      </c>
      <c r="F48" s="176" t="s">
        <v>111</v>
      </c>
      <c r="G48" s="179">
        <v>-3618</v>
      </c>
      <c r="H48" s="179"/>
      <c r="I48" s="180">
        <v>-5238</v>
      </c>
      <c r="J48" s="179"/>
      <c r="K48" s="179">
        <v>1620</v>
      </c>
      <c r="P48" t="s">
        <v>10</v>
      </c>
      <c r="Q48">
        <v>1.3</v>
      </c>
    </row>
    <row r="49" spans="5:20" ht="20.25" x14ac:dyDescent="0.3">
      <c r="E49" s="175"/>
      <c r="F49" s="176" t="s">
        <v>112</v>
      </c>
      <c r="G49" s="181">
        <v>131300</v>
      </c>
      <c r="H49" s="179"/>
      <c r="I49" s="182">
        <v>128043</v>
      </c>
      <c r="J49" s="179"/>
      <c r="K49" s="181">
        <v>3257</v>
      </c>
      <c r="P49" t="s">
        <v>24</v>
      </c>
      <c r="Q49">
        <v>0.4</v>
      </c>
    </row>
    <row r="50" spans="5:20" ht="20.25" x14ac:dyDescent="0.3">
      <c r="E50" s="175" t="s">
        <v>113</v>
      </c>
      <c r="F50" s="176" t="s">
        <v>7</v>
      </c>
      <c r="G50" s="179">
        <v>37717</v>
      </c>
      <c r="H50" s="179"/>
      <c r="I50" s="180">
        <v>26419</v>
      </c>
      <c r="J50" s="179"/>
      <c r="K50" s="199">
        <v>-11298</v>
      </c>
    </row>
    <row r="51" spans="5:20" ht="20.25" x14ac:dyDescent="0.3">
      <c r="E51" s="175" t="s">
        <v>115</v>
      </c>
      <c r="F51" s="176"/>
      <c r="G51" s="179"/>
      <c r="H51" s="179"/>
      <c r="I51" s="180"/>
      <c r="J51" s="179"/>
      <c r="K51" s="179"/>
      <c r="P51" t="s">
        <v>268</v>
      </c>
      <c r="Q51" s="8">
        <f>SUM(Q42:Q45)</f>
        <v>319.38109999999995</v>
      </c>
      <c r="R51" s="8">
        <f>SUM(R42:R45)</f>
        <v>302.20529116280949</v>
      </c>
      <c r="T51" s="8">
        <f>Q51-R51</f>
        <v>17.175808837190459</v>
      </c>
    </row>
    <row r="52" spans="5:20" ht="20.25" x14ac:dyDescent="0.3">
      <c r="E52" s="175" t="s">
        <v>116</v>
      </c>
      <c r="F52" s="176" t="s">
        <v>26</v>
      </c>
      <c r="G52" s="179">
        <v>4743</v>
      </c>
      <c r="H52" s="179"/>
      <c r="I52" s="180">
        <v>3953</v>
      </c>
      <c r="J52" s="179"/>
      <c r="K52" s="179">
        <v>790</v>
      </c>
      <c r="P52" t="s">
        <v>267</v>
      </c>
      <c r="Q52">
        <f>SUM(Q46:Q49)</f>
        <v>14.3</v>
      </c>
      <c r="R52">
        <f>SUM(R46:R49)</f>
        <v>10.8</v>
      </c>
      <c r="T52" s="8">
        <f>Q52-R52</f>
        <v>3.5</v>
      </c>
    </row>
    <row r="53" spans="5:20" ht="20.25" x14ac:dyDescent="0.3">
      <c r="E53" s="175" t="s">
        <v>115</v>
      </c>
      <c r="F53" s="176" t="s">
        <v>118</v>
      </c>
      <c r="G53" s="179">
        <v>3867</v>
      </c>
      <c r="H53" s="179"/>
      <c r="I53" s="180">
        <v>3745</v>
      </c>
      <c r="J53" s="179"/>
      <c r="K53" s="179">
        <v>122</v>
      </c>
    </row>
    <row r="54" spans="5:20" ht="20.25" x14ac:dyDescent="0.3">
      <c r="E54" s="175" t="s">
        <v>120</v>
      </c>
      <c r="F54" s="176" t="s">
        <v>121</v>
      </c>
      <c r="G54" s="179">
        <v>130</v>
      </c>
      <c r="H54" s="179"/>
      <c r="I54" s="180">
        <v>-197</v>
      </c>
      <c r="J54" s="179"/>
      <c r="K54" s="179">
        <v>327</v>
      </c>
    </row>
    <row r="55" spans="5:20" ht="20.25" x14ac:dyDescent="0.3">
      <c r="E55" s="175"/>
      <c r="F55" s="176" t="s">
        <v>122</v>
      </c>
      <c r="G55" s="181">
        <v>102323</v>
      </c>
      <c r="H55" s="179"/>
      <c r="I55" s="182">
        <v>109125</v>
      </c>
      <c r="J55" s="179"/>
      <c r="K55" s="181">
        <v>-6802</v>
      </c>
    </row>
    <row r="56" spans="5:20" ht="20.25" x14ac:dyDescent="0.3">
      <c r="E56" s="175" t="s">
        <v>123</v>
      </c>
      <c r="F56" s="183" t="s">
        <v>124</v>
      </c>
      <c r="G56" s="179">
        <v>23854</v>
      </c>
      <c r="H56" s="179"/>
      <c r="I56" s="180">
        <v>26210</v>
      </c>
      <c r="J56" s="179"/>
      <c r="K56" s="179">
        <v>2356</v>
      </c>
    </row>
    <row r="57" spans="5:20" ht="21" thickBot="1" x14ac:dyDescent="0.35">
      <c r="E57" s="184"/>
      <c r="F57" s="183" t="s">
        <v>125</v>
      </c>
      <c r="G57" s="185">
        <v>78469</v>
      </c>
      <c r="H57" s="177"/>
      <c r="I57" s="186">
        <v>82915</v>
      </c>
      <c r="J57" s="177"/>
      <c r="K57" s="185">
        <v>-4446</v>
      </c>
    </row>
    <row r="58" spans="5:20" ht="15.75" thickTop="1" x14ac:dyDescent="0.25"/>
  </sheetData>
  <mergeCells count="4">
    <mergeCell ref="E6:K6"/>
    <mergeCell ref="E7:K7"/>
    <mergeCell ref="E8:K8"/>
    <mergeCell ref="E9:K9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7BCE9-0F27-4F4C-A2F8-5986632C1632}">
  <dimension ref="A1:Z55"/>
  <sheetViews>
    <sheetView topLeftCell="A15" zoomScale="85" zoomScaleNormal="85" workbookViewId="0">
      <selection activeCell="D5" sqref="D5:D14"/>
    </sheetView>
    <sheetView workbookViewId="1"/>
  </sheetViews>
  <sheetFormatPr defaultRowHeight="15" outlineLevelCol="1" x14ac:dyDescent="0.25"/>
  <cols>
    <col min="1" max="1" width="28.7109375" customWidth="1" outlineLevel="1"/>
    <col min="2" max="2" width="13.28515625" bestFit="1" customWidth="1" outlineLevel="1"/>
    <col min="3" max="13" width="11.5703125" customWidth="1" outlineLevel="1"/>
    <col min="14" max="15" width="10.5703125" customWidth="1" outlineLevel="1"/>
    <col min="16" max="16" width="24.85546875" bestFit="1" customWidth="1"/>
    <col min="17" max="17" width="30.7109375" bestFit="1" customWidth="1"/>
    <col min="18" max="18" width="11.42578125" bestFit="1" customWidth="1"/>
    <col min="19" max="19" width="11.5703125" bestFit="1" customWidth="1"/>
    <col min="20" max="20" width="20.7109375" bestFit="1" customWidth="1"/>
    <col min="21" max="21" width="21.28515625" bestFit="1" customWidth="1"/>
    <col min="22" max="22" width="0.7109375" customWidth="1"/>
    <col min="23" max="23" width="11.7109375" bestFit="1" customWidth="1"/>
    <col min="25" max="25" width="10.85546875" bestFit="1" customWidth="1"/>
  </cols>
  <sheetData>
    <row r="1" spans="1:26" s="4" customFormat="1" x14ac:dyDescent="0.25">
      <c r="A1" s="4" t="s">
        <v>276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4">
        <v>2023</v>
      </c>
      <c r="R1" s="4" t="s">
        <v>308</v>
      </c>
      <c r="S1" s="4" t="s">
        <v>309</v>
      </c>
      <c r="T1" s="4" t="s">
        <v>310</v>
      </c>
      <c r="U1" s="4" t="s">
        <v>311</v>
      </c>
      <c r="W1" s="4" t="s">
        <v>313</v>
      </c>
    </row>
    <row r="2" spans="1:26" ht="3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6" x14ac:dyDescent="0.25">
      <c r="A3" s="4" t="s">
        <v>289</v>
      </c>
      <c r="Q3" t="s">
        <v>312</v>
      </c>
      <c r="R3" s="8">
        <f>O10</f>
        <v>29700</v>
      </c>
      <c r="S3" s="8">
        <f>N15</f>
        <v>8753.58</v>
      </c>
      <c r="T3" s="62">
        <v>781</v>
      </c>
      <c r="U3" s="62">
        <v>375</v>
      </c>
      <c r="W3" s="8">
        <f>SUM(R3:U3)</f>
        <v>39609.58</v>
      </c>
    </row>
    <row r="4" spans="1:26" x14ac:dyDescent="0.25">
      <c r="A4" s="4" t="s">
        <v>290</v>
      </c>
      <c r="B4" s="62">
        <v>570000</v>
      </c>
      <c r="C4" s="62">
        <v>570000</v>
      </c>
      <c r="D4" s="62">
        <v>570000</v>
      </c>
      <c r="E4" s="62">
        <v>570000</v>
      </c>
      <c r="F4" s="62">
        <v>570000</v>
      </c>
      <c r="G4" s="62">
        <v>570000</v>
      </c>
      <c r="H4" s="62"/>
      <c r="I4" s="62"/>
      <c r="J4" s="62"/>
      <c r="K4" s="62"/>
      <c r="L4" s="62"/>
      <c r="M4" s="62"/>
      <c r="Q4" t="s">
        <v>22</v>
      </c>
      <c r="R4" s="8">
        <f>O27</f>
        <v>12763.5</v>
      </c>
      <c r="S4" s="8">
        <f>N35</f>
        <v>4000.542503554057</v>
      </c>
      <c r="U4" s="62">
        <v>375</v>
      </c>
      <c r="W4" s="8">
        <f>SUM(R4:U4)</f>
        <v>17139.042503554057</v>
      </c>
      <c r="Y4" s="8">
        <f>W4-W3</f>
        <v>-22470.537496445944</v>
      </c>
      <c r="Z4" s="4" t="s">
        <v>314</v>
      </c>
    </row>
    <row r="5" spans="1:26" x14ac:dyDescent="0.25">
      <c r="A5" s="4"/>
      <c r="B5" s="189">
        <v>4.4999999999999998E-2</v>
      </c>
      <c r="C5" s="189">
        <v>4.4999999999999998E-2</v>
      </c>
      <c r="D5" s="189">
        <v>4.4999999999999998E-2</v>
      </c>
      <c r="E5" s="189">
        <v>4.4999999999999998E-2</v>
      </c>
      <c r="F5" s="189">
        <v>4.4999999999999998E-2</v>
      </c>
      <c r="G5" s="189">
        <v>4.4999999999999998E-2</v>
      </c>
      <c r="H5" s="189"/>
      <c r="I5" s="189"/>
      <c r="J5" s="189"/>
      <c r="K5" s="189"/>
      <c r="L5" s="189"/>
      <c r="M5" s="189"/>
      <c r="Q5" t="s">
        <v>92</v>
      </c>
      <c r="R5" s="8" t="e">
        <f>#REF!</f>
        <v>#REF!</v>
      </c>
      <c r="S5" s="8">
        <f>N49</f>
        <v>8181.8</v>
      </c>
      <c r="T5" s="62">
        <v>781</v>
      </c>
      <c r="U5" s="62">
        <v>375</v>
      </c>
      <c r="W5" s="8" t="e">
        <f>SUM(R5:U5)</f>
        <v>#REF!</v>
      </c>
      <c r="Y5" s="8" t="e">
        <f>W3-W5</f>
        <v>#REF!</v>
      </c>
      <c r="Z5" s="4" t="s">
        <v>315</v>
      </c>
    </row>
    <row r="6" spans="1:26" x14ac:dyDescent="0.25">
      <c r="A6" s="4"/>
      <c r="B6" s="62">
        <f t="shared" ref="B6:L6" si="0">(B4*B5)/12</f>
        <v>2137.5</v>
      </c>
      <c r="C6" s="62">
        <f t="shared" si="0"/>
        <v>2137.5</v>
      </c>
      <c r="D6" s="62">
        <f t="shared" si="0"/>
        <v>2137.5</v>
      </c>
      <c r="E6" s="62">
        <f t="shared" si="0"/>
        <v>2137.5</v>
      </c>
      <c r="F6" s="62">
        <f t="shared" si="0"/>
        <v>2137.5</v>
      </c>
      <c r="G6" s="62">
        <f t="shared" si="0"/>
        <v>2137.5</v>
      </c>
      <c r="H6" s="62">
        <f t="shared" si="0"/>
        <v>0</v>
      </c>
      <c r="I6" s="62">
        <f t="shared" si="0"/>
        <v>0</v>
      </c>
      <c r="J6" s="62">
        <f t="shared" si="0"/>
        <v>0</v>
      </c>
      <c r="K6" s="62">
        <f t="shared" si="0"/>
        <v>0</v>
      </c>
      <c r="L6" s="62">
        <f t="shared" si="0"/>
        <v>0</v>
      </c>
      <c r="M6" s="62">
        <f>((M4*M5)/12)</f>
        <v>0</v>
      </c>
      <c r="N6" s="190">
        <f>SUM(B6:M6)</f>
        <v>12825</v>
      </c>
    </row>
    <row r="7" spans="1:26" ht="3" customHeight="1" x14ac:dyDescent="0.25">
      <c r="A7" s="4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190"/>
    </row>
    <row r="8" spans="1:26" x14ac:dyDescent="0.25">
      <c r="A8" s="4"/>
      <c r="B8" s="62"/>
      <c r="C8" s="62"/>
      <c r="D8" s="62"/>
      <c r="E8" s="62"/>
      <c r="F8" s="62"/>
      <c r="G8" s="62"/>
      <c r="H8" s="62">
        <v>750000</v>
      </c>
      <c r="I8" s="62">
        <v>750000</v>
      </c>
      <c r="J8" s="62">
        <v>750000</v>
      </c>
      <c r="K8" s="62">
        <v>750000</v>
      </c>
      <c r="L8" s="62">
        <v>750000</v>
      </c>
      <c r="M8" s="62">
        <v>750000</v>
      </c>
      <c r="T8" s="62"/>
    </row>
    <row r="9" spans="1:26" x14ac:dyDescent="0.25">
      <c r="A9" s="4"/>
      <c r="B9" s="189"/>
      <c r="C9" s="189"/>
      <c r="D9" s="189"/>
      <c r="E9" s="189"/>
      <c r="F9" s="189"/>
      <c r="G9" s="189"/>
      <c r="H9" s="189">
        <v>4.4999999999999998E-2</v>
      </c>
      <c r="I9" s="189">
        <v>4.4999999999999998E-2</v>
      </c>
      <c r="J9" s="189">
        <v>4.4999999999999998E-2</v>
      </c>
      <c r="K9" s="189">
        <v>4.4999999999999998E-2</v>
      </c>
      <c r="L9" s="189">
        <v>4.4999999999999998E-2</v>
      </c>
      <c r="M9" s="189">
        <v>4.4999999999999998E-2</v>
      </c>
      <c r="T9" s="62"/>
    </row>
    <row r="10" spans="1:26" x14ac:dyDescent="0.25">
      <c r="A10" s="4"/>
      <c r="B10" s="62">
        <f t="shared" ref="B10:M10" si="1">(B8*B9)/12</f>
        <v>0</v>
      </c>
      <c r="C10" s="62">
        <f t="shared" si="1"/>
        <v>0</v>
      </c>
      <c r="D10" s="62">
        <f t="shared" si="1"/>
        <v>0</v>
      </c>
      <c r="E10" s="62">
        <f t="shared" si="1"/>
        <v>0</v>
      </c>
      <c r="F10" s="62">
        <f t="shared" si="1"/>
        <v>0</v>
      </c>
      <c r="G10" s="62">
        <f t="shared" si="1"/>
        <v>0</v>
      </c>
      <c r="H10" s="62">
        <f t="shared" si="1"/>
        <v>2812.5</v>
      </c>
      <c r="I10" s="62">
        <f t="shared" si="1"/>
        <v>2812.5</v>
      </c>
      <c r="J10" s="62">
        <f t="shared" si="1"/>
        <v>2812.5</v>
      </c>
      <c r="K10" s="62">
        <f t="shared" si="1"/>
        <v>2812.5</v>
      </c>
      <c r="L10" s="62">
        <f t="shared" si="1"/>
        <v>2812.5</v>
      </c>
      <c r="M10" s="62">
        <f t="shared" si="1"/>
        <v>2812.5</v>
      </c>
      <c r="N10" s="190">
        <f>SUM(B10:M10)</f>
        <v>16875</v>
      </c>
      <c r="O10" s="8">
        <f>SUM(N6:N10)</f>
        <v>29700</v>
      </c>
    </row>
    <row r="11" spans="1:26" ht="3" customHeight="1" x14ac:dyDescent="0.25">
      <c r="A11" s="4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8"/>
    </row>
    <row r="12" spans="1:26" x14ac:dyDescent="0.25">
      <c r="A12" s="4" t="s">
        <v>291</v>
      </c>
    </row>
    <row r="13" spans="1:26" x14ac:dyDescent="0.25">
      <c r="A13" s="4" t="s">
        <v>292</v>
      </c>
      <c r="B13" s="62">
        <v>194524</v>
      </c>
      <c r="C13" s="62">
        <v>194524</v>
      </c>
      <c r="D13" s="62">
        <v>194524</v>
      </c>
      <c r="E13" s="62">
        <v>194524</v>
      </c>
      <c r="F13" s="62">
        <v>194524</v>
      </c>
      <c r="G13" s="62">
        <v>194524</v>
      </c>
      <c r="H13" s="62">
        <v>194524</v>
      </c>
      <c r="I13" s="62">
        <v>194524</v>
      </c>
      <c r="J13" s="62">
        <v>194524</v>
      </c>
      <c r="K13" s="62">
        <v>194524</v>
      </c>
      <c r="L13" s="62">
        <v>194524</v>
      </c>
      <c r="M13" s="62">
        <v>194524</v>
      </c>
      <c r="N13" s="62"/>
    </row>
    <row r="14" spans="1:26" x14ac:dyDescent="0.25">
      <c r="A14" s="194"/>
      <c r="B14" s="80">
        <v>4.4999999999999998E-2</v>
      </c>
      <c r="C14" s="80">
        <v>4.4999999999999998E-2</v>
      </c>
      <c r="D14" s="80">
        <v>4.4999999999999998E-2</v>
      </c>
      <c r="E14" s="80">
        <v>4.4999999999999998E-2</v>
      </c>
      <c r="F14" s="80">
        <v>4.4999999999999998E-2</v>
      </c>
      <c r="G14" s="80">
        <v>4.4999999999999998E-2</v>
      </c>
      <c r="H14" s="80">
        <v>4.4999999999999998E-2</v>
      </c>
      <c r="I14" s="80">
        <v>4.4999999999999998E-2</v>
      </c>
      <c r="J14" s="80">
        <v>4.4999999999999998E-2</v>
      </c>
      <c r="K14" s="80">
        <v>4.4999999999999998E-2</v>
      </c>
      <c r="L14" s="80">
        <v>4.4999999999999998E-2</v>
      </c>
      <c r="M14" s="80">
        <v>4.4999999999999998E-2</v>
      </c>
      <c r="N14" s="62"/>
    </row>
    <row r="15" spans="1:26" x14ac:dyDescent="0.25">
      <c r="A15" s="194"/>
      <c r="B15" s="193">
        <f>(B13*B14)/12</f>
        <v>729.46500000000003</v>
      </c>
      <c r="C15" s="193">
        <f t="shared" ref="C15:M15" si="2">(C13*C14)/12</f>
        <v>729.46500000000003</v>
      </c>
      <c r="D15" s="193">
        <f t="shared" si="2"/>
        <v>729.46500000000003</v>
      </c>
      <c r="E15" s="193">
        <f t="shared" si="2"/>
        <v>729.46500000000003</v>
      </c>
      <c r="F15" s="193">
        <f t="shared" si="2"/>
        <v>729.46500000000003</v>
      </c>
      <c r="G15" s="193">
        <f t="shared" si="2"/>
        <v>729.46500000000003</v>
      </c>
      <c r="H15" s="193">
        <f t="shared" si="2"/>
        <v>729.46500000000003</v>
      </c>
      <c r="I15" s="193">
        <f t="shared" si="2"/>
        <v>729.46500000000003</v>
      </c>
      <c r="J15" s="193">
        <f t="shared" si="2"/>
        <v>729.46500000000003</v>
      </c>
      <c r="K15" s="193">
        <f t="shared" si="2"/>
        <v>729.46500000000003</v>
      </c>
      <c r="L15" s="193">
        <f t="shared" si="2"/>
        <v>729.46500000000003</v>
      </c>
      <c r="M15" s="193">
        <f t="shared" si="2"/>
        <v>729.46500000000003</v>
      </c>
      <c r="N15" s="188">
        <f>SUM(B15:M15)</f>
        <v>8753.58</v>
      </c>
    </row>
    <row r="16" spans="1:26" x14ac:dyDescent="0.25">
      <c r="A16" s="4"/>
      <c r="O16" s="8">
        <f>SUM(O10,N15)</f>
        <v>38453.58</v>
      </c>
      <c r="Q16" s="8"/>
    </row>
    <row r="18" spans="1:19" x14ac:dyDescent="0.25">
      <c r="A18" s="4" t="s">
        <v>293</v>
      </c>
      <c r="B18" s="4" t="s">
        <v>277</v>
      </c>
      <c r="C18" s="4" t="s">
        <v>278</v>
      </c>
      <c r="D18" s="4" t="s">
        <v>279</v>
      </c>
      <c r="E18" s="4" t="s">
        <v>280</v>
      </c>
      <c r="F18" s="4" t="s">
        <v>281</v>
      </c>
      <c r="G18" s="4" t="s">
        <v>282</v>
      </c>
      <c r="H18" s="4" t="s">
        <v>283</v>
      </c>
      <c r="I18" s="4" t="s">
        <v>284</v>
      </c>
      <c r="J18" s="4" t="s">
        <v>285</v>
      </c>
      <c r="K18" s="4" t="s">
        <v>286</v>
      </c>
      <c r="L18" s="4" t="s">
        <v>287</v>
      </c>
      <c r="M18" s="4" t="s">
        <v>288</v>
      </c>
      <c r="N18" s="4">
        <v>2023</v>
      </c>
      <c r="O18" s="4"/>
      <c r="R18" s="217"/>
      <c r="S18" s="217"/>
    </row>
    <row r="19" spans="1:1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9" x14ac:dyDescent="0.25">
      <c r="A20" t="s">
        <v>289</v>
      </c>
    </row>
    <row r="21" spans="1:19" x14ac:dyDescent="0.25">
      <c r="A21" t="s">
        <v>290</v>
      </c>
      <c r="B21" s="6">
        <f>570000+100000</f>
        <v>670000</v>
      </c>
      <c r="C21" s="6">
        <f t="shared" ref="C21:M21" si="3">570000+100000</f>
        <v>670000</v>
      </c>
      <c r="D21" s="6">
        <f t="shared" si="3"/>
        <v>670000</v>
      </c>
      <c r="E21" s="6">
        <f t="shared" si="3"/>
        <v>670000</v>
      </c>
      <c r="F21" s="6">
        <f t="shared" si="3"/>
        <v>670000</v>
      </c>
      <c r="G21" s="6">
        <f t="shared" si="3"/>
        <v>670000</v>
      </c>
      <c r="H21" s="6">
        <f t="shared" si="3"/>
        <v>670000</v>
      </c>
      <c r="I21" s="6">
        <f t="shared" si="3"/>
        <v>670000</v>
      </c>
      <c r="J21" s="6">
        <f t="shared" si="3"/>
        <v>670000</v>
      </c>
      <c r="K21" s="6">
        <f t="shared" si="3"/>
        <v>670000</v>
      </c>
      <c r="L21" s="6">
        <f t="shared" si="3"/>
        <v>670000</v>
      </c>
      <c r="M21" s="6">
        <f t="shared" si="3"/>
        <v>670000</v>
      </c>
    </row>
    <row r="22" spans="1:19" x14ac:dyDescent="0.25">
      <c r="B22" s="189">
        <v>3.8100000000000002E-2</v>
      </c>
      <c r="C22" s="189">
        <v>3.8100000000000002E-2</v>
      </c>
      <c r="D22" s="189">
        <v>3.8100000000000002E-2</v>
      </c>
      <c r="E22" s="189">
        <v>3.8100000000000002E-2</v>
      </c>
      <c r="F22" s="189">
        <v>3.8100000000000002E-2</v>
      </c>
      <c r="G22" s="189">
        <v>3.8100000000000002E-2</v>
      </c>
      <c r="H22" s="189">
        <v>3.8100000000000002E-2</v>
      </c>
      <c r="I22" s="189">
        <v>3.8100000000000002E-2</v>
      </c>
      <c r="J22" s="189">
        <v>3.8100000000000002E-2</v>
      </c>
      <c r="K22" s="189">
        <v>3.8100000000000002E-2</v>
      </c>
      <c r="L22" s="189">
        <v>3.8100000000000002E-2</v>
      </c>
      <c r="M22" s="189">
        <v>3.8100000000000002E-2</v>
      </c>
    </row>
    <row r="23" spans="1:19" x14ac:dyDescent="0.25">
      <c r="B23" s="62">
        <f t="shared" ref="B23" si="4">(B21*B22)/12</f>
        <v>2127.25</v>
      </c>
      <c r="C23" s="62">
        <f t="shared" ref="C23" si="5">(C21*C22)/12</f>
        <v>2127.25</v>
      </c>
      <c r="D23" s="62">
        <f t="shared" ref="D23" si="6">(D21*D22)/12</f>
        <v>2127.25</v>
      </c>
      <c r="E23" s="62">
        <f t="shared" ref="E23" si="7">(E21*E22)/12</f>
        <v>2127.25</v>
      </c>
      <c r="F23" s="62">
        <f t="shared" ref="F23" si="8">(F21*F22)/12</f>
        <v>2127.25</v>
      </c>
      <c r="G23" s="62">
        <f t="shared" ref="G23" si="9">(G21*G22)/12</f>
        <v>2127.25</v>
      </c>
      <c r="H23" s="62"/>
      <c r="I23" s="62"/>
      <c r="J23" s="62"/>
      <c r="K23" s="62"/>
      <c r="L23" s="62"/>
      <c r="M23" s="62"/>
      <c r="N23" s="190">
        <f>SUM(B23:M23)</f>
        <v>12763.5</v>
      </c>
    </row>
    <row r="24" spans="1:19" x14ac:dyDescent="0.2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90"/>
    </row>
    <row r="25" spans="1:19" x14ac:dyDescent="0.25">
      <c r="B25" s="62"/>
      <c r="C25" s="62"/>
      <c r="D25" s="62"/>
      <c r="E25" s="62"/>
      <c r="F25" s="62"/>
      <c r="G25" s="62"/>
      <c r="H25" s="6">
        <v>101721</v>
      </c>
      <c r="I25" s="6">
        <v>101721</v>
      </c>
      <c r="J25" s="6">
        <v>101721</v>
      </c>
      <c r="K25" s="6">
        <v>101721</v>
      </c>
      <c r="L25" s="6">
        <v>101721</v>
      </c>
      <c r="M25" s="6">
        <v>101721</v>
      </c>
    </row>
    <row r="26" spans="1:19" x14ac:dyDescent="0.25">
      <c r="B26" s="189"/>
      <c r="C26" s="189"/>
      <c r="D26" s="189"/>
      <c r="E26" s="189"/>
      <c r="F26" s="189"/>
      <c r="G26" s="189"/>
      <c r="H26" s="189">
        <v>3.7499999999999999E-2</v>
      </c>
      <c r="I26" s="189">
        <v>3.7499999999999999E-2</v>
      </c>
      <c r="J26" s="189">
        <v>3.7499999999999999E-2</v>
      </c>
      <c r="K26" s="189">
        <v>3.7499999999999999E-2</v>
      </c>
      <c r="L26" s="189">
        <v>3.7499999999999999E-2</v>
      </c>
      <c r="M26" s="189">
        <v>3.7499999999999999E-2</v>
      </c>
    </row>
    <row r="27" spans="1:19" x14ac:dyDescent="0.25">
      <c r="B27" s="62">
        <f t="shared" ref="B27" si="10">(B25*B26)/12</f>
        <v>0</v>
      </c>
      <c r="C27" s="62">
        <f t="shared" ref="C27" si="11">(C25*C26)/12</f>
        <v>0</v>
      </c>
      <c r="D27" s="62">
        <f t="shared" ref="D27" si="12">(D25*D26)/12</f>
        <v>0</v>
      </c>
      <c r="E27" s="62">
        <f t="shared" ref="E27" si="13">(E25*E26)/12</f>
        <v>0</v>
      </c>
      <c r="F27" s="62">
        <f t="shared" ref="F27" si="14">(F25*F26)/12</f>
        <v>0</v>
      </c>
      <c r="G27" s="62">
        <f t="shared" ref="G27" si="15">(G25*G26)/12</f>
        <v>0</v>
      </c>
      <c r="H27" s="62"/>
      <c r="I27" s="62"/>
      <c r="J27" s="62"/>
      <c r="K27" s="62"/>
      <c r="L27" s="62"/>
      <c r="M27" s="62"/>
      <c r="N27" s="190">
        <f>SUM(B27:M27)</f>
        <v>0</v>
      </c>
      <c r="O27" s="8">
        <f>SUM(N23:N27)</f>
        <v>12763.5</v>
      </c>
    </row>
    <row r="28" spans="1:19" x14ac:dyDescent="0.25"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8"/>
    </row>
    <row r="29" spans="1:19" x14ac:dyDescent="0.25">
      <c r="A29" t="s">
        <v>382</v>
      </c>
      <c r="B29" s="62"/>
      <c r="C29" s="62"/>
      <c r="D29" s="62"/>
      <c r="E29" s="62"/>
      <c r="F29" s="62"/>
      <c r="G29" s="62"/>
      <c r="H29" s="6">
        <f>SUM(H21,H25)</f>
        <v>771721</v>
      </c>
      <c r="I29" s="6">
        <f t="shared" ref="I29:M29" si="16">SUM(I21,I25)</f>
        <v>771721</v>
      </c>
      <c r="J29" s="6">
        <f t="shared" si="16"/>
        <v>771721</v>
      </c>
      <c r="K29" s="6">
        <f t="shared" si="16"/>
        <v>771721</v>
      </c>
      <c r="L29" s="6">
        <f t="shared" si="16"/>
        <v>771721</v>
      </c>
      <c r="M29" s="6">
        <f t="shared" si="16"/>
        <v>771721</v>
      </c>
    </row>
    <row r="30" spans="1:19" x14ac:dyDescent="0.25">
      <c r="B30" s="189"/>
      <c r="C30" s="189"/>
      <c r="D30" s="189"/>
      <c r="E30" s="189"/>
      <c r="F30" s="189"/>
      <c r="G30" s="189"/>
      <c r="H30" s="189">
        <f>AVERAGE(H22,H26)</f>
        <v>3.78E-2</v>
      </c>
      <c r="I30" s="189">
        <f t="shared" ref="I30:M30" si="17">AVERAGE(I22,I26)</f>
        <v>3.78E-2</v>
      </c>
      <c r="J30" s="189">
        <f t="shared" si="17"/>
        <v>3.78E-2</v>
      </c>
      <c r="K30" s="189">
        <f t="shared" si="17"/>
        <v>3.78E-2</v>
      </c>
      <c r="L30" s="189">
        <f t="shared" si="17"/>
        <v>3.78E-2</v>
      </c>
      <c r="M30" s="189">
        <f t="shared" si="17"/>
        <v>3.78E-2</v>
      </c>
    </row>
    <row r="31" spans="1:19" x14ac:dyDescent="0.25">
      <c r="B31" s="62">
        <f t="shared" ref="B31:M31" si="18">(B29*B30)/12</f>
        <v>0</v>
      </c>
      <c r="C31" s="62">
        <f t="shared" si="18"/>
        <v>0</v>
      </c>
      <c r="D31" s="62">
        <f t="shared" si="18"/>
        <v>0</v>
      </c>
      <c r="E31" s="62">
        <f t="shared" si="18"/>
        <v>0</v>
      </c>
      <c r="F31" s="62">
        <f t="shared" si="18"/>
        <v>0</v>
      </c>
      <c r="G31" s="62">
        <f t="shared" si="18"/>
        <v>0</v>
      </c>
      <c r="H31" s="62">
        <f t="shared" si="18"/>
        <v>2430.9211500000001</v>
      </c>
      <c r="I31" s="62">
        <f t="shared" si="18"/>
        <v>2430.9211500000001</v>
      </c>
      <c r="J31" s="62">
        <f t="shared" si="18"/>
        <v>2430.9211500000001</v>
      </c>
      <c r="K31" s="62">
        <f t="shared" si="18"/>
        <v>2430.9211500000001</v>
      </c>
      <c r="L31" s="62">
        <f t="shared" si="18"/>
        <v>2430.9211500000001</v>
      </c>
      <c r="M31" s="62">
        <f t="shared" si="18"/>
        <v>2430.9211500000001</v>
      </c>
      <c r="N31" s="190">
        <f>SUM(B31:M31)</f>
        <v>14585.526900000001</v>
      </c>
      <c r="O31" s="8">
        <f>SUM(N27:N31)</f>
        <v>14585.526900000001</v>
      </c>
    </row>
    <row r="32" spans="1:19" x14ac:dyDescent="0.25">
      <c r="A32" t="s">
        <v>291</v>
      </c>
    </row>
    <row r="33" spans="1:15" x14ac:dyDescent="0.25">
      <c r="A33" t="s">
        <v>290</v>
      </c>
      <c r="B33" s="62">
        <v>141361.92592063808</v>
      </c>
      <c r="C33" s="62">
        <v>141361.92592063808</v>
      </c>
      <c r="D33" s="62">
        <v>141361.92592063808</v>
      </c>
      <c r="E33" s="62">
        <v>141361.92592063808</v>
      </c>
      <c r="F33" s="62">
        <v>141361.92592063808</v>
      </c>
      <c r="G33" s="62">
        <v>141361.92592063808</v>
      </c>
      <c r="H33" s="62">
        <v>141361.92592063808</v>
      </c>
      <c r="I33" s="62">
        <v>141361.92592063808</v>
      </c>
      <c r="J33" s="62">
        <v>141361.92592063808</v>
      </c>
      <c r="K33" s="62">
        <v>141361.92592063808</v>
      </c>
      <c r="L33" s="62">
        <v>141361.92592063808</v>
      </c>
      <c r="M33" s="62">
        <v>141361.92592063808</v>
      </c>
      <c r="N33" s="62"/>
    </row>
    <row r="34" spans="1:15" x14ac:dyDescent="0.25">
      <c r="A34" s="192"/>
      <c r="B34" s="189">
        <v>2.8299999999999999E-2</v>
      </c>
      <c r="C34" s="189">
        <v>2.8299999999999999E-2</v>
      </c>
      <c r="D34" s="189">
        <v>2.8299999999999999E-2</v>
      </c>
      <c r="E34" s="189">
        <v>2.8299999999999999E-2</v>
      </c>
      <c r="F34" s="189">
        <v>2.8299999999999999E-2</v>
      </c>
      <c r="G34" s="189">
        <v>2.8299999999999999E-2</v>
      </c>
      <c r="H34" s="189">
        <v>2.8299999999999999E-2</v>
      </c>
      <c r="I34" s="189">
        <v>2.8299999999999999E-2</v>
      </c>
      <c r="J34" s="189">
        <v>2.8299999999999999E-2</v>
      </c>
      <c r="K34" s="189">
        <v>2.8299999999999999E-2</v>
      </c>
      <c r="L34" s="189">
        <v>2.8299999999999999E-2</v>
      </c>
      <c r="M34" s="189">
        <v>2.8299999999999999E-2</v>
      </c>
      <c r="N34" s="62"/>
    </row>
    <row r="35" spans="1:15" x14ac:dyDescent="0.25">
      <c r="A35" s="192"/>
      <c r="B35" s="62">
        <f t="shared" ref="B35" si="19">(B33*B34)/12</f>
        <v>333.37854196283814</v>
      </c>
      <c r="C35" s="62">
        <f t="shared" ref="C35" si="20">(C33*C34)/12</f>
        <v>333.37854196283814</v>
      </c>
      <c r="D35" s="62">
        <f t="shared" ref="D35" si="21">(D33*D34)/12</f>
        <v>333.37854196283814</v>
      </c>
      <c r="E35" s="62">
        <f t="shared" ref="E35" si="22">(E33*E34)/12</f>
        <v>333.37854196283814</v>
      </c>
      <c r="F35" s="62">
        <f t="shared" ref="F35" si="23">(F33*F34)/12</f>
        <v>333.37854196283814</v>
      </c>
      <c r="G35" s="62">
        <f t="shared" ref="G35" si="24">(G33*G34)/12</f>
        <v>333.37854196283814</v>
      </c>
      <c r="H35" s="62">
        <f t="shared" ref="H35" si="25">(H33*H34)/12</f>
        <v>333.37854196283814</v>
      </c>
      <c r="I35" s="62">
        <f t="shared" ref="I35" si="26">(I33*I34)/12</f>
        <v>333.37854196283814</v>
      </c>
      <c r="J35" s="62">
        <f t="shared" ref="J35" si="27">(J33*J34)/12</f>
        <v>333.37854196283814</v>
      </c>
      <c r="K35" s="62">
        <f t="shared" ref="K35" si="28">(K33*K34)/12</f>
        <v>333.37854196283814</v>
      </c>
      <c r="L35" s="62">
        <f t="shared" ref="L35" si="29">(L33*L34)/12</f>
        <v>333.37854196283814</v>
      </c>
      <c r="M35" s="62">
        <f t="shared" ref="M35" si="30">(M33*M34)/12</f>
        <v>333.37854196283814</v>
      </c>
      <c r="N35" s="188">
        <f>SUM(B35:M35)</f>
        <v>4000.542503554057</v>
      </c>
    </row>
    <row r="36" spans="1:15" x14ac:dyDescent="0.25">
      <c r="O36" s="8">
        <f>SUM(O27,N35)</f>
        <v>16764.042503554057</v>
      </c>
    </row>
    <row r="39" spans="1:15" x14ac:dyDescent="0.25">
      <c r="A39" s="4" t="s">
        <v>92</v>
      </c>
      <c r="B39" s="4" t="s">
        <v>277</v>
      </c>
      <c r="C39" s="4" t="s">
        <v>278</v>
      </c>
      <c r="D39" s="4" t="s">
        <v>279</v>
      </c>
      <c r="E39" s="4" t="s">
        <v>280</v>
      </c>
      <c r="F39" s="4" t="s">
        <v>281</v>
      </c>
      <c r="G39" s="4" t="s">
        <v>282</v>
      </c>
      <c r="H39" s="4" t="s">
        <v>283</v>
      </c>
      <c r="I39" s="4" t="s">
        <v>284</v>
      </c>
      <c r="J39" s="4" t="s">
        <v>285</v>
      </c>
      <c r="K39" s="4" t="s">
        <v>286</v>
      </c>
      <c r="L39" s="4" t="s">
        <v>287</v>
      </c>
      <c r="M39" s="4" t="s">
        <v>288</v>
      </c>
      <c r="N39" s="4">
        <v>2023</v>
      </c>
      <c r="O39" s="4"/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t="s">
        <v>289</v>
      </c>
    </row>
    <row r="42" spans="1:15" x14ac:dyDescent="0.25">
      <c r="A42" t="s">
        <v>290</v>
      </c>
      <c r="B42" s="62">
        <v>570000</v>
      </c>
      <c r="C42" s="62">
        <v>570000</v>
      </c>
      <c r="D42" s="62">
        <v>570000</v>
      </c>
      <c r="E42" s="62">
        <v>570000</v>
      </c>
      <c r="F42" s="62">
        <v>570000</v>
      </c>
      <c r="G42" s="62">
        <v>570000</v>
      </c>
      <c r="H42" s="62">
        <v>750000</v>
      </c>
      <c r="I42" s="62">
        <v>750000</v>
      </c>
      <c r="J42" s="62">
        <v>750000</v>
      </c>
      <c r="K42" s="62">
        <v>750000</v>
      </c>
      <c r="L42" s="62">
        <v>750000</v>
      </c>
      <c r="M42" s="62">
        <v>750000</v>
      </c>
    </row>
    <row r="43" spans="1:15" x14ac:dyDescent="0.25">
      <c r="B43" s="189">
        <v>4.0399999999999998E-2</v>
      </c>
      <c r="C43" s="189">
        <v>4.0399999999999998E-2</v>
      </c>
      <c r="D43" s="189">
        <v>4.0399999999999998E-2</v>
      </c>
      <c r="E43" s="189">
        <v>4.0399999999999998E-2</v>
      </c>
      <c r="F43" s="189">
        <v>4.0399999999999998E-2</v>
      </c>
      <c r="G43" s="189">
        <v>4.0399999999999998E-2</v>
      </c>
      <c r="H43" s="189">
        <v>4.4999999999999998E-2</v>
      </c>
      <c r="I43" s="189">
        <v>4.4999999999999998E-2</v>
      </c>
      <c r="J43" s="189">
        <v>4.4999999999999998E-2</v>
      </c>
      <c r="K43" s="189">
        <v>4.4999999999999998E-2</v>
      </c>
      <c r="L43" s="189">
        <v>4.4999999999999998E-2</v>
      </c>
      <c r="M43" s="189">
        <v>4.4999999999999998E-2</v>
      </c>
    </row>
    <row r="44" spans="1:15" x14ac:dyDescent="0.25">
      <c r="B44" s="62">
        <f t="shared" ref="B44:M44" si="31">(B42*B43)/12</f>
        <v>1919</v>
      </c>
      <c r="C44" s="62">
        <f t="shared" si="31"/>
        <v>1919</v>
      </c>
      <c r="D44" s="62">
        <f t="shared" si="31"/>
        <v>1919</v>
      </c>
      <c r="E44" s="62">
        <f t="shared" si="31"/>
        <v>1919</v>
      </c>
      <c r="F44" s="62">
        <f t="shared" si="31"/>
        <v>1919</v>
      </c>
      <c r="G44" s="62">
        <f t="shared" si="31"/>
        <v>1919</v>
      </c>
      <c r="H44" s="62">
        <f t="shared" si="31"/>
        <v>2812.5</v>
      </c>
      <c r="I44" s="62">
        <f t="shared" si="31"/>
        <v>2812.5</v>
      </c>
      <c r="J44" s="62">
        <f t="shared" si="31"/>
        <v>2812.5</v>
      </c>
      <c r="K44" s="62">
        <f t="shared" si="31"/>
        <v>2812.5</v>
      </c>
      <c r="L44" s="62">
        <f t="shared" si="31"/>
        <v>2812.5</v>
      </c>
      <c r="M44" s="62">
        <f t="shared" si="31"/>
        <v>2812.5</v>
      </c>
      <c r="N44" s="190">
        <f>SUM(B44:M44)</f>
        <v>28389</v>
      </c>
    </row>
    <row r="45" spans="1:15" x14ac:dyDescent="0.25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90"/>
    </row>
    <row r="46" spans="1:15" x14ac:dyDescent="0.25">
      <c r="A46" t="s">
        <v>291</v>
      </c>
    </row>
    <row r="47" spans="1:15" x14ac:dyDescent="0.25">
      <c r="A47" t="s">
        <v>290</v>
      </c>
      <c r="B47" s="62">
        <v>194524</v>
      </c>
      <c r="C47" s="62">
        <v>194524</v>
      </c>
      <c r="D47" s="62">
        <v>194524</v>
      </c>
      <c r="E47" s="62">
        <v>194524</v>
      </c>
      <c r="F47" s="62">
        <v>194524</v>
      </c>
      <c r="G47" s="62">
        <v>194524</v>
      </c>
      <c r="H47" s="62">
        <v>194524</v>
      </c>
      <c r="I47" s="62">
        <v>194524</v>
      </c>
      <c r="J47" s="62">
        <v>194524</v>
      </c>
      <c r="K47" s="62">
        <v>194524</v>
      </c>
      <c r="L47" s="62">
        <v>194524</v>
      </c>
      <c r="M47" s="62">
        <v>194524</v>
      </c>
      <c r="N47" s="62"/>
    </row>
    <row r="48" spans="1:15" x14ac:dyDescent="0.25">
      <c r="A48" s="192"/>
      <c r="B48" s="80">
        <v>4.0500000000000001E-2</v>
      </c>
      <c r="C48" s="80">
        <v>4.0500000000000001E-2</v>
      </c>
      <c r="D48" s="80">
        <v>4.0500000000000001E-2</v>
      </c>
      <c r="E48" s="80">
        <v>4.0500000000000001E-2</v>
      </c>
      <c r="F48" s="80">
        <v>4.0500000000000001E-2</v>
      </c>
      <c r="G48" s="80">
        <v>4.0500000000000001E-2</v>
      </c>
      <c r="H48" s="80">
        <v>4.4999999999999998E-2</v>
      </c>
      <c r="I48" s="80">
        <v>4.4999999999999998E-2</v>
      </c>
      <c r="J48" s="80">
        <v>4.4999999999999998E-2</v>
      </c>
      <c r="K48" s="80">
        <v>4.4999999999999998E-2</v>
      </c>
      <c r="L48" s="80">
        <v>4.4999999999999998E-2</v>
      </c>
      <c r="M48" s="80">
        <v>4.4999999999999998E-2</v>
      </c>
      <c r="N48" s="62"/>
    </row>
    <row r="49" spans="1:16" x14ac:dyDescent="0.25">
      <c r="A49" s="192"/>
      <c r="B49" s="62">
        <v>829.9</v>
      </c>
      <c r="C49" s="62">
        <v>859.2</v>
      </c>
      <c r="D49" s="62">
        <v>875.2</v>
      </c>
      <c r="E49" s="62">
        <v>905.2</v>
      </c>
      <c r="F49" s="62">
        <v>892.6</v>
      </c>
      <c r="G49" s="62">
        <v>641.20000000000005</v>
      </c>
      <c r="H49" s="62">
        <v>467</v>
      </c>
      <c r="I49" s="62">
        <v>479.6</v>
      </c>
      <c r="J49" s="62">
        <v>493.8</v>
      </c>
      <c r="K49" s="62">
        <v>542.5</v>
      </c>
      <c r="L49" s="62">
        <v>574.20000000000005</v>
      </c>
      <c r="M49" s="62">
        <v>621.4</v>
      </c>
      <c r="N49" s="188">
        <f>SUM(B49:M49)</f>
        <v>8181.8</v>
      </c>
    </row>
    <row r="50" spans="1:16" x14ac:dyDescent="0.25">
      <c r="O50" s="8" t="e">
        <f>SUM(#REF!,N49)</f>
        <v>#REF!</v>
      </c>
    </row>
    <row r="51" spans="1:16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6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>
        <v>375</v>
      </c>
      <c r="P52" t="s">
        <v>306</v>
      </c>
    </row>
    <row r="53" spans="1:16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781</v>
      </c>
      <c r="P53" t="s">
        <v>307</v>
      </c>
    </row>
    <row r="55" spans="1:16" x14ac:dyDescent="0.25">
      <c r="O55" s="8" t="e">
        <f>SUM(O50:O54)</f>
        <v>#REF!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927E3-5301-4B98-B9D4-F3746D24D40E}">
  <dimension ref="A1:M33"/>
  <sheetViews>
    <sheetView topLeftCell="A10" zoomScaleNormal="100" workbookViewId="0">
      <selection activeCell="D5" sqref="D5:D14"/>
    </sheetView>
    <sheetView workbookViewId="1"/>
  </sheetViews>
  <sheetFormatPr defaultRowHeight="15" x14ac:dyDescent="0.25"/>
  <cols>
    <col min="1" max="1" width="27.5703125" bestFit="1" customWidth="1"/>
    <col min="2" max="2" width="11.7109375" bestFit="1" customWidth="1"/>
    <col min="3" max="13" width="7" bestFit="1" customWidth="1"/>
  </cols>
  <sheetData>
    <row r="1" spans="1:13" s="2" customFormat="1" x14ac:dyDescent="0.25">
      <c r="H1" s="203"/>
    </row>
    <row r="2" spans="1:13" x14ac:dyDescent="0.25">
      <c r="B2" s="189"/>
      <c r="C2" s="189"/>
      <c r="D2" s="189"/>
      <c r="E2" s="189"/>
      <c r="F2" s="189"/>
      <c r="G2" s="189"/>
      <c r="H2" s="201"/>
      <c r="I2" s="189"/>
      <c r="J2" s="189"/>
      <c r="K2" s="189"/>
      <c r="L2" s="189"/>
      <c r="M2" s="189"/>
    </row>
    <row r="3" spans="1:13" x14ac:dyDescent="0.25">
      <c r="B3" s="200"/>
      <c r="C3" s="200"/>
      <c r="D3" s="200"/>
      <c r="E3" s="200"/>
      <c r="F3" s="200"/>
      <c r="G3" s="200"/>
      <c r="H3" s="202"/>
      <c r="I3" s="200"/>
      <c r="J3" s="200"/>
      <c r="K3" s="200"/>
      <c r="L3" s="200"/>
      <c r="M3" s="200"/>
    </row>
    <row r="4" spans="1:13" x14ac:dyDescent="0.2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6" spans="1:13" s="2" customFormat="1" x14ac:dyDescent="0.25">
      <c r="A6"/>
      <c r="H6" s="203"/>
    </row>
    <row r="7" spans="1:13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19" spans="1:13" x14ac:dyDescent="0.25">
      <c r="B19" s="2"/>
      <c r="C19" s="2"/>
      <c r="D19" s="2"/>
      <c r="E19" s="2"/>
      <c r="F19" s="2"/>
      <c r="G19" s="2"/>
      <c r="H19" s="203"/>
      <c r="I19" s="2"/>
      <c r="J19" s="2"/>
      <c r="K19" s="2"/>
      <c r="L19" s="2"/>
      <c r="M19" s="2"/>
    </row>
    <row r="20" spans="1:13" x14ac:dyDescent="0.25">
      <c r="A20" t="s">
        <v>347</v>
      </c>
      <c r="B20" s="6" t="s">
        <v>263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t="s">
        <v>350</v>
      </c>
      <c r="B21" s="118">
        <f>'LTF Interest Schedules'!R8/1000</f>
        <v>32.342621282258023</v>
      </c>
      <c r="C21" s="6"/>
      <c r="D21" s="6"/>
      <c r="E21" s="62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t="s">
        <v>403</v>
      </c>
      <c r="B22" s="118">
        <f>-SUM('LTF Interest Schedules'!S6,'LTF Interest Schedules'!T7)/1000</f>
        <v>5.3831213934484587</v>
      </c>
      <c r="E22" s="8"/>
    </row>
    <row r="23" spans="1:13" x14ac:dyDescent="0.25">
      <c r="A23" t="s">
        <v>402</v>
      </c>
      <c r="B23" s="118">
        <f>'LTF Interest Schedules'!T7/1000</f>
        <v>-2.1374877407222375</v>
      </c>
      <c r="E23" s="8"/>
    </row>
    <row r="24" spans="1:13" x14ac:dyDescent="0.25">
      <c r="A24" t="s">
        <v>348</v>
      </c>
      <c r="B24" s="118">
        <v>1.22</v>
      </c>
      <c r="E24" s="8"/>
    </row>
    <row r="25" spans="1:13" x14ac:dyDescent="0.25">
      <c r="A25" t="s">
        <v>349</v>
      </c>
      <c r="B25" s="118">
        <f>SUM(B21:B24)</f>
        <v>36.808254934984248</v>
      </c>
      <c r="C25" s="8">
        <f>'LTF Interest Schedules'!X5/1000</f>
        <v>36.804965673683327</v>
      </c>
      <c r="E25" s="8"/>
    </row>
    <row r="26" spans="1:13" x14ac:dyDescent="0.25">
      <c r="B26" s="8"/>
      <c r="C26" s="8"/>
    </row>
    <row r="27" spans="1:13" x14ac:dyDescent="0.25">
      <c r="B27" s="8"/>
    </row>
    <row r="28" spans="1:13" x14ac:dyDescent="0.25">
      <c r="B28" s="62" t="s">
        <v>273</v>
      </c>
    </row>
    <row r="29" spans="1:13" x14ac:dyDescent="0.25">
      <c r="A29" t="s">
        <v>351</v>
      </c>
      <c r="B29" s="118">
        <f>'Q3F Interest Schedules'!R5/1000</f>
        <v>25.989654449714607</v>
      </c>
    </row>
    <row r="30" spans="1:13" x14ac:dyDescent="0.25">
      <c r="A30" t="s">
        <v>403</v>
      </c>
      <c r="B30" s="9">
        <f>-'Q3F Interest Schedules RP'!S5/1000</f>
        <v>0</v>
      </c>
    </row>
    <row r="31" spans="1:13" x14ac:dyDescent="0.25">
      <c r="A31" t="s">
        <v>315</v>
      </c>
      <c r="B31" s="9">
        <f>-'Q3F Interest Schedules RP'!T5/1000</f>
        <v>0</v>
      </c>
    </row>
    <row r="32" spans="1:13" x14ac:dyDescent="0.25">
      <c r="A32" t="s">
        <v>348</v>
      </c>
      <c r="B32" s="9">
        <f>-'Q3F Interest Schedules RP'!V7/1000</f>
        <v>0</v>
      </c>
    </row>
    <row r="33" spans="1:2" x14ac:dyDescent="0.25">
      <c r="A33" t="s">
        <v>349</v>
      </c>
      <c r="B33" s="9">
        <f>SUM(B29:B32)</f>
        <v>25.989654449714607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EEAB-7DF3-4DB9-AEE0-AAF1F08473EE}">
  <sheetPr>
    <pageSetUpPr fitToPage="1"/>
  </sheetPr>
  <dimension ref="A3:L69"/>
  <sheetViews>
    <sheetView showGridLines="0" topLeftCell="A21" zoomScaleNormal="100" workbookViewId="0">
      <selection activeCell="E32" sqref="E32"/>
    </sheetView>
    <sheetView workbookViewId="1"/>
  </sheetViews>
  <sheetFormatPr defaultRowHeight="15" x14ac:dyDescent="0.25"/>
  <cols>
    <col min="1" max="1" width="11.42578125" bestFit="1" customWidth="1"/>
    <col min="2" max="2" width="8" customWidth="1"/>
    <col min="3" max="3" width="47.28515625" customWidth="1"/>
    <col min="4" max="4" width="12.28515625" bestFit="1" customWidth="1"/>
    <col min="5" max="5" width="12.85546875" bestFit="1" customWidth="1"/>
    <col min="6" max="6" width="6.140625" customWidth="1"/>
    <col min="7" max="7" width="9" bestFit="1" customWidth="1"/>
    <col min="8" max="8" width="73.140625" bestFit="1" customWidth="1"/>
    <col min="10" max="10" width="9.28515625" bestFit="1" customWidth="1"/>
    <col min="11" max="11" width="9" bestFit="1" customWidth="1"/>
  </cols>
  <sheetData>
    <row r="3" spans="1:10" x14ac:dyDescent="0.25">
      <c r="B3" s="308" t="s">
        <v>0</v>
      </c>
      <c r="C3" s="308"/>
      <c r="D3" s="308"/>
      <c r="E3" s="308"/>
      <c r="F3" s="308"/>
    </row>
    <row r="4" spans="1:10" x14ac:dyDescent="0.25">
      <c r="B4" s="308" t="s">
        <v>1</v>
      </c>
      <c r="C4" s="308"/>
      <c r="D4" s="308"/>
      <c r="E4" s="308"/>
      <c r="F4" s="308"/>
    </row>
    <row r="5" spans="1:10" x14ac:dyDescent="0.25">
      <c r="B5" s="308" t="s">
        <v>2</v>
      </c>
      <c r="C5" s="308"/>
      <c r="D5" s="308"/>
      <c r="E5" s="308"/>
      <c r="F5" s="308"/>
    </row>
    <row r="6" spans="1:10" x14ac:dyDescent="0.25">
      <c r="B6" s="2"/>
      <c r="C6" s="2"/>
      <c r="D6" s="3"/>
      <c r="E6" s="3" t="s">
        <v>4</v>
      </c>
      <c r="F6" s="2"/>
      <c r="G6" s="3" t="s">
        <v>5</v>
      </c>
      <c r="H6" s="3" t="s">
        <v>6</v>
      </c>
    </row>
    <row r="7" spans="1:10" x14ac:dyDescent="0.25">
      <c r="A7" s="63">
        <f>+Recon!I29</f>
        <v>84699.214058563521</v>
      </c>
      <c r="B7" s="4" t="s">
        <v>3</v>
      </c>
      <c r="C7" s="4"/>
      <c r="D7" s="4"/>
      <c r="E7" s="4"/>
      <c r="F7" s="4"/>
      <c r="G7" s="68">
        <f>+Recon!I29/1000</f>
        <v>84.699214058563527</v>
      </c>
    </row>
    <row r="8" spans="1:10" ht="6" customHeight="1" x14ac:dyDescent="0.25">
      <c r="B8" s="1"/>
    </row>
    <row r="9" spans="1:10" x14ac:dyDescent="0.25">
      <c r="C9" t="s">
        <v>11</v>
      </c>
      <c r="E9" s="105">
        <f>SUM(D10:D14)</f>
        <v>4.1270000000000007</v>
      </c>
      <c r="G9" s="105">
        <f>+(E9*0.75345)</f>
        <v>3.1094881500000002</v>
      </c>
      <c r="J9" t="s">
        <v>364</v>
      </c>
    </row>
    <row r="10" spans="1:10" x14ac:dyDescent="0.25">
      <c r="C10" s="106" t="s">
        <v>340</v>
      </c>
      <c r="D10" s="224">
        <v>8.8000000000000007</v>
      </c>
      <c r="E10" s="105"/>
      <c r="G10" s="105"/>
    </row>
    <row r="11" spans="1:10" x14ac:dyDescent="0.25">
      <c r="C11" s="106" t="s">
        <v>317</v>
      </c>
      <c r="D11">
        <v>0</v>
      </c>
      <c r="E11" s="105"/>
      <c r="G11" s="105"/>
      <c r="J11" t="s">
        <v>366</v>
      </c>
    </row>
    <row r="12" spans="1:10" x14ac:dyDescent="0.25">
      <c r="C12" s="106" t="s">
        <v>10</v>
      </c>
      <c r="D12" s="105">
        <v>-3.7</v>
      </c>
      <c r="J12" t="s">
        <v>365</v>
      </c>
    </row>
    <row r="13" spans="1:10" x14ac:dyDescent="0.25">
      <c r="C13" s="106" t="s">
        <v>13</v>
      </c>
      <c r="D13" s="105">
        <v>-0.123</v>
      </c>
      <c r="H13" s="107"/>
    </row>
    <row r="14" spans="1:10" x14ac:dyDescent="0.25">
      <c r="C14" s="106" t="s">
        <v>12</v>
      </c>
      <c r="D14" s="215">
        <f>-1.6+0.75</f>
        <v>-0.85000000000000009</v>
      </c>
      <c r="H14" t="s">
        <v>136</v>
      </c>
    </row>
    <row r="15" spans="1:10" ht="7.5" customHeight="1" x14ac:dyDescent="0.25">
      <c r="C15" s="106"/>
      <c r="D15" s="105"/>
      <c r="H15" s="107"/>
    </row>
    <row r="16" spans="1:10" ht="1.5" customHeight="1" x14ac:dyDescent="0.25">
      <c r="B16" s="1"/>
      <c r="C16" s="109"/>
      <c r="D16" s="109"/>
      <c r="E16" s="109"/>
      <c r="F16" s="109"/>
      <c r="G16" s="109"/>
    </row>
    <row r="17" spans="1:8" x14ac:dyDescent="0.25">
      <c r="A17" s="63">
        <f>+Recon!$K$18</f>
        <v>766.77710300790204</v>
      </c>
      <c r="C17" t="s">
        <v>14</v>
      </c>
      <c r="E17" s="9">
        <f>+A17/1000</f>
        <v>0.76677710300790203</v>
      </c>
      <c r="G17" s="108">
        <f>+E17*0.75345</f>
        <v>0.57772820826130378</v>
      </c>
    </row>
    <row r="18" spans="1:8" x14ac:dyDescent="0.25">
      <c r="A18" s="63"/>
      <c r="C18" s="106" t="s">
        <v>329</v>
      </c>
      <c r="D18" s="9">
        <f>+A18/1000</f>
        <v>0</v>
      </c>
      <c r="G18" s="108">
        <f>+D18*0.75345</f>
        <v>0</v>
      </c>
    </row>
    <row r="19" spans="1:8" x14ac:dyDescent="0.25">
      <c r="A19" s="63"/>
      <c r="C19" s="106" t="s">
        <v>330</v>
      </c>
      <c r="D19" s="9">
        <f>+A19/1000</f>
        <v>0</v>
      </c>
      <c r="G19" s="108">
        <f>+D19*0.75345</f>
        <v>0</v>
      </c>
    </row>
    <row r="20" spans="1:8" x14ac:dyDescent="0.25">
      <c r="A20" s="63"/>
      <c r="C20" s="106" t="s">
        <v>331</v>
      </c>
      <c r="D20" s="9">
        <f>+A20/1000</f>
        <v>0</v>
      </c>
      <c r="G20" s="108">
        <f>+D20*0.75345</f>
        <v>0</v>
      </c>
    </row>
    <row r="21" spans="1:8" x14ac:dyDescent="0.25">
      <c r="A21" s="63"/>
      <c r="C21" s="106" t="s">
        <v>333</v>
      </c>
      <c r="D21" s="9">
        <v>0.53</v>
      </c>
      <c r="G21" s="108">
        <f>+D21*0.75345</f>
        <v>0.39932849999999998</v>
      </c>
    </row>
    <row r="22" spans="1:8" ht="1.5" customHeight="1" x14ac:dyDescent="0.25">
      <c r="B22" s="1"/>
      <c r="C22" s="109"/>
      <c r="D22" s="109"/>
      <c r="E22" s="109"/>
      <c r="F22" s="109"/>
      <c r="G22" s="109"/>
    </row>
    <row r="23" spans="1:8" x14ac:dyDescent="0.25">
      <c r="A23" s="63">
        <f>+Recon!$K$23</f>
        <v>-4262.5291285635976</v>
      </c>
      <c r="C23" t="s">
        <v>7</v>
      </c>
      <c r="E23" s="195">
        <f>(+A23)/1000</f>
        <v>-4.2625291285635978</v>
      </c>
      <c r="G23" s="105">
        <f>+E23*0.75345</f>
        <v>-3.2116025719162424</v>
      </c>
    </row>
    <row r="24" spans="1:8" x14ac:dyDescent="0.25">
      <c r="C24" s="106" t="s">
        <v>137</v>
      </c>
      <c r="D24" s="195">
        <f>'LTF to Bud Interest Rate'!Y4/1000</f>
        <v>-22.470537496445946</v>
      </c>
    </row>
    <row r="25" spans="1:8" x14ac:dyDescent="0.25">
      <c r="C25" s="106" t="s">
        <v>9</v>
      </c>
      <c r="D25" s="195" t="e">
        <f>'LTF to Bud Interest Rate'!Y5/1000</f>
        <v>#REF!</v>
      </c>
      <c r="H25" t="s">
        <v>275</v>
      </c>
    </row>
    <row r="26" spans="1:8" x14ac:dyDescent="0.25">
      <c r="C26" s="106" t="s">
        <v>165</v>
      </c>
      <c r="D26" s="105" t="e">
        <f>+E23-D24-D25-D27-D28</f>
        <v>#REF!</v>
      </c>
    </row>
    <row r="27" spans="1:8" x14ac:dyDescent="0.25">
      <c r="C27" s="216" t="s">
        <v>334</v>
      </c>
      <c r="D27" s="195">
        <v>-1</v>
      </c>
      <c r="H27" s="110" t="s">
        <v>342</v>
      </c>
    </row>
    <row r="28" spans="1:8" x14ac:dyDescent="0.25">
      <c r="C28" s="216" t="s">
        <v>336</v>
      </c>
      <c r="D28" s="195">
        <v>-0.1</v>
      </c>
      <c r="H28" s="110" t="s">
        <v>342</v>
      </c>
    </row>
    <row r="29" spans="1:8" ht="1.5" customHeight="1" x14ac:dyDescent="0.25">
      <c r="B29" s="1"/>
      <c r="C29" s="109"/>
      <c r="D29" s="109"/>
      <c r="E29" s="109"/>
      <c r="F29" s="109"/>
      <c r="G29" s="109"/>
    </row>
    <row r="30" spans="1:8" x14ac:dyDescent="0.25">
      <c r="A30" s="63">
        <f>+Recon!$K$15</f>
        <v>-2486.6758438840043</v>
      </c>
      <c r="C30" t="s">
        <v>243</v>
      </c>
      <c r="E30" s="195">
        <f>+A30/1000</f>
        <v>-2.4866758438840044</v>
      </c>
      <c r="G30" s="105">
        <f>+E30*0.75345</f>
        <v>-1.8735859145744029</v>
      </c>
    </row>
    <row r="31" spans="1:8" x14ac:dyDescent="0.25">
      <c r="C31" s="106" t="s">
        <v>206</v>
      </c>
      <c r="D31" s="105">
        <f>Recon!T15</f>
        <v>1.1466000000000065</v>
      </c>
      <c r="H31" s="110" t="s">
        <v>302</v>
      </c>
    </row>
    <row r="32" spans="1:8" x14ac:dyDescent="0.25">
      <c r="C32" s="111" t="s">
        <v>207</v>
      </c>
      <c r="D32" s="112">
        <f>Recon!T16+Recon!T17</f>
        <v>-2.1704999999999828</v>
      </c>
      <c r="E32" s="110"/>
      <c r="F32" s="110"/>
      <c r="G32" s="110"/>
      <c r="H32" s="110" t="s">
        <v>302</v>
      </c>
    </row>
    <row r="33" spans="1:12" x14ac:dyDescent="0.25">
      <c r="C33" s="111" t="s">
        <v>208</v>
      </c>
      <c r="D33" s="112">
        <f>Recon!T18</f>
        <v>2.5049999999999999</v>
      </c>
      <c r="E33" s="110"/>
      <c r="F33" s="110"/>
      <c r="G33" s="110"/>
      <c r="H33" s="110" t="s">
        <v>302</v>
      </c>
    </row>
    <row r="34" spans="1:12" x14ac:dyDescent="0.25">
      <c r="C34" s="111" t="s">
        <v>208</v>
      </c>
      <c r="D34" s="112"/>
      <c r="E34" s="110"/>
      <c r="F34" s="110"/>
      <c r="G34" s="110"/>
      <c r="H34" s="110" t="s">
        <v>302</v>
      </c>
    </row>
    <row r="35" spans="1:12" x14ac:dyDescent="0.25">
      <c r="C35" s="111" t="s">
        <v>208</v>
      </c>
      <c r="D35" s="112"/>
      <c r="E35" s="110"/>
      <c r="F35" s="110"/>
      <c r="G35" s="110"/>
      <c r="H35" s="110" t="s">
        <v>302</v>
      </c>
    </row>
    <row r="36" spans="1:12" x14ac:dyDescent="0.25">
      <c r="C36" s="111" t="s">
        <v>208</v>
      </c>
      <c r="D36" s="112"/>
      <c r="E36" s="110"/>
      <c r="F36" s="110"/>
      <c r="G36" s="110"/>
      <c r="H36" s="110" t="s">
        <v>302</v>
      </c>
    </row>
    <row r="37" spans="1:12" x14ac:dyDescent="0.25">
      <c r="C37" s="111" t="s">
        <v>208</v>
      </c>
      <c r="D37" s="112"/>
      <c r="E37" s="110"/>
      <c r="F37" s="110"/>
      <c r="G37" s="110"/>
      <c r="H37" s="110" t="s">
        <v>302</v>
      </c>
    </row>
    <row r="38" spans="1:12" ht="1.5" customHeight="1" x14ac:dyDescent="0.25">
      <c r="B38" s="1"/>
      <c r="C38" s="109"/>
      <c r="D38" s="109"/>
      <c r="E38" s="109"/>
      <c r="F38" s="109"/>
      <c r="G38" s="109"/>
    </row>
    <row r="39" spans="1:12" x14ac:dyDescent="0.25">
      <c r="A39" s="63">
        <f>Recon!$K$16</f>
        <v>-6676.3862636218983</v>
      </c>
      <c r="C39" t="s">
        <v>205</v>
      </c>
      <c r="D39" s="112"/>
      <c r="E39" s="9">
        <f>+A39/1000</f>
        <v>-6.6763862636218985</v>
      </c>
      <c r="G39" s="105">
        <f>+E39*0.75345</f>
        <v>-5.0303232303259193</v>
      </c>
      <c r="H39" t="s">
        <v>212</v>
      </c>
    </row>
    <row r="40" spans="1:12" x14ac:dyDescent="0.25">
      <c r="A40" s="63"/>
      <c r="C40" s="106" t="s">
        <v>345</v>
      </c>
      <c r="D40" s="220">
        <v>-3.7</v>
      </c>
      <c r="G40" s="105">
        <f>+D40*0.75345</f>
        <v>-2.7877649999999998</v>
      </c>
      <c r="H40" t="s">
        <v>212</v>
      </c>
    </row>
    <row r="41" spans="1:12" x14ac:dyDescent="0.25">
      <c r="A41" s="63"/>
      <c r="C41" s="106"/>
      <c r="D41" s="220"/>
      <c r="G41" s="105">
        <f>+D41*0.75345</f>
        <v>0</v>
      </c>
      <c r="H41" t="s">
        <v>212</v>
      </c>
    </row>
    <row r="42" spans="1:12" ht="1.5" customHeight="1" x14ac:dyDescent="0.25">
      <c r="B42" s="1"/>
      <c r="C42" s="109"/>
      <c r="D42" s="109"/>
      <c r="E42" s="109"/>
      <c r="F42" s="109"/>
      <c r="G42" s="109"/>
    </row>
    <row r="43" spans="1:12" x14ac:dyDescent="0.25">
      <c r="A43" s="63">
        <f>Recon!$K$20</f>
        <v>149.01700000000073</v>
      </c>
      <c r="C43" t="s">
        <v>368</v>
      </c>
      <c r="E43" s="105">
        <f>A43/1000</f>
        <v>0.14901700000000073</v>
      </c>
      <c r="G43" s="105">
        <f>+(E43*0.75345)</f>
        <v>0.11227685865000055</v>
      </c>
      <c r="J43" s="6"/>
      <c r="K43" s="6"/>
      <c r="L43" s="7"/>
    </row>
    <row r="44" spans="1:12" ht="1.5" customHeight="1" x14ac:dyDescent="0.25">
      <c r="B44" s="1"/>
      <c r="C44" s="109"/>
      <c r="D44" s="109"/>
      <c r="E44" s="109"/>
      <c r="F44" s="109"/>
      <c r="G44" s="109"/>
    </row>
    <row r="45" spans="1:12" x14ac:dyDescent="0.25">
      <c r="A45" s="63">
        <f>+Recon!$K$17</f>
        <v>2623</v>
      </c>
      <c r="C45" t="s">
        <v>16</v>
      </c>
      <c r="E45" s="105">
        <f>(+A45/1000)</f>
        <v>2.6230000000000002</v>
      </c>
      <c r="G45" s="105">
        <f>+(E45*0.75345)</f>
        <v>1.9762993500000001</v>
      </c>
      <c r="H45" s="163"/>
    </row>
    <row r="46" spans="1:12" x14ac:dyDescent="0.25">
      <c r="C46" s="106" t="s">
        <v>298</v>
      </c>
      <c r="D46" s="105">
        <v>3.9000000000000004</v>
      </c>
      <c r="G46" s="105"/>
      <c r="H46" s="163"/>
    </row>
    <row r="47" spans="1:12" x14ac:dyDescent="0.25">
      <c r="C47" s="106" t="s">
        <v>297</v>
      </c>
      <c r="D47" s="105">
        <v>0.69999999999999929</v>
      </c>
      <c r="G47" s="105"/>
      <c r="H47" s="163"/>
      <c r="J47" s="6"/>
      <c r="K47" s="6"/>
      <c r="L47" s="7"/>
    </row>
    <row r="48" spans="1:12" x14ac:dyDescent="0.25">
      <c r="C48" s="106" t="s">
        <v>299</v>
      </c>
      <c r="D48" s="105">
        <v>0.6</v>
      </c>
      <c r="G48" s="105"/>
      <c r="H48" s="163"/>
      <c r="J48" s="6"/>
      <c r="K48" s="6"/>
      <c r="L48" s="7"/>
    </row>
    <row r="49" spans="1:12" x14ac:dyDescent="0.25">
      <c r="C49" s="106" t="s">
        <v>166</v>
      </c>
      <c r="D49" s="105">
        <v>-1.9138963541666667</v>
      </c>
      <c r="G49" s="105"/>
      <c r="H49" s="163"/>
      <c r="J49" s="6"/>
      <c r="K49" s="6"/>
      <c r="L49" s="7"/>
    </row>
    <row r="50" spans="1:12" x14ac:dyDescent="0.25">
      <c r="C50" s="106" t="s">
        <v>20</v>
      </c>
      <c r="D50" s="105">
        <v>-1.0861036458333333</v>
      </c>
      <c r="G50" s="105"/>
      <c r="H50" s="163" t="s">
        <v>300</v>
      </c>
      <c r="J50" s="6"/>
      <c r="K50" s="6"/>
      <c r="L50" s="7"/>
    </row>
    <row r="51" spans="1:12" x14ac:dyDescent="0.25">
      <c r="C51" s="106" t="s">
        <v>296</v>
      </c>
      <c r="D51" s="105">
        <v>-1</v>
      </c>
      <c r="G51" s="105"/>
      <c r="H51" s="163" t="s">
        <v>18</v>
      </c>
      <c r="J51" s="6"/>
      <c r="K51" s="6"/>
      <c r="L51" s="7"/>
    </row>
    <row r="52" spans="1:12" x14ac:dyDescent="0.25">
      <c r="C52" s="106" t="s">
        <v>24</v>
      </c>
      <c r="D52" s="105">
        <v>1.4230000000000009</v>
      </c>
      <c r="G52" s="105"/>
      <c r="H52" s="163" t="s">
        <v>301</v>
      </c>
      <c r="J52" s="6"/>
      <c r="K52" s="6"/>
      <c r="L52" s="7"/>
    </row>
    <row r="53" spans="1:12" x14ac:dyDescent="0.25">
      <c r="C53" s="106" t="s">
        <v>370</v>
      </c>
      <c r="D53" s="105">
        <v>0.76</v>
      </c>
      <c r="G53" s="105"/>
      <c r="H53" s="163" t="s">
        <v>301</v>
      </c>
      <c r="J53" s="6"/>
      <c r="K53" s="6"/>
      <c r="L53" s="7"/>
    </row>
    <row r="54" spans="1:12" x14ac:dyDescent="0.25">
      <c r="C54" s="106" t="s">
        <v>24</v>
      </c>
      <c r="D54" s="105"/>
      <c r="G54" s="105"/>
      <c r="H54" s="163" t="s">
        <v>301</v>
      </c>
      <c r="J54" s="6"/>
      <c r="K54" s="6"/>
      <c r="L54" s="7"/>
    </row>
    <row r="55" spans="1:12" x14ac:dyDescent="0.25">
      <c r="C55" s="106" t="s">
        <v>24</v>
      </c>
      <c r="D55" s="105"/>
      <c r="G55" s="105"/>
      <c r="H55" s="163" t="s">
        <v>301</v>
      </c>
      <c r="J55" s="6"/>
      <c r="K55" s="6"/>
      <c r="L55" s="7"/>
    </row>
    <row r="56" spans="1:12" x14ac:dyDescent="0.25">
      <c r="C56" s="106" t="s">
        <v>24</v>
      </c>
      <c r="D56" s="105"/>
      <c r="G56" s="105"/>
      <c r="H56" s="163" t="s">
        <v>301</v>
      </c>
      <c r="J56" s="6"/>
      <c r="K56" s="6"/>
      <c r="L56" s="7"/>
    </row>
    <row r="57" spans="1:12" x14ac:dyDescent="0.25">
      <c r="C57" s="106" t="s">
        <v>24</v>
      </c>
      <c r="D57" s="105"/>
      <c r="G57" s="105"/>
      <c r="H57" s="163" t="s">
        <v>301</v>
      </c>
      <c r="J57" s="6"/>
      <c r="K57" s="6"/>
      <c r="L57" s="7"/>
    </row>
    <row r="58" spans="1:12" ht="1.5" customHeight="1" x14ac:dyDescent="0.25">
      <c r="B58" s="1"/>
      <c r="C58" s="109"/>
      <c r="D58" s="109"/>
      <c r="E58" s="109"/>
      <c r="F58" s="109"/>
      <c r="G58" s="109"/>
    </row>
    <row r="59" spans="1:12" x14ac:dyDescent="0.25">
      <c r="A59" s="63">
        <f>Recon!$K$25</f>
        <v>-33</v>
      </c>
      <c r="C59" t="s">
        <v>369</v>
      </c>
      <c r="E59" s="105">
        <f>A59/1000</f>
        <v>-3.3000000000000002E-2</v>
      </c>
      <c r="G59" s="105">
        <f>+(E59*0.75345)</f>
        <v>-2.486385E-2</v>
      </c>
      <c r="J59" s="6"/>
      <c r="K59" s="6"/>
      <c r="L59" s="7"/>
    </row>
    <row r="60" spans="1:12" ht="1.5" customHeight="1" x14ac:dyDescent="0.25">
      <c r="B60" s="1"/>
      <c r="C60" s="109"/>
      <c r="D60" s="109"/>
      <c r="E60" s="109"/>
      <c r="F60" s="109"/>
      <c r="G60" s="109"/>
    </row>
    <row r="61" spans="1:12" x14ac:dyDescent="0.25">
      <c r="A61" s="63">
        <f>+Recon!K19</f>
        <v>-824.41692550190055</v>
      </c>
      <c r="C61" t="s">
        <v>21</v>
      </c>
      <c r="E61" s="105">
        <f>+A61/1000-NoPetro!C7/1000</f>
        <v>-0.88841692550190055</v>
      </c>
      <c r="G61" s="105">
        <f>+(E61*0.75345)</f>
        <v>-0.66937773251940691</v>
      </c>
      <c r="J61" s="6"/>
      <c r="K61" s="6"/>
      <c r="L61" s="7"/>
    </row>
    <row r="62" spans="1:12" ht="1.5" customHeight="1" x14ac:dyDescent="0.25">
      <c r="B62" s="1"/>
      <c r="C62" s="109"/>
      <c r="D62" s="109"/>
      <c r="E62" s="109"/>
      <c r="F62" s="109"/>
      <c r="G62" s="109"/>
    </row>
    <row r="63" spans="1:12" x14ac:dyDescent="0.25">
      <c r="C63" t="s">
        <v>24</v>
      </c>
      <c r="G63" s="105">
        <f>78.469-SUM(G7:G61)</f>
        <v>1.1921831738611246</v>
      </c>
      <c r="J63" s="6"/>
      <c r="K63" s="6"/>
      <c r="L63" s="7"/>
    </row>
    <row r="64" spans="1:12" ht="6" customHeight="1" x14ac:dyDescent="0.25">
      <c r="J64" s="6"/>
      <c r="K64" s="6"/>
      <c r="L64" s="7"/>
    </row>
    <row r="65" spans="1:12" x14ac:dyDescent="0.25">
      <c r="A65" s="62">
        <f>SUM(A7:A64)</f>
        <v>73955.000000000029</v>
      </c>
      <c r="B65" s="4" t="s">
        <v>15</v>
      </c>
      <c r="C65" s="4"/>
      <c r="D65" s="4"/>
      <c r="E65" s="4"/>
      <c r="F65" s="4"/>
      <c r="G65" s="68">
        <f>SUM(G7:G63)</f>
        <v>78.468999999999994</v>
      </c>
      <c r="H65" s="108"/>
      <c r="J65" s="6"/>
      <c r="K65" s="6"/>
      <c r="L65" s="7"/>
    </row>
    <row r="66" spans="1:12" x14ac:dyDescent="0.25">
      <c r="G66" s="5">
        <f>+G65-78.469</f>
        <v>0</v>
      </c>
    </row>
    <row r="67" spans="1:12" x14ac:dyDescent="0.25">
      <c r="A67" s="63"/>
      <c r="E67" s="9"/>
      <c r="G67" s="9"/>
      <c r="H67" s="8"/>
    </row>
    <row r="69" spans="1:12" x14ac:dyDescent="0.25">
      <c r="B69" t="s">
        <v>19</v>
      </c>
    </row>
  </sheetData>
  <mergeCells count="3">
    <mergeCell ref="B3:F3"/>
    <mergeCell ref="B4:F4"/>
    <mergeCell ref="B5:F5"/>
  </mergeCells>
  <pageMargins left="0.7" right="0.7" top="0.75" bottom="0.75" header="0.3" footer="0.3"/>
  <pageSetup scale="58" orientation="landscape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2536-2D39-4FBC-8A81-6C7F4463321F}">
  <dimension ref="A1:M30"/>
  <sheetViews>
    <sheetView zoomScaleNormal="100" workbookViewId="0">
      <selection activeCell="D5" sqref="D5:D14"/>
    </sheetView>
    <sheetView workbookViewId="1"/>
  </sheetViews>
  <sheetFormatPr defaultRowHeight="15" x14ac:dyDescent="0.25"/>
  <cols>
    <col min="1" max="1" width="13.5703125" style="4" customWidth="1"/>
    <col min="2" max="2" width="12.42578125" style="4" bestFit="1" customWidth="1"/>
  </cols>
  <sheetData>
    <row r="1" spans="1:13" x14ac:dyDescent="0.25">
      <c r="B1" s="218"/>
      <c r="C1" s="4" t="s">
        <v>359</v>
      </c>
      <c r="D1" s="4" t="s">
        <v>352</v>
      </c>
      <c r="E1" s="4" t="s">
        <v>353</v>
      </c>
      <c r="F1" s="4" t="s">
        <v>354</v>
      </c>
      <c r="K1" t="s">
        <v>371</v>
      </c>
      <c r="M1">
        <v>1000</v>
      </c>
    </row>
    <row r="2" spans="1:13" x14ac:dyDescent="0.25">
      <c r="A2" s="318" t="s">
        <v>92</v>
      </c>
      <c r="B2" s="4" t="s">
        <v>355</v>
      </c>
      <c r="C2" s="262">
        <f>AVERAGE('LTF to Bud Interest Rate'!B42:D42)/1000</f>
        <v>570</v>
      </c>
      <c r="D2" s="262">
        <f>AVERAGE('LTF to Bud Interest Rate'!E42:G42)/1000</f>
        <v>570</v>
      </c>
      <c r="E2" s="262">
        <f>AVERAGE('LTF to Bud Interest Rate'!H42:J42)/1000</f>
        <v>750</v>
      </c>
      <c r="F2" s="262">
        <f>AVERAGE('LTF to Bud Interest Rate'!K42:M42)/1000</f>
        <v>750</v>
      </c>
    </row>
    <row r="3" spans="1:13" x14ac:dyDescent="0.25">
      <c r="A3" s="318"/>
      <c r="B3" s="4" t="s">
        <v>318</v>
      </c>
      <c r="C3" s="264">
        <f>AVERAGE('LTF to Bud Interest Rate'!B43:D43)</f>
        <v>4.0399999999999998E-2</v>
      </c>
      <c r="D3" s="264">
        <f>AVERAGE('LTF to Bud Interest Rate'!E43:G43)</f>
        <v>4.0399999999999998E-2</v>
      </c>
      <c r="E3" s="264">
        <f>AVERAGE('LTF to Bud Interest Rate'!H43:J43)</f>
        <v>4.5000000000000005E-2</v>
      </c>
      <c r="F3" s="264">
        <f>AVERAGE('LTF to Bud Interest Rate'!K43:M43)</f>
        <v>4.5000000000000005E-2</v>
      </c>
    </row>
    <row r="4" spans="1:13" x14ac:dyDescent="0.25">
      <c r="A4" s="318"/>
    </row>
    <row r="5" spans="1:13" x14ac:dyDescent="0.25">
      <c r="A5" s="318"/>
      <c r="B5" s="4" t="s">
        <v>356</v>
      </c>
      <c r="C5" s="262"/>
      <c r="D5" s="262"/>
      <c r="E5" s="262"/>
      <c r="F5" s="262"/>
    </row>
    <row r="6" spans="1:13" x14ac:dyDescent="0.25">
      <c r="A6" s="318"/>
      <c r="B6" s="4" t="s">
        <v>357</v>
      </c>
      <c r="C6" s="263">
        <f>AVERAGE('LTF to Bud Interest Rate'!B48:D48)</f>
        <v>4.0500000000000001E-2</v>
      </c>
      <c r="D6" s="263">
        <f>AVERAGE('LTF to Bud Interest Rate'!E48:G48)</f>
        <v>4.0500000000000001E-2</v>
      </c>
      <c r="E6" s="264">
        <f>AVERAGE('LTF to Bud Interest Rate'!H48:J48)</f>
        <v>4.5000000000000005E-2</v>
      </c>
      <c r="F6" s="264">
        <f>AVERAGE('LTF to Bud Interest Rate'!K48:M48)</f>
        <v>4.5000000000000005E-2</v>
      </c>
    </row>
    <row r="7" spans="1:13" x14ac:dyDescent="0.25">
      <c r="C7" s="6"/>
      <c r="D7" s="6"/>
      <c r="E7" s="6"/>
      <c r="F7" s="6"/>
    </row>
    <row r="8" spans="1:13" x14ac:dyDescent="0.25">
      <c r="A8" s="308" t="s">
        <v>358</v>
      </c>
      <c r="B8" s="4" t="s">
        <v>355</v>
      </c>
      <c r="C8" s="262">
        <f>AVERAGE('Q3F Interest Schedules RP'!B3:D3)/1000</f>
        <v>520</v>
      </c>
      <c r="D8" s="262">
        <f>AVERAGE('Q3F Interest Schedules RP'!E3:G3)/1000</f>
        <v>520</v>
      </c>
      <c r="E8" s="262">
        <f>(AVERAGE('Q3F Interest Schedules RP'!H3:J3))/1000</f>
        <v>586.66666666666663</v>
      </c>
      <c r="F8" s="187">
        <f>(AVERAGE('Q3F Interest Schedules RP'!K3:M3))/1000</f>
        <v>570</v>
      </c>
    </row>
    <row r="9" spans="1:13" x14ac:dyDescent="0.25">
      <c r="A9" s="308"/>
      <c r="B9" s="4" t="s">
        <v>318</v>
      </c>
      <c r="C9" s="217">
        <v>3.9629999999999999E-2</v>
      </c>
      <c r="D9" s="217">
        <v>3.9629999999999999E-2</v>
      </c>
      <c r="E9" s="189">
        <v>4.0419999999999998E-2</v>
      </c>
      <c r="F9" s="189">
        <v>4.0419999999999998E-2</v>
      </c>
    </row>
    <row r="10" spans="1:13" x14ac:dyDescent="0.25">
      <c r="A10" s="308"/>
    </row>
    <row r="11" spans="1:13" x14ac:dyDescent="0.25">
      <c r="A11" s="308"/>
      <c r="B11" s="4" t="s">
        <v>356</v>
      </c>
      <c r="C11" s="6">
        <v>176.50200000000001</v>
      </c>
      <c r="D11" s="6">
        <v>176.50200000000001</v>
      </c>
      <c r="E11" s="6">
        <v>176.50200000000001</v>
      </c>
      <c r="F11" s="6">
        <v>176.50200000000001</v>
      </c>
    </row>
    <row r="12" spans="1:13" x14ac:dyDescent="0.25">
      <c r="A12" s="308"/>
      <c r="B12" s="4" t="s">
        <v>357</v>
      </c>
      <c r="C12" s="217">
        <v>6.4999999999999997E-3</v>
      </c>
      <c r="D12" s="217">
        <v>1.2999999999999999E-2</v>
      </c>
      <c r="E12" s="219">
        <v>3.1300000000000001E-2</v>
      </c>
      <c r="F12" s="219">
        <v>3.9E-2</v>
      </c>
      <c r="G12" t="s">
        <v>361</v>
      </c>
    </row>
    <row r="13" spans="1:13" x14ac:dyDescent="0.25">
      <c r="C13" s="6"/>
      <c r="D13" s="6"/>
      <c r="E13" s="6"/>
      <c r="F13" s="6"/>
    </row>
    <row r="14" spans="1:13" x14ac:dyDescent="0.25">
      <c r="A14" s="308" t="s">
        <v>362</v>
      </c>
      <c r="B14" s="4" t="s">
        <v>355</v>
      </c>
      <c r="C14" s="6">
        <f>C2-C8</f>
        <v>50</v>
      </c>
      <c r="D14" s="6">
        <f t="shared" ref="D14:F15" si="0">D2-D8</f>
        <v>50</v>
      </c>
      <c r="E14" s="6">
        <f t="shared" si="0"/>
        <v>163.33333333333337</v>
      </c>
      <c r="F14" s="6">
        <f t="shared" si="0"/>
        <v>180</v>
      </c>
    </row>
    <row r="15" spans="1:13" x14ac:dyDescent="0.25">
      <c r="A15" s="308"/>
      <c r="B15" s="4" t="s">
        <v>318</v>
      </c>
      <c r="C15" s="217">
        <f>C3-C9</f>
        <v>7.6999999999999985E-4</v>
      </c>
      <c r="D15" s="217">
        <f t="shared" si="0"/>
        <v>7.6999999999999985E-4</v>
      </c>
      <c r="E15" s="189">
        <f t="shared" si="0"/>
        <v>4.5800000000000077E-3</v>
      </c>
      <c r="F15" s="189">
        <f t="shared" si="0"/>
        <v>4.5800000000000077E-3</v>
      </c>
    </row>
    <row r="16" spans="1:13" x14ac:dyDescent="0.25">
      <c r="A16" s="308"/>
    </row>
    <row r="17" spans="1:7" x14ac:dyDescent="0.25">
      <c r="A17" s="308"/>
      <c r="B17" s="4" t="s">
        <v>356</v>
      </c>
      <c r="C17" s="6">
        <f t="shared" ref="C17:F17" si="1">C5-C11</f>
        <v>-176.50200000000001</v>
      </c>
      <c r="D17" s="6">
        <f t="shared" si="1"/>
        <v>-176.50200000000001</v>
      </c>
      <c r="E17" s="6">
        <f t="shared" si="1"/>
        <v>-176.50200000000001</v>
      </c>
      <c r="F17" s="6">
        <f t="shared" si="1"/>
        <v>-176.50200000000001</v>
      </c>
    </row>
    <row r="18" spans="1:7" x14ac:dyDescent="0.25">
      <c r="A18" s="308"/>
      <c r="B18" s="4" t="s">
        <v>357</v>
      </c>
      <c r="C18" s="217">
        <f t="shared" ref="C18:F18" si="2">C6-C12</f>
        <v>3.4000000000000002E-2</v>
      </c>
      <c r="D18" s="217">
        <f t="shared" si="2"/>
        <v>2.7500000000000004E-2</v>
      </c>
      <c r="E18" s="189">
        <f t="shared" si="2"/>
        <v>1.3700000000000004E-2</v>
      </c>
      <c r="F18" s="189">
        <f t="shared" si="2"/>
        <v>6.0000000000000053E-3</v>
      </c>
    </row>
    <row r="19" spans="1:7" x14ac:dyDescent="0.25">
      <c r="C19" s="6"/>
      <c r="D19" s="6"/>
      <c r="E19" s="6"/>
      <c r="F19" s="6"/>
    </row>
    <row r="20" spans="1:7" x14ac:dyDescent="0.25">
      <c r="A20" s="308" t="s">
        <v>23</v>
      </c>
      <c r="B20" s="4" t="s">
        <v>355</v>
      </c>
      <c r="C20" s="262">
        <f>AVERAGE('LTF to Bud Interest Rate'!B21:D21)/1000</f>
        <v>670</v>
      </c>
      <c r="D20" s="262">
        <f>AVERAGE('LTF to Bud Interest Rate'!E21:G21)/1000</f>
        <v>670</v>
      </c>
      <c r="E20" s="262">
        <f>AVERAGE('LTF to Bud Interest Rate'!H29:J29)/1000</f>
        <v>771.721</v>
      </c>
      <c r="F20" s="262">
        <f>AVERAGE('LTF to Bud Interest Rate'!K29:M29)/1000</f>
        <v>771.721</v>
      </c>
    </row>
    <row r="21" spans="1:7" x14ac:dyDescent="0.25">
      <c r="A21" s="308"/>
      <c r="B21" s="4" t="s">
        <v>318</v>
      </c>
      <c r="C21" s="263">
        <f>AVERAGE('LTF to Bud Interest Rate'!B22:D22)</f>
        <v>3.8100000000000002E-2</v>
      </c>
      <c r="D21" s="263">
        <f>AVERAGE('LTF to Bud Interest Rate'!E22:G22)</f>
        <v>3.8100000000000002E-2</v>
      </c>
      <c r="E21" s="264">
        <f>AVERAGE('LTF to Bud Interest Rate'!H30:J30)</f>
        <v>3.78E-2</v>
      </c>
      <c r="F21" s="264">
        <f>AVERAGE('LTF to Bud Interest Rate'!K30:M30)</f>
        <v>3.78E-2</v>
      </c>
      <c r="G21" t="s">
        <v>360</v>
      </c>
    </row>
    <row r="22" spans="1:7" x14ac:dyDescent="0.25">
      <c r="A22" s="308"/>
    </row>
    <row r="23" spans="1:7" x14ac:dyDescent="0.25">
      <c r="A23" s="308"/>
      <c r="B23" s="4" t="s">
        <v>356</v>
      </c>
      <c r="C23" s="262">
        <f>AVERAGE('LTF to Bud Interest Rate'!B33:D33)/1000</f>
        <v>141.36192592063807</v>
      </c>
      <c r="D23" s="262">
        <f>AVERAGE('LTF to Bud Interest Rate'!E33:G33)/1000</f>
        <v>141.36192592063807</v>
      </c>
      <c r="E23" s="262">
        <f>AVERAGE('LTF to Bud Interest Rate'!H33:J33)/1000</f>
        <v>141.36192592063807</v>
      </c>
      <c r="F23" s="262">
        <f>AVERAGE('LTF to Bud Interest Rate'!K33:M33)/1000</f>
        <v>141.36192592063807</v>
      </c>
    </row>
    <row r="24" spans="1:7" x14ac:dyDescent="0.25">
      <c r="A24" s="308"/>
      <c r="B24" s="4" t="s">
        <v>357</v>
      </c>
      <c r="C24" s="263">
        <f>AVERAGE('LTF to Bud Interest Rate'!B34:D34)</f>
        <v>2.8300000000000002E-2</v>
      </c>
      <c r="D24" s="263">
        <f>AVERAGE('LTF to Bud Interest Rate'!E34:G34)</f>
        <v>2.8300000000000002E-2</v>
      </c>
      <c r="E24" s="263">
        <f>AVERAGE('LTF to Bud Interest Rate'!H34:J34)</f>
        <v>2.8300000000000002E-2</v>
      </c>
      <c r="F24" s="263">
        <f>AVERAGE('LTF to Bud Interest Rate'!K34:M34)</f>
        <v>2.8300000000000002E-2</v>
      </c>
    </row>
    <row r="25" spans="1:7" x14ac:dyDescent="0.25">
      <c r="C25" s="6"/>
      <c r="D25" s="6"/>
      <c r="E25" s="6"/>
      <c r="F25" s="6"/>
    </row>
    <row r="26" spans="1:7" x14ac:dyDescent="0.25">
      <c r="A26" s="308" t="s">
        <v>363</v>
      </c>
      <c r="B26" s="4" t="s">
        <v>355</v>
      </c>
      <c r="C26" s="6">
        <f>C2-C20</f>
        <v>-100</v>
      </c>
      <c r="D26" s="6">
        <f t="shared" ref="D26:F27" si="3">D2-D20</f>
        <v>-100</v>
      </c>
      <c r="E26" s="6">
        <f t="shared" si="3"/>
        <v>-21.721000000000004</v>
      </c>
      <c r="F26" s="6">
        <f t="shared" si="3"/>
        <v>-21.721000000000004</v>
      </c>
    </row>
    <row r="27" spans="1:7" x14ac:dyDescent="0.25">
      <c r="A27" s="308"/>
      <c r="B27" s="4" t="s">
        <v>318</v>
      </c>
      <c r="C27" s="217">
        <f>C3-C21</f>
        <v>2.2999999999999965E-3</v>
      </c>
      <c r="D27" s="217">
        <f t="shared" si="3"/>
        <v>2.2999999999999965E-3</v>
      </c>
      <c r="E27" s="189">
        <f t="shared" si="3"/>
        <v>7.200000000000005E-3</v>
      </c>
      <c r="F27" s="189">
        <f t="shared" si="3"/>
        <v>7.200000000000005E-3</v>
      </c>
    </row>
    <row r="28" spans="1:7" x14ac:dyDescent="0.25">
      <c r="A28" s="308"/>
    </row>
    <row r="29" spans="1:7" x14ac:dyDescent="0.25">
      <c r="A29" s="308"/>
      <c r="B29" s="4" t="s">
        <v>356</v>
      </c>
      <c r="C29" s="6">
        <f t="shared" ref="C29:F29" si="4">C5-C23</f>
        <v>-141.36192592063807</v>
      </c>
      <c r="D29" s="6">
        <f t="shared" si="4"/>
        <v>-141.36192592063807</v>
      </c>
      <c r="E29" s="6">
        <f t="shared" si="4"/>
        <v>-141.36192592063807</v>
      </c>
      <c r="F29" s="6">
        <f t="shared" si="4"/>
        <v>-141.36192592063807</v>
      </c>
    </row>
    <row r="30" spans="1:7" x14ac:dyDescent="0.25">
      <c r="A30" s="308"/>
      <c r="B30" s="4" t="s">
        <v>357</v>
      </c>
      <c r="C30" s="217">
        <f t="shared" ref="C30:F30" si="5">C6-C24</f>
        <v>1.2199999999999999E-2</v>
      </c>
      <c r="D30" s="217">
        <f t="shared" si="5"/>
        <v>1.2199999999999999E-2</v>
      </c>
      <c r="E30" s="189">
        <f t="shared" si="5"/>
        <v>1.6700000000000003E-2</v>
      </c>
      <c r="F30" s="189">
        <f t="shared" si="5"/>
        <v>1.6700000000000003E-2</v>
      </c>
    </row>
  </sheetData>
  <mergeCells count="5">
    <mergeCell ref="A2:A6"/>
    <mergeCell ref="A8:A12"/>
    <mergeCell ref="A14:A18"/>
    <mergeCell ref="A20:A24"/>
    <mergeCell ref="A26:A30"/>
  </mergeCells>
  <pageMargins left="0.7" right="0.7" top="0.75" bottom="0.75" header="0.3" footer="0.3"/>
  <pageSetup scale="83" orientation="portrait" horizontalDpi="90" verticalDpi="90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4D20-EE4B-441D-99FB-83098D0A9C5D}">
  <dimension ref="A2:R48"/>
  <sheetViews>
    <sheetView showGridLines="0" zoomScaleNormal="100" workbookViewId="0">
      <pane xSplit="2" ySplit="3" topLeftCell="C4" activePane="bottomRight" state="frozen"/>
      <selection activeCell="D5" sqref="D5:D14"/>
      <selection pane="topRight" activeCell="D5" sqref="D5:D14"/>
      <selection pane="bottomLeft" activeCell="D5" sqref="D5:D14"/>
      <selection pane="bottomRight" activeCell="D5" sqref="D5:D14"/>
    </sheetView>
    <sheetView workbookViewId="1"/>
  </sheetViews>
  <sheetFormatPr defaultColWidth="9.140625" defaultRowHeight="12.75" x14ac:dyDescent="0.2"/>
  <cols>
    <col min="1" max="1" width="9.140625" style="228"/>
    <col min="2" max="2" width="22.140625" style="228" customWidth="1"/>
    <col min="3" max="3" width="9.140625" style="228"/>
    <col min="4" max="4" width="10.7109375" style="228" customWidth="1"/>
    <col min="5" max="11" width="9.140625" style="228"/>
    <col min="12" max="12" width="12.42578125" style="228" bestFit="1" customWidth="1"/>
    <col min="13" max="13" width="9.140625" style="228"/>
    <col min="14" max="14" width="11.5703125" style="228" bestFit="1" customWidth="1"/>
    <col min="15" max="15" width="9.140625" style="228"/>
    <col min="16" max="16" width="11.5703125" style="228" bestFit="1" customWidth="1"/>
    <col min="17" max="17" width="9.140625" style="228"/>
    <col min="18" max="18" width="8.140625" style="228" bestFit="1" customWidth="1"/>
    <col min="19" max="16384" width="9.140625" style="228"/>
  </cols>
  <sheetData>
    <row r="2" spans="1:18" x14ac:dyDescent="0.2">
      <c r="A2" s="227">
        <v>0.25345000000000001</v>
      </c>
      <c r="C2" s="228" t="s">
        <v>273</v>
      </c>
      <c r="D2" s="228" t="s">
        <v>92</v>
      </c>
      <c r="E2" s="228" t="s">
        <v>22</v>
      </c>
    </row>
    <row r="3" spans="1:18" ht="21" customHeight="1" x14ac:dyDescent="0.2">
      <c r="C3" s="229">
        <v>2022</v>
      </c>
      <c r="D3" s="229">
        <v>2023</v>
      </c>
      <c r="E3" s="229">
        <v>2023</v>
      </c>
      <c r="G3" s="228" t="s">
        <v>372</v>
      </c>
      <c r="I3" s="228" t="s">
        <v>373</v>
      </c>
    </row>
    <row r="4" spans="1:18" x14ac:dyDescent="0.2">
      <c r="B4" s="230" t="s">
        <v>374</v>
      </c>
    </row>
    <row r="5" spans="1:18" x14ac:dyDescent="0.2">
      <c r="B5" s="231" t="s">
        <v>340</v>
      </c>
      <c r="C5" s="232">
        <f>6433649/1000000</f>
        <v>6.433649</v>
      </c>
      <c r="D5" s="232">
        <f>8753198.11342634/1000000</f>
        <v>8.7531981134263415</v>
      </c>
      <c r="E5" s="233">
        <v>8.6</v>
      </c>
      <c r="G5" s="234">
        <f>D5-C5</f>
        <v>2.3195491134263415</v>
      </c>
      <c r="I5" s="234">
        <f>D5-E5</f>
        <v>0.15319811342634182</v>
      </c>
      <c r="L5" s="235"/>
      <c r="O5" s="228" t="s">
        <v>375</v>
      </c>
    </row>
    <row r="6" spans="1:18" x14ac:dyDescent="0.2">
      <c r="B6" s="236" t="s">
        <v>317</v>
      </c>
      <c r="C6" s="237">
        <v>0.87</v>
      </c>
      <c r="D6" s="237">
        <v>5.2</v>
      </c>
      <c r="E6" s="237">
        <v>5.2</v>
      </c>
      <c r="G6" s="234">
        <f t="shared" ref="G6:G7" si="0">D6-C6</f>
        <v>4.33</v>
      </c>
      <c r="I6" s="234">
        <f t="shared" ref="I6:I7" si="1">D6-E6</f>
        <v>0</v>
      </c>
      <c r="L6" s="235">
        <f>4020000</f>
        <v>4020000</v>
      </c>
      <c r="M6" s="238">
        <f>L6/1000000</f>
        <v>4.0199999999999996</v>
      </c>
      <c r="N6" s="228">
        <f>M6/M8</f>
        <v>0.76960791539826534</v>
      </c>
      <c r="O6" s="234">
        <f>N6*G6</f>
        <v>3.3324022736744889</v>
      </c>
      <c r="P6" s="228" t="s">
        <v>267</v>
      </c>
    </row>
    <row r="7" spans="1:18" x14ac:dyDescent="0.2">
      <c r="B7" s="239" t="s">
        <v>10</v>
      </c>
      <c r="C7" s="240">
        <v>0</v>
      </c>
      <c r="D7" s="240">
        <v>1.3</v>
      </c>
      <c r="E7" s="241">
        <v>5</v>
      </c>
      <c r="G7" s="234">
        <f t="shared" si="0"/>
        <v>1.3</v>
      </c>
      <c r="I7" s="234">
        <f t="shared" si="1"/>
        <v>-3.7</v>
      </c>
      <c r="L7" s="235">
        <v>1203439</v>
      </c>
      <c r="M7" s="238">
        <f>L7/1000000</f>
        <v>1.2034389999999999</v>
      </c>
      <c r="N7" s="228">
        <f>M7/M8</f>
        <v>0.2303920846017346</v>
      </c>
      <c r="O7" s="234">
        <f>N7*G6</f>
        <v>0.9975977263255108</v>
      </c>
      <c r="P7" s="228" t="s">
        <v>376</v>
      </c>
    </row>
    <row r="8" spans="1:18" x14ac:dyDescent="0.2">
      <c r="B8" s="242" t="s">
        <v>228</v>
      </c>
      <c r="C8" s="243">
        <f>SUM(C5:C7)</f>
        <v>7.3036490000000001</v>
      </c>
      <c r="D8" s="244">
        <f>SUM(D5:D7)</f>
        <v>15.253198113426343</v>
      </c>
      <c r="E8" s="243">
        <f>SUM(E5:E7)</f>
        <v>18.8</v>
      </c>
      <c r="L8" s="235">
        <f>SUM(L6:L7)</f>
        <v>5223439</v>
      </c>
      <c r="M8" s="238">
        <f>L8/1000000</f>
        <v>5.2234389999999999</v>
      </c>
    </row>
    <row r="9" spans="1:18" ht="18" x14ac:dyDescent="0.25">
      <c r="C9" s="245"/>
      <c r="D9" s="245"/>
      <c r="L9" s="235"/>
      <c r="N9" s="177"/>
      <c r="O9" s="177"/>
      <c r="P9" s="178"/>
      <c r="R9" s="246"/>
    </row>
    <row r="10" spans="1:18" x14ac:dyDescent="0.2">
      <c r="B10" s="230" t="s">
        <v>129</v>
      </c>
      <c r="C10" s="245"/>
      <c r="D10" s="245"/>
      <c r="R10" s="246"/>
    </row>
    <row r="11" spans="1:18" x14ac:dyDescent="0.2">
      <c r="B11" s="231" t="str">
        <f>B5</f>
        <v>BB to FGT Both Phases</v>
      </c>
      <c r="C11" s="247">
        <f>-42830/1000000</f>
        <v>-4.283E-2</v>
      </c>
      <c r="D11" s="248">
        <f>-62930/1000000</f>
        <v>-6.293E-2</v>
      </c>
      <c r="E11" s="233"/>
      <c r="G11" s="234">
        <f>D11-C11</f>
        <v>-2.01E-2</v>
      </c>
      <c r="I11" s="234">
        <f>D11-E11</f>
        <v>-6.293E-2</v>
      </c>
      <c r="N11" s="246"/>
      <c r="P11" s="246"/>
      <c r="R11" s="246"/>
    </row>
    <row r="12" spans="1:18" x14ac:dyDescent="0.2">
      <c r="B12" s="236" t="str">
        <f t="shared" ref="B12:B13" si="2">B6</f>
        <v>Brightmark</v>
      </c>
      <c r="C12" s="249">
        <f>-7733/1000000</f>
        <v>-7.7330000000000003E-3</v>
      </c>
      <c r="D12" s="250">
        <v>0</v>
      </c>
      <c r="E12" s="237">
        <v>0</v>
      </c>
      <c r="G12" s="234">
        <f t="shared" ref="G12:G13" si="3">D12-C12</f>
        <v>7.7330000000000003E-3</v>
      </c>
      <c r="I12" s="234">
        <f t="shared" ref="I12:I13" si="4">D12-E12</f>
        <v>0</v>
      </c>
    </row>
    <row r="13" spans="1:18" x14ac:dyDescent="0.2">
      <c r="B13" s="239" t="str">
        <f t="shared" si="2"/>
        <v>Alliance</v>
      </c>
      <c r="C13" s="241">
        <v>0</v>
      </c>
      <c r="D13" s="251">
        <v>0</v>
      </c>
      <c r="E13" s="241">
        <v>-3.1</v>
      </c>
      <c r="G13" s="234">
        <f t="shared" si="3"/>
        <v>0</v>
      </c>
      <c r="I13" s="234">
        <f t="shared" si="4"/>
        <v>3.1</v>
      </c>
    </row>
    <row r="14" spans="1:18" x14ac:dyDescent="0.2">
      <c r="B14" s="242" t="s">
        <v>228</v>
      </c>
      <c r="C14" s="243">
        <f>SUM(C11:C13)</f>
        <v>-5.0562999999999997E-2</v>
      </c>
      <c r="D14" s="252">
        <f>SUM(D11:D13)</f>
        <v>-6.293E-2</v>
      </c>
      <c r="E14" s="243">
        <f>SUM(E11:E13)</f>
        <v>-3.1</v>
      </c>
    </row>
    <row r="15" spans="1:18" x14ac:dyDescent="0.2">
      <c r="C15" s="245"/>
      <c r="D15" s="245"/>
      <c r="E15" s="234"/>
    </row>
    <row r="16" spans="1:18" x14ac:dyDescent="0.2">
      <c r="B16" s="230" t="s">
        <v>48</v>
      </c>
      <c r="E16" s="234"/>
    </row>
    <row r="17" spans="2:9" x14ac:dyDescent="0.2">
      <c r="B17" s="231" t="str">
        <f>B11</f>
        <v>BB to FGT Both Phases</v>
      </c>
      <c r="C17" s="247">
        <f>-20145/1000000</f>
        <v>-2.0145E-2</v>
      </c>
      <c r="D17" s="248">
        <f>-49893/1000000</f>
        <v>-4.9893E-2</v>
      </c>
      <c r="E17" s="253"/>
      <c r="G17" s="234">
        <f>D17-C17</f>
        <v>-2.9748E-2</v>
      </c>
      <c r="I17" s="234">
        <f>D17-E17</f>
        <v>-4.9893E-2</v>
      </c>
    </row>
    <row r="18" spans="2:9" x14ac:dyDescent="0.2">
      <c r="B18" s="236" t="str">
        <f t="shared" ref="B18:B20" si="5">B12</f>
        <v>Brightmark</v>
      </c>
      <c r="C18" s="249">
        <f>-2500/1000000</f>
        <v>-2.5000000000000001E-3</v>
      </c>
      <c r="D18" s="254">
        <f>-15000/1000000</f>
        <v>-1.4999999999999999E-2</v>
      </c>
      <c r="E18" s="254">
        <f>-15000/1000000</f>
        <v>-1.4999999999999999E-2</v>
      </c>
      <c r="G18" s="234">
        <f t="shared" ref="G18:G19" si="6">D18-C18</f>
        <v>-1.2499999999999999E-2</v>
      </c>
      <c r="I18" s="234">
        <f t="shared" ref="I18:I19" si="7">D18-E18</f>
        <v>0</v>
      </c>
    </row>
    <row r="19" spans="2:9" x14ac:dyDescent="0.2">
      <c r="B19" s="239" t="str">
        <f t="shared" si="5"/>
        <v>Alliance</v>
      </c>
      <c r="C19" s="241">
        <v>0</v>
      </c>
      <c r="D19" s="255">
        <f>-7216/1000000</f>
        <v>-7.2160000000000002E-3</v>
      </c>
      <c r="E19" s="255">
        <f>-28393/1000000</f>
        <v>-2.8393000000000002E-2</v>
      </c>
      <c r="G19" s="234">
        <f t="shared" si="6"/>
        <v>-7.2160000000000002E-3</v>
      </c>
      <c r="I19" s="234">
        <f t="shared" si="7"/>
        <v>2.1177000000000001E-2</v>
      </c>
    </row>
    <row r="20" spans="2:9" x14ac:dyDescent="0.2">
      <c r="B20" s="242" t="str">
        <f t="shared" si="5"/>
        <v>Total</v>
      </c>
      <c r="C20" s="243">
        <f>SUM(C17:C19)</f>
        <v>-2.2644999999999998E-2</v>
      </c>
      <c r="D20" s="243">
        <f t="shared" ref="D20:E20" si="8">SUM(D17:D19)</f>
        <v>-7.2109000000000006E-2</v>
      </c>
      <c r="E20" s="243">
        <f t="shared" si="8"/>
        <v>-4.3393000000000001E-2</v>
      </c>
    </row>
    <row r="23" spans="2:9" x14ac:dyDescent="0.2">
      <c r="B23" s="230" t="s">
        <v>131</v>
      </c>
      <c r="C23" s="245"/>
      <c r="D23" s="245"/>
    </row>
    <row r="24" spans="2:9" x14ac:dyDescent="0.2">
      <c r="B24" s="231" t="str">
        <f>B11</f>
        <v>BB to FGT Both Phases</v>
      </c>
      <c r="C24" s="256">
        <f>-1837281/1000000</f>
        <v>-1.8372809999999999</v>
      </c>
      <c r="D24" s="257">
        <f>-2350061/1000000</f>
        <v>-2.3500610000000002</v>
      </c>
      <c r="E24" s="233"/>
      <c r="G24" s="234">
        <f>D24-C24</f>
        <v>-0.51278000000000024</v>
      </c>
      <c r="I24" s="234">
        <f>D24-E24</f>
        <v>-2.3500610000000002</v>
      </c>
    </row>
    <row r="25" spans="2:9" x14ac:dyDescent="0.2">
      <c r="B25" s="236" t="str">
        <f>B12</f>
        <v>Brightmark</v>
      </c>
      <c r="C25" s="258">
        <f>-465348/1000000</f>
        <v>-0.46534799999999998</v>
      </c>
      <c r="D25" s="250">
        <f>-2792091/1000000</f>
        <v>-2.7920910000000001</v>
      </c>
      <c r="E25" s="250">
        <f>-2792091/1000000</f>
        <v>-2.7920910000000001</v>
      </c>
      <c r="G25" s="234">
        <f t="shared" ref="G25:G26" si="9">D25-C25</f>
        <v>-2.326743</v>
      </c>
      <c r="I25" s="234">
        <f t="shared" ref="I25:I26" si="10">D25-E25</f>
        <v>0</v>
      </c>
    </row>
    <row r="26" spans="2:9" x14ac:dyDescent="0.2">
      <c r="B26" s="239" t="str">
        <f>B13</f>
        <v>Alliance</v>
      </c>
      <c r="C26" s="259">
        <v>0</v>
      </c>
      <c r="D26" s="251">
        <f>-462324/1000000</f>
        <v>-0.46232400000000001</v>
      </c>
      <c r="E26" s="241">
        <f>-329081/1000000</f>
        <v>-0.32908100000000001</v>
      </c>
      <c r="G26" s="234">
        <f t="shared" si="9"/>
        <v>-0.46232400000000001</v>
      </c>
      <c r="I26" s="234">
        <f t="shared" si="10"/>
        <v>-0.133243</v>
      </c>
    </row>
    <row r="27" spans="2:9" x14ac:dyDescent="0.2">
      <c r="B27" s="242" t="str">
        <f>B14</f>
        <v>Total</v>
      </c>
      <c r="C27" s="243">
        <f>SUM(C24:C26)</f>
        <v>-2.302629</v>
      </c>
      <c r="D27" s="244">
        <f>SUM(D24:D26)</f>
        <v>-5.604476</v>
      </c>
      <c r="E27" s="243">
        <f>SUM(E24:E26)</f>
        <v>-3.1211720000000001</v>
      </c>
    </row>
    <row r="28" spans="2:9" x14ac:dyDescent="0.2">
      <c r="B28" s="242"/>
      <c r="C28" s="245"/>
      <c r="D28" s="245"/>
    </row>
    <row r="29" spans="2:9" x14ac:dyDescent="0.2">
      <c r="B29" s="230" t="s">
        <v>377</v>
      </c>
      <c r="C29" s="245"/>
      <c r="D29" s="245"/>
    </row>
    <row r="30" spans="2:9" x14ac:dyDescent="0.2">
      <c r="B30" s="231" t="str">
        <f>B24</f>
        <v>BB to FGT Both Phases</v>
      </c>
      <c r="C30" s="232">
        <f>-325329/1000000</f>
        <v>-0.32532899999999998</v>
      </c>
      <c r="D30" s="257">
        <f>-1048661/1000000</f>
        <v>-1.0486610000000001</v>
      </c>
      <c r="E30" s="233"/>
      <c r="G30" s="234">
        <f>D30-C30</f>
        <v>-0.72333200000000009</v>
      </c>
      <c r="I30" s="234">
        <f>D30-E30</f>
        <v>-1.0486610000000001</v>
      </c>
    </row>
    <row r="31" spans="2:9" x14ac:dyDescent="0.2">
      <c r="B31" s="236" t="str">
        <f t="shared" ref="B31:B32" si="11">B25</f>
        <v>Brightmark</v>
      </c>
      <c r="C31" s="237">
        <f>-75479/1000000</f>
        <v>-7.5479000000000004E-2</v>
      </c>
      <c r="D31" s="254">
        <f>-452875/1000000</f>
        <v>-0.45287500000000003</v>
      </c>
      <c r="E31" s="254">
        <f>-452875/1000000</f>
        <v>-0.45287500000000003</v>
      </c>
      <c r="G31" s="234">
        <f t="shared" ref="G31:G32" si="12">D31-C31</f>
        <v>-0.37739600000000001</v>
      </c>
      <c r="I31" s="234">
        <f t="shared" ref="I31:I32" si="13">D31-E31</f>
        <v>0</v>
      </c>
    </row>
    <row r="32" spans="2:9" x14ac:dyDescent="0.2">
      <c r="B32" s="239" t="str">
        <f t="shared" si="11"/>
        <v>Alliance</v>
      </c>
      <c r="C32" s="241">
        <f>-128032/1000000</f>
        <v>-0.12803200000000001</v>
      </c>
      <c r="D32" s="255">
        <f>-226925/1000000</f>
        <v>-0.22692499999999999</v>
      </c>
      <c r="E32" s="240">
        <f>-172528/1000000</f>
        <v>-0.17252799999999999</v>
      </c>
      <c r="G32" s="234">
        <f t="shared" si="12"/>
        <v>-9.8892999999999981E-2</v>
      </c>
      <c r="I32" s="234">
        <f t="shared" si="13"/>
        <v>-5.4397000000000001E-2</v>
      </c>
    </row>
    <row r="33" spans="1:9" x14ac:dyDescent="0.2">
      <c r="B33" s="242" t="str">
        <f>B27</f>
        <v>Total</v>
      </c>
      <c r="C33" s="243">
        <f>SUM(C30:C32)</f>
        <v>-0.52883999999999998</v>
      </c>
      <c r="D33" s="244">
        <f>SUM(D30:D32)</f>
        <v>-1.7284610000000002</v>
      </c>
      <c r="E33" s="243">
        <f>SUM(E30:E32)</f>
        <v>-0.62540300000000004</v>
      </c>
    </row>
    <row r="34" spans="1:9" x14ac:dyDescent="0.2">
      <c r="B34" s="242"/>
      <c r="C34" s="245"/>
      <c r="D34" s="245"/>
    </row>
    <row r="35" spans="1:9" x14ac:dyDescent="0.2">
      <c r="B35" s="230" t="s">
        <v>130</v>
      </c>
      <c r="C35" s="245"/>
      <c r="D35" s="245"/>
    </row>
    <row r="36" spans="1:9" x14ac:dyDescent="0.2">
      <c r="B36" s="231" t="str">
        <f>B30</f>
        <v>BB to FGT Both Phases</v>
      </c>
      <c r="C36" s="232">
        <f>-307756/1000000</f>
        <v>-0.30775599999999997</v>
      </c>
      <c r="D36" s="257">
        <f>-872437/1000000</f>
        <v>-0.87243700000000002</v>
      </c>
      <c r="E36" s="260"/>
      <c r="G36" s="234">
        <f>D36-C36</f>
        <v>-0.56468099999999999</v>
      </c>
      <c r="I36" s="234">
        <f>D36-E36</f>
        <v>-0.87243700000000002</v>
      </c>
    </row>
    <row r="37" spans="1:9" x14ac:dyDescent="0.2">
      <c r="B37" s="236" t="str">
        <f>B31</f>
        <v>Brightmark</v>
      </c>
      <c r="C37" s="237">
        <v>0</v>
      </c>
      <c r="D37" s="250">
        <v>0</v>
      </c>
      <c r="E37" s="250">
        <v>0</v>
      </c>
      <c r="G37" s="234">
        <f t="shared" ref="G37:G38" si="14">D37-C37</f>
        <v>0</v>
      </c>
      <c r="I37" s="234">
        <f t="shared" ref="I37:I38" si="15">D37-E37</f>
        <v>0</v>
      </c>
    </row>
    <row r="38" spans="1:9" x14ac:dyDescent="0.2">
      <c r="B38" s="239" t="str">
        <f>B32</f>
        <v>Alliance</v>
      </c>
      <c r="C38" s="241">
        <v>0</v>
      </c>
      <c r="D38" s="255">
        <f>-113177/1000000</f>
        <v>-0.113177</v>
      </c>
      <c r="E38" s="255">
        <f>-119381/1000000</f>
        <v>-0.119381</v>
      </c>
      <c r="G38" s="234">
        <f t="shared" si="14"/>
        <v>-0.113177</v>
      </c>
      <c r="I38" s="234">
        <f t="shared" si="15"/>
        <v>6.2040000000000012E-3</v>
      </c>
    </row>
    <row r="39" spans="1:9" x14ac:dyDescent="0.2">
      <c r="B39" s="242" t="str">
        <f>B33</f>
        <v>Total</v>
      </c>
      <c r="C39" s="243">
        <f>SUM(C36:C38)</f>
        <v>-0.30775599999999997</v>
      </c>
      <c r="D39" s="244">
        <f>SUM(D36:D38)</f>
        <v>-0.98561399999999999</v>
      </c>
      <c r="E39" s="244">
        <f>SUM(E36:E38)</f>
        <v>-0.119381</v>
      </c>
    </row>
    <row r="41" spans="1:9" x14ac:dyDescent="0.2">
      <c r="B41" s="230" t="s">
        <v>378</v>
      </c>
    </row>
    <row r="42" spans="1:9" x14ac:dyDescent="0.2">
      <c r="B42" s="228" t="s">
        <v>379</v>
      </c>
      <c r="C42" s="261">
        <f>(C8+C14+C27+C33+C39+C20)*(1-A2)</f>
        <v>3.0542973048000004</v>
      </c>
      <c r="D42" s="261">
        <f>(D8+D14+D27+D33+D39+D20)*(1-A2)</f>
        <v>5.076247437078437</v>
      </c>
      <c r="E42" s="261">
        <f>(E8+E14+E27+E33+E39+E20)*(1-B2)</f>
        <v>11.790651</v>
      </c>
      <c r="G42" s="234"/>
    </row>
    <row r="43" spans="1:9" x14ac:dyDescent="0.2">
      <c r="G43" s="234"/>
    </row>
    <row r="44" spans="1:9" x14ac:dyDescent="0.2">
      <c r="B44" s="228" t="s">
        <v>380</v>
      </c>
      <c r="G44" s="234"/>
    </row>
    <row r="46" spans="1:9" x14ac:dyDescent="0.2">
      <c r="A46" s="228" t="s">
        <v>381</v>
      </c>
      <c r="B46" s="231" t="s">
        <v>340</v>
      </c>
      <c r="C46" s="261">
        <f>(C5+C11+C24+C30+C36+C17)</f>
        <v>3.9003079999999999</v>
      </c>
      <c r="D46" s="261">
        <f>(D5+D11+D24+D30+D36+D17)</f>
        <v>4.3692161134263419</v>
      </c>
      <c r="E46" s="261">
        <f>(E5+E11+E24+E30+E36+E17)</f>
        <v>8.6</v>
      </c>
      <c r="G46" s="234">
        <f>D46-C46</f>
        <v>0.46890811342634198</v>
      </c>
      <c r="I46" s="234">
        <f>D46-E46</f>
        <v>-4.2307838865736578</v>
      </c>
    </row>
    <row r="47" spans="1:9" x14ac:dyDescent="0.2">
      <c r="B47" s="236" t="s">
        <v>317</v>
      </c>
      <c r="C47" s="261">
        <f t="shared" ref="C47:E48" si="16">(C6+C12+C25+C31+C37+C18)</f>
        <v>0.31894</v>
      </c>
      <c r="D47" s="261">
        <f t="shared" si="16"/>
        <v>1.940034</v>
      </c>
      <c r="E47" s="261">
        <f t="shared" si="16"/>
        <v>1.940034</v>
      </c>
      <c r="G47" s="234">
        <f t="shared" ref="G47:G48" si="17">D47-C47</f>
        <v>1.621094</v>
      </c>
      <c r="I47" s="234">
        <f t="shared" ref="I47:I48" si="18">D47-E47</f>
        <v>0</v>
      </c>
    </row>
    <row r="48" spans="1:9" x14ac:dyDescent="0.2">
      <c r="B48" s="239" t="s">
        <v>10</v>
      </c>
      <c r="C48" s="261">
        <f t="shared" si="16"/>
        <v>-0.12803200000000001</v>
      </c>
      <c r="D48" s="261">
        <f t="shared" si="16"/>
        <v>0.49035800000000007</v>
      </c>
      <c r="E48" s="261">
        <f t="shared" si="16"/>
        <v>1.2506170000000001</v>
      </c>
      <c r="G48" s="234">
        <f t="shared" si="17"/>
        <v>0.61839000000000011</v>
      </c>
      <c r="I48" s="234">
        <f t="shared" si="18"/>
        <v>-0.76025900000000002</v>
      </c>
    </row>
  </sheetData>
  <pageMargins left="0.7" right="0.7" top="0.75" bottom="0.75" header="0.3" footer="0.3"/>
  <pageSetup scale="86" orientation="portrait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8CE8-B9E8-4532-96C3-79D7B450F087}">
  <dimension ref="A1:AA66"/>
  <sheetViews>
    <sheetView zoomScale="85" zoomScaleNormal="85" workbookViewId="0">
      <selection activeCell="D5" sqref="D5:D14"/>
    </sheetView>
    <sheetView workbookViewId="1"/>
  </sheetViews>
  <sheetFormatPr defaultRowHeight="15" outlineLevelCol="1" x14ac:dyDescent="0.25"/>
  <cols>
    <col min="1" max="1" width="28.7109375" customWidth="1" outlineLevel="1"/>
    <col min="2" max="13" width="11.5703125" customWidth="1" outlineLevel="1"/>
    <col min="14" max="15" width="10.5703125" customWidth="1" outlineLevel="1"/>
    <col min="16" max="16" width="24.85546875" bestFit="1" customWidth="1"/>
    <col min="17" max="17" width="30.7109375" bestFit="1" customWidth="1"/>
    <col min="18" max="18" width="11.42578125" bestFit="1" customWidth="1"/>
    <col min="19" max="19" width="11.5703125" bestFit="1" customWidth="1"/>
    <col min="20" max="20" width="20.7109375" bestFit="1" customWidth="1"/>
    <col min="21" max="21" width="20.7109375" customWidth="1"/>
    <col min="22" max="22" width="21.28515625" bestFit="1" customWidth="1"/>
    <col min="23" max="23" width="0.7109375" customWidth="1"/>
    <col min="24" max="24" width="10.5703125" bestFit="1" customWidth="1"/>
    <col min="26" max="26" width="11.28515625" bestFit="1" customWidth="1"/>
  </cols>
  <sheetData>
    <row r="1" spans="1:27" s="4" customFormat="1" x14ac:dyDescent="0.25">
      <c r="A1" s="204" t="s">
        <v>322</v>
      </c>
      <c r="B1" s="4" t="s">
        <v>277</v>
      </c>
      <c r="C1" s="4" t="s">
        <v>278</v>
      </c>
      <c r="D1" s="4" t="s">
        <v>279</v>
      </c>
      <c r="E1" s="4" t="s">
        <v>280</v>
      </c>
      <c r="F1" s="4" t="s">
        <v>281</v>
      </c>
      <c r="G1" s="4" t="s">
        <v>282</v>
      </c>
      <c r="H1" s="4" t="s">
        <v>283</v>
      </c>
      <c r="I1" s="4" t="s">
        <v>284</v>
      </c>
      <c r="J1" s="4" t="s">
        <v>285</v>
      </c>
      <c r="K1" s="4" t="s">
        <v>286</v>
      </c>
      <c r="L1" s="4" t="s">
        <v>287</v>
      </c>
      <c r="M1" s="4" t="s">
        <v>288</v>
      </c>
      <c r="N1" s="4">
        <v>2023</v>
      </c>
      <c r="R1" s="4" t="s">
        <v>308</v>
      </c>
      <c r="S1" s="4" t="s">
        <v>309</v>
      </c>
      <c r="T1" s="4" t="s">
        <v>310</v>
      </c>
      <c r="U1" s="4" t="s">
        <v>320</v>
      </c>
      <c r="V1" s="4" t="s">
        <v>311</v>
      </c>
      <c r="X1" s="4" t="s">
        <v>313</v>
      </c>
    </row>
    <row r="2" spans="1:27" ht="3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7" x14ac:dyDescent="0.25">
      <c r="A3" s="4" t="s">
        <v>289</v>
      </c>
      <c r="Q3" t="s">
        <v>273</v>
      </c>
      <c r="R3" s="8">
        <v>21000</v>
      </c>
      <c r="S3" s="8">
        <v>4143.8</v>
      </c>
      <c r="T3" s="62">
        <v>416.1</v>
      </c>
      <c r="U3" s="62">
        <v>83.2</v>
      </c>
      <c r="V3" s="62">
        <v>775.8</v>
      </c>
      <c r="X3" s="8">
        <f>SUM(R3:V3)</f>
        <v>26418.899999999998</v>
      </c>
    </row>
    <row r="4" spans="1:27" x14ac:dyDescent="0.25">
      <c r="A4" s="4" t="s">
        <v>290</v>
      </c>
      <c r="B4" s="62">
        <v>570000</v>
      </c>
      <c r="C4" s="62">
        <v>570000</v>
      </c>
      <c r="D4" s="62">
        <v>570000</v>
      </c>
      <c r="E4" s="62">
        <v>570000</v>
      </c>
      <c r="F4" s="62">
        <v>570000</v>
      </c>
      <c r="G4" s="62">
        <v>570000</v>
      </c>
      <c r="H4" s="62">
        <v>570000</v>
      </c>
      <c r="I4" s="62">
        <v>570000</v>
      </c>
      <c r="J4" s="62">
        <v>570000</v>
      </c>
      <c r="K4" s="62">
        <v>570000</v>
      </c>
      <c r="L4" s="62">
        <v>570000</v>
      </c>
      <c r="M4" s="62">
        <v>570000</v>
      </c>
      <c r="P4" t="s">
        <v>319</v>
      </c>
      <c r="Q4" t="s">
        <v>321</v>
      </c>
      <c r="R4" s="8">
        <f>N6</f>
        <v>24339</v>
      </c>
      <c r="S4" s="8">
        <f>N12</f>
        <v>7309.3926797072018</v>
      </c>
      <c r="T4" s="62">
        <v>416.1</v>
      </c>
      <c r="U4" s="62"/>
      <c r="V4" s="62">
        <v>775.8</v>
      </c>
      <c r="X4" s="8">
        <f>SUM(R4:V4)</f>
        <v>32840.2926797072</v>
      </c>
      <c r="Z4" s="8">
        <f>X4-X3</f>
        <v>6421.3926797072018</v>
      </c>
      <c r="AA4" s="4" t="s">
        <v>314</v>
      </c>
    </row>
    <row r="5" spans="1:27" x14ac:dyDescent="0.25">
      <c r="A5" s="4"/>
      <c r="B5" s="189">
        <v>4.0399999999999998E-2</v>
      </c>
      <c r="C5" s="189">
        <v>4.0399999999999998E-2</v>
      </c>
      <c r="D5" s="189">
        <v>4.0399999999999998E-2</v>
      </c>
      <c r="E5" s="189">
        <v>4.0399999999999998E-2</v>
      </c>
      <c r="F5" s="189">
        <v>4.0399999999999998E-2</v>
      </c>
      <c r="G5" s="189">
        <v>4.0399999999999998E-2</v>
      </c>
      <c r="H5" s="189">
        <v>4.4999999999999998E-2</v>
      </c>
      <c r="I5" s="189">
        <v>4.4999999999999998E-2</v>
      </c>
      <c r="J5" s="189">
        <v>4.4999999999999998E-2</v>
      </c>
      <c r="K5" s="189">
        <v>4.4999999999999998E-2</v>
      </c>
      <c r="L5" s="189">
        <v>4.4999999999999998E-2</v>
      </c>
      <c r="M5" s="189">
        <v>4.4999999999999998E-2</v>
      </c>
      <c r="Q5" t="s">
        <v>324</v>
      </c>
      <c r="R5" s="8">
        <f>SUM(N20:N24)</f>
        <v>26808</v>
      </c>
      <c r="S5" s="8">
        <f>N29</f>
        <v>7391.9120000000012</v>
      </c>
      <c r="T5" s="62">
        <v>781</v>
      </c>
      <c r="U5" s="62"/>
      <c r="V5" s="62">
        <v>775.8</v>
      </c>
      <c r="X5" s="8">
        <f>SUM(R5:V5)</f>
        <v>35756.712000000007</v>
      </c>
      <c r="Z5" s="8"/>
      <c r="AA5" s="4"/>
    </row>
    <row r="6" spans="1:27" x14ac:dyDescent="0.25">
      <c r="A6" s="4"/>
      <c r="B6" s="62">
        <f t="shared" ref="B6:L6" si="0">(B4*B5)/12</f>
        <v>1919</v>
      </c>
      <c r="C6" s="62">
        <f t="shared" si="0"/>
        <v>1919</v>
      </c>
      <c r="D6" s="62">
        <f t="shared" si="0"/>
        <v>1919</v>
      </c>
      <c r="E6" s="62">
        <f t="shared" si="0"/>
        <v>1919</v>
      </c>
      <c r="F6" s="62">
        <f t="shared" si="0"/>
        <v>1919</v>
      </c>
      <c r="G6" s="62">
        <f t="shared" si="0"/>
        <v>1919</v>
      </c>
      <c r="H6" s="62">
        <f t="shared" si="0"/>
        <v>2137.5</v>
      </c>
      <c r="I6" s="62">
        <f t="shared" si="0"/>
        <v>2137.5</v>
      </c>
      <c r="J6" s="62">
        <f t="shared" si="0"/>
        <v>2137.5</v>
      </c>
      <c r="K6" s="62">
        <f t="shared" si="0"/>
        <v>2137.5</v>
      </c>
      <c r="L6" s="62">
        <f t="shared" si="0"/>
        <v>2137.5</v>
      </c>
      <c r="M6" s="62">
        <f>((M4*M5)/12)</f>
        <v>2137.5</v>
      </c>
      <c r="N6" s="190">
        <f>SUM(B6:M6)</f>
        <v>24339</v>
      </c>
      <c r="Q6" t="s">
        <v>325</v>
      </c>
      <c r="R6" s="8">
        <f>N37</f>
        <v>28389</v>
      </c>
      <c r="S6" s="8">
        <f>N42</f>
        <v>8072.7460000000001</v>
      </c>
      <c r="T6" s="62">
        <v>781</v>
      </c>
      <c r="V6" s="62">
        <v>775.8</v>
      </c>
      <c r="X6" s="8">
        <f>SUM(R6:V6)</f>
        <v>38018.546000000002</v>
      </c>
      <c r="Z6" s="8">
        <f>X6-X5</f>
        <v>2261.8339999999953</v>
      </c>
      <c r="AA6" s="4" t="s">
        <v>315</v>
      </c>
    </row>
    <row r="7" spans="1:27" ht="3" customHeight="1" x14ac:dyDescent="0.25">
      <c r="A7" s="4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190"/>
    </row>
    <row r="8" spans="1:27" x14ac:dyDescent="0.25">
      <c r="A8" s="4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T8" s="62"/>
      <c r="U8" s="62"/>
    </row>
    <row r="9" spans="1:27" x14ac:dyDescent="0.25">
      <c r="A9" s="4" t="s">
        <v>291</v>
      </c>
    </row>
    <row r="10" spans="1:27" x14ac:dyDescent="0.25">
      <c r="A10" s="4" t="s">
        <v>292</v>
      </c>
      <c r="B10" s="62">
        <v>210398.8</v>
      </c>
      <c r="C10" s="62">
        <v>158200.1</v>
      </c>
      <c r="D10" s="62">
        <v>166329.5</v>
      </c>
      <c r="E10" s="62">
        <v>174484</v>
      </c>
      <c r="F10" s="62">
        <v>177717.8</v>
      </c>
      <c r="G10" s="62">
        <v>198344.9</v>
      </c>
      <c r="H10" s="62">
        <v>100000</v>
      </c>
      <c r="I10" s="62">
        <v>100000</v>
      </c>
      <c r="J10" s="62">
        <v>155726.97899844465</v>
      </c>
      <c r="K10" s="62">
        <v>211077.961330205</v>
      </c>
      <c r="L10" s="62">
        <v>228022.99880717014</v>
      </c>
      <c r="M10" s="62">
        <v>237720.0243416563</v>
      </c>
      <c r="N10" s="62"/>
      <c r="P10" t="s">
        <v>319</v>
      </c>
    </row>
    <row r="11" spans="1:27" x14ac:dyDescent="0.25">
      <c r="A11" s="194"/>
      <c r="B11" s="80">
        <v>3.7999999999999999E-2</v>
      </c>
      <c r="C11" s="80">
        <v>3.7999999999999999E-2</v>
      </c>
      <c r="D11" s="80">
        <v>3.7999999999999999E-2</v>
      </c>
      <c r="E11" s="80">
        <v>3.7999999999999999E-2</v>
      </c>
      <c r="F11" s="80">
        <v>3.7999999999999999E-2</v>
      </c>
      <c r="G11" s="80">
        <v>3.7999999999999999E-2</v>
      </c>
      <c r="H11" s="80">
        <v>4.4999999999999998E-2</v>
      </c>
      <c r="I11" s="80">
        <v>4.4999999999999998E-2</v>
      </c>
      <c r="J11" s="80">
        <v>4.4999999999999998E-2</v>
      </c>
      <c r="K11" s="80">
        <v>4.4999999999999998E-2</v>
      </c>
      <c r="L11" s="80">
        <v>4.4999999999999998E-2</v>
      </c>
      <c r="M11" s="80">
        <v>4.4999999999999998E-2</v>
      </c>
      <c r="N11" s="62"/>
    </row>
    <row r="12" spans="1:27" x14ac:dyDescent="0.25">
      <c r="A12" s="194"/>
      <c r="B12" s="193">
        <f>(B10*B11)/12</f>
        <v>666.26286666666658</v>
      </c>
      <c r="C12" s="193">
        <f t="shared" ref="C12:M12" si="1">(C10*C11)/12</f>
        <v>500.9669833333333</v>
      </c>
      <c r="D12" s="193">
        <f t="shared" si="1"/>
        <v>526.71008333333327</v>
      </c>
      <c r="E12" s="193">
        <f t="shared" si="1"/>
        <v>552.53266666666661</v>
      </c>
      <c r="F12" s="193">
        <f t="shared" si="1"/>
        <v>562.77303333333327</v>
      </c>
      <c r="G12" s="193">
        <f t="shared" si="1"/>
        <v>628.09218333333331</v>
      </c>
      <c r="H12" s="193">
        <f t="shared" si="1"/>
        <v>375</v>
      </c>
      <c r="I12" s="193">
        <f t="shared" si="1"/>
        <v>375</v>
      </c>
      <c r="J12" s="193">
        <f t="shared" si="1"/>
        <v>583.9761712441674</v>
      </c>
      <c r="K12" s="193">
        <f t="shared" si="1"/>
        <v>791.54235498826881</v>
      </c>
      <c r="L12" s="193">
        <f t="shared" si="1"/>
        <v>855.08624552688798</v>
      </c>
      <c r="M12" s="193">
        <f t="shared" si="1"/>
        <v>891.45009128121103</v>
      </c>
      <c r="N12" s="188">
        <f>SUM(B12:M12)</f>
        <v>7309.3926797072018</v>
      </c>
    </row>
    <row r="13" spans="1:27" x14ac:dyDescent="0.25">
      <c r="A13" s="4"/>
      <c r="O13" s="8">
        <f>SUM(N6:N12)</f>
        <v>31648.392679707202</v>
      </c>
      <c r="Q13" s="8"/>
    </row>
    <row r="15" spans="1:27" x14ac:dyDescent="0.25">
      <c r="A15" s="4" t="s">
        <v>323</v>
      </c>
      <c r="B15" s="4" t="s">
        <v>277</v>
      </c>
      <c r="C15" s="4" t="s">
        <v>278</v>
      </c>
      <c r="D15" s="4" t="s">
        <v>279</v>
      </c>
      <c r="E15" s="4" t="s">
        <v>280</v>
      </c>
      <c r="F15" s="4" t="s">
        <v>281</v>
      </c>
      <c r="G15" s="4" t="s">
        <v>282</v>
      </c>
      <c r="H15" s="4" t="s">
        <v>283</v>
      </c>
      <c r="I15" s="4" t="s">
        <v>284</v>
      </c>
      <c r="J15" s="4" t="s">
        <v>285</v>
      </c>
      <c r="K15" s="4" t="s">
        <v>286</v>
      </c>
      <c r="L15" s="4" t="s">
        <v>287</v>
      </c>
      <c r="M15" s="4" t="s">
        <v>288</v>
      </c>
      <c r="N15" s="4">
        <v>2023</v>
      </c>
      <c r="O15" s="4"/>
      <c r="Q15" s="8"/>
    </row>
    <row r="16" spans="1:2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x14ac:dyDescent="0.25">
      <c r="A17" t="s">
        <v>289</v>
      </c>
    </row>
    <row r="18" spans="1:15" x14ac:dyDescent="0.25">
      <c r="A18" t="s">
        <v>290</v>
      </c>
      <c r="B18" s="62">
        <v>570000</v>
      </c>
      <c r="C18" s="62">
        <v>570000</v>
      </c>
      <c r="D18" s="62">
        <v>570000</v>
      </c>
      <c r="E18" s="62">
        <v>570000</v>
      </c>
      <c r="F18" s="62">
        <v>570000</v>
      </c>
      <c r="G18" s="62">
        <v>570000</v>
      </c>
      <c r="H18" s="62">
        <v>570000</v>
      </c>
      <c r="I18" s="62">
        <v>570000</v>
      </c>
      <c r="J18" s="62">
        <v>570000</v>
      </c>
      <c r="K18" s="62">
        <v>570000</v>
      </c>
      <c r="L18" s="62">
        <v>570000</v>
      </c>
      <c r="M18" s="62">
        <v>570000</v>
      </c>
    </row>
    <row r="19" spans="1:15" x14ac:dyDescent="0.25">
      <c r="B19" s="189">
        <v>4.0399999999999998E-2</v>
      </c>
      <c r="C19" s="189">
        <v>4.0399999999999998E-2</v>
      </c>
      <c r="D19" s="189">
        <v>4.0399999999999998E-2</v>
      </c>
      <c r="E19" s="189">
        <v>4.0399999999999998E-2</v>
      </c>
      <c r="F19" s="189">
        <v>4.0399999999999998E-2</v>
      </c>
      <c r="G19" s="189">
        <v>4.0399999999999998E-2</v>
      </c>
      <c r="H19" s="189">
        <v>4.0399999999999998E-2</v>
      </c>
      <c r="I19" s="189">
        <v>4.0399999999999998E-2</v>
      </c>
      <c r="J19" s="189">
        <v>4.0399999999999998E-2</v>
      </c>
      <c r="K19" s="189">
        <v>4.0399999999999998E-2</v>
      </c>
      <c r="L19" s="189">
        <v>4.0399999999999998E-2</v>
      </c>
      <c r="M19" s="189">
        <v>4.0399999999999998E-2</v>
      </c>
    </row>
    <row r="20" spans="1:15" x14ac:dyDescent="0.25">
      <c r="B20" s="62">
        <f t="shared" ref="B20:L20" si="2">(B18*B19)/12</f>
        <v>1919</v>
      </c>
      <c r="C20" s="62">
        <f t="shared" si="2"/>
        <v>1919</v>
      </c>
      <c r="D20" s="62">
        <f t="shared" si="2"/>
        <v>1919</v>
      </c>
      <c r="E20" s="62">
        <f t="shared" si="2"/>
        <v>1919</v>
      </c>
      <c r="F20" s="62">
        <f t="shared" si="2"/>
        <v>1919</v>
      </c>
      <c r="G20" s="62">
        <f t="shared" si="2"/>
        <v>1919</v>
      </c>
      <c r="H20" s="62">
        <f t="shared" si="2"/>
        <v>1919</v>
      </c>
      <c r="I20" s="62">
        <f t="shared" si="2"/>
        <v>1919</v>
      </c>
      <c r="J20" s="62">
        <f t="shared" si="2"/>
        <v>1919</v>
      </c>
      <c r="K20" s="62">
        <f t="shared" si="2"/>
        <v>1919</v>
      </c>
      <c r="L20" s="62">
        <f t="shared" si="2"/>
        <v>1919</v>
      </c>
      <c r="M20" s="62">
        <f>((M18*M19)/12)</f>
        <v>1919</v>
      </c>
      <c r="N20" s="190">
        <f>SUM(B20:M20)</f>
        <v>23028</v>
      </c>
    </row>
    <row r="21" spans="1:15" x14ac:dyDescent="0.2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190"/>
    </row>
    <row r="22" spans="1:15" x14ac:dyDescent="0.25">
      <c r="B22" s="62"/>
      <c r="C22" s="62"/>
      <c r="D22" s="62"/>
      <c r="E22" s="62"/>
      <c r="F22" s="62"/>
      <c r="G22" s="62"/>
      <c r="H22" s="62">
        <v>180000</v>
      </c>
      <c r="I22" s="62">
        <v>180000</v>
      </c>
      <c r="J22" s="62">
        <v>180000</v>
      </c>
      <c r="K22" s="62">
        <v>180000</v>
      </c>
      <c r="L22" s="62">
        <v>180000</v>
      </c>
      <c r="M22" s="62">
        <v>180000</v>
      </c>
    </row>
    <row r="23" spans="1:15" x14ac:dyDescent="0.25">
      <c r="B23" s="189">
        <v>4.4999999999999998E-2</v>
      </c>
      <c r="C23" s="189">
        <v>4.4999999999999998E-2</v>
      </c>
      <c r="D23" s="189">
        <v>4.4999999999999998E-2</v>
      </c>
      <c r="E23" s="189">
        <v>4.4999999999999998E-2</v>
      </c>
      <c r="F23" s="189">
        <v>4.4999999999999998E-2</v>
      </c>
      <c r="G23" s="189">
        <v>4.4999999999999998E-2</v>
      </c>
      <c r="H23" s="189">
        <v>4.2000000000000003E-2</v>
      </c>
      <c r="I23" s="189">
        <v>4.2000000000000003E-2</v>
      </c>
      <c r="J23" s="189">
        <v>4.2000000000000003E-2</v>
      </c>
      <c r="K23" s="189">
        <v>4.2000000000000003E-2</v>
      </c>
      <c r="L23" s="189">
        <v>4.2000000000000003E-2</v>
      </c>
      <c r="M23" s="189">
        <v>4.2000000000000003E-2</v>
      </c>
    </row>
    <row r="24" spans="1:15" x14ac:dyDescent="0.25">
      <c r="B24" s="62">
        <f t="shared" ref="B24:M24" si="3">(B22*B23)/12</f>
        <v>0</v>
      </c>
      <c r="C24" s="62">
        <f t="shared" si="3"/>
        <v>0</v>
      </c>
      <c r="D24" s="62">
        <f t="shared" si="3"/>
        <v>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630.00000000000011</v>
      </c>
      <c r="I24" s="62">
        <f t="shared" si="3"/>
        <v>630.00000000000011</v>
      </c>
      <c r="J24" s="62">
        <f t="shared" si="3"/>
        <v>630.00000000000011</v>
      </c>
      <c r="K24" s="62">
        <f t="shared" si="3"/>
        <v>630.00000000000011</v>
      </c>
      <c r="L24" s="62">
        <f t="shared" si="3"/>
        <v>630.00000000000011</v>
      </c>
      <c r="M24" s="62">
        <f t="shared" si="3"/>
        <v>630.00000000000011</v>
      </c>
      <c r="N24" s="190">
        <f>SUM(B24:M24)</f>
        <v>3780.0000000000005</v>
      </c>
    </row>
    <row r="25" spans="1:15" x14ac:dyDescent="0.25">
      <c r="B25" s="62"/>
    </row>
    <row r="26" spans="1:15" x14ac:dyDescent="0.25">
      <c r="A26" t="s">
        <v>291</v>
      </c>
    </row>
    <row r="27" spans="1:15" x14ac:dyDescent="0.25">
      <c r="A27" t="s">
        <v>290</v>
      </c>
      <c r="B27" s="6">
        <v>194524</v>
      </c>
      <c r="C27" s="6">
        <v>194524</v>
      </c>
      <c r="D27" s="6">
        <v>194524</v>
      </c>
      <c r="E27" s="6">
        <v>194524</v>
      </c>
      <c r="F27" s="6">
        <v>194524</v>
      </c>
      <c r="G27" s="6">
        <v>194524</v>
      </c>
      <c r="H27" s="6">
        <v>194524</v>
      </c>
      <c r="I27" s="6">
        <v>194524</v>
      </c>
      <c r="J27" s="6">
        <v>194524</v>
      </c>
      <c r="K27" s="6">
        <v>194524</v>
      </c>
      <c r="L27" s="6">
        <v>194524</v>
      </c>
      <c r="M27" s="6">
        <v>194524</v>
      </c>
      <c r="N27" s="62"/>
    </row>
    <row r="28" spans="1:15" x14ac:dyDescent="0.25">
      <c r="A28" s="192"/>
      <c r="B28" s="80">
        <v>3.7999999999999999E-2</v>
      </c>
      <c r="C28" s="80">
        <v>3.7999999999999999E-2</v>
      </c>
      <c r="D28" s="80">
        <v>3.7999999999999999E-2</v>
      </c>
      <c r="E28" s="80">
        <v>3.7999999999999999E-2</v>
      </c>
      <c r="F28" s="80">
        <v>3.7999999999999999E-2</v>
      </c>
      <c r="G28" s="80">
        <v>3.7999999999999999E-2</v>
      </c>
      <c r="H28" s="80">
        <v>3.7999999999999999E-2</v>
      </c>
      <c r="I28" s="80">
        <v>3.7999999999999999E-2</v>
      </c>
      <c r="J28" s="80">
        <v>3.7999999999999999E-2</v>
      </c>
      <c r="K28" s="80">
        <v>3.7999999999999999E-2</v>
      </c>
      <c r="L28" s="80">
        <v>3.7999999999999999E-2</v>
      </c>
      <c r="M28" s="80">
        <v>3.7999999999999999E-2</v>
      </c>
      <c r="N28" s="62"/>
    </row>
    <row r="29" spans="1:15" x14ac:dyDescent="0.25">
      <c r="A29" s="192"/>
      <c r="B29" s="191">
        <f t="shared" ref="B29:M29" si="4">(B27*B28)/12</f>
        <v>615.99266666666665</v>
      </c>
      <c r="C29" s="191">
        <f t="shared" si="4"/>
        <v>615.99266666666665</v>
      </c>
      <c r="D29" s="191">
        <f t="shared" si="4"/>
        <v>615.99266666666665</v>
      </c>
      <c r="E29" s="191">
        <f t="shared" si="4"/>
        <v>615.99266666666665</v>
      </c>
      <c r="F29" s="191">
        <f t="shared" si="4"/>
        <v>615.99266666666665</v>
      </c>
      <c r="G29" s="191">
        <f t="shared" si="4"/>
        <v>615.99266666666665</v>
      </c>
      <c r="H29" s="191">
        <f t="shared" si="4"/>
        <v>615.99266666666665</v>
      </c>
      <c r="I29" s="191">
        <f t="shared" si="4"/>
        <v>615.99266666666665</v>
      </c>
      <c r="J29" s="191">
        <f t="shared" si="4"/>
        <v>615.99266666666665</v>
      </c>
      <c r="K29" s="191">
        <f t="shared" si="4"/>
        <v>615.99266666666665</v>
      </c>
      <c r="L29" s="191">
        <f t="shared" si="4"/>
        <v>615.99266666666665</v>
      </c>
      <c r="M29" s="191">
        <f t="shared" si="4"/>
        <v>615.99266666666665</v>
      </c>
      <c r="N29" s="188">
        <f>SUM(B29:M29)</f>
        <v>7391.9120000000012</v>
      </c>
    </row>
    <row r="30" spans="1:15" x14ac:dyDescent="0.25">
      <c r="O30" s="8">
        <f>SUM(N20:N29)</f>
        <v>34199.912000000004</v>
      </c>
    </row>
    <row r="32" spans="1:15" x14ac:dyDescent="0.25">
      <c r="A32" s="4" t="s">
        <v>325</v>
      </c>
      <c r="B32" s="4" t="s">
        <v>277</v>
      </c>
      <c r="C32" s="4" t="s">
        <v>278</v>
      </c>
      <c r="D32" s="4" t="s">
        <v>279</v>
      </c>
      <c r="E32" s="4" t="s">
        <v>280</v>
      </c>
      <c r="F32" s="4" t="s">
        <v>281</v>
      </c>
      <c r="G32" s="4" t="s">
        <v>282</v>
      </c>
      <c r="H32" s="4" t="s">
        <v>283</v>
      </c>
      <c r="I32" s="4" t="s">
        <v>284</v>
      </c>
      <c r="J32" s="4" t="s">
        <v>285</v>
      </c>
      <c r="K32" s="4" t="s">
        <v>286</v>
      </c>
      <c r="L32" s="4" t="s">
        <v>287</v>
      </c>
      <c r="M32" s="4" t="s">
        <v>288</v>
      </c>
      <c r="N32" s="4">
        <v>2023</v>
      </c>
      <c r="O32" s="4"/>
    </row>
    <row r="33" spans="1: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t="s">
        <v>289</v>
      </c>
    </row>
    <row r="35" spans="1:15" x14ac:dyDescent="0.25">
      <c r="A35" t="s">
        <v>290</v>
      </c>
      <c r="B35" s="62">
        <v>570000</v>
      </c>
      <c r="C35" s="62">
        <v>570000</v>
      </c>
      <c r="D35" s="62">
        <v>570000</v>
      </c>
      <c r="E35" s="62">
        <v>570000</v>
      </c>
      <c r="F35" s="62">
        <v>570000</v>
      </c>
      <c r="G35" s="62">
        <v>570000</v>
      </c>
      <c r="H35" s="62">
        <v>750000</v>
      </c>
      <c r="I35" s="62">
        <v>750000</v>
      </c>
      <c r="J35" s="62">
        <v>750000</v>
      </c>
      <c r="K35" s="62">
        <v>750000</v>
      </c>
      <c r="L35" s="62">
        <v>750000</v>
      </c>
      <c r="M35" s="62">
        <v>750000</v>
      </c>
    </row>
    <row r="36" spans="1:15" x14ac:dyDescent="0.25">
      <c r="B36" s="189">
        <v>4.0399999999999998E-2</v>
      </c>
      <c r="C36" s="189">
        <v>4.0399999999999998E-2</v>
      </c>
      <c r="D36" s="189">
        <v>4.0399999999999998E-2</v>
      </c>
      <c r="E36" s="189">
        <v>4.0399999999999998E-2</v>
      </c>
      <c r="F36" s="189">
        <v>4.0399999999999998E-2</v>
      </c>
      <c r="G36" s="189">
        <v>4.0399999999999998E-2</v>
      </c>
      <c r="H36" s="189">
        <v>4.4999999999999998E-2</v>
      </c>
      <c r="I36" s="189">
        <v>4.4999999999999998E-2</v>
      </c>
      <c r="J36" s="189">
        <v>4.4999999999999998E-2</v>
      </c>
      <c r="K36" s="189">
        <v>4.4999999999999998E-2</v>
      </c>
      <c r="L36" s="189">
        <v>4.4999999999999998E-2</v>
      </c>
      <c r="M36" s="189">
        <v>4.4999999999999998E-2</v>
      </c>
    </row>
    <row r="37" spans="1:15" x14ac:dyDescent="0.25">
      <c r="B37" s="62">
        <f t="shared" ref="B37:L37" si="5">(B35*B36)/12</f>
        <v>1919</v>
      </c>
      <c r="C37" s="62">
        <f t="shared" si="5"/>
        <v>1919</v>
      </c>
      <c r="D37" s="62">
        <f t="shared" si="5"/>
        <v>1919</v>
      </c>
      <c r="E37" s="62">
        <f t="shared" si="5"/>
        <v>1919</v>
      </c>
      <c r="F37" s="62">
        <f t="shared" si="5"/>
        <v>1919</v>
      </c>
      <c r="G37" s="62">
        <f t="shared" si="5"/>
        <v>1919</v>
      </c>
      <c r="H37" s="62">
        <f t="shared" si="5"/>
        <v>2812.5</v>
      </c>
      <c r="I37" s="62">
        <f t="shared" si="5"/>
        <v>2812.5</v>
      </c>
      <c r="J37" s="62">
        <f t="shared" si="5"/>
        <v>2812.5</v>
      </c>
      <c r="K37" s="62">
        <f t="shared" si="5"/>
        <v>2812.5</v>
      </c>
      <c r="L37" s="62">
        <f t="shared" si="5"/>
        <v>2812.5</v>
      </c>
      <c r="M37" s="62">
        <f>((M35*M36)/12)</f>
        <v>2812.5</v>
      </c>
      <c r="N37" s="190">
        <f>SUM(B37:M37)</f>
        <v>28389</v>
      </c>
    </row>
    <row r="38" spans="1:15" x14ac:dyDescent="0.25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190"/>
    </row>
    <row r="39" spans="1:15" x14ac:dyDescent="0.25">
      <c r="A39" t="s">
        <v>291</v>
      </c>
    </row>
    <row r="40" spans="1:15" x14ac:dyDescent="0.25">
      <c r="A40" t="s">
        <v>290</v>
      </c>
      <c r="B40" s="6">
        <v>194524</v>
      </c>
      <c r="C40" s="6">
        <v>194524</v>
      </c>
      <c r="D40" s="6">
        <v>194524</v>
      </c>
      <c r="E40" s="6">
        <v>194524</v>
      </c>
      <c r="F40" s="6">
        <v>194524</v>
      </c>
      <c r="G40" s="6">
        <v>194524</v>
      </c>
      <c r="H40" s="6">
        <v>194524</v>
      </c>
      <c r="I40" s="6">
        <v>194524</v>
      </c>
      <c r="J40" s="6">
        <v>194524</v>
      </c>
      <c r="K40" s="6">
        <v>194524</v>
      </c>
      <c r="L40" s="6">
        <v>194524</v>
      </c>
      <c r="M40" s="6">
        <v>194524</v>
      </c>
      <c r="N40" s="62"/>
    </row>
    <row r="41" spans="1:15" x14ac:dyDescent="0.25">
      <c r="A41" s="192"/>
      <c r="B41" s="80">
        <v>3.7999999999999999E-2</v>
      </c>
      <c r="C41" s="80">
        <v>3.7999999999999999E-2</v>
      </c>
      <c r="D41" s="80">
        <v>3.7999999999999999E-2</v>
      </c>
      <c r="E41" s="80">
        <v>3.7999999999999999E-2</v>
      </c>
      <c r="F41" s="80">
        <v>3.7999999999999999E-2</v>
      </c>
      <c r="G41" s="80">
        <v>3.7999999999999999E-2</v>
      </c>
      <c r="H41" s="189">
        <v>4.4999999999999998E-2</v>
      </c>
      <c r="I41" s="189">
        <v>4.4999999999999998E-2</v>
      </c>
      <c r="J41" s="189">
        <v>4.4999999999999998E-2</v>
      </c>
      <c r="K41" s="189">
        <v>4.4999999999999998E-2</v>
      </c>
      <c r="L41" s="189">
        <v>4.4999999999999998E-2</v>
      </c>
      <c r="M41" s="189">
        <v>4.4999999999999998E-2</v>
      </c>
      <c r="N41" s="62"/>
    </row>
    <row r="42" spans="1:15" x14ac:dyDescent="0.25">
      <c r="A42" s="192"/>
      <c r="B42" s="62">
        <f t="shared" ref="B42:M42" si="6">(B40*B41)/12</f>
        <v>615.99266666666665</v>
      </c>
      <c r="C42" s="62">
        <f t="shared" si="6"/>
        <v>615.99266666666665</v>
      </c>
      <c r="D42" s="62">
        <f t="shared" si="6"/>
        <v>615.99266666666665</v>
      </c>
      <c r="E42" s="62">
        <f t="shared" si="6"/>
        <v>615.99266666666665</v>
      </c>
      <c r="F42" s="62">
        <f t="shared" si="6"/>
        <v>615.99266666666665</v>
      </c>
      <c r="G42" s="62">
        <f t="shared" si="6"/>
        <v>615.99266666666665</v>
      </c>
      <c r="H42" s="62">
        <f t="shared" si="6"/>
        <v>729.46500000000003</v>
      </c>
      <c r="I42" s="62">
        <f t="shared" si="6"/>
        <v>729.46500000000003</v>
      </c>
      <c r="J42" s="62">
        <f t="shared" si="6"/>
        <v>729.46500000000003</v>
      </c>
      <c r="K42" s="62">
        <f t="shared" si="6"/>
        <v>729.46500000000003</v>
      </c>
      <c r="L42" s="62">
        <f t="shared" si="6"/>
        <v>729.46500000000003</v>
      </c>
      <c r="M42" s="62">
        <f t="shared" si="6"/>
        <v>729.46500000000003</v>
      </c>
      <c r="N42" s="188">
        <f>SUM(B42:M42)</f>
        <v>8072.7460000000001</v>
      </c>
    </row>
    <row r="43" spans="1:15" x14ac:dyDescent="0.25">
      <c r="O43" s="8"/>
    </row>
    <row r="46" spans="1:15" x14ac:dyDescent="0.25">
      <c r="A46" s="4" t="s">
        <v>92</v>
      </c>
      <c r="B46" s="4" t="s">
        <v>277</v>
      </c>
      <c r="C46" s="4" t="s">
        <v>278</v>
      </c>
      <c r="D46" s="4" t="s">
        <v>279</v>
      </c>
      <c r="E46" s="4" t="s">
        <v>280</v>
      </c>
      <c r="F46" s="4" t="s">
        <v>281</v>
      </c>
      <c r="G46" s="4" t="s">
        <v>282</v>
      </c>
      <c r="H46" s="4" t="s">
        <v>283</v>
      </c>
      <c r="I46" s="4" t="s">
        <v>284</v>
      </c>
      <c r="J46" s="4" t="s">
        <v>285</v>
      </c>
      <c r="K46" s="4" t="s">
        <v>286</v>
      </c>
      <c r="L46" s="4" t="s">
        <v>287</v>
      </c>
      <c r="M46" s="4" t="s">
        <v>288</v>
      </c>
      <c r="N46" s="4">
        <v>2023</v>
      </c>
      <c r="O46" s="4"/>
    </row>
    <row r="47" spans="1:1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t="s">
        <v>289</v>
      </c>
    </row>
    <row r="49" spans="1:16" x14ac:dyDescent="0.25">
      <c r="A49" t="s">
        <v>290</v>
      </c>
      <c r="B49" s="62">
        <v>570000</v>
      </c>
      <c r="C49" s="62">
        <v>570000</v>
      </c>
      <c r="D49" s="62">
        <v>570000</v>
      </c>
      <c r="E49" s="62">
        <v>570000</v>
      </c>
      <c r="F49" s="62">
        <v>570000</v>
      </c>
      <c r="G49" s="62">
        <v>570000</v>
      </c>
      <c r="H49" s="62"/>
      <c r="I49" s="62"/>
      <c r="J49" s="62"/>
      <c r="K49" s="62"/>
      <c r="L49" s="62"/>
      <c r="M49" s="62"/>
    </row>
    <row r="50" spans="1:16" x14ac:dyDescent="0.25">
      <c r="B50" s="189">
        <v>4.0399999999999998E-2</v>
      </c>
      <c r="C50" s="189">
        <v>4.0399999999999998E-2</v>
      </c>
      <c r="D50" s="189">
        <v>4.0399999999999998E-2</v>
      </c>
      <c r="E50" s="189">
        <v>4.0399999999999998E-2</v>
      </c>
      <c r="F50" s="189">
        <v>4.0399999999999998E-2</v>
      </c>
      <c r="G50" s="189">
        <v>4.0399999999999998E-2</v>
      </c>
      <c r="H50" s="189"/>
      <c r="I50" s="189"/>
      <c r="J50" s="189"/>
      <c r="K50" s="189"/>
      <c r="L50" s="189"/>
      <c r="M50" s="189"/>
    </row>
    <row r="51" spans="1:16" x14ac:dyDescent="0.25">
      <c r="B51" s="62">
        <f t="shared" ref="B51:L51" si="7">(B49*B50)/12</f>
        <v>1919</v>
      </c>
      <c r="C51" s="62">
        <f t="shared" si="7"/>
        <v>1919</v>
      </c>
      <c r="D51" s="62">
        <f t="shared" si="7"/>
        <v>1919</v>
      </c>
      <c r="E51" s="62">
        <f t="shared" si="7"/>
        <v>1919</v>
      </c>
      <c r="F51" s="62">
        <f t="shared" si="7"/>
        <v>1919</v>
      </c>
      <c r="G51" s="62">
        <f t="shared" si="7"/>
        <v>1919</v>
      </c>
      <c r="H51" s="62">
        <f t="shared" si="7"/>
        <v>0</v>
      </c>
      <c r="I51" s="62">
        <f t="shared" si="7"/>
        <v>0</v>
      </c>
      <c r="J51" s="62">
        <f t="shared" si="7"/>
        <v>0</v>
      </c>
      <c r="K51" s="62">
        <f t="shared" si="7"/>
        <v>0</v>
      </c>
      <c r="L51" s="62">
        <f t="shared" si="7"/>
        <v>0</v>
      </c>
      <c r="M51" s="62">
        <f>((M49*M50)/12)</f>
        <v>0</v>
      </c>
      <c r="N51" s="190">
        <f>SUM(B51:M51)</f>
        <v>11514</v>
      </c>
    </row>
    <row r="52" spans="1:16" x14ac:dyDescent="0.25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190"/>
    </row>
    <row r="53" spans="1:16" x14ac:dyDescent="0.25">
      <c r="B53" s="62"/>
      <c r="C53" s="62"/>
      <c r="D53" s="62"/>
      <c r="E53" s="62"/>
      <c r="F53" s="62"/>
      <c r="G53" s="62"/>
      <c r="H53" s="62">
        <v>750000</v>
      </c>
      <c r="I53" s="62">
        <v>750000</v>
      </c>
      <c r="J53" s="62">
        <v>750000</v>
      </c>
      <c r="K53" s="62">
        <v>750000</v>
      </c>
      <c r="L53" s="62">
        <v>750000</v>
      </c>
      <c r="M53" s="62">
        <v>750000</v>
      </c>
    </row>
    <row r="54" spans="1:16" x14ac:dyDescent="0.25">
      <c r="B54" s="189"/>
      <c r="C54" s="189"/>
      <c r="D54" s="189"/>
      <c r="E54" s="189"/>
      <c r="F54" s="189"/>
      <c r="G54" s="189"/>
      <c r="H54" s="189">
        <v>4.4999999999999998E-2</v>
      </c>
      <c r="I54" s="189">
        <v>4.4999999999999998E-2</v>
      </c>
      <c r="J54" s="189">
        <v>4.4999999999999998E-2</v>
      </c>
      <c r="K54" s="189">
        <v>4.4999999999999998E-2</v>
      </c>
      <c r="L54" s="189">
        <v>4.4999999999999998E-2</v>
      </c>
      <c r="M54" s="189">
        <v>4.4999999999999998E-2</v>
      </c>
    </row>
    <row r="55" spans="1:16" x14ac:dyDescent="0.25">
      <c r="B55" s="62">
        <f t="shared" ref="B55:M55" si="8">(B53*B54)/12</f>
        <v>0</v>
      </c>
      <c r="C55" s="62">
        <f t="shared" si="8"/>
        <v>0</v>
      </c>
      <c r="D55" s="62">
        <f t="shared" si="8"/>
        <v>0</v>
      </c>
      <c r="E55" s="62">
        <f t="shared" si="8"/>
        <v>0</v>
      </c>
      <c r="F55" s="62">
        <f t="shared" si="8"/>
        <v>0</v>
      </c>
      <c r="G55" s="62">
        <f t="shared" si="8"/>
        <v>0</v>
      </c>
      <c r="H55" s="62">
        <f t="shared" si="8"/>
        <v>2812.5</v>
      </c>
      <c r="I55" s="62">
        <f t="shared" si="8"/>
        <v>2812.5</v>
      </c>
      <c r="J55" s="62">
        <f t="shared" si="8"/>
        <v>2812.5</v>
      </c>
      <c r="K55" s="62">
        <f t="shared" si="8"/>
        <v>2812.5</v>
      </c>
      <c r="L55" s="62">
        <f t="shared" si="8"/>
        <v>2812.5</v>
      </c>
      <c r="M55" s="62">
        <f t="shared" si="8"/>
        <v>2812.5</v>
      </c>
      <c r="N55" s="190">
        <f>SUM(B55:M55)</f>
        <v>16875</v>
      </c>
      <c r="O55" s="8">
        <f>SUM(N51:N55)</f>
        <v>28389</v>
      </c>
    </row>
    <row r="56" spans="1:16" x14ac:dyDescent="0.25"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8"/>
    </row>
    <row r="57" spans="1:16" x14ac:dyDescent="0.25">
      <c r="A57" t="s">
        <v>291</v>
      </c>
    </row>
    <row r="58" spans="1:16" x14ac:dyDescent="0.25">
      <c r="A58" t="s">
        <v>290</v>
      </c>
      <c r="B58" s="62">
        <v>194524</v>
      </c>
      <c r="C58" s="62">
        <v>194524</v>
      </c>
      <c r="D58" s="62">
        <v>194524</v>
      </c>
      <c r="E58" s="62">
        <v>194524</v>
      </c>
      <c r="F58" s="62">
        <v>194524</v>
      </c>
      <c r="G58" s="62">
        <v>194524</v>
      </c>
      <c r="H58" s="62">
        <v>194524</v>
      </c>
      <c r="I58" s="62">
        <v>194524</v>
      </c>
      <c r="J58" s="62">
        <v>194524</v>
      </c>
      <c r="K58" s="62">
        <v>194524</v>
      </c>
      <c r="L58" s="62">
        <v>194524</v>
      </c>
      <c r="M58" s="62">
        <v>194524</v>
      </c>
      <c r="N58" s="62"/>
    </row>
    <row r="59" spans="1:16" x14ac:dyDescent="0.25">
      <c r="A59" s="192"/>
      <c r="B59" s="80">
        <v>4.0500000000000001E-2</v>
      </c>
      <c r="C59" s="80">
        <v>4.0500000000000001E-2</v>
      </c>
      <c r="D59" s="80">
        <v>4.0500000000000001E-2</v>
      </c>
      <c r="E59" s="80">
        <v>4.0500000000000001E-2</v>
      </c>
      <c r="F59" s="80">
        <v>4.0500000000000001E-2</v>
      </c>
      <c r="G59" s="80">
        <v>4.0500000000000001E-2</v>
      </c>
      <c r="H59" s="80">
        <v>4.4999999999999998E-2</v>
      </c>
      <c r="I59" s="80">
        <v>4.4999999999999998E-2</v>
      </c>
      <c r="J59" s="80">
        <v>4.4999999999999998E-2</v>
      </c>
      <c r="K59" s="80">
        <v>4.4999999999999998E-2</v>
      </c>
      <c r="L59" s="80">
        <v>4.4999999999999998E-2</v>
      </c>
      <c r="M59" s="80">
        <v>4.4999999999999998E-2</v>
      </c>
      <c r="N59" s="62"/>
    </row>
    <row r="60" spans="1:16" x14ac:dyDescent="0.25">
      <c r="A60" s="192"/>
      <c r="B60" s="62">
        <v>829.9</v>
      </c>
      <c r="C60" s="62">
        <v>859.2</v>
      </c>
      <c r="D60" s="62">
        <v>875.2</v>
      </c>
      <c r="E60" s="62">
        <v>905.2</v>
      </c>
      <c r="F60" s="62">
        <v>892.6</v>
      </c>
      <c r="G60" s="62">
        <v>641.20000000000005</v>
      </c>
      <c r="H60" s="62">
        <v>467</v>
      </c>
      <c r="I60" s="62">
        <v>479.6</v>
      </c>
      <c r="J60" s="62">
        <v>493.8</v>
      </c>
      <c r="K60" s="62">
        <v>542.5</v>
      </c>
      <c r="L60" s="62">
        <v>574.20000000000005</v>
      </c>
      <c r="M60" s="62">
        <v>621.4</v>
      </c>
      <c r="N60" s="188">
        <f>SUM(B60:M60)</f>
        <v>8181.8</v>
      </c>
    </row>
    <row r="61" spans="1:16" x14ac:dyDescent="0.25">
      <c r="O61" s="8">
        <f>SUM(O55,N60)</f>
        <v>36570.800000000003</v>
      </c>
    </row>
    <row r="62" spans="1:16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6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>
        <v>375</v>
      </c>
      <c r="P63" t="s">
        <v>306</v>
      </c>
    </row>
    <row r="64" spans="1:16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>
        <v>781</v>
      </c>
      <c r="P64" t="s">
        <v>307</v>
      </c>
    </row>
    <row r="66" spans="15:15" x14ac:dyDescent="0.25">
      <c r="O66" s="8">
        <f>SUM(O61:O65)</f>
        <v>37726.800000000003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D241-C154-4B54-8DAB-6FFAA12D7F06}">
  <dimension ref="A1:AE17"/>
  <sheetViews>
    <sheetView workbookViewId="0">
      <selection activeCell="D5" sqref="D5:D14"/>
    </sheetView>
    <sheetView workbookViewId="1"/>
  </sheetViews>
  <sheetFormatPr defaultRowHeight="15" x14ac:dyDescent="0.25"/>
  <cols>
    <col min="3" max="3" width="12.5703125" bestFit="1" customWidth="1"/>
    <col min="5" max="5" width="10.28515625" bestFit="1" customWidth="1"/>
    <col min="6" max="6" width="1.28515625" customWidth="1"/>
    <col min="7" max="7" width="10.5703125" bestFit="1" customWidth="1"/>
    <col min="8" max="18" width="9" bestFit="1" customWidth="1"/>
    <col min="19" max="19" width="1.42578125" customWidth="1"/>
  </cols>
  <sheetData>
    <row r="1" spans="1:31" s="4" customFormat="1" x14ac:dyDescent="0.25">
      <c r="G1" s="308">
        <v>2022</v>
      </c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T1" s="308">
        <v>2023</v>
      </c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</row>
    <row r="2" spans="1:31" s="4" customFormat="1" x14ac:dyDescent="0.25">
      <c r="G2" s="4" t="s">
        <v>277</v>
      </c>
      <c r="H2" s="4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4" t="s">
        <v>284</v>
      </c>
      <c r="O2" s="4" t="s">
        <v>285</v>
      </c>
      <c r="P2" s="4" t="s">
        <v>286</v>
      </c>
      <c r="Q2" s="4" t="s">
        <v>287</v>
      </c>
      <c r="R2" s="4" t="s">
        <v>288</v>
      </c>
      <c r="T2" s="4" t="s">
        <v>277</v>
      </c>
      <c r="U2" s="4" t="s">
        <v>278</v>
      </c>
      <c r="V2" s="4" t="s">
        <v>279</v>
      </c>
      <c r="W2" s="4" t="s">
        <v>280</v>
      </c>
      <c r="X2" s="4" t="s">
        <v>281</v>
      </c>
      <c r="Y2" s="4" t="s">
        <v>282</v>
      </c>
      <c r="Z2" s="4" t="s">
        <v>283</v>
      </c>
      <c r="AA2" s="4" t="s">
        <v>284</v>
      </c>
      <c r="AB2" s="4" t="s">
        <v>285</v>
      </c>
      <c r="AC2" s="4" t="s">
        <v>286</v>
      </c>
      <c r="AD2" s="4" t="s">
        <v>287</v>
      </c>
      <c r="AE2" s="4" t="s">
        <v>288</v>
      </c>
    </row>
    <row r="3" spans="1:31" x14ac:dyDescent="0.25">
      <c r="A3" t="s">
        <v>273</v>
      </c>
    </row>
    <row r="4" spans="1:31" x14ac:dyDescent="0.25">
      <c r="B4" t="s">
        <v>289</v>
      </c>
      <c r="C4" t="s">
        <v>150</v>
      </c>
      <c r="D4" t="s">
        <v>149</v>
      </c>
      <c r="E4" t="s">
        <v>326</v>
      </c>
    </row>
    <row r="5" spans="1:31" x14ac:dyDescent="0.25">
      <c r="C5" s="205">
        <v>60000000</v>
      </c>
      <c r="D5" s="206">
        <v>6.1499999999999999E-2</v>
      </c>
      <c r="E5" s="207">
        <v>50175</v>
      </c>
      <c r="G5" s="208">
        <f>($C5*$D5)/12</f>
        <v>307500</v>
      </c>
      <c r="H5" s="208">
        <f t="shared" ref="H5:R5" si="0">($C5*$D5)/12</f>
        <v>307500</v>
      </c>
      <c r="I5" s="208">
        <f t="shared" si="0"/>
        <v>307500</v>
      </c>
      <c r="J5" s="208">
        <f t="shared" si="0"/>
        <v>307500</v>
      </c>
      <c r="K5" s="208">
        <f t="shared" si="0"/>
        <v>307500</v>
      </c>
      <c r="L5" s="208">
        <f t="shared" si="0"/>
        <v>307500</v>
      </c>
      <c r="M5" s="208">
        <f t="shared" si="0"/>
        <v>307500</v>
      </c>
      <c r="N5" s="208">
        <f t="shared" si="0"/>
        <v>307500</v>
      </c>
      <c r="O5" s="208">
        <f t="shared" si="0"/>
        <v>307500</v>
      </c>
      <c r="P5" s="208">
        <f t="shared" si="0"/>
        <v>307500</v>
      </c>
      <c r="Q5" s="208">
        <f t="shared" si="0"/>
        <v>307500</v>
      </c>
      <c r="R5" s="208">
        <f t="shared" si="0"/>
        <v>307500</v>
      </c>
    </row>
    <row r="6" spans="1:31" x14ac:dyDescent="0.25">
      <c r="C6" s="205">
        <v>50000000</v>
      </c>
      <c r="D6" s="206">
        <v>4.1000000000000002E-2</v>
      </c>
      <c r="E6" s="207">
        <v>52018</v>
      </c>
      <c r="G6" s="208">
        <f t="shared" ref="G6:R16" si="1">($C6*$D6)/12</f>
        <v>170833.33333333334</v>
      </c>
      <c r="H6" s="208">
        <f t="shared" si="1"/>
        <v>170833.33333333334</v>
      </c>
      <c r="I6" s="208">
        <f t="shared" si="1"/>
        <v>170833.33333333334</v>
      </c>
      <c r="J6" s="208">
        <f t="shared" si="1"/>
        <v>170833.33333333334</v>
      </c>
      <c r="K6" s="208">
        <f t="shared" si="1"/>
        <v>170833.33333333334</v>
      </c>
      <c r="L6" s="208">
        <f t="shared" si="1"/>
        <v>170833.33333333334</v>
      </c>
      <c r="M6" s="208">
        <f t="shared" si="1"/>
        <v>170833.33333333334</v>
      </c>
      <c r="N6" s="208">
        <f t="shared" si="1"/>
        <v>170833.33333333334</v>
      </c>
      <c r="O6" s="208">
        <f t="shared" si="1"/>
        <v>170833.33333333334</v>
      </c>
      <c r="P6" s="208">
        <f t="shared" si="1"/>
        <v>170833.33333333334</v>
      </c>
      <c r="Q6" s="208">
        <f t="shared" si="1"/>
        <v>170833.33333333334</v>
      </c>
      <c r="R6" s="208">
        <f t="shared" si="1"/>
        <v>170833.33333333334</v>
      </c>
    </row>
    <row r="7" spans="1:31" x14ac:dyDescent="0.25">
      <c r="C7" s="209">
        <v>25000000</v>
      </c>
      <c r="D7" s="210">
        <v>2.5999999999999999E-2</v>
      </c>
      <c r="E7" s="211">
        <v>44819</v>
      </c>
      <c r="G7" s="208">
        <f t="shared" si="1"/>
        <v>54166.666666666664</v>
      </c>
      <c r="H7" s="208">
        <f t="shared" si="1"/>
        <v>54166.666666666664</v>
      </c>
      <c r="I7" s="208">
        <f t="shared" si="1"/>
        <v>54166.666666666664</v>
      </c>
      <c r="J7" s="208">
        <f t="shared" si="1"/>
        <v>54166.666666666664</v>
      </c>
      <c r="K7" s="208">
        <f t="shared" si="1"/>
        <v>54166.666666666664</v>
      </c>
      <c r="L7" s="208">
        <f t="shared" si="1"/>
        <v>54166.666666666664</v>
      </c>
      <c r="M7" s="208">
        <f t="shared" si="1"/>
        <v>54166.666666666664</v>
      </c>
      <c r="N7" s="208">
        <f t="shared" si="1"/>
        <v>54166.666666666664</v>
      </c>
      <c r="O7" s="208">
        <f t="shared" si="1"/>
        <v>54166.666666666664</v>
      </c>
      <c r="P7" s="208">
        <f t="shared" si="1"/>
        <v>54166.666666666664</v>
      </c>
      <c r="Q7" s="208">
        <f t="shared" si="1"/>
        <v>54166.666666666664</v>
      </c>
      <c r="R7" s="208">
        <f t="shared" si="1"/>
        <v>54166.666666666664</v>
      </c>
    </row>
    <row r="8" spans="1:31" x14ac:dyDescent="0.25">
      <c r="C8" s="212">
        <v>10000000</v>
      </c>
      <c r="D8" s="206">
        <v>4.3499999999999997E-2</v>
      </c>
      <c r="E8" s="207">
        <v>52732</v>
      </c>
      <c r="G8" s="208">
        <f t="shared" si="1"/>
        <v>36249.999999999993</v>
      </c>
      <c r="H8" s="208">
        <f t="shared" si="1"/>
        <v>36249.999999999993</v>
      </c>
      <c r="I8" s="208">
        <f t="shared" si="1"/>
        <v>36249.999999999993</v>
      </c>
      <c r="J8" s="208">
        <f t="shared" si="1"/>
        <v>36249.999999999993</v>
      </c>
      <c r="K8" s="208">
        <f t="shared" si="1"/>
        <v>36249.999999999993</v>
      </c>
      <c r="L8" s="208">
        <f t="shared" si="1"/>
        <v>36249.999999999993</v>
      </c>
      <c r="M8" s="208">
        <f t="shared" si="1"/>
        <v>36249.999999999993</v>
      </c>
      <c r="N8" s="208">
        <f t="shared" si="1"/>
        <v>36249.999999999993</v>
      </c>
      <c r="O8" s="208">
        <f t="shared" si="1"/>
        <v>36249.999999999993</v>
      </c>
      <c r="P8" s="208">
        <f t="shared" si="1"/>
        <v>36249.999999999993</v>
      </c>
      <c r="Q8" s="208">
        <f t="shared" si="1"/>
        <v>36249.999999999993</v>
      </c>
      <c r="R8" s="208">
        <f t="shared" si="1"/>
        <v>36249.999999999993</v>
      </c>
    </row>
    <row r="9" spans="1:31" x14ac:dyDescent="0.25">
      <c r="C9" s="212">
        <v>20000000</v>
      </c>
      <c r="D9" s="206">
        <v>4.2000000000000003E-2</v>
      </c>
      <c r="E9" s="207">
        <v>53097</v>
      </c>
      <c r="G9" s="208">
        <f t="shared" si="1"/>
        <v>70000</v>
      </c>
      <c r="H9" s="208">
        <f t="shared" si="1"/>
        <v>70000</v>
      </c>
      <c r="I9" s="208">
        <f t="shared" si="1"/>
        <v>70000</v>
      </c>
      <c r="J9" s="208">
        <f t="shared" si="1"/>
        <v>70000</v>
      </c>
      <c r="K9" s="208">
        <f t="shared" si="1"/>
        <v>70000</v>
      </c>
      <c r="L9" s="208">
        <f t="shared" si="1"/>
        <v>70000</v>
      </c>
      <c r="M9" s="208">
        <f t="shared" si="1"/>
        <v>70000</v>
      </c>
      <c r="N9" s="208">
        <f t="shared" si="1"/>
        <v>70000</v>
      </c>
      <c r="O9" s="208">
        <f t="shared" si="1"/>
        <v>70000</v>
      </c>
      <c r="P9" s="208">
        <f t="shared" si="1"/>
        <v>70000</v>
      </c>
      <c r="Q9" s="208">
        <f t="shared" si="1"/>
        <v>70000</v>
      </c>
      <c r="R9" s="208">
        <f t="shared" si="1"/>
        <v>70000</v>
      </c>
    </row>
    <row r="10" spans="1:31" x14ac:dyDescent="0.25">
      <c r="C10" s="212">
        <v>75000000</v>
      </c>
      <c r="D10" s="206">
        <v>4.2999999999999997E-2</v>
      </c>
      <c r="E10" s="207">
        <v>54224</v>
      </c>
      <c r="G10" s="208">
        <f t="shared" si="1"/>
        <v>268749.99999999994</v>
      </c>
      <c r="H10" s="208">
        <f t="shared" si="1"/>
        <v>268749.99999999994</v>
      </c>
      <c r="I10" s="208">
        <f t="shared" si="1"/>
        <v>268749.99999999994</v>
      </c>
      <c r="J10" s="208">
        <f t="shared" si="1"/>
        <v>268749.99999999994</v>
      </c>
      <c r="K10" s="208">
        <f t="shared" si="1"/>
        <v>268749.99999999994</v>
      </c>
      <c r="L10" s="208">
        <f t="shared" si="1"/>
        <v>268749.99999999994</v>
      </c>
      <c r="M10" s="208">
        <f t="shared" si="1"/>
        <v>268749.99999999994</v>
      </c>
      <c r="N10" s="208">
        <f t="shared" si="1"/>
        <v>268749.99999999994</v>
      </c>
      <c r="O10" s="208">
        <f t="shared" si="1"/>
        <v>268749.99999999994</v>
      </c>
      <c r="P10" s="208">
        <f t="shared" si="1"/>
        <v>268749.99999999994</v>
      </c>
      <c r="Q10" s="208">
        <f t="shared" si="1"/>
        <v>268749.99999999994</v>
      </c>
      <c r="R10" s="208">
        <f t="shared" si="1"/>
        <v>268749.99999999994</v>
      </c>
    </row>
    <row r="11" spans="1:31" x14ac:dyDescent="0.25">
      <c r="C11" s="212">
        <v>25000000</v>
      </c>
      <c r="D11" s="206">
        <v>4.4499999999999998E-2</v>
      </c>
      <c r="E11" s="207">
        <v>54589</v>
      </c>
      <c r="G11" s="208">
        <f t="shared" si="1"/>
        <v>92708.333333333328</v>
      </c>
      <c r="H11" s="208">
        <f t="shared" si="1"/>
        <v>92708.333333333328</v>
      </c>
      <c r="I11" s="208">
        <f t="shared" si="1"/>
        <v>92708.333333333328</v>
      </c>
      <c r="J11" s="208">
        <f t="shared" si="1"/>
        <v>92708.333333333328</v>
      </c>
      <c r="K11" s="208">
        <f t="shared" si="1"/>
        <v>92708.333333333328</v>
      </c>
      <c r="L11" s="208">
        <f t="shared" si="1"/>
        <v>92708.333333333328</v>
      </c>
      <c r="M11" s="208">
        <f t="shared" si="1"/>
        <v>92708.333333333328</v>
      </c>
      <c r="N11" s="208">
        <f t="shared" si="1"/>
        <v>92708.333333333328</v>
      </c>
      <c r="O11" s="208">
        <f t="shared" si="1"/>
        <v>92708.333333333328</v>
      </c>
      <c r="P11" s="208">
        <f t="shared" si="1"/>
        <v>92708.333333333328</v>
      </c>
      <c r="Q11" s="208">
        <f t="shared" si="1"/>
        <v>92708.333333333328</v>
      </c>
      <c r="R11" s="208">
        <f t="shared" si="1"/>
        <v>92708.333333333328</v>
      </c>
    </row>
    <row r="12" spans="1:31" x14ac:dyDescent="0.25">
      <c r="C12" s="212">
        <v>25000000</v>
      </c>
      <c r="D12" s="206">
        <v>3.6249999999999998E-2</v>
      </c>
      <c r="E12" s="213">
        <v>54954</v>
      </c>
      <c r="G12" s="208">
        <f t="shared" si="1"/>
        <v>75520.833333333328</v>
      </c>
      <c r="H12" s="208">
        <f t="shared" si="1"/>
        <v>75520.833333333328</v>
      </c>
      <c r="I12" s="208">
        <f t="shared" si="1"/>
        <v>75520.833333333328</v>
      </c>
      <c r="J12" s="208">
        <f t="shared" si="1"/>
        <v>75520.833333333328</v>
      </c>
      <c r="K12" s="208">
        <f t="shared" si="1"/>
        <v>75520.833333333328</v>
      </c>
      <c r="L12" s="208">
        <f t="shared" si="1"/>
        <v>75520.833333333328</v>
      </c>
      <c r="M12" s="208">
        <f t="shared" si="1"/>
        <v>75520.833333333328</v>
      </c>
      <c r="N12" s="208">
        <f t="shared" si="1"/>
        <v>75520.833333333328</v>
      </c>
      <c r="O12" s="208">
        <f t="shared" si="1"/>
        <v>75520.833333333328</v>
      </c>
      <c r="P12" s="208">
        <f t="shared" si="1"/>
        <v>75520.833333333328</v>
      </c>
      <c r="Q12" s="208">
        <f t="shared" si="1"/>
        <v>75520.833333333328</v>
      </c>
      <c r="R12" s="208">
        <f t="shared" si="1"/>
        <v>75520.833333333328</v>
      </c>
    </row>
    <row r="13" spans="1:31" x14ac:dyDescent="0.25">
      <c r="C13" s="212">
        <v>115000000</v>
      </c>
      <c r="D13" s="206">
        <v>2.4E-2</v>
      </c>
      <c r="E13" s="213">
        <f>H38</f>
        <v>0</v>
      </c>
      <c r="G13" s="208">
        <f t="shared" si="1"/>
        <v>230000</v>
      </c>
      <c r="H13" s="208">
        <f t="shared" si="1"/>
        <v>230000</v>
      </c>
      <c r="I13" s="208">
        <f t="shared" si="1"/>
        <v>230000</v>
      </c>
      <c r="J13" s="208">
        <f t="shared" si="1"/>
        <v>230000</v>
      </c>
      <c r="K13" s="208">
        <f t="shared" si="1"/>
        <v>230000</v>
      </c>
      <c r="L13" s="208">
        <f t="shared" si="1"/>
        <v>230000</v>
      </c>
      <c r="M13" s="208">
        <f t="shared" si="1"/>
        <v>230000</v>
      </c>
      <c r="N13" s="208">
        <f t="shared" si="1"/>
        <v>230000</v>
      </c>
      <c r="O13" s="208">
        <f t="shared" si="1"/>
        <v>230000</v>
      </c>
      <c r="P13" s="208">
        <f t="shared" si="1"/>
        <v>230000</v>
      </c>
      <c r="Q13" s="208">
        <f t="shared" si="1"/>
        <v>230000</v>
      </c>
      <c r="R13" s="208">
        <f t="shared" si="1"/>
        <v>230000</v>
      </c>
    </row>
    <row r="14" spans="1:31" x14ac:dyDescent="0.25">
      <c r="C14" s="212">
        <v>115000000</v>
      </c>
      <c r="D14" s="206">
        <v>3.4500000000000003E-2</v>
      </c>
      <c r="E14" s="213">
        <f>H39</f>
        <v>0</v>
      </c>
      <c r="G14" s="208">
        <f t="shared" si="1"/>
        <v>330625.00000000006</v>
      </c>
      <c r="H14" s="208">
        <f t="shared" si="1"/>
        <v>330625.00000000006</v>
      </c>
      <c r="I14" s="208">
        <f t="shared" si="1"/>
        <v>330625.00000000006</v>
      </c>
      <c r="J14" s="208">
        <f t="shared" si="1"/>
        <v>330625.00000000006</v>
      </c>
      <c r="K14" s="208">
        <f t="shared" si="1"/>
        <v>330625.00000000006</v>
      </c>
      <c r="L14" s="208">
        <f t="shared" si="1"/>
        <v>330625.00000000006</v>
      </c>
      <c r="M14" s="208">
        <f t="shared" si="1"/>
        <v>330625.00000000006</v>
      </c>
      <c r="N14" s="208">
        <f t="shared" si="1"/>
        <v>330625.00000000006</v>
      </c>
      <c r="O14" s="208">
        <f t="shared" si="1"/>
        <v>330625.00000000006</v>
      </c>
      <c r="P14" s="208">
        <f t="shared" si="1"/>
        <v>330625.00000000006</v>
      </c>
      <c r="Q14" s="208">
        <f t="shared" si="1"/>
        <v>330625.00000000006</v>
      </c>
      <c r="R14" s="208">
        <f t="shared" si="1"/>
        <v>330625.00000000006</v>
      </c>
    </row>
    <row r="15" spans="1:31" x14ac:dyDescent="0.25">
      <c r="C15" s="212">
        <v>37500000</v>
      </c>
      <c r="D15" s="206">
        <v>3.875E-2</v>
      </c>
      <c r="E15" s="213">
        <v>45485</v>
      </c>
      <c r="G15" s="208">
        <f t="shared" si="1"/>
        <v>121093.75</v>
      </c>
      <c r="H15" s="208">
        <f t="shared" si="1"/>
        <v>121093.75</v>
      </c>
      <c r="I15" s="208">
        <f t="shared" si="1"/>
        <v>121093.75</v>
      </c>
      <c r="J15" s="208">
        <f t="shared" si="1"/>
        <v>121093.75</v>
      </c>
      <c r="K15" s="208">
        <f t="shared" si="1"/>
        <v>121093.75</v>
      </c>
      <c r="L15" s="208">
        <f t="shared" si="1"/>
        <v>121093.75</v>
      </c>
      <c r="M15" s="208">
        <f t="shared" si="1"/>
        <v>121093.75</v>
      </c>
      <c r="N15" s="208">
        <f t="shared" si="1"/>
        <v>121093.75</v>
      </c>
      <c r="O15" s="208">
        <f t="shared" si="1"/>
        <v>121093.75</v>
      </c>
      <c r="P15" s="208">
        <f t="shared" si="1"/>
        <v>121093.75</v>
      </c>
      <c r="Q15" s="208">
        <f t="shared" si="1"/>
        <v>121093.75</v>
      </c>
      <c r="R15" s="208">
        <f t="shared" si="1"/>
        <v>121093.75</v>
      </c>
    </row>
    <row r="16" spans="1:31" x14ac:dyDescent="0.25">
      <c r="C16" s="212">
        <v>37500000</v>
      </c>
      <c r="D16" s="214">
        <v>0.05</v>
      </c>
      <c r="E16" s="213">
        <v>55712</v>
      </c>
      <c r="G16" s="208">
        <f t="shared" si="1"/>
        <v>156250</v>
      </c>
      <c r="H16" s="208">
        <f t="shared" si="1"/>
        <v>156250</v>
      </c>
      <c r="I16" s="208">
        <f t="shared" si="1"/>
        <v>156250</v>
      </c>
      <c r="J16" s="208">
        <f t="shared" si="1"/>
        <v>156250</v>
      </c>
      <c r="K16" s="208">
        <f t="shared" si="1"/>
        <v>156250</v>
      </c>
      <c r="L16" s="208">
        <f t="shared" si="1"/>
        <v>156250</v>
      </c>
      <c r="M16" s="208">
        <f t="shared" si="1"/>
        <v>156250</v>
      </c>
      <c r="N16" s="208">
        <f t="shared" si="1"/>
        <v>156250</v>
      </c>
      <c r="O16" s="208">
        <f t="shared" si="1"/>
        <v>156250</v>
      </c>
      <c r="P16" s="208">
        <f t="shared" si="1"/>
        <v>156250</v>
      </c>
      <c r="Q16" s="208">
        <f t="shared" si="1"/>
        <v>156250</v>
      </c>
      <c r="R16" s="208">
        <f t="shared" si="1"/>
        <v>156250</v>
      </c>
    </row>
    <row r="17" spans="7:7" x14ac:dyDescent="0.25">
      <c r="G17" s="208"/>
    </row>
  </sheetData>
  <mergeCells count="2">
    <mergeCell ref="G1:R1"/>
    <mergeCell ref="T1:AE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6850-117B-49EF-83FB-ADBBAF3455A2}">
  <dimension ref="A1:S41"/>
  <sheetViews>
    <sheetView zoomScale="115" zoomScaleNormal="115" workbookViewId="0">
      <selection activeCell="B2" sqref="B2:D2"/>
    </sheetView>
    <sheetView workbookViewId="1">
      <selection sqref="A1:K1"/>
    </sheetView>
  </sheetViews>
  <sheetFormatPr defaultRowHeight="15" x14ac:dyDescent="0.25"/>
  <cols>
    <col min="1" max="1" width="27.85546875" bestFit="1" customWidth="1"/>
    <col min="2" max="2" width="16.140625" customWidth="1"/>
    <col min="3" max="4" width="12.85546875" customWidth="1"/>
    <col min="5" max="5" width="2" customWidth="1"/>
    <col min="6" max="6" width="13.5703125" customWidth="1"/>
    <col min="7" max="7" width="17.42578125" customWidth="1"/>
    <col min="8" max="8" width="8" bestFit="1" customWidth="1"/>
    <col min="9" max="9" width="1.7109375" customWidth="1"/>
    <col min="10" max="10" width="8.7109375" bestFit="1" customWidth="1"/>
    <col min="11" max="11" width="32.42578125" bestFit="1" customWidth="1"/>
    <col min="14" max="14" width="2.85546875" customWidth="1"/>
    <col min="15" max="15" width="20.5703125" bestFit="1" customWidth="1"/>
  </cols>
  <sheetData>
    <row r="1" spans="1:19" x14ac:dyDescent="0.25">
      <c r="A1" s="319" t="s">
        <v>160</v>
      </c>
      <c r="B1" s="320"/>
      <c r="C1" s="320"/>
      <c r="D1" s="320"/>
      <c r="E1" s="320"/>
      <c r="F1" s="320"/>
      <c r="G1" s="320"/>
      <c r="H1" s="320"/>
      <c r="I1" s="320"/>
      <c r="J1" s="320"/>
      <c r="K1" s="321"/>
    </row>
    <row r="2" spans="1:19" x14ac:dyDescent="0.25">
      <c r="A2" s="83"/>
      <c r="B2" s="322" t="s">
        <v>274</v>
      </c>
      <c r="C2" s="322"/>
      <c r="D2" s="322"/>
      <c r="E2" s="4"/>
      <c r="F2" s="322" t="s">
        <v>159</v>
      </c>
      <c r="G2" s="322"/>
      <c r="H2" s="322"/>
      <c r="I2" s="4"/>
      <c r="J2" s="4"/>
      <c r="K2" s="89"/>
    </row>
    <row r="3" spans="1:19" x14ac:dyDescent="0.25">
      <c r="A3" s="81"/>
      <c r="B3" s="4" t="s">
        <v>150</v>
      </c>
      <c r="C3" s="4" t="s">
        <v>149</v>
      </c>
      <c r="D3" s="4" t="s">
        <v>148</v>
      </c>
      <c r="F3" s="4" t="s">
        <v>150</v>
      </c>
      <c r="G3" s="4" t="s">
        <v>149</v>
      </c>
      <c r="H3" s="4" t="s">
        <v>148</v>
      </c>
      <c r="J3" s="4" t="s">
        <v>91</v>
      </c>
      <c r="K3" s="88"/>
      <c r="N3" s="4" t="s">
        <v>158</v>
      </c>
    </row>
    <row r="4" spans="1:19" x14ac:dyDescent="0.25">
      <c r="A4" s="83" t="s">
        <v>147</v>
      </c>
      <c r="B4" s="82"/>
      <c r="C4" s="87"/>
      <c r="D4" s="82">
        <f>B4*C4</f>
        <v>0</v>
      </c>
      <c r="E4" s="82"/>
      <c r="F4" s="82"/>
      <c r="G4" s="87"/>
      <c r="H4" s="82">
        <f>F4*G4</f>
        <v>0</v>
      </c>
      <c r="I4" s="82"/>
      <c r="J4" s="82"/>
      <c r="K4" s="85"/>
      <c r="O4" t="s">
        <v>157</v>
      </c>
      <c r="P4" s="7">
        <f>D15</f>
        <v>32024.743157258024</v>
      </c>
      <c r="Q4" s="7">
        <f>H15</f>
        <v>36244.894184984245</v>
      </c>
      <c r="R4" s="7">
        <f>P4-Q4</f>
        <v>-4220.1510277262205</v>
      </c>
    </row>
    <row r="5" spans="1:19" x14ac:dyDescent="0.25">
      <c r="A5" s="86"/>
      <c r="B5" s="82"/>
      <c r="C5" s="87"/>
      <c r="D5" s="82"/>
      <c r="E5" s="82"/>
      <c r="F5" s="82"/>
      <c r="G5" s="87"/>
      <c r="H5" s="82"/>
      <c r="I5" s="82"/>
      <c r="J5" s="82"/>
      <c r="K5" s="85"/>
      <c r="O5" t="s">
        <v>156</v>
      </c>
      <c r="P5" s="7">
        <f>D36</f>
        <v>36244.894184984245</v>
      </c>
      <c r="Q5" s="7">
        <f>H36</f>
        <v>38086.00916642871</v>
      </c>
      <c r="R5" s="7">
        <f>P5-Q5</f>
        <v>-1841.1149814444652</v>
      </c>
    </row>
    <row r="6" spans="1:19" x14ac:dyDescent="0.25">
      <c r="A6" s="86" t="s">
        <v>146</v>
      </c>
      <c r="B6" s="79"/>
      <c r="C6" s="80"/>
      <c r="D6" s="79"/>
      <c r="E6" s="82"/>
      <c r="F6" s="79"/>
      <c r="G6" s="80"/>
      <c r="H6" s="79"/>
      <c r="I6" s="82"/>
      <c r="J6" s="79"/>
      <c r="K6" s="85"/>
      <c r="R6" s="90">
        <f>SUM(R4:R5)</f>
        <v>-6061.2660091706857</v>
      </c>
      <c r="S6" t="s">
        <v>155</v>
      </c>
    </row>
    <row r="7" spans="1:19" x14ac:dyDescent="0.25">
      <c r="A7" s="81" t="s">
        <v>145</v>
      </c>
      <c r="B7" s="79">
        <v>570000</v>
      </c>
      <c r="C7" s="80">
        <v>3.8100000000000002E-2</v>
      </c>
      <c r="D7" s="79">
        <f>(B7*C7)+597</f>
        <v>22314</v>
      </c>
      <c r="E7" s="79"/>
      <c r="F7" s="79">
        <v>570000</v>
      </c>
      <c r="G7" s="80">
        <v>4.2000000000000003E-2</v>
      </c>
      <c r="H7" s="79">
        <f>(F7*G7)+597</f>
        <v>24537</v>
      </c>
      <c r="I7" s="79"/>
      <c r="J7" s="79">
        <f>D7-H7</f>
        <v>-2223</v>
      </c>
      <c r="K7" s="78" t="s">
        <v>144</v>
      </c>
    </row>
    <row r="8" spans="1:19" x14ac:dyDescent="0.25">
      <c r="A8" s="81" t="s">
        <v>143</v>
      </c>
      <c r="B8" s="79">
        <v>101721</v>
      </c>
      <c r="C8" s="80">
        <v>3.7499999999999999E-2</v>
      </c>
      <c r="D8" s="79">
        <f>(B8*C8)/12*6</f>
        <v>1907.2687500000002</v>
      </c>
      <c r="E8" s="79"/>
      <c r="F8" s="79">
        <v>101721</v>
      </c>
      <c r="G8" s="80">
        <v>4.2000000000000003E-2</v>
      </c>
      <c r="H8" s="79">
        <f>(F8*G8)/12*6</f>
        <v>2136.1410000000001</v>
      </c>
      <c r="I8" s="79"/>
      <c r="J8" s="79">
        <f>D8-H8</f>
        <v>-228.87224999999989</v>
      </c>
      <c r="K8" s="78"/>
      <c r="R8" s="90">
        <f>'Interest Balance Impact'!R5</f>
        <v>779.19107052612526</v>
      </c>
      <c r="S8" t="s">
        <v>8</v>
      </c>
    </row>
    <row r="9" spans="1:19" x14ac:dyDescent="0.25">
      <c r="A9" s="81" t="s">
        <v>142</v>
      </c>
      <c r="B9" s="79">
        <v>100000</v>
      </c>
      <c r="C9" s="80">
        <v>3.8100000000000002E-2</v>
      </c>
      <c r="D9" s="79">
        <f>(B9*C9)</f>
        <v>3810</v>
      </c>
      <c r="E9" s="79"/>
      <c r="F9" s="79">
        <v>100000</v>
      </c>
      <c r="G9" s="80">
        <v>4.2000000000000003E-2</v>
      </c>
      <c r="H9" s="79">
        <f>(F9*G9)</f>
        <v>4200</v>
      </c>
      <c r="I9" s="79"/>
      <c r="J9" s="79">
        <f>D9-H9</f>
        <v>-390</v>
      </c>
      <c r="K9" s="78"/>
      <c r="R9" s="90">
        <f>SUM(R6:R8)</f>
        <v>-5282.0749386445605</v>
      </c>
      <c r="S9" t="s">
        <v>154</v>
      </c>
    </row>
    <row r="10" spans="1:19" x14ac:dyDescent="0.25">
      <c r="A10" s="81"/>
      <c r="B10" s="79"/>
      <c r="C10" s="80"/>
      <c r="D10" s="79"/>
      <c r="E10" s="79"/>
      <c r="F10" s="79"/>
      <c r="G10" s="80"/>
      <c r="H10" s="79"/>
      <c r="I10" s="79"/>
      <c r="J10" s="79"/>
      <c r="K10" s="78"/>
    </row>
    <row r="11" spans="1:19" x14ac:dyDescent="0.25">
      <c r="A11" s="81"/>
      <c r="B11" s="79"/>
      <c r="C11" s="80"/>
      <c r="D11" s="79"/>
      <c r="E11" s="79"/>
      <c r="F11" s="79"/>
      <c r="G11" s="80"/>
      <c r="H11" s="79"/>
      <c r="I11" s="79"/>
      <c r="J11" s="79"/>
      <c r="K11" s="78"/>
    </row>
    <row r="12" spans="1:19" x14ac:dyDescent="0.25">
      <c r="A12" s="83" t="s">
        <v>141</v>
      </c>
      <c r="B12" s="82">
        <v>141361.92592063808</v>
      </c>
      <c r="C12" s="80">
        <v>2.8250000000000001E-2</v>
      </c>
      <c r="D12" s="79">
        <f>B12*C12</f>
        <v>3993.4744072580261</v>
      </c>
      <c r="E12" s="79"/>
      <c r="F12" s="82">
        <v>141361.92592063808</v>
      </c>
      <c r="G12" s="80">
        <v>3.7999999999999999E-2</v>
      </c>
      <c r="H12" s="79">
        <f>F12*G12</f>
        <v>5371.7531849842471</v>
      </c>
      <c r="I12" s="79"/>
      <c r="J12" s="79">
        <f>D12-H12</f>
        <v>-1378.2787777262211</v>
      </c>
      <c r="K12" s="78"/>
    </row>
    <row r="13" spans="1:19" x14ac:dyDescent="0.25">
      <c r="A13" s="83"/>
      <c r="B13" s="82"/>
      <c r="C13" s="80"/>
      <c r="D13" s="79"/>
      <c r="E13" s="79"/>
      <c r="F13" s="82"/>
      <c r="G13" s="80"/>
      <c r="H13" s="79"/>
      <c r="I13" s="79"/>
      <c r="J13" s="79"/>
      <c r="K13" s="78"/>
    </row>
    <row r="14" spans="1:19" x14ac:dyDescent="0.25">
      <c r="A14" s="81"/>
      <c r="B14" s="79"/>
      <c r="C14" s="80"/>
      <c r="D14" s="79"/>
      <c r="E14" s="79"/>
      <c r="F14" s="79"/>
      <c r="G14" s="80"/>
      <c r="H14" s="79"/>
      <c r="I14" s="79"/>
      <c r="J14" s="79"/>
      <c r="K14" s="78"/>
    </row>
    <row r="15" spans="1:19" ht="15.75" thickBot="1" x14ac:dyDescent="0.3">
      <c r="A15" s="77" t="s">
        <v>140</v>
      </c>
      <c r="B15" s="75"/>
      <c r="C15" s="76"/>
      <c r="D15" s="75">
        <f>SUM(D6:D13)</f>
        <v>32024.743157258024</v>
      </c>
      <c r="E15" s="75"/>
      <c r="F15" s="75"/>
      <c r="G15" s="76"/>
      <c r="H15" s="75">
        <f>SUM(H6:H13)</f>
        <v>36244.894184984245</v>
      </c>
      <c r="I15" s="75"/>
      <c r="J15" s="74">
        <f>D15-H15</f>
        <v>-4220.1510277262205</v>
      </c>
      <c r="K15" s="73"/>
    </row>
    <row r="16" spans="1:19" ht="15.75" thickTop="1" x14ac:dyDescent="0.25">
      <c r="A16" s="81"/>
      <c r="B16" s="79"/>
      <c r="C16" s="80"/>
      <c r="D16" s="79"/>
      <c r="E16" s="79"/>
      <c r="F16" s="79"/>
      <c r="G16" s="80"/>
      <c r="H16" s="79"/>
      <c r="I16" s="79"/>
      <c r="J16" s="79"/>
      <c r="K16" s="78"/>
    </row>
    <row r="17" spans="1:11" ht="15.75" thickBot="1" x14ac:dyDescent="0.3">
      <c r="A17" s="77" t="s">
        <v>139</v>
      </c>
      <c r="B17" s="75"/>
      <c r="C17" s="76"/>
      <c r="D17" s="75">
        <f>SUM(D6:D9)</f>
        <v>28031.268749999999</v>
      </c>
      <c r="E17" s="75"/>
      <c r="F17" s="75"/>
      <c r="G17" s="76"/>
      <c r="H17" s="75">
        <f>SUM(H6:H9)</f>
        <v>30873.141</v>
      </c>
      <c r="I17" s="75"/>
      <c r="J17" s="74">
        <f>D17-H17</f>
        <v>-2841.8722500000003</v>
      </c>
      <c r="K17" s="73"/>
    </row>
    <row r="18" spans="1:11" ht="15.75" thickTop="1" x14ac:dyDescent="0.25">
      <c r="A18" s="81"/>
      <c r="B18" s="79"/>
      <c r="C18" s="80"/>
      <c r="D18" s="79"/>
      <c r="E18" s="79"/>
      <c r="F18" s="79"/>
      <c r="G18" s="80"/>
      <c r="H18" s="79"/>
      <c r="I18" s="79"/>
      <c r="J18" s="79"/>
      <c r="K18" s="78"/>
    </row>
    <row r="19" spans="1:11" ht="15.75" thickBot="1" x14ac:dyDescent="0.3">
      <c r="A19" s="77" t="s">
        <v>138</v>
      </c>
      <c r="B19" s="75"/>
      <c r="C19" s="76"/>
      <c r="D19" s="75">
        <f>SUM(D12:D13)</f>
        <v>3993.4744072580261</v>
      </c>
      <c r="E19" s="75"/>
      <c r="F19" s="75"/>
      <c r="G19" s="76"/>
      <c r="H19" s="75">
        <f>SUM(H12:H13)</f>
        <v>5371.7531849842471</v>
      </c>
      <c r="I19" s="75"/>
      <c r="J19" s="74">
        <f>D19-H19</f>
        <v>-1378.2787777262211</v>
      </c>
      <c r="K19" s="73"/>
    </row>
    <row r="20" spans="1:11" ht="15.75" thickTop="1" x14ac:dyDescent="0.25">
      <c r="A20" s="72"/>
      <c r="B20" s="70"/>
      <c r="C20" s="71"/>
      <c r="D20" s="70"/>
      <c r="E20" s="70"/>
      <c r="F20" s="70"/>
      <c r="G20" s="71"/>
      <c r="H20" s="70"/>
      <c r="I20" s="70"/>
      <c r="J20" s="70"/>
      <c r="K20" s="69"/>
    </row>
    <row r="22" spans="1:11" x14ac:dyDescent="0.25">
      <c r="A22" s="319" t="s">
        <v>153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x14ac:dyDescent="0.25">
      <c r="A23" s="83"/>
      <c r="B23" s="308" t="s">
        <v>152</v>
      </c>
      <c r="C23" s="308"/>
      <c r="D23" s="308"/>
      <c r="E23" s="4"/>
      <c r="F23" s="308" t="s">
        <v>151</v>
      </c>
      <c r="G23" s="308"/>
      <c r="H23" s="308"/>
      <c r="I23" s="4"/>
      <c r="J23" s="4"/>
      <c r="K23" s="89"/>
    </row>
    <row r="24" spans="1:11" x14ac:dyDescent="0.25">
      <c r="A24" s="81"/>
      <c r="B24" s="4" t="s">
        <v>150</v>
      </c>
      <c r="C24" s="4" t="s">
        <v>149</v>
      </c>
      <c r="D24" s="4" t="s">
        <v>148</v>
      </c>
      <c r="F24" s="4" t="s">
        <v>150</v>
      </c>
      <c r="G24" s="4" t="s">
        <v>149</v>
      </c>
      <c r="H24" s="4" t="s">
        <v>148</v>
      </c>
      <c r="J24" s="4" t="s">
        <v>91</v>
      </c>
      <c r="K24" s="88"/>
    </row>
    <row r="25" spans="1:11" x14ac:dyDescent="0.25">
      <c r="A25" s="83" t="s">
        <v>147</v>
      </c>
      <c r="B25" s="82"/>
      <c r="C25" s="87"/>
      <c r="D25" s="82">
        <f>B25*C25</f>
        <v>0</v>
      </c>
      <c r="E25" s="82"/>
      <c r="F25" s="82"/>
      <c r="G25" s="87"/>
      <c r="H25" s="82">
        <f>F25*G25</f>
        <v>0</v>
      </c>
      <c r="I25" s="82"/>
      <c r="J25" s="82"/>
      <c r="K25" s="85"/>
    </row>
    <row r="26" spans="1:11" x14ac:dyDescent="0.25">
      <c r="A26" s="86"/>
      <c r="B26" s="82"/>
      <c r="C26" s="87"/>
      <c r="D26" s="82"/>
      <c r="E26" s="82"/>
      <c r="F26" s="82"/>
      <c r="G26" s="87"/>
      <c r="H26" s="82"/>
      <c r="I26" s="82"/>
      <c r="J26" s="82"/>
      <c r="K26" s="85"/>
    </row>
    <row r="27" spans="1:11" x14ac:dyDescent="0.25">
      <c r="A27" s="86" t="s">
        <v>146</v>
      </c>
      <c r="B27" s="79"/>
      <c r="C27" s="80"/>
      <c r="D27" s="79"/>
      <c r="E27" s="82"/>
      <c r="F27" s="79"/>
      <c r="G27" s="80"/>
      <c r="H27" s="79"/>
      <c r="I27" s="82"/>
      <c r="J27" s="79">
        <f>D27-H27</f>
        <v>0</v>
      </c>
      <c r="K27" s="85"/>
    </row>
    <row r="28" spans="1:11" x14ac:dyDescent="0.25">
      <c r="A28" s="81" t="s">
        <v>145</v>
      </c>
      <c r="B28" s="79">
        <v>570000</v>
      </c>
      <c r="C28" s="80">
        <v>4.2000000000000003E-2</v>
      </c>
      <c r="D28" s="79">
        <f>(B28*C28)+597</f>
        <v>24537</v>
      </c>
      <c r="E28" s="79"/>
      <c r="F28" s="79">
        <v>570000</v>
      </c>
      <c r="G28" s="84">
        <f>4.5%*0+0.0427</f>
        <v>4.2700000000000002E-2</v>
      </c>
      <c r="H28" s="79">
        <f>(F28*G28)+597</f>
        <v>24936</v>
      </c>
      <c r="I28" s="79"/>
      <c r="J28" s="79">
        <f>D28-H28</f>
        <v>-399</v>
      </c>
      <c r="K28" s="78" t="s">
        <v>144</v>
      </c>
    </row>
    <row r="29" spans="1:11" x14ac:dyDescent="0.25">
      <c r="A29" s="81" t="s">
        <v>143</v>
      </c>
      <c r="B29" s="79">
        <v>101721</v>
      </c>
      <c r="C29" s="80">
        <v>4.2000000000000003E-2</v>
      </c>
      <c r="D29" s="79">
        <f>(B29*C29)/12*6</f>
        <v>2136.1410000000001</v>
      </c>
      <c r="E29" s="79"/>
      <c r="F29" s="79">
        <v>101721</v>
      </c>
      <c r="G29" s="80">
        <v>4.4999999999999998E-2</v>
      </c>
      <c r="H29" s="79">
        <f>(F29*G29)/12*6</f>
        <v>2288.7224999999999</v>
      </c>
      <c r="I29" s="79"/>
      <c r="J29" s="79">
        <f>D29-H29</f>
        <v>-152.58149999999978</v>
      </c>
      <c r="K29" s="78"/>
    </row>
    <row r="30" spans="1:11" x14ac:dyDescent="0.25">
      <c r="A30" s="81" t="s">
        <v>142</v>
      </c>
      <c r="B30" s="79">
        <v>100000</v>
      </c>
      <c r="C30" s="80">
        <v>4.2000000000000003E-2</v>
      </c>
      <c r="D30" s="79">
        <f>(B30*C30)</f>
        <v>4200</v>
      </c>
      <c r="E30" s="79"/>
      <c r="F30" s="79">
        <v>100000</v>
      </c>
      <c r="G30" s="80">
        <v>4.4999999999999998E-2</v>
      </c>
      <c r="H30" s="79">
        <f>(F30*G30)</f>
        <v>4500</v>
      </c>
      <c r="I30" s="79"/>
      <c r="J30" s="79">
        <f>D30-H30</f>
        <v>-300</v>
      </c>
      <c r="K30" s="78"/>
    </row>
    <row r="31" spans="1:11" x14ac:dyDescent="0.25">
      <c r="A31" s="81"/>
      <c r="B31" s="79"/>
      <c r="C31" s="80"/>
      <c r="D31" s="79"/>
      <c r="E31" s="79"/>
      <c r="F31" s="79"/>
      <c r="G31" s="80"/>
      <c r="H31" s="79"/>
      <c r="I31" s="79"/>
      <c r="J31" s="79"/>
      <c r="K31" s="78"/>
    </row>
    <row r="32" spans="1:11" x14ac:dyDescent="0.25">
      <c r="A32" s="81"/>
      <c r="B32" s="79"/>
      <c r="C32" s="80"/>
      <c r="D32" s="79"/>
      <c r="E32" s="79"/>
      <c r="F32" s="79"/>
      <c r="G32" s="80"/>
      <c r="H32" s="79"/>
      <c r="I32" s="79"/>
      <c r="J32" s="79"/>
      <c r="K32" s="78"/>
    </row>
    <row r="33" spans="1:11" x14ac:dyDescent="0.25">
      <c r="A33" s="83" t="s">
        <v>141</v>
      </c>
      <c r="B33" s="82">
        <v>141361.92592063808</v>
      </c>
      <c r="C33" s="80">
        <v>3.7999999999999999E-2</v>
      </c>
      <c r="D33" s="79">
        <f>B33*C33</f>
        <v>5371.7531849842471</v>
      </c>
      <c r="E33" s="79"/>
      <c r="F33" s="82">
        <v>141361.92592063808</v>
      </c>
      <c r="G33" s="80">
        <v>4.4999999999999998E-2</v>
      </c>
      <c r="H33" s="79">
        <f>F33*G33</f>
        <v>6361.286666428713</v>
      </c>
      <c r="I33" s="79"/>
      <c r="J33" s="79">
        <f>D33-H33</f>
        <v>-989.53348144446591</v>
      </c>
      <c r="K33" s="78"/>
    </row>
    <row r="34" spans="1:11" x14ac:dyDescent="0.25">
      <c r="A34" s="83"/>
      <c r="B34" s="82"/>
      <c r="C34" s="80"/>
      <c r="D34" s="79"/>
      <c r="E34" s="79"/>
      <c r="F34" s="82"/>
      <c r="G34" s="80"/>
      <c r="H34" s="79"/>
      <c r="I34" s="79"/>
      <c r="J34" s="79"/>
      <c r="K34" s="78"/>
    </row>
    <row r="35" spans="1:11" x14ac:dyDescent="0.25">
      <c r="A35" s="81"/>
      <c r="B35" s="79"/>
      <c r="C35" s="80"/>
      <c r="D35" s="79"/>
      <c r="E35" s="79"/>
      <c r="F35" s="79"/>
      <c r="G35" s="80"/>
      <c r="H35" s="79"/>
      <c r="I35" s="79"/>
      <c r="J35" s="79"/>
      <c r="K35" s="78"/>
    </row>
    <row r="36" spans="1:11" ht="15.75" thickBot="1" x14ac:dyDescent="0.3">
      <c r="A36" s="77" t="s">
        <v>140</v>
      </c>
      <c r="B36" s="75"/>
      <c r="C36" s="76"/>
      <c r="D36" s="75">
        <f>SUM(D27:D34)</f>
        <v>36244.894184984245</v>
      </c>
      <c r="E36" s="75"/>
      <c r="F36" s="75"/>
      <c r="G36" s="76"/>
      <c r="H36" s="75">
        <f>SUM(H27:H34)</f>
        <v>38086.00916642871</v>
      </c>
      <c r="I36" s="75"/>
      <c r="J36" s="74">
        <f>D36-H36</f>
        <v>-1841.1149814444652</v>
      </c>
      <c r="K36" s="73"/>
    </row>
    <row r="37" spans="1:11" ht="15.75" thickTop="1" x14ac:dyDescent="0.25">
      <c r="A37" s="81"/>
      <c r="B37" s="79"/>
      <c r="C37" s="80"/>
      <c r="D37" s="79"/>
      <c r="E37" s="79"/>
      <c r="F37" s="79"/>
      <c r="G37" s="80"/>
      <c r="H37" s="79"/>
      <c r="I37" s="79"/>
      <c r="J37" s="79"/>
      <c r="K37" s="78"/>
    </row>
    <row r="38" spans="1:11" ht="15.75" thickBot="1" x14ac:dyDescent="0.3">
      <c r="A38" s="77" t="s">
        <v>139</v>
      </c>
      <c r="B38" s="75"/>
      <c r="C38" s="76"/>
      <c r="D38" s="75">
        <f>SUM(D27:D30)</f>
        <v>30873.141</v>
      </c>
      <c r="E38" s="75"/>
      <c r="F38" s="75"/>
      <c r="G38" s="76"/>
      <c r="H38" s="75">
        <f>SUM(H27:H30)</f>
        <v>31724.7225</v>
      </c>
      <c r="I38" s="75"/>
      <c r="J38" s="74">
        <f>D38-H38</f>
        <v>-851.58150000000023</v>
      </c>
      <c r="K38" s="73"/>
    </row>
    <row r="39" spans="1:11" ht="15.75" thickTop="1" x14ac:dyDescent="0.25">
      <c r="A39" s="81"/>
      <c r="B39" s="79"/>
      <c r="C39" s="80"/>
      <c r="D39" s="79"/>
      <c r="E39" s="79"/>
      <c r="F39" s="79"/>
      <c r="G39" s="80"/>
      <c r="H39" s="79"/>
      <c r="I39" s="79"/>
      <c r="J39" s="79"/>
      <c r="K39" s="78"/>
    </row>
    <row r="40" spans="1:11" ht="15.75" thickBot="1" x14ac:dyDescent="0.3">
      <c r="A40" s="77" t="s">
        <v>138</v>
      </c>
      <c r="B40" s="75"/>
      <c r="C40" s="76"/>
      <c r="D40" s="75">
        <f>SUM(D33:D34)</f>
        <v>5371.7531849842471</v>
      </c>
      <c r="E40" s="75"/>
      <c r="F40" s="75"/>
      <c r="G40" s="76"/>
      <c r="H40" s="75">
        <f>SUM(H33:H34)</f>
        <v>6361.286666428713</v>
      </c>
      <c r="I40" s="75"/>
      <c r="J40" s="74">
        <f>D40-H40</f>
        <v>-989.53348144446591</v>
      </c>
      <c r="K40" s="73"/>
    </row>
    <row r="41" spans="1:11" ht="15.75" thickTop="1" x14ac:dyDescent="0.25">
      <c r="A41" s="72"/>
      <c r="B41" s="70"/>
      <c r="C41" s="71"/>
      <c r="D41" s="70"/>
      <c r="E41" s="70"/>
      <c r="F41" s="70"/>
      <c r="G41" s="71"/>
      <c r="H41" s="70"/>
      <c r="I41" s="70"/>
      <c r="J41" s="70"/>
      <c r="K41" s="69"/>
    </row>
  </sheetData>
  <mergeCells count="6">
    <mergeCell ref="A1:K1"/>
    <mergeCell ref="B2:D2"/>
    <mergeCell ref="F2:H2"/>
    <mergeCell ref="A22:K22"/>
    <mergeCell ref="B23:D23"/>
    <mergeCell ref="F23:H2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3E8F-0770-45A8-8FF2-431C1E1E6E26}">
  <dimension ref="A1:S18"/>
  <sheetViews>
    <sheetView zoomScale="130" zoomScaleNormal="130" workbookViewId="0">
      <selection activeCell="B2" sqref="B2:D2"/>
    </sheetView>
    <sheetView workbookViewId="1">
      <selection sqref="A1:K1"/>
    </sheetView>
  </sheetViews>
  <sheetFormatPr defaultRowHeight="15" x14ac:dyDescent="0.25"/>
  <cols>
    <col min="1" max="1" width="27.85546875" bestFit="1" customWidth="1"/>
    <col min="2" max="2" width="9" bestFit="1" customWidth="1"/>
    <col min="3" max="3" width="6.140625" bestFit="1" customWidth="1"/>
    <col min="4" max="4" width="8" bestFit="1" customWidth="1"/>
    <col min="5" max="5" width="2" customWidth="1"/>
    <col min="6" max="6" width="9" bestFit="1" customWidth="1"/>
    <col min="7" max="7" width="6.140625" bestFit="1" customWidth="1"/>
    <col min="8" max="8" width="8" bestFit="1" customWidth="1"/>
    <col min="9" max="9" width="1.7109375" customWidth="1"/>
    <col min="10" max="10" width="8.7109375" bestFit="1" customWidth="1"/>
    <col min="11" max="11" width="32.42578125" bestFit="1" customWidth="1"/>
    <col min="14" max="14" width="2.85546875" customWidth="1"/>
    <col min="15" max="15" width="20.5703125" bestFit="1" customWidth="1"/>
  </cols>
  <sheetData>
    <row r="1" spans="1:19" x14ac:dyDescent="0.25">
      <c r="A1" s="319" t="s">
        <v>8</v>
      </c>
      <c r="B1" s="320"/>
      <c r="C1" s="320"/>
      <c r="D1" s="320"/>
      <c r="E1" s="320"/>
      <c r="F1" s="320"/>
      <c r="G1" s="320"/>
      <c r="H1" s="320"/>
      <c r="I1" s="320"/>
      <c r="J1" s="320"/>
      <c r="K1" s="321"/>
    </row>
    <row r="2" spans="1:19" x14ac:dyDescent="0.25">
      <c r="A2" s="83"/>
      <c r="B2" s="308" t="s">
        <v>164</v>
      </c>
      <c r="C2" s="308"/>
      <c r="D2" s="308"/>
      <c r="E2" s="4"/>
      <c r="F2" s="308" t="s">
        <v>163</v>
      </c>
      <c r="G2" s="308"/>
      <c r="H2" s="308"/>
      <c r="I2" s="4"/>
      <c r="J2" s="4"/>
      <c r="K2" s="89"/>
    </row>
    <row r="3" spans="1:19" x14ac:dyDescent="0.25">
      <c r="A3" s="81"/>
      <c r="B3" s="4" t="s">
        <v>150</v>
      </c>
      <c r="C3" s="4" t="s">
        <v>149</v>
      </c>
      <c r="D3" s="4" t="s">
        <v>148</v>
      </c>
      <c r="F3" s="4" t="s">
        <v>150</v>
      </c>
      <c r="G3" s="4" t="s">
        <v>149</v>
      </c>
      <c r="H3" s="4" t="s">
        <v>148</v>
      </c>
      <c r="J3" s="4" t="s">
        <v>91</v>
      </c>
      <c r="K3" s="88"/>
      <c r="N3" s="4" t="s">
        <v>162</v>
      </c>
    </row>
    <row r="4" spans="1:19" x14ac:dyDescent="0.25">
      <c r="A4" s="83" t="s">
        <v>147</v>
      </c>
      <c r="B4" s="82"/>
      <c r="C4" s="87"/>
      <c r="D4" s="82">
        <f>B4*C4</f>
        <v>0</v>
      </c>
      <c r="E4" s="82"/>
      <c r="F4" s="82"/>
      <c r="G4" s="87"/>
      <c r="H4" s="82">
        <f>F4*G4</f>
        <v>0</v>
      </c>
      <c r="I4" s="82"/>
      <c r="J4" s="82"/>
      <c r="K4" s="85"/>
      <c r="O4" t="s">
        <v>161</v>
      </c>
      <c r="P4" s="7">
        <f>D13</f>
        <v>32024.743157258024</v>
      </c>
      <c r="Q4" s="7">
        <f>H13</f>
        <v>31245.552086731899</v>
      </c>
      <c r="R4" s="7">
        <f>P4-Q4</f>
        <v>779.19107052612526</v>
      </c>
    </row>
    <row r="5" spans="1:19" x14ac:dyDescent="0.25">
      <c r="A5" s="81"/>
      <c r="B5" s="82"/>
      <c r="C5" s="87"/>
      <c r="D5" s="82"/>
      <c r="E5" s="82"/>
      <c r="F5" s="82"/>
      <c r="G5" s="87"/>
      <c r="H5" s="82"/>
      <c r="I5" s="82"/>
      <c r="J5" s="82"/>
      <c r="K5" s="85"/>
      <c r="R5" s="90">
        <f>SUM(R4:R4)</f>
        <v>779.19107052612526</v>
      </c>
      <c r="S5" t="s">
        <v>155</v>
      </c>
    </row>
    <row r="6" spans="1:19" x14ac:dyDescent="0.25">
      <c r="A6" s="81" t="s">
        <v>145</v>
      </c>
      <c r="B6" s="82">
        <v>570000</v>
      </c>
      <c r="C6" s="87">
        <v>3.8100000000000002E-2</v>
      </c>
      <c r="D6" s="82">
        <f>(B6*C6)+597</f>
        <v>22314</v>
      </c>
      <c r="E6" s="82"/>
      <c r="F6" s="82">
        <v>570000</v>
      </c>
      <c r="G6" s="87">
        <v>3.8100000000000002E-2</v>
      </c>
      <c r="H6" s="82">
        <f>(F6*G6)+597</f>
        <v>22314</v>
      </c>
      <c r="I6" s="82"/>
      <c r="J6" s="82">
        <f>D6-H6</f>
        <v>0</v>
      </c>
      <c r="K6" s="85" t="s">
        <v>144</v>
      </c>
    </row>
    <row r="7" spans="1:19" x14ac:dyDescent="0.25">
      <c r="A7" s="81" t="s">
        <v>143</v>
      </c>
      <c r="B7" s="82">
        <v>101721</v>
      </c>
      <c r="C7" s="87">
        <v>3.7499999999999999E-2</v>
      </c>
      <c r="D7" s="82">
        <f>(B7*C7)/12*6</f>
        <v>1907.2687500000002</v>
      </c>
      <c r="E7" s="82"/>
      <c r="F7" s="82">
        <v>180000</v>
      </c>
      <c r="G7" s="87">
        <v>3.7499999999999999E-2</v>
      </c>
      <c r="H7" s="82">
        <f>(F7*G7)/12*6</f>
        <v>3375</v>
      </c>
      <c r="I7" s="82"/>
      <c r="J7" s="82">
        <f>D7-H7</f>
        <v>-1467.7312499999998</v>
      </c>
      <c r="K7" s="85"/>
    </row>
    <row r="8" spans="1:19" x14ac:dyDescent="0.25">
      <c r="A8" s="81" t="s">
        <v>142</v>
      </c>
      <c r="B8" s="82">
        <v>100000</v>
      </c>
      <c r="C8" s="87">
        <v>3.8100000000000002E-2</v>
      </c>
      <c r="D8" s="82">
        <f>B8*C8</f>
        <v>3810</v>
      </c>
      <c r="E8" s="82"/>
      <c r="F8" s="82"/>
      <c r="G8" s="87"/>
      <c r="H8" s="82"/>
      <c r="I8" s="82"/>
      <c r="J8" s="82">
        <f>D8-H8</f>
        <v>3810</v>
      </c>
      <c r="K8" s="85"/>
    </row>
    <row r="9" spans="1:19" x14ac:dyDescent="0.25">
      <c r="A9" s="81"/>
      <c r="B9" s="82"/>
      <c r="C9" s="87"/>
      <c r="D9" s="82"/>
      <c r="E9" s="82"/>
      <c r="F9" s="82"/>
      <c r="G9" s="87"/>
      <c r="H9" s="82"/>
      <c r="I9" s="82"/>
      <c r="J9" s="82"/>
      <c r="K9" s="85"/>
    </row>
    <row r="10" spans="1:19" x14ac:dyDescent="0.25">
      <c r="A10" s="83" t="s">
        <v>141</v>
      </c>
      <c r="B10" s="82">
        <v>141361.92592063808</v>
      </c>
      <c r="C10" s="87">
        <v>2.8250000000000001E-2</v>
      </c>
      <c r="D10" s="82">
        <f>B10*C10</f>
        <v>3993.4744072580261</v>
      </c>
      <c r="E10" s="82"/>
      <c r="F10" s="82">
        <v>141361.92592063808</v>
      </c>
      <c r="G10" s="87">
        <v>2.8250000000000001E-2</v>
      </c>
      <c r="H10" s="82">
        <f>F10*G10</f>
        <v>3993.4744072580261</v>
      </c>
      <c r="I10" s="82"/>
      <c r="J10" s="82">
        <f>D10-H10</f>
        <v>0</v>
      </c>
      <c r="K10" s="85"/>
    </row>
    <row r="11" spans="1:19" x14ac:dyDescent="0.25">
      <c r="A11" s="83"/>
      <c r="B11" s="82"/>
      <c r="C11" s="87"/>
      <c r="D11" s="82"/>
      <c r="E11" s="82"/>
      <c r="F11" s="82">
        <v>55330.183344207908</v>
      </c>
      <c r="G11" s="87">
        <v>2.8250000000000001E-2</v>
      </c>
      <c r="H11" s="82">
        <f>F11*G11</f>
        <v>1563.0776794738733</v>
      </c>
      <c r="I11" s="82"/>
      <c r="J11" s="82">
        <f>D11-H11</f>
        <v>-1563.0776794738733</v>
      </c>
      <c r="K11" s="85"/>
    </row>
    <row r="12" spans="1:19" x14ac:dyDescent="0.25">
      <c r="A12" s="81"/>
      <c r="B12" s="82"/>
      <c r="C12" s="87"/>
      <c r="D12" s="82"/>
      <c r="E12" s="82"/>
      <c r="F12" s="82"/>
      <c r="G12" s="87"/>
      <c r="H12" s="82"/>
      <c r="I12" s="82"/>
      <c r="J12" s="82"/>
      <c r="K12" s="85"/>
    </row>
    <row r="13" spans="1:19" ht="15.75" thickBot="1" x14ac:dyDescent="0.3">
      <c r="A13" s="77" t="s">
        <v>140</v>
      </c>
      <c r="B13" s="75"/>
      <c r="C13" s="76"/>
      <c r="D13" s="75">
        <f>SUM(D5:D10)</f>
        <v>32024.743157258024</v>
      </c>
      <c r="E13" s="75"/>
      <c r="F13" s="75"/>
      <c r="G13" s="76"/>
      <c r="H13" s="75">
        <f>SUM(H5:H11)</f>
        <v>31245.552086731899</v>
      </c>
      <c r="I13" s="75"/>
      <c r="J13" s="74">
        <f>D13-H13</f>
        <v>779.19107052612526</v>
      </c>
      <c r="K13" s="73"/>
    </row>
    <row r="14" spans="1:19" ht="15.75" thickTop="1" x14ac:dyDescent="0.25">
      <c r="A14" s="81"/>
      <c r="B14" s="79"/>
      <c r="C14" s="80"/>
      <c r="D14" s="79"/>
      <c r="E14" s="79"/>
      <c r="F14" s="79"/>
      <c r="G14" s="80"/>
      <c r="H14" s="79"/>
      <c r="I14" s="79"/>
      <c r="J14" s="79"/>
      <c r="K14" s="78"/>
    </row>
    <row r="15" spans="1:19" ht="15.75" thickBot="1" x14ac:dyDescent="0.3">
      <c r="A15" s="77" t="s">
        <v>139</v>
      </c>
      <c r="B15" s="75"/>
      <c r="C15" s="76"/>
      <c r="D15" s="75">
        <f>SUM(D5:D8)</f>
        <v>28031.268749999999</v>
      </c>
      <c r="E15" s="75"/>
      <c r="F15" s="75"/>
      <c r="G15" s="76"/>
      <c r="H15" s="75">
        <f>SUM(H5:H8)</f>
        <v>25689</v>
      </c>
      <c r="I15" s="75"/>
      <c r="J15" s="74">
        <f>D15-H15</f>
        <v>2342.2687499999993</v>
      </c>
      <c r="K15" s="73"/>
    </row>
    <row r="16" spans="1:19" ht="15.75" thickTop="1" x14ac:dyDescent="0.25">
      <c r="A16" s="81"/>
      <c r="B16" s="79"/>
      <c r="C16" s="80"/>
      <c r="D16" s="79"/>
      <c r="E16" s="79"/>
      <c r="F16" s="79"/>
      <c r="G16" s="80"/>
      <c r="H16" s="79"/>
      <c r="I16" s="79"/>
      <c r="J16" s="79"/>
      <c r="K16" s="78"/>
    </row>
    <row r="17" spans="1:11" ht="15.75" thickBot="1" x14ac:dyDescent="0.3">
      <c r="A17" s="77" t="s">
        <v>138</v>
      </c>
      <c r="B17" s="75"/>
      <c r="C17" s="76"/>
      <c r="D17" s="75">
        <f>D10</f>
        <v>3993.4744072580261</v>
      </c>
      <c r="E17" s="75"/>
      <c r="F17" s="75"/>
      <c r="G17" s="76"/>
      <c r="H17" s="75">
        <f>SUM(H10:H11)</f>
        <v>5556.5520867318992</v>
      </c>
      <c r="I17" s="75"/>
      <c r="J17" s="74">
        <f>D17-H17</f>
        <v>-1563.0776794738731</v>
      </c>
      <c r="K17" s="73"/>
    </row>
    <row r="18" spans="1:11" ht="15.75" thickTop="1" x14ac:dyDescent="0.25">
      <c r="A18" s="72"/>
      <c r="B18" s="70"/>
      <c r="C18" s="91"/>
      <c r="D18" s="70"/>
      <c r="E18" s="70"/>
      <c r="F18" s="70"/>
      <c r="G18" s="91"/>
      <c r="H18" s="70"/>
      <c r="I18" s="70"/>
      <c r="J18" s="70"/>
      <c r="K18" s="69"/>
    </row>
  </sheetData>
  <mergeCells count="3">
    <mergeCell ref="A1:K1"/>
    <mergeCell ref="B2:D2"/>
    <mergeCell ref="F2:H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5384-FB96-4D06-A3F4-AEA9D4EE34D8}">
  <dimension ref="A1:L22"/>
  <sheetViews>
    <sheetView topLeftCell="E1" zoomScale="115" zoomScaleNormal="115" workbookViewId="0">
      <pane xSplit="2" ySplit="5" topLeftCell="G6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  <sheetView workbookViewId="1"/>
  </sheetViews>
  <sheetFormatPr defaultColWidth="9.140625" defaultRowHeight="30" customHeight="1" x14ac:dyDescent="0.25"/>
  <cols>
    <col min="1" max="1" width="12.85546875" style="92" customWidth="1"/>
    <col min="2" max="2" width="14.5703125" style="92" customWidth="1"/>
    <col min="3" max="3" width="16.28515625" style="92" customWidth="1"/>
    <col min="4" max="4" width="12.140625" style="92" customWidth="1"/>
    <col min="5" max="5" width="10.5703125" style="92" hidden="1" customWidth="1"/>
    <col min="6" max="6" width="40.7109375" style="92" customWidth="1"/>
    <col min="7" max="7" width="10.42578125" style="92" bestFit="1" customWidth="1"/>
    <col min="8" max="9" width="10.42578125" style="92" customWidth="1"/>
    <col min="10" max="10" width="55.7109375" style="92" customWidth="1"/>
    <col min="11" max="11" width="17.5703125" style="92" hidden="1" customWidth="1"/>
    <col min="12" max="12" width="36.5703125" style="92" hidden="1" customWidth="1"/>
    <col min="13" max="13" width="11" style="92" bestFit="1" customWidth="1"/>
    <col min="14" max="14" width="10" style="92" bestFit="1" customWidth="1"/>
    <col min="15" max="15" width="12.140625" style="92" customWidth="1"/>
    <col min="16" max="16384" width="9.140625" style="92"/>
  </cols>
  <sheetData>
    <row r="1" spans="1:12" ht="30" customHeight="1" x14ac:dyDescent="0.25">
      <c r="F1" s="323" t="s">
        <v>168</v>
      </c>
      <c r="G1" s="323"/>
      <c r="H1" s="323"/>
      <c r="I1" s="323"/>
      <c r="J1" s="323"/>
    </row>
    <row r="2" spans="1:12" ht="30" customHeight="1" x14ac:dyDescent="0.25">
      <c r="F2" s="323" t="s">
        <v>169</v>
      </c>
      <c r="G2" s="323"/>
      <c r="H2" s="323"/>
      <c r="I2" s="323"/>
      <c r="J2" s="323"/>
    </row>
    <row r="3" spans="1:12" ht="30" customHeight="1" x14ac:dyDescent="0.25">
      <c r="F3" s="323" t="s">
        <v>170</v>
      </c>
      <c r="G3" s="323"/>
      <c r="H3" s="323"/>
      <c r="I3" s="323"/>
      <c r="J3" s="323"/>
    </row>
    <row r="5" spans="1:12" ht="30" customHeight="1" x14ac:dyDescent="0.25">
      <c r="A5" s="93" t="s">
        <v>171</v>
      </c>
      <c r="B5" s="93" t="s">
        <v>172</v>
      </c>
      <c r="C5" s="93" t="s">
        <v>173</v>
      </c>
      <c r="D5" s="93" t="s">
        <v>174</v>
      </c>
      <c r="E5" s="93" t="s">
        <v>175</v>
      </c>
      <c r="F5" s="93" t="s">
        <v>176</v>
      </c>
      <c r="G5" s="93" t="s">
        <v>177</v>
      </c>
      <c r="H5" s="93" t="s">
        <v>23</v>
      </c>
      <c r="I5" s="93" t="s">
        <v>91</v>
      </c>
      <c r="J5" s="93" t="s">
        <v>178</v>
      </c>
      <c r="K5" s="94"/>
    </row>
    <row r="6" spans="1:12" ht="26.25" customHeight="1" x14ac:dyDescent="0.25">
      <c r="A6" s="95" t="s">
        <v>179</v>
      </c>
      <c r="B6" s="95" t="s">
        <v>180</v>
      </c>
      <c r="C6" s="95" t="s">
        <v>181</v>
      </c>
      <c r="D6" s="95"/>
      <c r="E6" s="95" t="s">
        <v>182</v>
      </c>
      <c r="F6" s="96" t="s">
        <v>183</v>
      </c>
      <c r="G6" s="97">
        <f>750000*0+500000/1000</f>
        <v>500</v>
      </c>
      <c r="H6" s="97">
        <v>750</v>
      </c>
      <c r="I6" s="97">
        <f>+H6-G6</f>
        <v>250</v>
      </c>
      <c r="J6" s="95"/>
      <c r="L6" s="92" t="s">
        <v>184</v>
      </c>
    </row>
    <row r="7" spans="1:12" ht="27.75" customHeight="1" x14ac:dyDescent="0.25">
      <c r="A7" s="95" t="s">
        <v>179</v>
      </c>
      <c r="B7" s="95" t="s">
        <v>180</v>
      </c>
      <c r="C7" s="95" t="s">
        <v>181</v>
      </c>
      <c r="D7" s="95"/>
      <c r="E7" s="95" t="s">
        <v>182</v>
      </c>
      <c r="F7" s="96" t="s">
        <v>185</v>
      </c>
      <c r="G7" s="97">
        <f>(330000*0+425000+73000)/1000</f>
        <v>498</v>
      </c>
      <c r="H7" s="97">
        <v>330</v>
      </c>
      <c r="I7" s="97">
        <f t="shared" ref="I7:I12" si="0">+H7-G7</f>
        <v>-168</v>
      </c>
      <c r="J7" s="95" t="s">
        <v>186</v>
      </c>
      <c r="K7" s="92" t="s">
        <v>187</v>
      </c>
      <c r="L7" s="92" t="s">
        <v>188</v>
      </c>
    </row>
    <row r="8" spans="1:12" ht="26.25" customHeight="1" x14ac:dyDescent="0.25">
      <c r="A8" s="95" t="s">
        <v>179</v>
      </c>
      <c r="B8" s="95" t="s">
        <v>180</v>
      </c>
      <c r="C8" s="95" t="s">
        <v>181</v>
      </c>
      <c r="D8" s="95"/>
      <c r="E8" s="95" t="s">
        <v>182</v>
      </c>
      <c r="F8" s="96" t="s">
        <v>189</v>
      </c>
      <c r="G8" s="97">
        <f>375000/1000</f>
        <v>375</v>
      </c>
      <c r="H8" s="97">
        <v>375</v>
      </c>
      <c r="I8" s="97">
        <f t="shared" si="0"/>
        <v>0</v>
      </c>
      <c r="J8" s="95" t="s">
        <v>190</v>
      </c>
      <c r="L8" s="92" t="s">
        <v>184</v>
      </c>
    </row>
    <row r="9" spans="1:12" hidden="1" x14ac:dyDescent="0.25">
      <c r="A9" s="95" t="s">
        <v>179</v>
      </c>
      <c r="B9" s="95" t="s">
        <v>180</v>
      </c>
      <c r="C9" s="95" t="s">
        <v>181</v>
      </c>
      <c r="D9" s="95"/>
      <c r="E9" s="95" t="s">
        <v>182</v>
      </c>
      <c r="F9" s="98" t="s">
        <v>191</v>
      </c>
      <c r="G9" s="99">
        <f>1000000*0.7*0</f>
        <v>0</v>
      </c>
      <c r="H9" s="99"/>
      <c r="I9" s="97">
        <f t="shared" si="0"/>
        <v>0</v>
      </c>
      <c r="J9" s="95" t="s">
        <v>192</v>
      </c>
      <c r="L9" s="92" t="s">
        <v>193</v>
      </c>
    </row>
    <row r="10" spans="1:12" ht="26.25" hidden="1" customHeight="1" x14ac:dyDescent="0.25">
      <c r="A10" s="95" t="s">
        <v>179</v>
      </c>
      <c r="B10" s="95" t="s">
        <v>180</v>
      </c>
      <c r="C10" s="95" t="s">
        <v>194</v>
      </c>
      <c r="D10" s="95"/>
      <c r="E10" s="95" t="s">
        <v>182</v>
      </c>
      <c r="F10" s="98" t="s">
        <v>195</v>
      </c>
      <c r="G10" s="99">
        <v>0</v>
      </c>
      <c r="H10" s="99"/>
      <c r="I10" s="97">
        <f t="shared" si="0"/>
        <v>0</v>
      </c>
      <c r="J10" s="95"/>
      <c r="L10" s="92" t="s">
        <v>196</v>
      </c>
    </row>
    <row r="11" spans="1:12" ht="26.25" customHeight="1" x14ac:dyDescent="0.25">
      <c r="A11" s="95" t="s">
        <v>179</v>
      </c>
      <c r="B11" s="95" t="s">
        <v>180</v>
      </c>
      <c r="C11" s="95" t="s">
        <v>197</v>
      </c>
      <c r="D11" s="95"/>
      <c r="E11" s="95" t="s">
        <v>182</v>
      </c>
      <c r="F11" s="96" t="s">
        <v>198</v>
      </c>
      <c r="G11" s="97">
        <f>550000/1000</f>
        <v>550</v>
      </c>
      <c r="H11" s="97">
        <v>550</v>
      </c>
      <c r="I11" s="97">
        <f t="shared" si="0"/>
        <v>0</v>
      </c>
      <c r="J11" s="100"/>
      <c r="K11" s="101"/>
      <c r="L11" s="92" t="s">
        <v>196</v>
      </c>
    </row>
    <row r="12" spans="1:12" ht="26.25" customHeight="1" x14ac:dyDescent="0.25">
      <c r="A12" s="95"/>
      <c r="B12" s="95"/>
      <c r="C12" s="95"/>
      <c r="D12" s="95"/>
      <c r="E12" s="95"/>
      <c r="F12" s="96" t="s">
        <v>199</v>
      </c>
      <c r="G12" s="97">
        <f>200000/1000</f>
        <v>200</v>
      </c>
      <c r="H12" s="97">
        <v>200</v>
      </c>
      <c r="I12" s="97">
        <f t="shared" si="0"/>
        <v>0</v>
      </c>
      <c r="J12" s="100"/>
      <c r="K12" s="101"/>
    </row>
    <row r="13" spans="1:12" ht="26.25" customHeight="1" thickBot="1" x14ac:dyDescent="0.3">
      <c r="A13" s="95"/>
      <c r="B13" s="95"/>
      <c r="C13" s="95"/>
      <c r="D13" s="95"/>
      <c r="E13" s="95"/>
      <c r="F13" s="102" t="s">
        <v>200</v>
      </c>
      <c r="G13" s="103">
        <f>SUM(G6:G12)</f>
        <v>2123</v>
      </c>
      <c r="H13" s="103">
        <f>SUM(H6:H12)</f>
        <v>2205</v>
      </c>
      <c r="I13" s="103">
        <f>+H13-G13</f>
        <v>82</v>
      </c>
      <c r="J13" s="100"/>
      <c r="K13" s="101"/>
    </row>
    <row r="14" spans="1:12" ht="26.25" customHeight="1" thickBot="1" x14ac:dyDescent="0.3">
      <c r="A14" s="95"/>
      <c r="B14" s="95"/>
      <c r="C14" s="95"/>
      <c r="D14" s="95"/>
      <c r="E14" s="95"/>
      <c r="F14" s="102" t="s">
        <v>201</v>
      </c>
      <c r="G14" s="103">
        <v>1086.1036458333333</v>
      </c>
      <c r="H14" s="103">
        <v>0</v>
      </c>
      <c r="I14" s="103">
        <f>+H14-G14</f>
        <v>-1086.1036458333333</v>
      </c>
      <c r="J14" s="100"/>
      <c r="K14" s="101"/>
    </row>
    <row r="15" spans="1:12" ht="26.25" customHeight="1" thickBot="1" x14ac:dyDescent="0.3">
      <c r="A15" s="95"/>
      <c r="B15" s="95"/>
      <c r="C15" s="95"/>
      <c r="D15" s="95"/>
      <c r="E15" s="95"/>
      <c r="F15" s="102" t="s">
        <v>202</v>
      </c>
      <c r="G15" s="104">
        <f>+G14+G13</f>
        <v>3209.1036458333333</v>
      </c>
      <c r="H15" s="104">
        <f>+H14+H13</f>
        <v>2205</v>
      </c>
      <c r="I15" s="104">
        <f>+H15-G15</f>
        <v>-1004.1036458333333</v>
      </c>
      <c r="J15" s="100"/>
      <c r="K15" s="101"/>
    </row>
    <row r="16" spans="1:12" ht="26.25" customHeight="1" thickTop="1" thickBot="1" x14ac:dyDescent="0.3">
      <c r="F16" s="102"/>
      <c r="G16" s="104"/>
      <c r="H16" s="104"/>
      <c r="I16" s="104"/>
      <c r="J16" s="100"/>
      <c r="K16" s="101"/>
    </row>
    <row r="17" spans="6:10" ht="30" customHeight="1" thickTop="1" thickBot="1" x14ac:dyDescent="0.3">
      <c r="F17" s="102" t="s">
        <v>203</v>
      </c>
      <c r="G17" s="104"/>
      <c r="H17" s="104"/>
      <c r="I17" s="104">
        <v>190.80587216666666</v>
      </c>
      <c r="J17" s="100"/>
    </row>
    <row r="18" spans="6:10" ht="30" customHeight="1" thickTop="1" thickBot="1" x14ac:dyDescent="0.3">
      <c r="F18" s="102" t="s">
        <v>204</v>
      </c>
      <c r="G18" s="104"/>
      <c r="H18" s="104"/>
      <c r="I18" s="104">
        <f>+I15+I17</f>
        <v>-813.29777366666667</v>
      </c>
      <c r="J18" s="100"/>
    </row>
    <row r="19" spans="6:10" ht="30" customHeight="1" thickTop="1" x14ac:dyDescent="0.25"/>
    <row r="22" spans="6:10" ht="15" x14ac:dyDescent="0.25"/>
  </sheetData>
  <mergeCells count="3">
    <mergeCell ref="F1:J1"/>
    <mergeCell ref="F2:J2"/>
    <mergeCell ref="F3:J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361B-FAB3-4261-8F3C-C56FFE474BD6}">
  <dimension ref="B2:M19"/>
  <sheetViews>
    <sheetView zoomScale="145" zoomScaleNormal="145" workbookViewId="0">
      <selection activeCell="I15" sqref="I15"/>
    </sheetView>
    <sheetView workbookViewId="1"/>
  </sheetViews>
  <sheetFormatPr defaultRowHeight="15" x14ac:dyDescent="0.25"/>
  <cols>
    <col min="2" max="2" width="19.42578125" customWidth="1"/>
    <col min="4" max="4" width="14" customWidth="1"/>
  </cols>
  <sheetData>
    <row r="2" spans="2:9" ht="15.75" x14ac:dyDescent="0.25">
      <c r="B2" s="324" t="s">
        <v>213</v>
      </c>
      <c r="C2" s="324"/>
      <c r="D2" s="324"/>
      <c r="E2" s="324"/>
      <c r="F2" s="324"/>
      <c r="G2" s="324"/>
    </row>
    <row r="3" spans="2:9" ht="15.75" x14ac:dyDescent="0.25">
      <c r="B3" s="324" t="s">
        <v>220</v>
      </c>
      <c r="C3" s="324"/>
      <c r="D3" s="324"/>
      <c r="E3" s="324"/>
      <c r="F3" s="324"/>
      <c r="G3" s="324"/>
    </row>
    <row r="4" spans="2:9" ht="15.75" x14ac:dyDescent="0.25">
      <c r="B4" s="324" t="s">
        <v>214</v>
      </c>
      <c r="C4" s="324"/>
      <c r="D4" s="324"/>
      <c r="E4" s="324"/>
      <c r="F4" s="324"/>
      <c r="G4" s="324"/>
    </row>
    <row r="5" spans="2:9" ht="15.75" x14ac:dyDescent="0.25">
      <c r="B5" s="113"/>
      <c r="C5" s="113"/>
      <c r="D5" s="113"/>
      <c r="E5" s="113"/>
      <c r="F5" s="113"/>
      <c r="G5" s="113"/>
    </row>
    <row r="6" spans="2:9" ht="15.75" x14ac:dyDescent="0.25">
      <c r="B6" s="113"/>
      <c r="C6" s="113"/>
      <c r="D6" s="113"/>
      <c r="E6" s="113"/>
      <c r="F6" s="113"/>
      <c r="G6" s="113"/>
    </row>
    <row r="7" spans="2:9" ht="15.75" x14ac:dyDescent="0.25">
      <c r="B7" s="113"/>
      <c r="C7" s="114">
        <v>2023</v>
      </c>
      <c r="D7" s="114">
        <v>2023</v>
      </c>
      <c r="E7" s="113"/>
      <c r="F7" s="114">
        <v>2023</v>
      </c>
      <c r="G7" s="114">
        <v>2023</v>
      </c>
    </row>
    <row r="8" spans="2:9" ht="15.75" x14ac:dyDescent="0.25">
      <c r="B8" s="113"/>
      <c r="C8" s="114" t="s">
        <v>92</v>
      </c>
      <c r="D8" s="114" t="s">
        <v>92</v>
      </c>
      <c r="E8" s="113"/>
      <c r="F8" s="114" t="s">
        <v>22</v>
      </c>
      <c r="G8" s="114" t="s">
        <v>22</v>
      </c>
    </row>
    <row r="9" spans="2:9" ht="15.75" x14ac:dyDescent="0.25">
      <c r="B9" s="113"/>
      <c r="C9" s="115" t="s">
        <v>215</v>
      </c>
      <c r="D9" s="115" t="s">
        <v>216</v>
      </c>
      <c r="E9" s="113"/>
      <c r="F9" s="115" t="s">
        <v>215</v>
      </c>
      <c r="G9" s="115" t="s">
        <v>216</v>
      </c>
    </row>
    <row r="10" spans="2:9" ht="15.75" x14ac:dyDescent="0.25">
      <c r="B10" s="113" t="s">
        <v>217</v>
      </c>
      <c r="C10" s="116">
        <f>+Recon!G34/1000</f>
        <v>79.418510297415637</v>
      </c>
      <c r="D10" s="116">
        <v>15.8</v>
      </c>
      <c r="E10" s="116"/>
      <c r="F10" s="116">
        <v>84.7</v>
      </c>
      <c r="G10" s="116">
        <v>16.600000000000001</v>
      </c>
      <c r="I10" s="8"/>
    </row>
    <row r="11" spans="2:9" ht="15.75" x14ac:dyDescent="0.25">
      <c r="B11" s="113" t="s">
        <v>218</v>
      </c>
      <c r="C11" s="116">
        <v>-0.34</v>
      </c>
      <c r="D11" s="116">
        <v>0.5</v>
      </c>
      <c r="E11" s="116"/>
      <c r="F11" s="116">
        <v>-1</v>
      </c>
      <c r="G11" s="116">
        <v>0</v>
      </c>
    </row>
    <row r="12" spans="2:9" ht="16.5" thickBot="1" x14ac:dyDescent="0.3">
      <c r="B12" s="113" t="s">
        <v>219</v>
      </c>
      <c r="C12" s="117">
        <f>SUM(C10:C11)</f>
        <v>79.078510297415633</v>
      </c>
      <c r="D12" s="117">
        <f>SUM(D10:D11)</f>
        <v>16.3</v>
      </c>
      <c r="E12" s="116"/>
      <c r="F12" s="117">
        <f>SUM(F10:F11)</f>
        <v>83.7</v>
      </c>
      <c r="G12" s="117">
        <f>SUM(G10:G11)</f>
        <v>16.600000000000001</v>
      </c>
    </row>
    <row r="13" spans="2:9" ht="16.5" thickTop="1" x14ac:dyDescent="0.25">
      <c r="B13" s="113"/>
      <c r="C13" s="113"/>
      <c r="D13" s="113"/>
      <c r="E13" s="116"/>
      <c r="F13" s="116"/>
      <c r="G13" s="116"/>
    </row>
    <row r="14" spans="2:9" ht="15.75" x14ac:dyDescent="0.25">
      <c r="B14" s="113"/>
      <c r="C14" s="119" t="s">
        <v>223</v>
      </c>
      <c r="D14" s="119" t="s">
        <v>222</v>
      </c>
      <c r="E14" s="113"/>
      <c r="F14" s="113"/>
      <c r="G14" s="113"/>
    </row>
    <row r="15" spans="2:9" ht="15.75" x14ac:dyDescent="0.25">
      <c r="B15" s="113" t="s">
        <v>215</v>
      </c>
      <c r="C15" s="116">
        <f>+F10</f>
        <v>84.7</v>
      </c>
      <c r="D15" s="116">
        <f>+Recon!G34/1000</f>
        <v>79.418510297415637</v>
      </c>
      <c r="E15" s="113"/>
      <c r="F15" s="113"/>
      <c r="G15" s="113"/>
    </row>
    <row r="16" spans="2:9" ht="15.75" x14ac:dyDescent="0.25">
      <c r="B16" s="113" t="s">
        <v>216</v>
      </c>
      <c r="C16" s="143">
        <f>+G10</f>
        <v>16.600000000000001</v>
      </c>
      <c r="D16" s="144">
        <f>+D10+'Alliance-DevCo'!L52/1000000</f>
        <v>16.408125719891885</v>
      </c>
    </row>
    <row r="17" spans="2:13" ht="15.75" x14ac:dyDescent="0.25">
      <c r="B17" s="113" t="s">
        <v>221</v>
      </c>
      <c r="C17" s="118">
        <f>+C15+C16</f>
        <v>101.30000000000001</v>
      </c>
      <c r="D17" s="9">
        <f>+D15+D16</f>
        <v>95.826636017307521</v>
      </c>
      <c r="M17">
        <f>101.3-88.2</f>
        <v>13.099999999999994</v>
      </c>
    </row>
    <row r="19" spans="2:13" ht="15.75" x14ac:dyDescent="0.25">
      <c r="B19" s="113" t="s">
        <v>10</v>
      </c>
      <c r="C19" s="118">
        <f>+'Alliance-PGS'!I55/1000000</f>
        <v>0.94794096405486961</v>
      </c>
      <c r="D19" s="118">
        <f>(+'Alliance-DevCo'!L52+'Alliance-PGS'!D55)/100000</f>
        <v>9.4882960894199062</v>
      </c>
    </row>
  </sheetData>
  <mergeCells count="3">
    <mergeCell ref="B2:G2"/>
    <mergeCell ref="B3:G3"/>
    <mergeCell ref="B4:G4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4DEA6-35F7-46BF-804B-803C8DE4FF82}">
  <dimension ref="L20:Y49"/>
  <sheetViews>
    <sheetView zoomScale="85" zoomScaleNormal="85" workbookViewId="0">
      <selection activeCell="Y26" sqref="Y26"/>
    </sheetView>
    <sheetView workbookViewId="1"/>
  </sheetViews>
  <sheetFormatPr defaultRowHeight="15" x14ac:dyDescent="0.25"/>
  <sheetData>
    <row r="20" spans="22:25" x14ac:dyDescent="0.25">
      <c r="Y20">
        <f>-1.7+1+0.6</f>
        <v>-9.9999999999999978E-2</v>
      </c>
    </row>
    <row r="21" spans="22:25" x14ac:dyDescent="0.25">
      <c r="V21">
        <f>114.5+35.3+37.4</f>
        <v>187.20000000000002</v>
      </c>
    </row>
    <row r="22" spans="22:25" x14ac:dyDescent="0.25">
      <c r="V22">
        <v>186.1</v>
      </c>
    </row>
    <row r="26" spans="22:25" x14ac:dyDescent="0.25">
      <c r="Y26">
        <f>-2-5+0.4-5.3</f>
        <v>-11.899999999999999</v>
      </c>
    </row>
    <row r="49" spans="12:13" x14ac:dyDescent="0.25">
      <c r="L49">
        <f>8.1+4.5+0.4</f>
        <v>13</v>
      </c>
      <c r="M49">
        <f>7.7+6.5+5+5.7</f>
        <v>24.9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C185-973F-4E32-9F3A-64885D3BE745}">
  <dimension ref="B1:D20"/>
  <sheetViews>
    <sheetView showGridLines="0" zoomScale="90" zoomScaleNormal="90" workbookViewId="0">
      <selection activeCell="Y26" sqref="Y26"/>
    </sheetView>
    <sheetView workbookViewId="1"/>
  </sheetViews>
  <sheetFormatPr defaultRowHeight="15" x14ac:dyDescent="0.25"/>
  <cols>
    <col min="2" max="2" width="56.42578125" customWidth="1"/>
    <col min="3" max="3" width="16.7109375" customWidth="1"/>
    <col min="4" max="4" width="66.42578125" customWidth="1"/>
  </cols>
  <sheetData>
    <row r="1" spans="2:4" ht="18.75" x14ac:dyDescent="0.3">
      <c r="C1" s="145"/>
    </row>
    <row r="2" spans="2:4" ht="23.25" x14ac:dyDescent="0.35">
      <c r="B2" s="146"/>
      <c r="C2" s="147"/>
    </row>
    <row r="3" spans="2:4" ht="23.25" x14ac:dyDescent="0.35">
      <c r="B3" s="146" t="s">
        <v>252</v>
      </c>
      <c r="C3" s="164">
        <v>72.400000000000006</v>
      </c>
    </row>
    <row r="4" spans="2:4" ht="23.25" x14ac:dyDescent="0.35">
      <c r="B4" s="146" t="s">
        <v>253</v>
      </c>
      <c r="C4" s="164">
        <v>84.7</v>
      </c>
    </row>
    <row r="5" spans="2:4" ht="23.25" x14ac:dyDescent="0.35">
      <c r="B5" s="146"/>
      <c r="C5" s="147"/>
    </row>
    <row r="6" spans="2:4" ht="18" customHeight="1" x14ac:dyDescent="0.35">
      <c r="B6" s="148" t="s">
        <v>244</v>
      </c>
      <c r="C6" s="150">
        <f>+C4-C3</f>
        <v>12.299999999999997</v>
      </c>
      <c r="D6" s="149"/>
    </row>
    <row r="7" spans="2:4" s="163" customFormat="1" ht="18" customHeight="1" x14ac:dyDescent="0.35">
      <c r="B7" s="165" t="s">
        <v>10</v>
      </c>
      <c r="C7" s="166">
        <v>0.6</v>
      </c>
      <c r="D7" s="149"/>
    </row>
    <row r="8" spans="2:4" ht="18" customHeight="1" x14ac:dyDescent="0.35">
      <c r="B8" s="148" t="s">
        <v>248</v>
      </c>
      <c r="C8" s="150">
        <f>+C6-C7</f>
        <v>11.699999999999998</v>
      </c>
      <c r="D8" s="149"/>
    </row>
    <row r="9" spans="2:4" ht="4.3499999999999996" customHeight="1" x14ac:dyDescent="0.25">
      <c r="B9" s="153"/>
      <c r="C9" s="154"/>
      <c r="D9" s="152"/>
    </row>
    <row r="10" spans="2:4" ht="18" customHeight="1" x14ac:dyDescent="0.25">
      <c r="B10" s="157" t="s">
        <v>246</v>
      </c>
      <c r="C10" s="155"/>
      <c r="D10" s="156"/>
    </row>
    <row r="11" spans="2:4" ht="18" customHeight="1" x14ac:dyDescent="0.25">
      <c r="B11" s="153" t="s">
        <v>247</v>
      </c>
      <c r="C11" s="154">
        <f>4*0.75</f>
        <v>3</v>
      </c>
      <c r="D11" s="152"/>
    </row>
    <row r="12" spans="2:4" ht="18" customHeight="1" x14ac:dyDescent="0.25">
      <c r="B12" s="153" t="s">
        <v>251</v>
      </c>
      <c r="C12" s="154">
        <v>1</v>
      </c>
      <c r="D12" s="152"/>
    </row>
    <row r="13" spans="2:4" ht="18" customHeight="1" x14ac:dyDescent="0.25">
      <c r="B13" s="153" t="s">
        <v>249</v>
      </c>
      <c r="C13" s="154">
        <v>1</v>
      </c>
      <c r="D13" s="152"/>
    </row>
    <row r="14" spans="2:4" ht="18" customHeight="1" x14ac:dyDescent="0.25">
      <c r="B14" s="153" t="s">
        <v>20</v>
      </c>
      <c r="C14" s="154">
        <v>1.5</v>
      </c>
      <c r="D14" s="152"/>
    </row>
    <row r="15" spans="2:4" ht="7.5" customHeight="1" x14ac:dyDescent="0.35">
      <c r="B15" s="151"/>
      <c r="C15" s="158"/>
      <c r="D15" s="149"/>
    </row>
    <row r="16" spans="2:4" ht="18" customHeight="1" thickBot="1" x14ac:dyDescent="0.4">
      <c r="B16" s="159" t="s">
        <v>245</v>
      </c>
      <c r="C16" s="160">
        <f>SUM(C10:C15)</f>
        <v>6.5</v>
      </c>
      <c r="D16" s="149"/>
    </row>
    <row r="17" spans="2:4" ht="18" customHeight="1" thickTop="1" x14ac:dyDescent="0.35">
      <c r="B17" s="161"/>
      <c r="C17" s="162"/>
      <c r="D17" s="149"/>
    </row>
    <row r="18" spans="2:4" ht="18" customHeight="1" x14ac:dyDescent="0.35">
      <c r="B18" s="148" t="s">
        <v>250</v>
      </c>
      <c r="C18" s="150">
        <f>+C8-C16</f>
        <v>5.1999999999999975</v>
      </c>
      <c r="D18" s="149"/>
    </row>
    <row r="20" spans="2:4" ht="23.25" x14ac:dyDescent="0.35">
      <c r="B20" s="146" t="s">
        <v>254</v>
      </c>
      <c r="C20" s="164">
        <f>+C18+C3</f>
        <v>77.600000000000009</v>
      </c>
    </row>
  </sheetData>
  <pageMargins left="0.7" right="0.7" top="0.75" bottom="0.75" header="0.3" footer="0.3"/>
  <pageSetup orientation="portrait" horizontalDpi="4294967293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F9FF7-C537-4612-9657-891698D01C02}">
  <dimension ref="B5:AD56"/>
  <sheetViews>
    <sheetView showGridLines="0" topLeftCell="A26" zoomScale="115" zoomScaleNormal="115" workbookViewId="0">
      <selection activeCell="I55" sqref="I55"/>
    </sheetView>
    <sheetView workbookViewId="1"/>
  </sheetViews>
  <sheetFormatPr defaultColWidth="9.140625" defaultRowHeight="12.75" x14ac:dyDescent="0.2"/>
  <cols>
    <col min="1" max="1" width="9.140625" style="10"/>
    <col min="2" max="2" width="20" style="10" customWidth="1"/>
    <col min="3" max="3" width="9.140625" style="10"/>
    <col min="4" max="4" width="10.28515625" style="10" bestFit="1" customWidth="1"/>
    <col min="5" max="5" width="10.28515625" style="10" customWidth="1"/>
    <col min="6" max="6" width="9.140625" style="10"/>
    <col min="7" max="7" width="18.42578125" style="10" customWidth="1"/>
    <col min="8" max="8" width="9.140625" style="10"/>
    <col min="9" max="9" width="10.28515625" style="10" bestFit="1" customWidth="1"/>
    <col min="10" max="10" width="10.28515625" style="10" customWidth="1"/>
    <col min="11" max="11" width="9.140625" style="10"/>
    <col min="12" max="12" width="14.5703125" style="10" customWidth="1"/>
    <col min="13" max="13" width="25.7109375" style="10" customWidth="1"/>
    <col min="14" max="14" width="10" style="10" bestFit="1" customWidth="1"/>
    <col min="15" max="15" width="11.5703125" style="10" bestFit="1" customWidth="1"/>
    <col min="16" max="16" width="11.5703125" style="10" customWidth="1"/>
    <col min="17" max="17" width="51.5703125" style="10" customWidth="1"/>
    <col min="18" max="16384" width="9.140625" style="10"/>
  </cols>
  <sheetData>
    <row r="5" spans="2:30" ht="12.75" customHeight="1" x14ac:dyDescent="0.2">
      <c r="B5" s="309" t="s">
        <v>27</v>
      </c>
      <c r="C5" s="310"/>
      <c r="D5" s="310"/>
      <c r="E5" s="310"/>
      <c r="G5" s="309" t="s">
        <v>28</v>
      </c>
      <c r="H5" s="310"/>
      <c r="I5" s="310"/>
      <c r="J5" s="310"/>
      <c r="M5" s="311" t="s">
        <v>29</v>
      </c>
      <c r="N5" s="312"/>
      <c r="O5" s="312"/>
      <c r="P5" s="312"/>
      <c r="Q5" s="312"/>
    </row>
    <row r="6" spans="2:30" x14ac:dyDescent="0.2">
      <c r="B6" s="11" t="s">
        <v>30</v>
      </c>
      <c r="C6" s="12">
        <v>2022</v>
      </c>
      <c r="D6" s="12">
        <v>2023</v>
      </c>
      <c r="E6" s="12">
        <v>2024</v>
      </c>
      <c r="G6" s="11" t="s">
        <v>30</v>
      </c>
      <c r="H6" s="12">
        <v>2022</v>
      </c>
      <c r="I6" s="12">
        <v>2023</v>
      </c>
      <c r="J6" s="12">
        <v>2024</v>
      </c>
      <c r="M6" s="13" t="s">
        <v>30</v>
      </c>
      <c r="N6" s="14">
        <v>2022</v>
      </c>
      <c r="O6" s="14">
        <v>2023</v>
      </c>
      <c r="P6" s="14">
        <v>2024</v>
      </c>
      <c r="Q6" s="14" t="s">
        <v>31</v>
      </c>
    </row>
    <row r="7" spans="2:30" ht="46.5" thickBot="1" x14ac:dyDescent="0.3">
      <c r="B7" s="15" t="s">
        <v>25</v>
      </c>
      <c r="C7" s="16"/>
      <c r="D7" s="16"/>
      <c r="E7" s="16"/>
      <c r="G7" s="15" t="s">
        <v>25</v>
      </c>
      <c r="H7" s="17"/>
      <c r="I7" s="17"/>
      <c r="J7" s="17"/>
      <c r="L7" s="18"/>
      <c r="M7" s="19" t="s">
        <v>32</v>
      </c>
      <c r="N7" s="20">
        <f>C16-H16</f>
        <v>-517929</v>
      </c>
      <c r="O7" s="20">
        <f>D16-I16</f>
        <v>-3715135.1434215093</v>
      </c>
      <c r="P7" s="20">
        <f>E15-J16</f>
        <v>-5063437.8727791589</v>
      </c>
      <c r="Q7" s="21" t="s">
        <v>33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2:30" ht="13.5" thickTop="1" x14ac:dyDescent="0.2">
      <c r="B8" s="22" t="s">
        <v>34</v>
      </c>
      <c r="C8" s="16"/>
      <c r="D8" s="16"/>
      <c r="E8" s="16"/>
      <c r="G8" s="22" t="s">
        <v>34</v>
      </c>
      <c r="H8" s="17"/>
      <c r="I8" s="17"/>
      <c r="J8" s="17"/>
      <c r="M8" s="15"/>
      <c r="N8" s="23"/>
      <c r="O8" s="23"/>
      <c r="P8" s="23"/>
      <c r="Q8" s="24"/>
    </row>
    <row r="9" spans="2:30" ht="23.25" thickBot="1" x14ac:dyDescent="0.25">
      <c r="B9" s="25" t="s">
        <v>35</v>
      </c>
      <c r="C9" s="26">
        <v>0</v>
      </c>
      <c r="D9" s="26">
        <v>0</v>
      </c>
      <c r="E9" s="26">
        <v>0</v>
      </c>
      <c r="G9" s="25" t="s">
        <v>36</v>
      </c>
      <c r="H9" s="26">
        <v>96607.272479072257</v>
      </c>
      <c r="I9" s="26">
        <v>940116.64713713038</v>
      </c>
      <c r="J9" s="26">
        <v>959018.07001347048</v>
      </c>
      <c r="M9" s="27" t="s">
        <v>37</v>
      </c>
      <c r="N9" s="28">
        <f>C32-H32</f>
        <v>-300000.37082000345</v>
      </c>
      <c r="O9" s="28">
        <f>D32-I32</f>
        <v>-3062003.9907996105</v>
      </c>
      <c r="P9" s="28">
        <f>E31-J32</f>
        <v>-3120539.6602170789</v>
      </c>
      <c r="Q9" s="24" t="s">
        <v>38</v>
      </c>
    </row>
    <row r="10" spans="2:30" ht="13.5" thickTop="1" x14ac:dyDescent="0.2">
      <c r="B10" s="29" t="s">
        <v>39</v>
      </c>
      <c r="C10" s="30">
        <v>0</v>
      </c>
      <c r="D10" s="30">
        <v>1266013.7298875097</v>
      </c>
      <c r="E10" s="30">
        <v>1266013.7298875097</v>
      </c>
      <c r="G10" s="25" t="s">
        <v>40</v>
      </c>
      <c r="H10" s="26">
        <v>26735.24105236512</v>
      </c>
      <c r="I10" s="26">
        <v>246134.25971356465</v>
      </c>
      <c r="J10" s="26">
        <v>253549.13617680763</v>
      </c>
      <c r="M10" s="31"/>
      <c r="N10" s="26"/>
      <c r="O10" s="26"/>
      <c r="P10" s="26"/>
      <c r="Q10" s="24"/>
    </row>
    <row r="11" spans="2:30" x14ac:dyDescent="0.2">
      <c r="B11" s="31" t="s">
        <v>34</v>
      </c>
      <c r="C11" s="26">
        <v>0</v>
      </c>
      <c r="D11" s="26">
        <v>1266013.7298875097</v>
      </c>
      <c r="E11" s="26">
        <v>1266013.7298875097</v>
      </c>
      <c r="G11" s="25" t="s">
        <v>41</v>
      </c>
      <c r="H11" s="26">
        <v>0</v>
      </c>
      <c r="I11" s="26">
        <v>0</v>
      </c>
      <c r="J11" s="26">
        <v>0</v>
      </c>
      <c r="M11" s="22" t="s">
        <v>42</v>
      </c>
      <c r="N11" s="26"/>
      <c r="O11" s="26"/>
      <c r="P11" s="26"/>
      <c r="Q11" s="24"/>
    </row>
    <row r="12" spans="2:30" ht="45" x14ac:dyDescent="0.2">
      <c r="B12" s="22" t="s">
        <v>43</v>
      </c>
      <c r="C12" s="26"/>
      <c r="D12" s="26"/>
      <c r="E12" s="26"/>
      <c r="G12" s="25" t="s">
        <v>44</v>
      </c>
      <c r="H12" s="26">
        <v>394586.48646856262</v>
      </c>
      <c r="I12" s="26">
        <v>3794897.9664583248</v>
      </c>
      <c r="J12" s="26">
        <v>3850870.6665888801</v>
      </c>
      <c r="M12" s="25" t="s">
        <v>45</v>
      </c>
      <c r="N12" s="32">
        <f t="shared" ref="N12:O21" si="0">C35-H35</f>
        <v>-27423.410922897558</v>
      </c>
      <c r="O12" s="32">
        <f t="shared" si="0"/>
        <v>133242.99695557333</v>
      </c>
      <c r="P12" s="32">
        <f t="shared" ref="P12:P18" si="1">E34-J35</f>
        <v>-329080.93107477069</v>
      </c>
      <c r="Q12" s="24" t="s">
        <v>46</v>
      </c>
    </row>
    <row r="13" spans="2:30" ht="22.5" x14ac:dyDescent="0.2">
      <c r="B13" s="29" t="s">
        <v>47</v>
      </c>
      <c r="C13" s="30">
        <v>0</v>
      </c>
      <c r="D13" s="30">
        <v>0</v>
      </c>
      <c r="E13" s="30">
        <v>0</v>
      </c>
      <c r="G13" s="29"/>
      <c r="H13" s="30"/>
      <c r="I13" s="30"/>
      <c r="J13" s="30"/>
      <c r="M13" s="25" t="s">
        <v>48</v>
      </c>
      <c r="N13" s="32">
        <f t="shared" si="0"/>
        <v>-2952.1952999999994</v>
      </c>
      <c r="O13" s="32">
        <f t="shared" si="0"/>
        <v>-21176.270317502604</v>
      </c>
      <c r="P13" s="32">
        <f t="shared" si="1"/>
        <v>433462.33215550281</v>
      </c>
      <c r="Q13" s="24" t="s">
        <v>49</v>
      </c>
    </row>
    <row r="14" spans="2:30" x14ac:dyDescent="0.2">
      <c r="B14" s="31" t="s">
        <v>50</v>
      </c>
      <c r="C14" s="26">
        <v>0</v>
      </c>
      <c r="D14" s="26">
        <v>0</v>
      </c>
      <c r="E14" s="26">
        <v>0</v>
      </c>
      <c r="G14" s="31" t="s">
        <v>34</v>
      </c>
      <c r="H14" s="26">
        <v>517929</v>
      </c>
      <c r="I14" s="26">
        <v>4981148.873309019</v>
      </c>
      <c r="J14" s="26">
        <v>5063437.8727791589</v>
      </c>
      <c r="M14" s="25" t="s">
        <v>51</v>
      </c>
      <c r="N14" s="32">
        <f t="shared" si="0"/>
        <v>0</v>
      </c>
      <c r="O14" s="32">
        <f t="shared" si="0"/>
        <v>-6204.1936811889173</v>
      </c>
      <c r="P14" s="32">
        <f t="shared" si="1"/>
        <v>-112164.81300265831</v>
      </c>
      <c r="Q14" s="24"/>
    </row>
    <row r="15" spans="2:30" x14ac:dyDescent="0.2">
      <c r="B15" s="33"/>
      <c r="C15" s="26"/>
      <c r="D15" s="26"/>
      <c r="E15" s="26"/>
      <c r="G15" s="33"/>
      <c r="H15" s="26"/>
      <c r="I15" s="26"/>
      <c r="J15" s="26"/>
      <c r="M15" s="25" t="s">
        <v>52</v>
      </c>
      <c r="N15" s="32">
        <f t="shared" si="0"/>
        <v>0</v>
      </c>
      <c r="O15" s="32">
        <f t="shared" si="0"/>
        <v>0</v>
      </c>
      <c r="P15" s="32">
        <f t="shared" si="1"/>
        <v>113176.89758182819</v>
      </c>
      <c r="Q15" s="24"/>
    </row>
    <row r="16" spans="2:30" ht="13.5" thickBot="1" x14ac:dyDescent="0.25">
      <c r="B16" s="19" t="s">
        <v>32</v>
      </c>
      <c r="C16" s="20">
        <v>0</v>
      </c>
      <c r="D16" s="20">
        <v>1266013.7298875097</v>
      </c>
      <c r="E16" s="20">
        <v>1266013.7298875097</v>
      </c>
      <c r="G16" s="19" t="s">
        <v>32</v>
      </c>
      <c r="H16" s="20">
        <v>517929</v>
      </c>
      <c r="I16" s="20">
        <v>4981148.873309019</v>
      </c>
      <c r="J16" s="20">
        <v>5063437.8727791589</v>
      </c>
      <c r="L16" s="67">
        <f>-(+D16-I16)</f>
        <v>3715135.1434215093</v>
      </c>
      <c r="M16" s="25" t="s">
        <v>7</v>
      </c>
      <c r="N16" s="32">
        <f t="shared" si="0"/>
        <v>-11837.082009855058</v>
      </c>
      <c r="O16" s="32">
        <f t="shared" si="0"/>
        <v>54397.346508504561</v>
      </c>
      <c r="P16" s="32">
        <f t="shared" si="1"/>
        <v>-164517.79659076637</v>
      </c>
      <c r="Q16" s="24" t="s">
        <v>53</v>
      </c>
    </row>
    <row r="17" spans="2:17" ht="13.5" thickTop="1" x14ac:dyDescent="0.2">
      <c r="B17" s="15"/>
      <c r="C17" s="26"/>
      <c r="D17" s="26"/>
      <c r="E17" s="26"/>
      <c r="G17" s="15"/>
      <c r="H17" s="26"/>
      <c r="I17" s="34"/>
      <c r="J17" s="34"/>
      <c r="M17" s="25" t="s">
        <v>54</v>
      </c>
      <c r="N17" s="32">
        <f t="shared" si="0"/>
        <v>346686.3845697075</v>
      </c>
      <c r="O17" s="32">
        <f t="shared" si="0"/>
        <v>0</v>
      </c>
      <c r="P17" s="32">
        <f t="shared" si="1"/>
        <v>211126.33287534281</v>
      </c>
      <c r="Q17" s="24" t="s">
        <v>55</v>
      </c>
    </row>
    <row r="18" spans="2:17" x14ac:dyDescent="0.2">
      <c r="B18" s="15" t="s">
        <v>56</v>
      </c>
      <c r="C18" s="26"/>
      <c r="D18" s="26"/>
      <c r="E18" s="26"/>
      <c r="G18" s="15" t="s">
        <v>56</v>
      </c>
      <c r="H18" s="35"/>
      <c r="I18" s="35"/>
      <c r="J18" s="35"/>
      <c r="M18" s="25" t="s">
        <v>57</v>
      </c>
      <c r="N18" s="32">
        <f t="shared" si="0"/>
        <v>0</v>
      </c>
      <c r="O18" s="32">
        <f t="shared" si="0"/>
        <v>0</v>
      </c>
      <c r="P18" s="32">
        <f t="shared" si="1"/>
        <v>0</v>
      </c>
      <c r="Q18" s="24"/>
    </row>
    <row r="19" spans="2:17" x14ac:dyDescent="0.2">
      <c r="B19" s="22" t="s">
        <v>58</v>
      </c>
      <c r="C19" s="26"/>
      <c r="D19" s="26"/>
      <c r="E19" s="26"/>
      <c r="G19" s="22" t="s">
        <v>58</v>
      </c>
      <c r="H19" s="35"/>
      <c r="I19" s="35"/>
      <c r="J19" s="35"/>
      <c r="M19" s="25" t="s">
        <v>26</v>
      </c>
      <c r="N19" s="32">
        <f t="shared" si="0"/>
        <v>-3665.5998844266287</v>
      </c>
      <c r="O19" s="32">
        <f t="shared" si="0"/>
        <v>0</v>
      </c>
      <c r="P19" s="32">
        <f>E42-J42</f>
        <v>0</v>
      </c>
      <c r="Q19" s="24"/>
    </row>
    <row r="20" spans="2:17" x14ac:dyDescent="0.2">
      <c r="B20" s="25" t="s">
        <v>59</v>
      </c>
      <c r="C20" s="26">
        <v>0</v>
      </c>
      <c r="D20" s="26">
        <v>0</v>
      </c>
      <c r="E20" s="26">
        <v>0</v>
      </c>
      <c r="G20" s="25" t="s">
        <v>59</v>
      </c>
      <c r="H20" s="26">
        <v>728.76223758467256</v>
      </c>
      <c r="I20" s="26">
        <v>2951.7310830660517</v>
      </c>
      <c r="J20" s="26">
        <v>3011.3098731228024</v>
      </c>
      <c r="M20" s="29" t="s">
        <v>60</v>
      </c>
      <c r="N20" s="36">
        <f t="shared" si="0"/>
        <v>-114418.74382352023</v>
      </c>
      <c r="O20" s="36">
        <f t="shared" si="0"/>
        <v>0</v>
      </c>
      <c r="P20" s="36">
        <f>E43-J43</f>
        <v>0</v>
      </c>
      <c r="Q20" s="24" t="s">
        <v>55</v>
      </c>
    </row>
    <row r="21" spans="2:17" x14ac:dyDescent="0.2">
      <c r="B21" s="25" t="s">
        <v>61</v>
      </c>
      <c r="C21" s="26">
        <v>0</v>
      </c>
      <c r="D21" s="26">
        <v>0</v>
      </c>
      <c r="E21" s="26">
        <v>0</v>
      </c>
      <c r="G21" s="25" t="s">
        <v>62</v>
      </c>
      <c r="H21" s="26">
        <v>7504.767542019561</v>
      </c>
      <c r="I21" s="26">
        <v>29702.349632650548</v>
      </c>
      <c r="J21" s="26">
        <v>29998.107906304111</v>
      </c>
      <c r="M21" s="31" t="s">
        <v>63</v>
      </c>
      <c r="N21" s="26">
        <f t="shared" si="0"/>
        <v>186389.352629008</v>
      </c>
      <c r="O21" s="26">
        <f t="shared" si="0"/>
        <v>160259.87946538639</v>
      </c>
      <c r="P21" s="26">
        <f>E44-J44</f>
        <v>152002.02194447839</v>
      </c>
      <c r="Q21" s="37"/>
    </row>
    <row r="22" spans="2:17" x14ac:dyDescent="0.2">
      <c r="B22" s="25" t="s">
        <v>62</v>
      </c>
      <c r="C22" s="26">
        <v>0</v>
      </c>
      <c r="D22" s="26">
        <v>0</v>
      </c>
      <c r="E22" s="26">
        <v>0</v>
      </c>
      <c r="G22" s="25" t="s">
        <v>64</v>
      </c>
      <c r="H22" s="26">
        <v>3361.7909170084417</v>
      </c>
      <c r="I22" s="26">
        <v>13203.953890396644</v>
      </c>
      <c r="J22" s="26">
        <v>12030.932411139747</v>
      </c>
      <c r="M22" s="31"/>
      <c r="N22" s="23"/>
      <c r="O22" s="23"/>
      <c r="P22" s="23"/>
      <c r="Q22" s="37"/>
    </row>
    <row r="23" spans="2:17" ht="13.5" thickBot="1" x14ac:dyDescent="0.25">
      <c r="B23" s="25" t="s">
        <v>65</v>
      </c>
      <c r="C23" s="26">
        <v>0</v>
      </c>
      <c r="D23" s="26">
        <v>0</v>
      </c>
      <c r="E23" s="26">
        <v>0</v>
      </c>
      <c r="G23" s="25" t="s">
        <v>66</v>
      </c>
      <c r="H23" s="26">
        <v>0</v>
      </c>
      <c r="I23" s="26">
        <v>10682.607181219846</v>
      </c>
      <c r="J23" s="26">
        <v>10912.863418258294</v>
      </c>
      <c r="M23" s="19" t="s">
        <v>67</v>
      </c>
      <c r="N23" s="20">
        <f>C46-H46</f>
        <v>-113611.01819099544</v>
      </c>
      <c r="O23" s="20">
        <f>D46-I46</f>
        <v>-2901744.1113342238</v>
      </c>
      <c r="P23" s="20">
        <f>E46-J46</f>
        <v>-2968537.6382726002</v>
      </c>
      <c r="Q23" s="37"/>
    </row>
    <row r="24" spans="2:17" ht="13.5" thickTop="1" x14ac:dyDescent="0.2">
      <c r="B24" s="25" t="s">
        <v>66</v>
      </c>
      <c r="C24" s="26">
        <v>0</v>
      </c>
      <c r="D24" s="26">
        <v>0</v>
      </c>
      <c r="E24" s="26">
        <v>0</v>
      </c>
      <c r="G24" s="25" t="s">
        <v>65</v>
      </c>
      <c r="H24" s="26">
        <v>57294.581450412552</v>
      </c>
      <c r="I24" s="26">
        <v>233518.68272416166</v>
      </c>
      <c r="J24" s="26">
        <v>240621.37691639859</v>
      </c>
      <c r="M24" s="31"/>
      <c r="N24" s="23"/>
      <c r="O24" s="23"/>
      <c r="P24" s="23"/>
      <c r="Q24" s="37"/>
    </row>
    <row r="25" spans="2:17" x14ac:dyDescent="0.2">
      <c r="B25" s="25" t="s">
        <v>68</v>
      </c>
      <c r="C25" s="26">
        <v>0</v>
      </c>
      <c r="D25" s="26">
        <v>0</v>
      </c>
      <c r="E25" s="26">
        <v>0</v>
      </c>
      <c r="G25" s="25" t="s">
        <v>61</v>
      </c>
      <c r="H25" s="26">
        <v>69929.372169533366</v>
      </c>
      <c r="I25" s="26">
        <v>275190.57848914096</v>
      </c>
      <c r="J25" s="26">
        <v>276269.21214155987</v>
      </c>
      <c r="M25" s="15" t="s">
        <v>69</v>
      </c>
      <c r="N25" s="23">
        <f>C48-H48</f>
        <v>-404317.9818090045</v>
      </c>
      <c r="O25" s="23">
        <f>D48-I48</f>
        <v>-813391.03208728705</v>
      </c>
      <c r="P25" s="23">
        <f>E48-J48</f>
        <v>-828886.50461904984</v>
      </c>
      <c r="Q25" s="37"/>
    </row>
    <row r="26" spans="2:17" x14ac:dyDescent="0.2">
      <c r="B26" s="25" t="s">
        <v>64</v>
      </c>
      <c r="C26" s="26">
        <v>0</v>
      </c>
      <c r="D26" s="26">
        <v>0</v>
      </c>
      <c r="E26" s="26">
        <v>0</v>
      </c>
      <c r="G26" s="25" t="s">
        <v>70</v>
      </c>
      <c r="H26" s="26">
        <v>12075.909059884032</v>
      </c>
      <c r="I26" s="26">
        <v>117514.5808921413</v>
      </c>
      <c r="J26" s="26">
        <v>119877.25875168381</v>
      </c>
      <c r="M26" s="15"/>
      <c r="N26" s="23"/>
      <c r="O26" s="23"/>
      <c r="P26" s="23"/>
      <c r="Q26" s="37"/>
    </row>
    <row r="27" spans="2:17" x14ac:dyDescent="0.2">
      <c r="B27" s="25" t="s">
        <v>71</v>
      </c>
      <c r="C27" s="26">
        <v>0</v>
      </c>
      <c r="D27" s="26">
        <v>0</v>
      </c>
      <c r="E27" s="26">
        <v>0</v>
      </c>
      <c r="G27" s="25" t="s">
        <v>72</v>
      </c>
      <c r="H27" s="26">
        <v>181.13863589826047</v>
      </c>
      <c r="I27" s="26">
        <v>1762.7187133821199</v>
      </c>
      <c r="J27" s="26">
        <v>1798.1588812752577</v>
      </c>
      <c r="M27" s="15" t="s">
        <v>73</v>
      </c>
      <c r="N27" s="23"/>
      <c r="O27" s="23"/>
      <c r="P27" s="23"/>
      <c r="Q27" s="37"/>
    </row>
    <row r="28" spans="2:17" x14ac:dyDescent="0.2">
      <c r="B28" s="25" t="s">
        <v>74</v>
      </c>
      <c r="C28" s="26">
        <v>0</v>
      </c>
      <c r="D28" s="26">
        <v>0</v>
      </c>
      <c r="E28" s="26">
        <v>0</v>
      </c>
      <c r="G28" s="25" t="s">
        <v>75</v>
      </c>
      <c r="H28" s="26">
        <v>72196.953412267321</v>
      </c>
      <c r="I28" s="26">
        <v>758979.59329166496</v>
      </c>
      <c r="J28" s="26">
        <v>770174.13331777626</v>
      </c>
      <c r="M28" s="31" t="s">
        <v>76</v>
      </c>
      <c r="N28" s="26">
        <f t="shared" ref="N28:P30" si="2">C51-H51</f>
        <v>180860.65315440448</v>
      </c>
      <c r="O28" s="26">
        <f t="shared" si="2"/>
        <v>-53925.794916132887</v>
      </c>
      <c r="P28" s="26">
        <f t="shared" si="2"/>
        <v>-465249.16946730809</v>
      </c>
      <c r="Q28" s="37"/>
    </row>
    <row r="29" spans="2:17" x14ac:dyDescent="0.2">
      <c r="B29" s="25" t="s">
        <v>77</v>
      </c>
      <c r="C29" s="23">
        <v>0</v>
      </c>
      <c r="D29" s="23">
        <v>0</v>
      </c>
      <c r="E29" s="23">
        <v>0</v>
      </c>
      <c r="G29" s="25" t="s">
        <v>78</v>
      </c>
      <c r="H29" s="23">
        <v>40500</v>
      </c>
      <c r="I29" s="23">
        <v>162000</v>
      </c>
      <c r="J29" s="23">
        <v>162000</v>
      </c>
      <c r="M29" s="38" t="s">
        <v>79</v>
      </c>
      <c r="N29" s="30">
        <f t="shared" si="2"/>
        <v>-284038.42659059161</v>
      </c>
      <c r="O29" s="30">
        <f t="shared" si="2"/>
        <v>-152228.16216638987</v>
      </c>
      <c r="P29" s="30">
        <f t="shared" si="2"/>
        <v>255167.88487160992</v>
      </c>
      <c r="Q29" s="37"/>
    </row>
    <row r="30" spans="2:17" x14ac:dyDescent="0.2">
      <c r="B30" s="25" t="s">
        <v>80</v>
      </c>
      <c r="C30" s="23">
        <v>0</v>
      </c>
      <c r="D30" s="23">
        <v>0</v>
      </c>
      <c r="E30" s="23">
        <v>0</v>
      </c>
      <c r="G30" s="25" t="s">
        <v>81</v>
      </c>
      <c r="H30" s="23">
        <v>0</v>
      </c>
      <c r="I30" s="23">
        <v>986450.1949017857</v>
      </c>
      <c r="J30" s="23">
        <v>1022511.5065995598</v>
      </c>
      <c r="M30" s="31" t="s">
        <v>82</v>
      </c>
      <c r="N30" s="23">
        <f t="shared" si="2"/>
        <v>-103177.77343618713</v>
      </c>
      <c r="O30" s="23">
        <f t="shared" si="2"/>
        <v>-206153.95708252277</v>
      </c>
      <c r="P30" s="23">
        <f t="shared" si="2"/>
        <v>-210081.28459569818</v>
      </c>
      <c r="Q30" s="37"/>
    </row>
    <row r="31" spans="2:17" x14ac:dyDescent="0.2">
      <c r="B31" s="29" t="s">
        <v>83</v>
      </c>
      <c r="C31" s="30">
        <v>0</v>
      </c>
      <c r="D31" s="30">
        <v>0</v>
      </c>
      <c r="E31" s="30">
        <v>0</v>
      </c>
      <c r="G31" s="29" t="s">
        <v>68</v>
      </c>
      <c r="H31" s="30">
        <v>36227.095395395248</v>
      </c>
      <c r="I31" s="30">
        <v>470046.99999999994</v>
      </c>
      <c r="J31" s="30">
        <v>471334.79999999993</v>
      </c>
      <c r="M31" s="31"/>
      <c r="N31" s="23"/>
      <c r="O31" s="23"/>
      <c r="P31" s="23"/>
      <c r="Q31" s="37"/>
    </row>
    <row r="32" spans="2:17" ht="13.5" thickBot="1" x14ac:dyDescent="0.25">
      <c r="B32" s="31" t="s">
        <v>37</v>
      </c>
      <c r="C32" s="26">
        <v>0</v>
      </c>
      <c r="D32" s="26">
        <v>0</v>
      </c>
      <c r="E32" s="26">
        <v>0</v>
      </c>
      <c r="G32" s="31" t="s">
        <v>37</v>
      </c>
      <c r="H32" s="26">
        <v>300000.37082000345</v>
      </c>
      <c r="I32" s="26">
        <v>3062003.9907996105</v>
      </c>
      <c r="J32" s="26">
        <v>3120539.6602170789</v>
      </c>
      <c r="M32" s="19" t="s">
        <v>84</v>
      </c>
      <c r="N32" s="20">
        <f>C55-H55</f>
        <v>-301140.20837281743</v>
      </c>
      <c r="O32" s="20">
        <f>D55-I55</f>
        <v>-607237.0750047639</v>
      </c>
      <c r="P32" s="20">
        <f>E55-J55</f>
        <v>-618805.22002335149</v>
      </c>
      <c r="Q32" s="37"/>
    </row>
    <row r="33" spans="2:13" ht="13.5" thickTop="1" x14ac:dyDescent="0.2">
      <c r="B33" s="31"/>
      <c r="C33" s="26"/>
      <c r="D33" s="26"/>
      <c r="E33" s="26"/>
      <c r="G33" s="31"/>
      <c r="H33" s="26"/>
      <c r="I33" s="26"/>
      <c r="J33" s="39"/>
    </row>
    <row r="34" spans="2:13" x14ac:dyDescent="0.2">
      <c r="B34" s="22" t="s">
        <v>42</v>
      </c>
      <c r="C34" s="26"/>
      <c r="D34" s="26"/>
      <c r="E34" s="26"/>
      <c r="G34" s="22" t="s">
        <v>42</v>
      </c>
      <c r="H34" s="26"/>
      <c r="I34" s="26"/>
      <c r="J34" s="26"/>
    </row>
    <row r="35" spans="2:13" x14ac:dyDescent="0.2">
      <c r="B35" s="25" t="s">
        <v>45</v>
      </c>
      <c r="C35" s="32">
        <v>0</v>
      </c>
      <c r="D35" s="32">
        <v>462323.92803034402</v>
      </c>
      <c r="E35" s="32">
        <v>462323.92803034402</v>
      </c>
      <c r="G35" s="25" t="s">
        <v>45</v>
      </c>
      <c r="H35" s="32">
        <v>27423.410922897558</v>
      </c>
      <c r="I35" s="32">
        <v>329080.93107477069</v>
      </c>
      <c r="J35" s="32">
        <v>329080.93107477069</v>
      </c>
      <c r="L35" s="67">
        <f>+D35-I35</f>
        <v>133242.99695557333</v>
      </c>
    </row>
    <row r="36" spans="2:13" x14ac:dyDescent="0.2">
      <c r="B36" s="25" t="s">
        <v>48</v>
      </c>
      <c r="C36" s="32">
        <v>0</v>
      </c>
      <c r="D36" s="32">
        <v>7216.2782603588048</v>
      </c>
      <c r="E36" s="32">
        <v>7216.2782603588048</v>
      </c>
      <c r="G36" s="25" t="s">
        <v>48</v>
      </c>
      <c r="H36" s="32">
        <v>2952.1952999999994</v>
      </c>
      <c r="I36" s="32">
        <v>28392.548577861409</v>
      </c>
      <c r="J36" s="32">
        <v>28861.595874841201</v>
      </c>
    </row>
    <row r="37" spans="2:13" x14ac:dyDescent="0.2">
      <c r="B37" s="25" t="s">
        <v>51</v>
      </c>
      <c r="C37" s="32">
        <v>0</v>
      </c>
      <c r="D37" s="32">
        <v>113176.89758182819</v>
      </c>
      <c r="E37" s="32">
        <v>113176.89758182819</v>
      </c>
      <c r="G37" s="25" t="s">
        <v>51</v>
      </c>
      <c r="H37" s="32">
        <v>0</v>
      </c>
      <c r="I37" s="32">
        <v>119381.09126301711</v>
      </c>
      <c r="J37" s="32">
        <v>119381.09126301711</v>
      </c>
    </row>
    <row r="38" spans="2:13" x14ac:dyDescent="0.2">
      <c r="B38" s="25" t="s">
        <v>52</v>
      </c>
      <c r="C38" s="32">
        <v>0</v>
      </c>
      <c r="D38" s="32">
        <v>0</v>
      </c>
      <c r="E38" s="32">
        <v>0</v>
      </c>
      <c r="G38" s="25" t="s">
        <v>52</v>
      </c>
      <c r="H38" s="32">
        <v>0</v>
      </c>
      <c r="I38" s="32">
        <v>0</v>
      </c>
      <c r="J38" s="32">
        <v>0</v>
      </c>
    </row>
    <row r="39" spans="2:13" x14ac:dyDescent="0.2">
      <c r="B39" s="25" t="s">
        <v>7</v>
      </c>
      <c r="C39" s="40">
        <v>0</v>
      </c>
      <c r="D39" s="40">
        <v>226925.46661493063</v>
      </c>
      <c r="E39" s="40">
        <v>211126.33287534281</v>
      </c>
      <c r="G39" s="25" t="s">
        <v>7</v>
      </c>
      <c r="H39" s="40">
        <v>11837.082009855058</v>
      </c>
      <c r="I39" s="40">
        <v>172528.12010642607</v>
      </c>
      <c r="J39" s="40">
        <v>164517.79659076637</v>
      </c>
    </row>
    <row r="40" spans="2:13" x14ac:dyDescent="0.2">
      <c r="B40" s="25" t="s">
        <v>54</v>
      </c>
      <c r="C40" s="40">
        <v>346686.3845697075</v>
      </c>
      <c r="D40" s="40">
        <v>0</v>
      </c>
      <c r="E40" s="40">
        <v>0</v>
      </c>
      <c r="G40" s="25" t="s">
        <v>54</v>
      </c>
      <c r="H40" s="40">
        <v>0</v>
      </c>
      <c r="I40" s="40">
        <v>0</v>
      </c>
      <c r="J40" s="40">
        <v>0</v>
      </c>
    </row>
    <row r="41" spans="2:13" x14ac:dyDescent="0.2">
      <c r="B41" s="25" t="s">
        <v>57</v>
      </c>
      <c r="C41" s="40">
        <v>0</v>
      </c>
      <c r="D41" s="40">
        <v>0</v>
      </c>
      <c r="E41" s="40">
        <v>0</v>
      </c>
      <c r="G41" s="25" t="s">
        <v>57</v>
      </c>
      <c r="H41" s="40">
        <v>0</v>
      </c>
      <c r="I41" s="40">
        <v>0</v>
      </c>
      <c r="J41" s="40">
        <v>0</v>
      </c>
    </row>
    <row r="42" spans="2:13" x14ac:dyDescent="0.2">
      <c r="B42" s="25" t="s">
        <v>26</v>
      </c>
      <c r="C42" s="40">
        <v>-474718.47688533325</v>
      </c>
      <c r="D42" s="40">
        <v>0</v>
      </c>
      <c r="E42" s="40">
        <v>0</v>
      </c>
      <c r="G42" s="25" t="s">
        <v>26</v>
      </c>
      <c r="H42" s="40">
        <v>-471052.87700090662</v>
      </c>
      <c r="I42" s="40">
        <v>0</v>
      </c>
      <c r="J42" s="40">
        <v>0</v>
      </c>
    </row>
    <row r="43" spans="2:13" x14ac:dyDescent="0.2">
      <c r="B43" s="29" t="s">
        <v>42</v>
      </c>
      <c r="C43" s="36">
        <v>0</v>
      </c>
      <c r="D43" s="36">
        <v>0</v>
      </c>
      <c r="E43" s="36">
        <v>0</v>
      </c>
      <c r="G43" s="29" t="s">
        <v>60</v>
      </c>
      <c r="H43" s="36">
        <v>114418.74382352023</v>
      </c>
      <c r="I43" s="36">
        <v>0</v>
      </c>
      <c r="J43" s="36">
        <v>0</v>
      </c>
    </row>
    <row r="44" spans="2:13" x14ac:dyDescent="0.2">
      <c r="B44" s="31" t="s">
        <v>63</v>
      </c>
      <c r="C44" s="26">
        <v>-128032.09231562581</v>
      </c>
      <c r="D44" s="26">
        <v>809642.57048746163</v>
      </c>
      <c r="E44" s="26">
        <v>793843.4367478739</v>
      </c>
      <c r="G44" s="31" t="s">
        <v>63</v>
      </c>
      <c r="H44" s="26">
        <v>-314421.44494463381</v>
      </c>
      <c r="I44" s="26">
        <v>649382.69102207525</v>
      </c>
      <c r="J44" s="26">
        <v>641841.41480339551</v>
      </c>
    </row>
    <row r="45" spans="2:13" x14ac:dyDescent="0.2">
      <c r="B45" s="31"/>
      <c r="C45" s="23"/>
      <c r="D45" s="23"/>
      <c r="E45" s="23"/>
      <c r="G45" s="31"/>
      <c r="H45" s="23"/>
      <c r="I45" s="23"/>
      <c r="J45" s="23"/>
    </row>
    <row r="46" spans="2:13" ht="13.5" thickBot="1" x14ac:dyDescent="0.25">
      <c r="B46" s="19" t="s">
        <v>67</v>
      </c>
      <c r="C46" s="20">
        <v>-128032.09231562581</v>
      </c>
      <c r="D46" s="20">
        <v>809642.57048746163</v>
      </c>
      <c r="E46" s="20">
        <v>793843.4367478739</v>
      </c>
      <c r="G46" s="19" t="s">
        <v>67</v>
      </c>
      <c r="H46" s="20">
        <v>-14421.074124630366</v>
      </c>
      <c r="I46" s="20">
        <v>3711386.6818216853</v>
      </c>
      <c r="J46" s="20">
        <v>3762381.0750204744</v>
      </c>
    </row>
    <row r="47" spans="2:13" ht="13.5" thickTop="1" x14ac:dyDescent="0.2">
      <c r="B47" s="31"/>
      <c r="C47" s="23"/>
      <c r="D47" s="23"/>
      <c r="E47" s="23"/>
      <c r="G47" s="31"/>
      <c r="H47" s="23"/>
      <c r="I47" s="23"/>
      <c r="J47" s="23"/>
    </row>
    <row r="48" spans="2:13" x14ac:dyDescent="0.2">
      <c r="B48" s="15" t="s">
        <v>69</v>
      </c>
      <c r="C48" s="23">
        <v>128032.09231562581</v>
      </c>
      <c r="D48" s="23">
        <v>456371.15940004785</v>
      </c>
      <c r="E48" s="23">
        <v>472170.29313963564</v>
      </c>
      <c r="G48" s="15" t="s">
        <v>85</v>
      </c>
      <c r="H48" s="23">
        <v>532350.07412463031</v>
      </c>
      <c r="I48" s="23">
        <v>1269762.1914873349</v>
      </c>
      <c r="J48" s="23">
        <v>1301056.7977586854</v>
      </c>
      <c r="M48" s="41">
        <f>+I48-D48</f>
        <v>813391.03208728705</v>
      </c>
    </row>
    <row r="49" spans="2:10" x14ac:dyDescent="0.2">
      <c r="B49" s="15"/>
      <c r="C49" s="23"/>
      <c r="D49" s="23"/>
      <c r="E49" s="23"/>
      <c r="G49" s="15"/>
      <c r="H49" s="23"/>
      <c r="I49" s="23"/>
      <c r="J49" s="23"/>
    </row>
    <row r="50" spans="2:10" x14ac:dyDescent="0.2">
      <c r="B50" s="15" t="s">
        <v>73</v>
      </c>
      <c r="C50" s="23"/>
      <c r="D50" s="23"/>
      <c r="E50" s="23"/>
      <c r="G50" s="15" t="s">
        <v>73</v>
      </c>
      <c r="H50" s="23"/>
      <c r="I50" s="23"/>
      <c r="J50" s="23"/>
    </row>
    <row r="51" spans="2:10" x14ac:dyDescent="0.2">
      <c r="B51" s="31" t="s">
        <v>76</v>
      </c>
      <c r="C51" s="26">
        <v>-58642.568203108203</v>
      </c>
      <c r="D51" s="26">
        <v>-154508.6737407672</v>
      </c>
      <c r="E51" s="26">
        <v>-426990.75793446868</v>
      </c>
      <c r="G51" s="31" t="s">
        <v>76</v>
      </c>
      <c r="H51" s="26">
        <v>-239503.2213575127</v>
      </c>
      <c r="I51" s="26">
        <v>-100582.87882463432</v>
      </c>
      <c r="J51" s="26">
        <v>38258.411532839396</v>
      </c>
    </row>
    <row r="52" spans="2:10" x14ac:dyDescent="0.2">
      <c r="B52" s="38" t="s">
        <v>79</v>
      </c>
      <c r="C52" s="30">
        <v>0</v>
      </c>
      <c r="D52" s="30">
        <v>270175.94409070938</v>
      </c>
      <c r="E52" s="30">
        <v>546662.31873070926</v>
      </c>
      <c r="G52" s="38" t="s">
        <v>79</v>
      </c>
      <c r="H52" s="30">
        <v>284038.42659059161</v>
      </c>
      <c r="I52" s="30">
        <v>422404.10625709925</v>
      </c>
      <c r="J52" s="30">
        <v>291494.43385909934</v>
      </c>
    </row>
    <row r="53" spans="2:10" x14ac:dyDescent="0.2">
      <c r="B53" s="31" t="s">
        <v>82</v>
      </c>
      <c r="C53" s="23">
        <v>-58642.568203108203</v>
      </c>
      <c r="D53" s="23">
        <v>115667.27034994218</v>
      </c>
      <c r="E53" s="23">
        <v>119671.56079624058</v>
      </c>
      <c r="G53" s="31" t="s">
        <v>82</v>
      </c>
      <c r="H53" s="23">
        <v>44535.205233078916</v>
      </c>
      <c r="I53" s="23">
        <v>321821.22743246495</v>
      </c>
      <c r="J53" s="23">
        <v>329752.84539193875</v>
      </c>
    </row>
    <row r="54" spans="2:10" x14ac:dyDescent="0.2">
      <c r="B54" s="31"/>
      <c r="C54" s="23"/>
      <c r="D54" s="23"/>
      <c r="E54" s="23"/>
      <c r="G54" s="31"/>
      <c r="H54" s="23"/>
      <c r="I54" s="23"/>
      <c r="J54" s="23"/>
    </row>
    <row r="55" spans="2:10" ht="13.5" thickBot="1" x14ac:dyDescent="0.25">
      <c r="B55" s="19" t="s">
        <v>84</v>
      </c>
      <c r="C55" s="20">
        <v>186674.66051873402</v>
      </c>
      <c r="D55" s="20">
        <v>340703.8890501057</v>
      </c>
      <c r="E55" s="20">
        <v>352498.73234339501</v>
      </c>
      <c r="G55" s="19" t="s">
        <v>86</v>
      </c>
      <c r="H55" s="20">
        <v>487814.86889155145</v>
      </c>
      <c r="I55" s="20">
        <v>947940.9640548696</v>
      </c>
      <c r="J55" s="20">
        <v>971303.9523667465</v>
      </c>
    </row>
    <row r="56" spans="2:10" ht="13.5" thickTop="1" x14ac:dyDescent="0.2"/>
  </sheetData>
  <mergeCells count="3">
    <mergeCell ref="B5:E5"/>
    <mergeCell ref="G5:J5"/>
    <mergeCell ref="M5:Q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A85D-B770-4808-9238-667825F8A77A}">
  <dimension ref="B2:M53"/>
  <sheetViews>
    <sheetView showGridLines="0" zoomScale="115" zoomScaleNormal="115" workbookViewId="0">
      <selection activeCell="Y26" sqref="Y26"/>
    </sheetView>
    <sheetView workbookViewId="1"/>
  </sheetViews>
  <sheetFormatPr defaultColWidth="9.140625" defaultRowHeight="12.75" x14ac:dyDescent="0.2"/>
  <cols>
    <col min="1" max="1" width="9.140625" style="10"/>
    <col min="2" max="2" width="27.28515625" style="10" customWidth="1"/>
    <col min="3" max="3" width="12" style="10" customWidth="1"/>
    <col min="4" max="4" width="9.140625" style="10"/>
    <col min="5" max="5" width="13.140625" style="10" customWidth="1"/>
    <col min="6" max="8" width="9.140625" style="10"/>
    <col min="9" max="9" width="25.140625" style="10" customWidth="1"/>
    <col min="10" max="10" width="12.140625" style="10" customWidth="1"/>
    <col min="11" max="16384" width="9.140625" style="10"/>
  </cols>
  <sheetData>
    <row r="2" spans="2:13" x14ac:dyDescent="0.2">
      <c r="B2" s="313" t="s">
        <v>224</v>
      </c>
      <c r="C2" s="314"/>
      <c r="D2" s="314"/>
      <c r="E2" s="314"/>
      <c r="F2" s="315"/>
      <c r="I2" s="313" t="s">
        <v>225</v>
      </c>
      <c r="J2" s="314"/>
      <c r="K2" s="314"/>
      <c r="L2" s="314"/>
      <c r="M2" s="315"/>
    </row>
    <row r="3" spans="2:13" x14ac:dyDescent="0.2">
      <c r="B3" s="120" t="s">
        <v>226</v>
      </c>
      <c r="C3" s="121"/>
      <c r="D3" s="121">
        <v>3</v>
      </c>
      <c r="E3" s="121">
        <v>4</v>
      </c>
      <c r="F3" s="121">
        <v>5</v>
      </c>
      <c r="I3" s="120" t="s">
        <v>226</v>
      </c>
      <c r="J3" s="121"/>
      <c r="K3" s="121">
        <v>3</v>
      </c>
      <c r="L3" s="121">
        <v>4</v>
      </c>
      <c r="M3" s="121">
        <v>5</v>
      </c>
    </row>
    <row r="4" spans="2:13" x14ac:dyDescent="0.2">
      <c r="B4" s="11" t="s">
        <v>227</v>
      </c>
      <c r="C4" s="121" t="s">
        <v>228</v>
      </c>
      <c r="D4" s="12">
        <v>2022</v>
      </c>
      <c r="E4" s="12">
        <v>2023</v>
      </c>
      <c r="F4" s="12">
        <v>2024</v>
      </c>
      <c r="I4" s="11" t="s">
        <v>227</v>
      </c>
      <c r="J4" s="121" t="s">
        <v>228</v>
      </c>
      <c r="K4" s="12">
        <v>2022</v>
      </c>
      <c r="L4" s="12">
        <v>2023</v>
      </c>
      <c r="M4" s="12">
        <v>2024</v>
      </c>
    </row>
    <row r="5" spans="2:13" x14ac:dyDescent="0.2">
      <c r="B5" s="16"/>
      <c r="C5" s="122"/>
      <c r="D5" s="122"/>
      <c r="E5" s="123"/>
      <c r="F5" s="123"/>
      <c r="I5" s="16"/>
      <c r="J5" s="122"/>
      <c r="K5" s="122"/>
      <c r="L5" s="123"/>
      <c r="M5" s="123"/>
    </row>
    <row r="6" spans="2:13" x14ac:dyDescent="0.2">
      <c r="B6" s="15" t="s">
        <v>25</v>
      </c>
      <c r="C6" s="124"/>
      <c r="D6" s="122"/>
      <c r="E6" s="122"/>
      <c r="F6" s="122"/>
      <c r="I6" s="15" t="s">
        <v>25</v>
      </c>
      <c r="J6" s="124"/>
      <c r="K6" s="122"/>
      <c r="L6" s="122"/>
      <c r="M6" s="122"/>
    </row>
    <row r="7" spans="2:13" x14ac:dyDescent="0.2">
      <c r="B7" s="22" t="s">
        <v>34</v>
      </c>
      <c r="C7" s="124"/>
      <c r="D7" s="122"/>
      <c r="E7" s="123"/>
      <c r="F7" s="123"/>
      <c r="I7" s="22" t="s">
        <v>34</v>
      </c>
      <c r="J7" s="124"/>
      <c r="K7" s="122"/>
      <c r="L7" s="123"/>
      <c r="M7" s="123"/>
    </row>
    <row r="8" spans="2:13" x14ac:dyDescent="0.2">
      <c r="B8" s="25" t="s">
        <v>36</v>
      </c>
      <c r="C8" s="125">
        <v>58051464.116438694</v>
      </c>
      <c r="D8" s="32">
        <v>0</v>
      </c>
      <c r="E8" s="32">
        <v>2600761.1816526912</v>
      </c>
      <c r="F8" s="32">
        <v>3116808.7275437801</v>
      </c>
      <c r="I8" s="25" t="s">
        <v>36</v>
      </c>
      <c r="J8" s="125">
        <v>58051464.116438694</v>
      </c>
      <c r="K8" s="32">
        <v>0</v>
      </c>
      <c r="L8" s="32">
        <v>2600761.1816526912</v>
      </c>
      <c r="M8" s="32">
        <v>3116808.7275437801</v>
      </c>
    </row>
    <row r="9" spans="2:13" x14ac:dyDescent="0.2">
      <c r="B9" s="25" t="s">
        <v>44</v>
      </c>
      <c r="C9" s="125">
        <v>55967188.747324586</v>
      </c>
      <c r="D9" s="32">
        <v>0</v>
      </c>
      <c r="E9" s="32">
        <v>2002751.9503842709</v>
      </c>
      <c r="F9" s="32">
        <v>3140251.8370199995</v>
      </c>
      <c r="I9" s="25" t="s">
        <v>44</v>
      </c>
      <c r="J9" s="125">
        <v>56156396.982967392</v>
      </c>
      <c r="K9" s="32">
        <v>0</v>
      </c>
      <c r="L9" s="32">
        <v>2191960.1860270742</v>
      </c>
      <c r="M9" s="32">
        <v>3140251.8370199995</v>
      </c>
    </row>
    <row r="10" spans="2:13" x14ac:dyDescent="0.2">
      <c r="B10" s="126" t="s">
        <v>40</v>
      </c>
      <c r="C10" s="125">
        <v>9468338.8857286293</v>
      </c>
      <c r="D10" s="32">
        <v>0</v>
      </c>
      <c r="E10" s="32">
        <v>549798.76002044184</v>
      </c>
      <c r="F10" s="32">
        <v>499987.22484424023</v>
      </c>
      <c r="I10" s="126" t="s">
        <v>40</v>
      </c>
      <c r="J10" s="125">
        <v>9468338.8857286293</v>
      </c>
      <c r="K10" s="32">
        <v>0</v>
      </c>
      <c r="L10" s="32">
        <v>549798.76002044184</v>
      </c>
      <c r="M10" s="32">
        <v>499987.22484424023</v>
      </c>
    </row>
    <row r="11" spans="2:13" x14ac:dyDescent="0.2">
      <c r="B11" s="127" t="s">
        <v>41</v>
      </c>
      <c r="C11" s="128">
        <v>0</v>
      </c>
      <c r="D11" s="36">
        <v>0</v>
      </c>
      <c r="E11" s="36">
        <v>0</v>
      </c>
      <c r="F11" s="36">
        <v>0</v>
      </c>
      <c r="I11" s="127" t="s">
        <v>41</v>
      </c>
      <c r="J11" s="128">
        <v>0</v>
      </c>
      <c r="K11" s="36">
        <v>0</v>
      </c>
      <c r="L11" s="36">
        <v>0</v>
      </c>
      <c r="M11" s="36">
        <v>0</v>
      </c>
    </row>
    <row r="12" spans="2:13" x14ac:dyDescent="0.2">
      <c r="B12" s="129" t="s">
        <v>34</v>
      </c>
      <c r="C12" s="123">
        <v>123486991.74949193</v>
      </c>
      <c r="D12" s="123">
        <v>0</v>
      </c>
      <c r="E12" s="123">
        <v>5153311.8920574039</v>
      </c>
      <c r="F12" s="123">
        <v>6757047.7894080197</v>
      </c>
      <c r="I12" s="129" t="s">
        <v>34</v>
      </c>
      <c r="J12" s="123">
        <v>123676199.98513474</v>
      </c>
      <c r="K12" s="123">
        <v>0</v>
      </c>
      <c r="L12" s="123">
        <v>5342520.1277002078</v>
      </c>
      <c r="M12" s="123">
        <v>6757047.7894080197</v>
      </c>
    </row>
    <row r="13" spans="2:13" x14ac:dyDescent="0.2">
      <c r="B13" s="130"/>
      <c r="C13" s="131"/>
      <c r="D13" s="131"/>
      <c r="E13" s="131"/>
      <c r="F13" s="131"/>
      <c r="I13" s="130"/>
      <c r="J13" s="131"/>
      <c r="K13" s="131"/>
      <c r="L13" s="131"/>
      <c r="M13" s="131"/>
    </row>
    <row r="14" spans="2:13" ht="13.5" thickBot="1" x14ac:dyDescent="0.25">
      <c r="B14" s="132" t="s">
        <v>229</v>
      </c>
      <c r="C14" s="133">
        <v>123486991.74949193</v>
      </c>
      <c r="D14" s="134">
        <v>0</v>
      </c>
      <c r="E14" s="134">
        <v>5153311.8920574039</v>
      </c>
      <c r="F14" s="134">
        <v>6757047.7894080197</v>
      </c>
      <c r="I14" s="132" t="s">
        <v>229</v>
      </c>
      <c r="J14" s="133">
        <v>123676199.98513474</v>
      </c>
      <c r="K14" s="134">
        <v>0</v>
      </c>
      <c r="L14" s="134">
        <v>5342520.1277002078</v>
      </c>
      <c r="M14" s="134">
        <v>6757047.7894080197</v>
      </c>
    </row>
    <row r="15" spans="2:13" ht="13.5" thickTop="1" x14ac:dyDescent="0.2">
      <c r="B15" s="135"/>
      <c r="C15" s="123"/>
      <c r="D15" s="123"/>
      <c r="E15" s="123"/>
      <c r="F15" s="123"/>
      <c r="I15" s="135"/>
      <c r="J15" s="123"/>
      <c r="K15" s="123"/>
      <c r="L15" s="123"/>
      <c r="M15" s="123"/>
    </row>
    <row r="16" spans="2:13" x14ac:dyDescent="0.2">
      <c r="B16" s="15" t="s">
        <v>56</v>
      </c>
      <c r="C16" s="123"/>
      <c r="D16" s="123"/>
      <c r="E16" s="123"/>
      <c r="F16" s="123"/>
      <c r="I16" s="15" t="s">
        <v>56</v>
      </c>
      <c r="J16" s="123"/>
      <c r="K16" s="123"/>
      <c r="L16" s="123"/>
      <c r="M16" s="123"/>
    </row>
    <row r="17" spans="2:13" x14ac:dyDescent="0.2">
      <c r="B17" s="22" t="s">
        <v>230</v>
      </c>
      <c r="C17" s="123"/>
      <c r="D17" s="123"/>
      <c r="E17" s="123"/>
      <c r="F17" s="123"/>
      <c r="I17" s="22" t="s">
        <v>230</v>
      </c>
      <c r="J17" s="123"/>
      <c r="K17" s="123"/>
      <c r="L17" s="123"/>
      <c r="M17" s="123"/>
    </row>
    <row r="18" spans="2:13" x14ac:dyDescent="0.2">
      <c r="B18" s="25" t="s">
        <v>70</v>
      </c>
      <c r="C18" s="125">
        <v>12190807.464452127</v>
      </c>
      <c r="D18" s="32">
        <v>0</v>
      </c>
      <c r="E18" s="32">
        <v>546159.84814706515</v>
      </c>
      <c r="F18" s="32">
        <v>654529.8327841938</v>
      </c>
      <c r="I18" s="25" t="s">
        <v>70</v>
      </c>
      <c r="J18" s="125">
        <v>12190807.464452127</v>
      </c>
      <c r="K18" s="32">
        <v>0</v>
      </c>
      <c r="L18" s="32">
        <v>546159.84814706515</v>
      </c>
      <c r="M18" s="32">
        <v>654529.8327841938</v>
      </c>
    </row>
    <row r="19" spans="2:13" x14ac:dyDescent="0.2">
      <c r="B19" s="25" t="s">
        <v>72</v>
      </c>
      <c r="C19" s="125">
        <v>0</v>
      </c>
      <c r="D19" s="32">
        <v>0</v>
      </c>
      <c r="E19" s="32">
        <v>0</v>
      </c>
      <c r="F19" s="32">
        <v>0</v>
      </c>
      <c r="I19" s="25" t="s">
        <v>72</v>
      </c>
      <c r="J19" s="125">
        <v>0</v>
      </c>
      <c r="K19" s="32">
        <v>0</v>
      </c>
      <c r="L19" s="32">
        <v>0</v>
      </c>
      <c r="M19" s="32">
        <v>0</v>
      </c>
    </row>
    <row r="20" spans="2:13" x14ac:dyDescent="0.2">
      <c r="B20" s="25" t="s">
        <v>75</v>
      </c>
      <c r="C20" s="125">
        <v>11753109.636938166</v>
      </c>
      <c r="D20" s="32">
        <v>0</v>
      </c>
      <c r="E20" s="32">
        <v>420577.90958069684</v>
      </c>
      <c r="F20" s="32">
        <v>659452.88577419962</v>
      </c>
      <c r="I20" s="25" t="s">
        <v>75</v>
      </c>
      <c r="J20" s="125">
        <v>11792843.366423152</v>
      </c>
      <c r="K20" s="32">
        <v>0</v>
      </c>
      <c r="L20" s="32">
        <v>460311.63906568551</v>
      </c>
      <c r="M20" s="32">
        <v>659452.88577419962</v>
      </c>
    </row>
    <row r="21" spans="2:13" x14ac:dyDescent="0.2">
      <c r="B21" s="25" t="s">
        <v>231</v>
      </c>
      <c r="C21" s="125">
        <v>0</v>
      </c>
      <c r="D21" s="32">
        <v>0</v>
      </c>
      <c r="E21" s="32">
        <v>0</v>
      </c>
      <c r="F21" s="32">
        <v>0</v>
      </c>
      <c r="I21" s="25" t="s">
        <v>231</v>
      </c>
      <c r="J21" s="125">
        <v>0</v>
      </c>
      <c r="K21" s="32">
        <v>0</v>
      </c>
      <c r="L21" s="32">
        <v>0</v>
      </c>
      <c r="M21" s="32">
        <v>0</v>
      </c>
    </row>
    <row r="22" spans="2:13" x14ac:dyDescent="0.2">
      <c r="B22" s="25" t="s">
        <v>68</v>
      </c>
      <c r="C22" s="125">
        <v>9217360</v>
      </c>
      <c r="D22" s="32">
        <v>0</v>
      </c>
      <c r="E22" s="32">
        <v>750075</v>
      </c>
      <c r="F22" s="32">
        <v>471334.79999999993</v>
      </c>
      <c r="I22" s="25" t="s">
        <v>68</v>
      </c>
      <c r="J22" s="125">
        <v>9217360</v>
      </c>
      <c r="K22" s="32">
        <v>0</v>
      </c>
      <c r="L22" s="32">
        <v>750075</v>
      </c>
      <c r="M22" s="32">
        <v>471334.79999999993</v>
      </c>
    </row>
    <row r="23" spans="2:13" x14ac:dyDescent="0.2">
      <c r="B23" s="25" t="s">
        <v>232</v>
      </c>
      <c r="C23" s="125">
        <v>0</v>
      </c>
      <c r="D23" s="32">
        <v>0</v>
      </c>
      <c r="E23" s="32">
        <v>0</v>
      </c>
      <c r="F23" s="32">
        <v>0</v>
      </c>
      <c r="I23" s="25" t="s">
        <v>232</v>
      </c>
      <c r="J23" s="125">
        <v>0</v>
      </c>
      <c r="K23" s="32">
        <v>0</v>
      </c>
      <c r="L23" s="32">
        <v>0</v>
      </c>
      <c r="M23" s="32">
        <v>0</v>
      </c>
    </row>
    <row r="24" spans="2:13" x14ac:dyDescent="0.2">
      <c r="B24" s="29" t="s">
        <v>232</v>
      </c>
      <c r="C24" s="128">
        <v>0</v>
      </c>
      <c r="D24" s="36">
        <v>0</v>
      </c>
      <c r="E24" s="36">
        <v>0</v>
      </c>
      <c r="F24" s="36">
        <v>0</v>
      </c>
      <c r="I24" s="29" t="s">
        <v>232</v>
      </c>
      <c r="J24" s="128">
        <v>0</v>
      </c>
      <c r="K24" s="36">
        <v>0</v>
      </c>
      <c r="L24" s="36">
        <v>0</v>
      </c>
      <c r="M24" s="36">
        <v>0</v>
      </c>
    </row>
    <row r="25" spans="2:13" x14ac:dyDescent="0.2">
      <c r="B25" s="129" t="s">
        <v>233</v>
      </c>
      <c r="C25" s="125">
        <v>33161277.101390295</v>
      </c>
      <c r="D25" s="123">
        <v>0</v>
      </c>
      <c r="E25" s="123">
        <v>1716812.757727762</v>
      </c>
      <c r="F25" s="123">
        <v>1785317.5185583932</v>
      </c>
      <c r="I25" s="129" t="s">
        <v>233</v>
      </c>
      <c r="J25" s="125">
        <v>33201010.830875278</v>
      </c>
      <c r="K25" s="123">
        <v>0</v>
      </c>
      <c r="L25" s="123">
        <v>1756546.4872127506</v>
      </c>
      <c r="M25" s="123">
        <v>1785317.5185583932</v>
      </c>
    </row>
    <row r="26" spans="2:13" x14ac:dyDescent="0.2">
      <c r="B26" s="135"/>
      <c r="C26" s="123"/>
      <c r="D26" s="123"/>
      <c r="E26" s="123"/>
      <c r="F26" s="123"/>
      <c r="I26" s="135"/>
      <c r="J26" s="123"/>
      <c r="K26" s="123"/>
      <c r="L26" s="123"/>
      <c r="M26" s="123"/>
    </row>
    <row r="27" spans="2:13" x14ac:dyDescent="0.2">
      <c r="B27" s="22" t="s">
        <v>234</v>
      </c>
      <c r="C27" s="123"/>
      <c r="D27" s="123"/>
      <c r="E27" s="123"/>
      <c r="F27" s="123"/>
      <c r="I27" s="22" t="s">
        <v>234</v>
      </c>
      <c r="J27" s="123"/>
      <c r="K27" s="123"/>
      <c r="L27" s="123"/>
      <c r="M27" s="123"/>
    </row>
    <row r="28" spans="2:13" x14ac:dyDescent="0.2">
      <c r="B28" s="25" t="s">
        <v>61</v>
      </c>
      <c r="C28" s="125">
        <v>5947556.6566526741</v>
      </c>
      <c r="D28" s="123">
        <v>0</v>
      </c>
      <c r="E28" s="123">
        <v>352552.81928462506</v>
      </c>
      <c r="F28" s="123">
        <v>313861.46294596244</v>
      </c>
      <c r="I28" s="25" t="s">
        <v>61</v>
      </c>
      <c r="J28" s="125">
        <v>5947556.6566526741</v>
      </c>
      <c r="K28" s="123">
        <v>0</v>
      </c>
      <c r="L28" s="123">
        <v>352552.81928462506</v>
      </c>
      <c r="M28" s="123">
        <v>313861.46294596244</v>
      </c>
    </row>
    <row r="29" spans="2:13" x14ac:dyDescent="0.2">
      <c r="B29" s="25" t="s">
        <v>65</v>
      </c>
      <c r="C29" s="125">
        <v>7639061.5481611788</v>
      </c>
      <c r="D29" s="136">
        <v>0</v>
      </c>
      <c r="E29" s="32">
        <v>294000</v>
      </c>
      <c r="F29" s="32">
        <v>313698</v>
      </c>
      <c r="I29" s="25" t="s">
        <v>65</v>
      </c>
      <c r="J29" s="125">
        <v>7639061.5481611788</v>
      </c>
      <c r="K29" s="136">
        <v>0</v>
      </c>
      <c r="L29" s="32">
        <v>294000</v>
      </c>
      <c r="M29" s="32">
        <v>313698</v>
      </c>
    </row>
    <row r="30" spans="2:13" x14ac:dyDescent="0.2">
      <c r="B30" s="25" t="s">
        <v>66</v>
      </c>
      <c r="C30" s="125">
        <v>3414581.8106492762</v>
      </c>
      <c r="D30" s="123">
        <v>0</v>
      </c>
      <c r="E30" s="123">
        <v>4322.9467757088159</v>
      </c>
      <c r="F30" s="123">
        <v>10931.174609719812</v>
      </c>
      <c r="I30" s="25" t="s">
        <v>66</v>
      </c>
      <c r="J30" s="125">
        <v>3414581.8106492762</v>
      </c>
      <c r="K30" s="123">
        <v>0</v>
      </c>
      <c r="L30" s="123">
        <v>4322.9467757088159</v>
      </c>
      <c r="M30" s="123">
        <v>10931.174609719812</v>
      </c>
    </row>
    <row r="31" spans="2:13" x14ac:dyDescent="0.2">
      <c r="B31" s="25" t="s">
        <v>235</v>
      </c>
      <c r="C31" s="125">
        <v>9568280.9612148758</v>
      </c>
      <c r="D31" s="122">
        <v>0</v>
      </c>
      <c r="E31" s="122">
        <v>221044.69158822985</v>
      </c>
      <c r="F31" s="122">
        <v>284062.58076434484</v>
      </c>
      <c r="I31" s="25" t="s">
        <v>235</v>
      </c>
      <c r="J31" s="125">
        <v>9568280.9612148758</v>
      </c>
      <c r="K31" s="122">
        <v>0</v>
      </c>
      <c r="L31" s="122">
        <v>221044.69158822985</v>
      </c>
      <c r="M31" s="122">
        <v>284062.58076434484</v>
      </c>
    </row>
    <row r="32" spans="2:13" x14ac:dyDescent="0.2">
      <c r="B32" s="25" t="s">
        <v>236</v>
      </c>
      <c r="C32" s="125">
        <v>0</v>
      </c>
      <c r="D32" s="123">
        <v>0</v>
      </c>
      <c r="E32" s="123">
        <v>0</v>
      </c>
      <c r="F32" s="123">
        <v>0</v>
      </c>
      <c r="I32" s="25" t="s">
        <v>236</v>
      </c>
      <c r="J32" s="125">
        <v>0</v>
      </c>
      <c r="K32" s="123">
        <v>0</v>
      </c>
      <c r="L32" s="123">
        <v>0</v>
      </c>
      <c r="M32" s="123">
        <v>0</v>
      </c>
    </row>
    <row r="33" spans="2:13" x14ac:dyDescent="0.2">
      <c r="B33" s="25" t="s">
        <v>237</v>
      </c>
      <c r="C33" s="125">
        <v>0</v>
      </c>
      <c r="D33" s="123">
        <v>0</v>
      </c>
      <c r="E33" s="123">
        <v>0</v>
      </c>
      <c r="F33" s="123">
        <v>0</v>
      </c>
      <c r="I33" s="25" t="s">
        <v>237</v>
      </c>
      <c r="J33" s="125">
        <v>0</v>
      </c>
      <c r="K33" s="123">
        <v>0</v>
      </c>
      <c r="L33" s="123">
        <v>0</v>
      </c>
      <c r="M33" s="123">
        <v>0</v>
      </c>
    </row>
    <row r="34" spans="2:13" x14ac:dyDescent="0.2">
      <c r="B34" s="25" t="s">
        <v>62</v>
      </c>
      <c r="C34" s="125">
        <v>800527.64737573755</v>
      </c>
      <c r="D34" s="123">
        <v>0</v>
      </c>
      <c r="E34" s="123">
        <v>62140.493215788141</v>
      </c>
      <c r="F34" s="123">
        <v>53229.415016870102</v>
      </c>
      <c r="I34" s="25" t="s">
        <v>62</v>
      </c>
      <c r="J34" s="125">
        <v>800527.64737573755</v>
      </c>
      <c r="K34" s="123">
        <v>0</v>
      </c>
      <c r="L34" s="123">
        <v>62140.493215788141</v>
      </c>
      <c r="M34" s="123">
        <v>53229.415016870102</v>
      </c>
    </row>
    <row r="35" spans="2:13" x14ac:dyDescent="0.2">
      <c r="B35" s="29" t="s">
        <v>59</v>
      </c>
      <c r="C35" s="128">
        <v>1639073.6033855565</v>
      </c>
      <c r="D35" s="131">
        <v>0</v>
      </c>
      <c r="E35" s="131">
        <v>47981.127308203642</v>
      </c>
      <c r="F35" s="131">
        <v>69812.540233436317</v>
      </c>
      <c r="I35" s="29" t="s">
        <v>59</v>
      </c>
      <c r="J35" s="128">
        <v>1639073.6033855565</v>
      </c>
      <c r="K35" s="131">
        <v>0</v>
      </c>
      <c r="L35" s="131">
        <v>47981.127308203642</v>
      </c>
      <c r="M35" s="131">
        <v>69812.540233436317</v>
      </c>
    </row>
    <row r="36" spans="2:13" x14ac:dyDescent="0.2">
      <c r="B36" s="129" t="s">
        <v>238</v>
      </c>
      <c r="C36" s="125">
        <v>29009082.227439299</v>
      </c>
      <c r="D36" s="123">
        <v>0</v>
      </c>
      <c r="E36" s="123">
        <v>982042.07817255554</v>
      </c>
      <c r="F36" s="123">
        <v>1045595.1735703334</v>
      </c>
      <c r="I36" s="129" t="s">
        <v>238</v>
      </c>
      <c r="J36" s="125">
        <v>29009082.227439299</v>
      </c>
      <c r="K36" s="123">
        <v>0</v>
      </c>
      <c r="L36" s="123">
        <v>982042.07817255554</v>
      </c>
      <c r="M36" s="123">
        <v>1045595.1735703334</v>
      </c>
    </row>
    <row r="37" spans="2:13" x14ac:dyDescent="0.2">
      <c r="B37" s="137"/>
      <c r="C37" s="131"/>
      <c r="D37" s="131"/>
      <c r="E37" s="131"/>
      <c r="F37" s="131"/>
      <c r="I37" s="137"/>
      <c r="J37" s="131"/>
      <c r="K37" s="131"/>
      <c r="L37" s="131"/>
      <c r="M37" s="131"/>
    </row>
    <row r="38" spans="2:13" x14ac:dyDescent="0.2">
      <c r="B38" s="129" t="s">
        <v>37</v>
      </c>
      <c r="C38" s="138">
        <v>62170359.328829594</v>
      </c>
      <c r="D38" s="123">
        <v>0</v>
      </c>
      <c r="E38" s="123">
        <v>2698854.8359003174</v>
      </c>
      <c r="F38" s="123">
        <v>2830912.6921287267</v>
      </c>
      <c r="I38" s="129" t="s">
        <v>37</v>
      </c>
      <c r="J38" s="138">
        <v>62210093.058314577</v>
      </c>
      <c r="K38" s="123">
        <v>0</v>
      </c>
      <c r="L38" s="123">
        <v>2738588.5653853063</v>
      </c>
      <c r="M38" s="123">
        <v>2830912.6921287267</v>
      </c>
    </row>
    <row r="39" spans="2:13" x14ac:dyDescent="0.2">
      <c r="B39" s="135"/>
      <c r="C39" s="123"/>
      <c r="D39" s="123"/>
      <c r="E39" s="123"/>
      <c r="F39" s="123"/>
      <c r="I39" s="135"/>
      <c r="J39" s="123"/>
      <c r="K39" s="123"/>
      <c r="L39" s="123"/>
      <c r="M39" s="123"/>
    </row>
    <row r="40" spans="2:13" x14ac:dyDescent="0.2">
      <c r="B40" s="135"/>
      <c r="C40" s="123"/>
      <c r="D40" s="123"/>
      <c r="E40" s="123"/>
      <c r="F40" s="123"/>
      <c r="I40" s="135"/>
      <c r="J40" s="123"/>
      <c r="K40" s="123"/>
      <c r="L40" s="123"/>
      <c r="M40" s="123"/>
    </row>
    <row r="41" spans="2:13" x14ac:dyDescent="0.2">
      <c r="B41" s="22" t="s">
        <v>42</v>
      </c>
      <c r="C41" s="123"/>
      <c r="D41" s="139"/>
      <c r="E41" s="123"/>
      <c r="F41" s="123"/>
      <c r="I41" s="22" t="s">
        <v>42</v>
      </c>
      <c r="J41" s="123"/>
      <c r="K41" s="139"/>
      <c r="L41" s="123"/>
      <c r="M41" s="123"/>
    </row>
    <row r="42" spans="2:13" x14ac:dyDescent="0.2">
      <c r="B42" s="25" t="s">
        <v>239</v>
      </c>
      <c r="C42" s="125">
        <v>24054260.867862679</v>
      </c>
      <c r="D42" s="32">
        <v>0</v>
      </c>
      <c r="E42" s="32">
        <v>1266013.7298875097</v>
      </c>
      <c r="F42" s="32">
        <v>1266013.7298875097</v>
      </c>
      <c r="I42" s="25" t="s">
        <v>239</v>
      </c>
      <c r="J42" s="125">
        <v>24054260.867862679</v>
      </c>
      <c r="K42" s="32">
        <v>0</v>
      </c>
      <c r="L42" s="32">
        <v>1266013.7298875097</v>
      </c>
      <c r="M42" s="32">
        <v>1266013.7298875097</v>
      </c>
    </row>
    <row r="43" spans="2:13" x14ac:dyDescent="0.2">
      <c r="B43" s="25" t="s">
        <v>81</v>
      </c>
      <c r="C43" s="125">
        <v>15067392.824486652</v>
      </c>
      <c r="D43" s="32">
        <v>0</v>
      </c>
      <c r="E43" s="32">
        <v>471020.38779257046</v>
      </c>
      <c r="F43" s="32">
        <v>931042.47858712415</v>
      </c>
      <c r="I43" s="25" t="s">
        <v>81</v>
      </c>
      <c r="J43" s="125">
        <v>15119708.901641889</v>
      </c>
      <c r="K43" s="32">
        <v>0</v>
      </c>
      <c r="L43" s="32">
        <v>523336.46494780562</v>
      </c>
      <c r="M43" s="32">
        <v>931042.47858712415</v>
      </c>
    </row>
    <row r="44" spans="2:13" x14ac:dyDescent="0.2">
      <c r="B44" s="129" t="s">
        <v>240</v>
      </c>
      <c r="C44" s="125">
        <v>39121653.692349344</v>
      </c>
      <c r="D44" s="123">
        <v>0</v>
      </c>
      <c r="E44" s="123">
        <v>1737034.1176800802</v>
      </c>
      <c r="F44" s="123">
        <v>2197056.2084746337</v>
      </c>
      <c r="I44" s="129" t="s">
        <v>240</v>
      </c>
      <c r="J44" s="125">
        <v>39173969.769504577</v>
      </c>
      <c r="K44" s="123">
        <v>0</v>
      </c>
      <c r="L44" s="123">
        <v>1789350.1948353155</v>
      </c>
      <c r="M44" s="123">
        <v>2197056.2084746337</v>
      </c>
    </row>
    <row r="45" spans="2:13" x14ac:dyDescent="0.2">
      <c r="B45" s="135"/>
      <c r="C45" s="135"/>
      <c r="D45" s="135"/>
      <c r="E45" s="135"/>
      <c r="F45" s="135"/>
      <c r="I45" s="135"/>
      <c r="J45" s="135"/>
      <c r="K45" s="135"/>
      <c r="L45" s="135"/>
      <c r="M45" s="135"/>
    </row>
    <row r="46" spans="2:13" ht="13.5" thickBot="1" x14ac:dyDescent="0.25">
      <c r="B46" s="132" t="s">
        <v>241</v>
      </c>
      <c r="C46" s="133">
        <v>101292013.02117893</v>
      </c>
      <c r="D46" s="134">
        <v>0</v>
      </c>
      <c r="E46" s="134">
        <v>4435888.9535803981</v>
      </c>
      <c r="F46" s="134">
        <v>5027968.9006033605</v>
      </c>
      <c r="I46" s="132" t="s">
        <v>241</v>
      </c>
      <c r="J46" s="133">
        <v>101384062.82781915</v>
      </c>
      <c r="K46" s="134">
        <v>0</v>
      </c>
      <c r="L46" s="134">
        <v>4527938.7602206217</v>
      </c>
      <c r="M46" s="134">
        <v>5027968.9006033605</v>
      </c>
    </row>
    <row r="47" spans="2:13" ht="13.5" thickTop="1" x14ac:dyDescent="0.2">
      <c r="B47" s="135"/>
      <c r="C47" s="135"/>
      <c r="D47" s="135"/>
      <c r="E47" s="135"/>
      <c r="F47" s="135"/>
      <c r="I47" s="135"/>
      <c r="J47" s="135"/>
      <c r="K47" s="135"/>
      <c r="L47" s="135"/>
      <c r="M47" s="135"/>
    </row>
    <row r="48" spans="2:13" x14ac:dyDescent="0.2">
      <c r="B48" s="135" t="s">
        <v>69</v>
      </c>
      <c r="C48" s="123">
        <v>22194978.728312999</v>
      </c>
      <c r="D48" s="123">
        <v>0</v>
      </c>
      <c r="E48" s="123">
        <v>717422.93847700581</v>
      </c>
      <c r="F48" s="123">
        <v>1729078.8888046592</v>
      </c>
      <c r="I48" s="135" t="s">
        <v>69</v>
      </c>
      <c r="J48" s="123">
        <v>22292137.157315582</v>
      </c>
      <c r="K48" s="123">
        <v>0</v>
      </c>
      <c r="L48" s="123">
        <v>814581.36747958604</v>
      </c>
      <c r="M48" s="123">
        <v>1729078.8888046592</v>
      </c>
    </row>
    <row r="49" spans="2:13" x14ac:dyDescent="0.2">
      <c r="B49" s="130" t="s">
        <v>242</v>
      </c>
      <c r="C49" s="140">
        <v>12152.346317001944</v>
      </c>
      <c r="D49" s="131">
        <v>0</v>
      </c>
      <c r="E49" s="131">
        <v>181830.84375699714</v>
      </c>
      <c r="F49" s="131">
        <v>438235.04436754092</v>
      </c>
      <c r="I49" s="130" t="s">
        <v>242</v>
      </c>
      <c r="J49" s="140">
        <v>12152.346317001944</v>
      </c>
      <c r="K49" s="131">
        <v>0</v>
      </c>
      <c r="L49" s="131">
        <v>206455.6475877011</v>
      </c>
      <c r="M49" s="131">
        <v>438235.04436754092</v>
      </c>
    </row>
    <row r="50" spans="2:13" x14ac:dyDescent="0.2">
      <c r="B50" s="135"/>
      <c r="C50" s="123">
        <v>22182826.381995998</v>
      </c>
      <c r="D50" s="123">
        <v>0</v>
      </c>
      <c r="E50" s="123">
        <v>535592.09472000867</v>
      </c>
      <c r="F50" s="123">
        <v>1290843.8444371184</v>
      </c>
      <c r="I50" s="135"/>
      <c r="J50" s="123">
        <v>22279984.810998581</v>
      </c>
      <c r="K50" s="123">
        <v>0</v>
      </c>
      <c r="L50" s="123">
        <v>608125.71989188495</v>
      </c>
      <c r="M50" s="123">
        <v>1290843.8444371184</v>
      </c>
    </row>
    <row r="51" spans="2:13" x14ac:dyDescent="0.2">
      <c r="B51" s="135"/>
      <c r="C51" s="135"/>
      <c r="D51" s="135"/>
      <c r="E51" s="135"/>
      <c r="F51" s="135"/>
      <c r="I51" s="135"/>
      <c r="J51" s="135"/>
      <c r="K51" s="135"/>
      <c r="L51" s="135"/>
      <c r="M51" s="135"/>
    </row>
    <row r="52" spans="2:13" ht="13.5" thickBot="1" x14ac:dyDescent="0.25">
      <c r="B52" s="141" t="s">
        <v>84</v>
      </c>
      <c r="C52" s="142">
        <v>35795.360595611761</v>
      </c>
      <c r="D52" s="142">
        <v>0</v>
      </c>
      <c r="E52" s="142">
        <v>535592.09472000867</v>
      </c>
      <c r="F52" s="142">
        <v>1290843.8444371184</v>
      </c>
      <c r="I52" s="141" t="s">
        <v>84</v>
      </c>
      <c r="J52" s="142">
        <v>35795.360595611761</v>
      </c>
      <c r="K52" s="142">
        <v>0</v>
      </c>
      <c r="L52" s="142">
        <v>608125.71989188495</v>
      </c>
      <c r="M52" s="142">
        <v>1290843.8444371184</v>
      </c>
    </row>
    <row r="53" spans="2:13" ht="13.5" thickTop="1" x14ac:dyDescent="0.2"/>
  </sheetData>
  <mergeCells count="2">
    <mergeCell ref="B2:F2"/>
    <mergeCell ref="I2:M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80E0-B707-4969-ABD7-34C7357406B4}">
  <dimension ref="A1:J21"/>
  <sheetViews>
    <sheetView zoomScale="145" zoomScaleNormal="145" workbookViewId="0">
      <selection activeCell="Y26" sqref="Y26"/>
    </sheetView>
    <sheetView workbookViewId="1"/>
  </sheetViews>
  <sheetFormatPr defaultRowHeight="15" x14ac:dyDescent="0.25"/>
  <cols>
    <col min="1" max="1" width="72" bestFit="1" customWidth="1"/>
    <col min="2" max="8" width="11.85546875" customWidth="1"/>
  </cols>
  <sheetData>
    <row r="1" spans="1:10" x14ac:dyDescent="0.25">
      <c r="A1" s="4" t="s">
        <v>126</v>
      </c>
    </row>
    <row r="2" spans="1:10" x14ac:dyDescent="0.25">
      <c r="A2" s="4" t="s">
        <v>127</v>
      </c>
    </row>
    <row r="3" spans="1:10" x14ac:dyDescent="0.25">
      <c r="A3" s="4"/>
    </row>
    <row r="4" spans="1:10" x14ac:dyDescent="0.25">
      <c r="A4" s="4"/>
      <c r="B4" s="2">
        <v>2023</v>
      </c>
      <c r="C4" s="2">
        <v>2023</v>
      </c>
      <c r="D4" s="2" t="s">
        <v>91</v>
      </c>
      <c r="E4" s="2">
        <v>2022</v>
      </c>
      <c r="F4" s="2" t="s">
        <v>91</v>
      </c>
      <c r="G4" s="2">
        <v>2022</v>
      </c>
      <c r="H4" s="2" t="s">
        <v>91</v>
      </c>
    </row>
    <row r="5" spans="1:10" x14ac:dyDescent="0.25">
      <c r="B5" s="64" t="s">
        <v>92</v>
      </c>
      <c r="C5" s="64" t="s">
        <v>22</v>
      </c>
      <c r="D5" s="64" t="s">
        <v>93</v>
      </c>
      <c r="E5" s="64" t="s">
        <v>128</v>
      </c>
      <c r="F5" s="64" t="s">
        <v>93</v>
      </c>
      <c r="G5" s="64" t="s">
        <v>92</v>
      </c>
      <c r="H5" s="64" t="s">
        <v>93</v>
      </c>
    </row>
    <row r="6" spans="1:10" x14ac:dyDescent="0.25">
      <c r="A6" s="4" t="s">
        <v>129</v>
      </c>
      <c r="B6" s="65">
        <v>25</v>
      </c>
      <c r="C6" s="63">
        <v>785</v>
      </c>
      <c r="D6" s="63">
        <f>+C6-B6</f>
        <v>760</v>
      </c>
      <c r="E6" s="63">
        <v>372</v>
      </c>
      <c r="F6" s="63">
        <f>+E6-B6</f>
        <v>347</v>
      </c>
      <c r="G6" s="63">
        <v>769</v>
      </c>
      <c r="H6" s="63">
        <f>+G6-B6</f>
        <v>744</v>
      </c>
      <c r="J6" s="63"/>
    </row>
    <row r="7" spans="1:10" x14ac:dyDescent="0.25">
      <c r="A7" s="4" t="s">
        <v>130</v>
      </c>
      <c r="B7" s="63">
        <v>0</v>
      </c>
      <c r="C7" s="63">
        <f>50+14</f>
        <v>64</v>
      </c>
      <c r="D7" s="63">
        <f>+C7-B7</f>
        <v>64</v>
      </c>
      <c r="E7" s="63">
        <f>50+14</f>
        <v>64</v>
      </c>
      <c r="F7" s="63">
        <f>+E7-B7</f>
        <v>64</v>
      </c>
      <c r="G7" s="63">
        <f>50+14</f>
        <v>64</v>
      </c>
      <c r="H7" s="63">
        <f>+G7-B7</f>
        <v>64</v>
      </c>
    </row>
    <row r="8" spans="1:10" x14ac:dyDescent="0.25">
      <c r="A8" s="4" t="s">
        <v>131</v>
      </c>
      <c r="B8" s="63">
        <v>0</v>
      </c>
      <c r="C8" s="63">
        <v>530</v>
      </c>
      <c r="D8" s="63">
        <f>+C8-B8</f>
        <v>530</v>
      </c>
      <c r="E8" s="63">
        <v>263</v>
      </c>
      <c r="F8" s="63">
        <f>+E8-B8</f>
        <v>263</v>
      </c>
      <c r="G8" s="63">
        <v>530</v>
      </c>
      <c r="H8" s="63">
        <f>+G8-B8</f>
        <v>530</v>
      </c>
    </row>
    <row r="9" spans="1:10" x14ac:dyDescent="0.25">
      <c r="A9" s="4" t="s">
        <v>67</v>
      </c>
      <c r="B9" s="66">
        <f t="shared" ref="B9:G9" si="0">SUM(B6:B8)</f>
        <v>25</v>
      </c>
      <c r="C9" s="66">
        <f t="shared" si="0"/>
        <v>1379</v>
      </c>
      <c r="D9" s="66">
        <f t="shared" si="0"/>
        <v>1354</v>
      </c>
      <c r="E9" s="66">
        <f t="shared" si="0"/>
        <v>699</v>
      </c>
      <c r="F9" s="66">
        <f t="shared" ref="F9:H9" si="1">SUM(F6:F8)</f>
        <v>674</v>
      </c>
      <c r="G9" s="66">
        <f t="shared" si="0"/>
        <v>1363</v>
      </c>
      <c r="H9" s="66">
        <f t="shared" si="1"/>
        <v>1338</v>
      </c>
    </row>
    <row r="10" spans="1:10" x14ac:dyDescent="0.25">
      <c r="A10" s="4"/>
      <c r="B10" s="63"/>
      <c r="C10" s="63"/>
      <c r="D10" s="63"/>
      <c r="E10" s="63"/>
      <c r="F10" s="63"/>
      <c r="G10" s="63"/>
      <c r="H10" s="63"/>
    </row>
    <row r="11" spans="1:10" x14ac:dyDescent="0.25">
      <c r="A11" s="4" t="s">
        <v>25</v>
      </c>
      <c r="B11" s="63">
        <v>0</v>
      </c>
      <c r="C11" s="63">
        <f>169.55*12</f>
        <v>2034.6000000000001</v>
      </c>
      <c r="D11" s="63">
        <f>+B11-C11</f>
        <v>-2034.6000000000001</v>
      </c>
      <c r="E11" s="63">
        <v>987</v>
      </c>
      <c r="F11" s="63">
        <f>+B11-E11</f>
        <v>-987</v>
      </c>
      <c r="G11" s="63">
        <v>2035</v>
      </c>
      <c r="H11" s="63">
        <f>+B11-G11</f>
        <v>-2035</v>
      </c>
    </row>
    <row r="12" spans="1:10" x14ac:dyDescent="0.25">
      <c r="A12" s="4"/>
      <c r="B12" s="63"/>
      <c r="C12" s="63"/>
      <c r="D12" s="63"/>
      <c r="E12" s="63"/>
      <c r="F12" s="63"/>
      <c r="G12" s="63"/>
      <c r="H12" s="63"/>
    </row>
    <row r="13" spans="1:10" x14ac:dyDescent="0.25">
      <c r="A13" s="4" t="s">
        <v>132</v>
      </c>
      <c r="B13" s="63">
        <v>558</v>
      </c>
      <c r="C13" s="63">
        <v>0</v>
      </c>
      <c r="D13" s="63">
        <f>+B13-C13</f>
        <v>558</v>
      </c>
      <c r="E13" s="63">
        <v>287</v>
      </c>
      <c r="F13" s="63">
        <f>+B13-E13</f>
        <v>271</v>
      </c>
      <c r="G13" s="63">
        <v>0</v>
      </c>
      <c r="H13" s="63">
        <f>+B13-G13</f>
        <v>558</v>
      </c>
    </row>
    <row r="14" spans="1:10" x14ac:dyDescent="0.25">
      <c r="A14" s="4"/>
      <c r="B14" s="63"/>
      <c r="C14" s="63"/>
      <c r="D14" s="63"/>
      <c r="E14" s="63"/>
      <c r="F14" s="63"/>
      <c r="G14" s="63"/>
      <c r="H14" s="63"/>
    </row>
    <row r="15" spans="1:10" x14ac:dyDescent="0.25">
      <c r="A15" s="4" t="s">
        <v>133</v>
      </c>
      <c r="B15" s="63">
        <f>+B11+B13-B9</f>
        <v>533</v>
      </c>
      <c r="C15" s="63">
        <f>+C11+C13-C9</f>
        <v>655.60000000000014</v>
      </c>
      <c r="D15" s="63">
        <f>+B15-C15</f>
        <v>-122.60000000000014</v>
      </c>
      <c r="E15" s="63">
        <f>+E11+E13-E9</f>
        <v>575</v>
      </c>
      <c r="F15" s="63">
        <f>+B15-E15</f>
        <v>-42</v>
      </c>
      <c r="G15" s="63">
        <f>+G11+G13-G9</f>
        <v>672</v>
      </c>
      <c r="H15" s="63">
        <f>+B15-G15</f>
        <v>-139</v>
      </c>
    </row>
    <row r="16" spans="1:10" x14ac:dyDescent="0.25">
      <c r="A16" s="4" t="s">
        <v>134</v>
      </c>
      <c r="B16" s="63">
        <f>+B15*(1-0.25345)</f>
        <v>397.91115000000002</v>
      </c>
      <c r="C16" s="63">
        <f>+C15*(1-0.25345)</f>
        <v>489.43818000000016</v>
      </c>
      <c r="D16" s="63">
        <f>+B16-C16</f>
        <v>-91.527030000000138</v>
      </c>
      <c r="E16" s="63">
        <f>+E15*(1-0.25345)</f>
        <v>429.26625000000001</v>
      </c>
      <c r="F16" s="63">
        <f>+B16-E16</f>
        <v>-31.355099999999993</v>
      </c>
      <c r="G16" s="63">
        <f t="shared" ref="G16" si="2">+G15*(1-0.25345)</f>
        <v>501.6816</v>
      </c>
      <c r="H16" s="63">
        <f>+B16-G16</f>
        <v>-103.77044999999998</v>
      </c>
    </row>
    <row r="17" spans="1:8" x14ac:dyDescent="0.25">
      <c r="A17" s="4"/>
      <c r="B17" s="63"/>
      <c r="C17" s="63"/>
      <c r="D17" s="63"/>
      <c r="E17" s="63"/>
      <c r="F17" s="63"/>
      <c r="G17" s="63"/>
      <c r="H17" s="63"/>
    </row>
    <row r="18" spans="1:8" x14ac:dyDescent="0.25">
      <c r="A18" s="4"/>
      <c r="B18" s="63"/>
      <c r="C18" s="63"/>
      <c r="D18" s="63"/>
      <c r="E18" s="63"/>
      <c r="F18" s="63"/>
      <c r="G18" s="63"/>
      <c r="H18" s="63"/>
    </row>
    <row r="19" spans="1:8" x14ac:dyDescent="0.25">
      <c r="A19" s="4" t="s">
        <v>135</v>
      </c>
      <c r="B19" s="63"/>
      <c r="C19" s="63"/>
      <c r="D19" s="63"/>
      <c r="E19" s="63"/>
      <c r="F19" s="63"/>
      <c r="G19" s="63"/>
      <c r="H19" s="63"/>
    </row>
    <row r="20" spans="1:8" x14ac:dyDescent="0.25">
      <c r="B20" s="63"/>
      <c r="C20" s="63"/>
      <c r="D20" s="63"/>
      <c r="E20" s="63"/>
      <c r="F20" s="63"/>
      <c r="G20" s="63"/>
      <c r="H20" s="63"/>
    </row>
    <row r="21" spans="1:8" x14ac:dyDescent="0.25">
      <c r="B21" s="63"/>
      <c r="C21" s="63"/>
      <c r="D21" s="63"/>
      <c r="E21" s="63"/>
      <c r="F21" s="63"/>
      <c r="G21" s="63"/>
      <c r="H21" s="63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6AC2D-EA0B-4C01-9BE3-B8109AEB80D3}">
  <dimension ref="U49:V49"/>
  <sheetViews>
    <sheetView topLeftCell="E1" zoomScale="145" zoomScaleNormal="145" workbookViewId="0">
      <selection activeCell="Y26" sqref="Y26"/>
    </sheetView>
    <sheetView workbookViewId="1"/>
  </sheetViews>
  <sheetFormatPr defaultRowHeight="15" x14ac:dyDescent="0.25"/>
  <cols>
    <col min="21" max="21" width="13.7109375" bestFit="1" customWidth="1"/>
    <col min="22" max="22" width="12.5703125" bestFit="1" customWidth="1"/>
  </cols>
  <sheetData>
    <row r="49" spans="21:22" x14ac:dyDescent="0.25">
      <c r="U49" s="6">
        <v>10748491</v>
      </c>
      <c r="V49" s="6">
        <f>8445827*1.025</f>
        <v>8656972.6749999989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3EE9-FC73-4674-8E9E-3DA52531E228}">
  <dimension ref="D12"/>
  <sheetViews>
    <sheetView workbookViewId="0">
      <selection activeCell="Y26" sqref="Y26"/>
    </sheetView>
    <sheetView workbookViewId="1"/>
  </sheetViews>
  <sheetFormatPr defaultRowHeight="15" x14ac:dyDescent="0.25"/>
  <sheetData>
    <row r="12" spans="4:4" x14ac:dyDescent="0.25">
      <c r="D12" t="s">
        <v>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12" ma:contentTypeDescription="Create a new document." ma:contentTypeScope="" ma:versionID="353573394bfe4efdf11efafb0b6d345e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180217f2ceed3abe3d75e38eff728366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E08A9-70A6-4981-BF0E-D181C0E0F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6D5134-7830-47FF-9D38-F7C38E6B8DC7}">
  <ds:schemaRefs>
    <ds:schemaRef ds:uri="http://schemas.microsoft.com/office/2006/metadata/properties"/>
    <ds:schemaRef ds:uri="http://schemas.microsoft.com/office/infopath/2007/PartnerControls"/>
    <ds:schemaRef ds:uri="94791c15-4105-42df-b17e-66b53d20fde0"/>
    <ds:schemaRef ds:uri="94791C15-4105-42DF-B17E-66B53D20FDE0"/>
  </ds:schemaRefs>
</ds:datastoreItem>
</file>

<file path=customXml/itemProps3.xml><?xml version="1.0" encoding="utf-8"?>
<ds:datastoreItem xmlns:ds="http://schemas.openxmlformats.org/officeDocument/2006/customXml" ds:itemID="{B97C702A-0D75-481D-BA0A-B94C91C7D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vs Q3F</vt:lpstr>
      <vt:lpstr>vs LTF</vt:lpstr>
      <vt:lpstr>Revenue</vt:lpstr>
      <vt:lpstr>Opportunties</vt:lpstr>
      <vt:lpstr>Alliance-PGS</vt:lpstr>
      <vt:lpstr>Alliance-DevCo</vt:lpstr>
      <vt:lpstr>NoPetro</vt:lpstr>
      <vt:lpstr>IT Costs</vt:lpstr>
      <vt:lpstr>Gator</vt:lpstr>
      <vt:lpstr>Q3F Interest Schedules RP</vt:lpstr>
      <vt:lpstr>LTF Interest Schedules RP Upd</vt:lpstr>
      <vt:lpstr>LTF Interest Schedules RP</vt:lpstr>
      <vt:lpstr>LTF Interest Schedules PM</vt:lpstr>
      <vt:lpstr>LTF Interest Schedules</vt:lpstr>
      <vt:lpstr>Q3F Interest Schedules</vt:lpstr>
      <vt:lpstr>BS Sheet Details</vt:lpstr>
      <vt:lpstr>Recon</vt:lpstr>
      <vt:lpstr>LTF to Bud Interest Rate</vt:lpstr>
      <vt:lpstr>Interest Charts</vt:lpstr>
      <vt:lpstr>Interest Exp Table</vt:lpstr>
      <vt:lpstr>Q3F vs Budget - Project Changes</vt:lpstr>
      <vt:lpstr>Q3F to Bud Interest Rate</vt:lpstr>
      <vt:lpstr>LTD Details</vt:lpstr>
      <vt:lpstr>Interest Rate Impact</vt:lpstr>
      <vt:lpstr>Interest Balance Impact</vt:lpstr>
      <vt:lpstr>WAM_ FINAL</vt:lpstr>
      <vt:lpstr>TGO</vt:lpstr>
      <vt:lpstr>'Q3F vs Budget - Project Changes'!Print_Area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Parsons, Rachel B.</dc:creator>
  <cp:lastModifiedBy>Vega, Tison</cp:lastModifiedBy>
  <cp:lastPrinted>2022-09-07T19:16:43Z</cp:lastPrinted>
  <dcterms:created xsi:type="dcterms:W3CDTF">2022-09-05T13:05:20Z</dcterms:created>
  <dcterms:modified xsi:type="dcterms:W3CDTF">2023-06-06T19:10:01Z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2022-09-05T13:05:20Z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74bd3997-cc98-4382-86ae-f92bdcccd2d2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0x0101001B9469E761E20748A773F85B33816D32</vt:lpwstr>
  </property>
</Properties>
</file>