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2024 DSM Goals\FEL's First PODs (Nos. 1-2)\POD No. 1\Andrew Whitley\"/>
    </mc:Choice>
  </mc:AlternateContent>
  <xr:revisionPtr revIDLastSave="0" documentId="13_ncr:1_{6295F36F-1D9B-4918-AAC4-37E634BF7A29}" xr6:coauthVersionLast="47" xr6:coauthVersionMax="47" xr10:uidLastSave="{00000000-0000-0000-0000-000000000000}"/>
  <bookViews>
    <workbookView xWindow="4185" yWindow="690" windowWidth="27105" windowHeight="13980" tabRatio="746" activeTab="3" xr2:uid="{00000000-000D-0000-FFFF-FFFF00000000}"/>
  </bookViews>
  <sheets>
    <sheet name="Level Rate -- Proposed" sheetId="61" r:id="rId1"/>
    <sheet name="Fixed Costs - Proposed" sheetId="72" r:id="rId2"/>
    <sheet name="NEL" sheetId="77" r:id="rId3"/>
    <sheet name="How_to_use" sheetId="67" r:id="rId4"/>
  </sheets>
  <definedNames>
    <definedName name="_Fill" hidden="1">#REF!</definedName>
    <definedName name="solver_typ" localSheetId="0" hidden="1">2</definedName>
    <definedName name="solver_ver" localSheetId="0" hidden="1">17</definedName>
    <definedName name="wrn.ACTUAL._.ALL._.PAGES." hidden="1">{"ACTUAL",#N/A,FALSE,"OVER_UND"}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72" l="1"/>
  <c r="L12" i="72"/>
  <c r="L13" i="72"/>
  <c r="L14" i="72"/>
  <c r="L15" i="72"/>
  <c r="L16" i="72"/>
  <c r="L17" i="72"/>
  <c r="L18" i="72"/>
  <c r="L19" i="72"/>
  <c r="L20" i="72"/>
  <c r="L21" i="72"/>
  <c r="L22" i="72"/>
  <c r="L23" i="72"/>
  <c r="L24" i="72"/>
  <c r="L25" i="72"/>
  <c r="L26" i="72"/>
  <c r="L27" i="72"/>
  <c r="L28" i="72"/>
  <c r="L29" i="72"/>
  <c r="L30" i="72"/>
  <c r="L31" i="72"/>
  <c r="L32" i="72"/>
  <c r="L33" i="72"/>
  <c r="L34" i="72"/>
  <c r="L35" i="72"/>
  <c r="L36" i="72"/>
  <c r="L37" i="72"/>
  <c r="L38" i="72"/>
  <c r="L39" i="72"/>
  <c r="L40" i="72"/>
  <c r="L41" i="72"/>
  <c r="L42" i="72"/>
  <c r="L43" i="72"/>
  <c r="L44" i="72"/>
  <c r="L45" i="72"/>
  <c r="L46" i="72"/>
  <c r="L47" i="72"/>
  <c r="L48" i="72"/>
  <c r="L49" i="72"/>
  <c r="L50" i="72"/>
  <c r="L51" i="72"/>
  <c r="L52" i="72"/>
  <c r="L53" i="72"/>
  <c r="L54" i="72"/>
  <c r="L55" i="72"/>
  <c r="L10" i="72"/>
  <c r="X13" i="61" l="1"/>
  <c r="X14" i="61" s="1"/>
  <c r="X15" i="61" s="1"/>
  <c r="X16" i="61" s="1"/>
  <c r="X17" i="61" s="1"/>
  <c r="X18" i="61" s="1"/>
  <c r="X19" i="61" s="1"/>
  <c r="X20" i="61" s="1"/>
  <c r="X21" i="61" s="1"/>
  <c r="X22" i="61" s="1"/>
  <c r="X23" i="61" s="1"/>
  <c r="X24" i="61" s="1"/>
  <c r="X25" i="61" s="1"/>
  <c r="X26" i="61" s="1"/>
  <c r="X27" i="61" s="1"/>
  <c r="X28" i="61" s="1"/>
  <c r="X29" i="61" s="1"/>
  <c r="X30" i="61" s="1"/>
  <c r="X31" i="61" s="1"/>
  <c r="X32" i="61" s="1"/>
  <c r="X33" i="61" s="1"/>
  <c r="X34" i="61" s="1"/>
  <c r="X35" i="61" s="1"/>
  <c r="X36" i="61" s="1"/>
  <c r="X37" i="61" s="1"/>
  <c r="X38" i="61" s="1"/>
  <c r="X39" i="61" s="1"/>
  <c r="X40" i="61" s="1"/>
  <c r="X41" i="61" s="1"/>
  <c r="X42" i="61" s="1"/>
  <c r="X43" i="61" s="1"/>
  <c r="X44" i="61" s="1"/>
  <c r="X45" i="61" s="1"/>
  <c r="X46" i="61" s="1"/>
  <c r="X47" i="61" s="1"/>
  <c r="X48" i="61" s="1"/>
  <c r="X49" i="61" s="1"/>
  <c r="X50" i="61" s="1"/>
  <c r="X51" i="61" s="1"/>
  <c r="X52" i="61" s="1"/>
  <c r="X53" i="61" s="1"/>
  <c r="X54" i="61" s="1"/>
  <c r="X55" i="61" s="1"/>
  <c r="X56" i="61" s="1"/>
  <c r="X57" i="61" s="1"/>
  <c r="O12" i="61" l="1"/>
  <c r="O13" i="61" s="1"/>
  <c r="O14" i="61" s="1"/>
  <c r="O15" i="61" s="1"/>
  <c r="O16" i="61" s="1"/>
  <c r="O17" i="61" s="1"/>
  <c r="O18" i="61" s="1"/>
  <c r="O19" i="61" s="1"/>
  <c r="O20" i="61" s="1"/>
  <c r="O21" i="61" s="1"/>
  <c r="O22" i="61" s="1"/>
  <c r="O23" i="61" s="1"/>
  <c r="O24" i="61" s="1"/>
  <c r="O25" i="61" s="1"/>
  <c r="O26" i="61" s="1"/>
  <c r="O27" i="61" s="1"/>
  <c r="O28" i="61" s="1"/>
  <c r="O29" i="61" s="1"/>
  <c r="O30" i="61" s="1"/>
  <c r="O31" i="61" s="1"/>
  <c r="O32" i="61" s="1"/>
  <c r="O33" i="61" s="1"/>
  <c r="O34" i="61" s="1"/>
  <c r="O35" i="61" s="1"/>
  <c r="O36" i="61" s="1"/>
  <c r="O37" i="61" s="1"/>
  <c r="O38" i="61" s="1"/>
  <c r="O39" i="61" s="1"/>
  <c r="O40" i="61" s="1"/>
  <c r="O41" i="61" s="1"/>
  <c r="O42" i="61" s="1"/>
  <c r="O43" i="61" s="1"/>
  <c r="O44" i="61" s="1"/>
  <c r="O45" i="61" s="1"/>
  <c r="O46" i="61" s="1"/>
  <c r="O47" i="61" s="1"/>
  <c r="O48" i="61" s="1"/>
  <c r="O49" i="61" s="1"/>
  <c r="O50" i="61" s="1"/>
  <c r="O51" i="61" s="1"/>
  <c r="O52" i="61" s="1"/>
  <c r="O53" i="61" s="1"/>
  <c r="O54" i="61" s="1"/>
  <c r="O55" i="61" s="1"/>
  <c r="O56" i="61" s="1"/>
  <c r="O57" i="61" s="1"/>
  <c r="L9" i="72" l="1"/>
  <c r="G55" i="72" l="1"/>
  <c r="M55" i="72" s="1"/>
  <c r="N55" i="72" s="1"/>
  <c r="G54" i="72"/>
  <c r="M54" i="72" s="1"/>
  <c r="N54" i="72" s="1"/>
  <c r="G53" i="72"/>
  <c r="M53" i="72" s="1"/>
  <c r="N53" i="72" s="1"/>
  <c r="G52" i="72"/>
  <c r="M52" i="72" s="1"/>
  <c r="N52" i="72" s="1"/>
  <c r="G51" i="72"/>
  <c r="M51" i="72" s="1"/>
  <c r="N51" i="72" s="1"/>
  <c r="G50" i="72"/>
  <c r="M50" i="72" s="1"/>
  <c r="N50" i="72" s="1"/>
  <c r="G49" i="72"/>
  <c r="M49" i="72" s="1"/>
  <c r="N49" i="72" s="1"/>
  <c r="G48" i="72"/>
  <c r="M48" i="72" s="1"/>
  <c r="N48" i="72" s="1"/>
  <c r="G47" i="72"/>
  <c r="M47" i="72" s="1"/>
  <c r="N47" i="72" s="1"/>
  <c r="G46" i="72"/>
  <c r="M46" i="72" s="1"/>
  <c r="N46" i="72" s="1"/>
  <c r="G45" i="72"/>
  <c r="M45" i="72" s="1"/>
  <c r="N45" i="72" s="1"/>
  <c r="G44" i="72"/>
  <c r="M44" i="72" s="1"/>
  <c r="N44" i="72" s="1"/>
  <c r="G43" i="72"/>
  <c r="M43" i="72" s="1"/>
  <c r="N43" i="72" s="1"/>
  <c r="G42" i="72"/>
  <c r="M42" i="72" s="1"/>
  <c r="N42" i="72" s="1"/>
  <c r="G41" i="72"/>
  <c r="M41" i="72" s="1"/>
  <c r="N41" i="72" s="1"/>
  <c r="G40" i="72"/>
  <c r="M40" i="72" s="1"/>
  <c r="N40" i="72" s="1"/>
  <c r="G39" i="72"/>
  <c r="M39" i="72" s="1"/>
  <c r="N39" i="72" s="1"/>
  <c r="G38" i="72"/>
  <c r="M38" i="72" s="1"/>
  <c r="N38" i="72" s="1"/>
  <c r="G37" i="72"/>
  <c r="M37" i="72" s="1"/>
  <c r="N37" i="72" s="1"/>
  <c r="G36" i="72"/>
  <c r="M36" i="72" s="1"/>
  <c r="N36" i="72" s="1"/>
  <c r="G35" i="72"/>
  <c r="M35" i="72" s="1"/>
  <c r="N35" i="72" s="1"/>
  <c r="G34" i="72"/>
  <c r="M34" i="72" s="1"/>
  <c r="N34" i="72" s="1"/>
  <c r="G33" i="72"/>
  <c r="M33" i="72" s="1"/>
  <c r="N33" i="72" s="1"/>
  <c r="G32" i="72"/>
  <c r="M32" i="72" s="1"/>
  <c r="N32" i="72" s="1"/>
  <c r="G31" i="72"/>
  <c r="M31" i="72" s="1"/>
  <c r="N31" i="72" s="1"/>
  <c r="G30" i="72"/>
  <c r="M30" i="72" s="1"/>
  <c r="N30" i="72" s="1"/>
  <c r="G29" i="72"/>
  <c r="M29" i="72" s="1"/>
  <c r="N29" i="72" s="1"/>
  <c r="G28" i="72"/>
  <c r="M28" i="72" s="1"/>
  <c r="N28" i="72" s="1"/>
  <c r="G27" i="72"/>
  <c r="M27" i="72" s="1"/>
  <c r="N27" i="72" s="1"/>
  <c r="G26" i="72"/>
  <c r="M26" i="72" s="1"/>
  <c r="N26" i="72" s="1"/>
  <c r="G25" i="72"/>
  <c r="M25" i="72" s="1"/>
  <c r="N25" i="72" s="1"/>
  <c r="G24" i="72"/>
  <c r="M24" i="72" s="1"/>
  <c r="N24" i="72" s="1"/>
  <c r="G23" i="72"/>
  <c r="M23" i="72" s="1"/>
  <c r="N23" i="72" s="1"/>
  <c r="G22" i="72"/>
  <c r="M22" i="72" s="1"/>
  <c r="N22" i="72" s="1"/>
  <c r="G21" i="72"/>
  <c r="M21" i="72" s="1"/>
  <c r="N21" i="72" s="1"/>
  <c r="G20" i="72"/>
  <c r="M20" i="72" s="1"/>
  <c r="N20" i="72" s="1"/>
  <c r="G19" i="72"/>
  <c r="M19" i="72" s="1"/>
  <c r="N19" i="72" s="1"/>
  <c r="G18" i="72"/>
  <c r="M18" i="72" s="1"/>
  <c r="N18" i="72" s="1"/>
  <c r="G17" i="72"/>
  <c r="M17" i="72" s="1"/>
  <c r="N17" i="72" s="1"/>
  <c r="G16" i="72"/>
  <c r="M16" i="72" s="1"/>
  <c r="N16" i="72" s="1"/>
  <c r="G15" i="72"/>
  <c r="M15" i="72" s="1"/>
  <c r="N15" i="72" s="1"/>
  <c r="G14" i="72"/>
  <c r="M14" i="72" s="1"/>
  <c r="N14" i="72" s="1"/>
  <c r="G13" i="72"/>
  <c r="M13" i="72" s="1"/>
  <c r="N13" i="72" s="1"/>
  <c r="G12" i="72"/>
  <c r="M12" i="72" s="1"/>
  <c r="N12" i="72" s="1"/>
  <c r="G11" i="72"/>
  <c r="M11" i="72" s="1"/>
  <c r="N11" i="72" s="1"/>
  <c r="G10" i="72"/>
  <c r="M10" i="72" s="1"/>
  <c r="N10" i="72" s="1"/>
  <c r="G9" i="72"/>
  <c r="M9" i="72" s="1"/>
  <c r="N9" i="72" s="1"/>
  <c r="O9" i="72" s="1"/>
  <c r="O10" i="72" s="1"/>
  <c r="O11" i="72" s="1"/>
  <c r="O12" i="72" s="1"/>
  <c r="O13" i="72" l="1"/>
  <c r="O14" i="72" s="1"/>
  <c r="O15" i="72" s="1"/>
  <c r="O16" i="72" s="1"/>
  <c r="O17" i="72" s="1"/>
  <c r="O18" i="72" s="1"/>
  <c r="O19" i="72" s="1"/>
  <c r="O20" i="72" s="1"/>
  <c r="O21" i="72" s="1"/>
  <c r="O22" i="72" s="1"/>
  <c r="O23" i="72" s="1"/>
  <c r="O24" i="72" s="1"/>
  <c r="O25" i="72" s="1"/>
  <c r="O26" i="72" s="1"/>
  <c r="O27" i="72" s="1"/>
  <c r="O28" i="72" s="1"/>
  <c r="O29" i="72" s="1"/>
  <c r="O30" i="72" s="1"/>
  <c r="O31" i="72" s="1"/>
  <c r="O32" i="72" s="1"/>
  <c r="O33" i="72" s="1"/>
  <c r="O34" i="72" s="1"/>
  <c r="O35" i="72" s="1"/>
  <c r="O36" i="72" s="1"/>
  <c r="O37" i="72" s="1"/>
  <c r="O38" i="72" s="1"/>
  <c r="O39" i="72" s="1"/>
  <c r="O40" i="72" s="1"/>
  <c r="O41" i="72" s="1"/>
  <c r="O42" i="72" s="1"/>
  <c r="O43" i="72" s="1"/>
  <c r="O44" i="72" s="1"/>
  <c r="O45" i="72" s="1"/>
  <c r="O46" i="72" s="1"/>
  <c r="O47" i="72" s="1"/>
  <c r="O48" i="72" s="1"/>
  <c r="O49" i="72" s="1"/>
  <c r="O50" i="72" s="1"/>
  <c r="O51" i="72" s="1"/>
  <c r="O52" i="72" s="1"/>
  <c r="O53" i="72" s="1"/>
  <c r="O54" i="72" s="1"/>
  <c r="O55" i="72" s="1"/>
  <c r="Y52" i="61"/>
  <c r="Y53" i="61"/>
  <c r="N57" i="61" l="1"/>
  <c r="P57" i="61" s="1"/>
  <c r="V11" i="61"/>
  <c r="I57" i="61"/>
  <c r="G57" i="61"/>
  <c r="C57" i="61"/>
  <c r="N56" i="61"/>
  <c r="P56" i="61" s="1"/>
  <c r="I56" i="61"/>
  <c r="G56" i="61"/>
  <c r="C56" i="61"/>
  <c r="N55" i="61"/>
  <c r="P55" i="61" s="1"/>
  <c r="I55" i="61"/>
  <c r="G55" i="61"/>
  <c r="C55" i="61"/>
  <c r="N54" i="61"/>
  <c r="P54" i="61" s="1"/>
  <c r="J54" i="61"/>
  <c r="I54" i="61"/>
  <c r="L54" i="61" s="1"/>
  <c r="G54" i="61"/>
  <c r="C54" i="61"/>
  <c r="N53" i="61"/>
  <c r="P53" i="61" s="1"/>
  <c r="J53" i="61"/>
  <c r="I53" i="61"/>
  <c r="L53" i="61" s="1"/>
  <c r="G53" i="61"/>
  <c r="C53" i="61"/>
  <c r="N52" i="61"/>
  <c r="P52" i="61" s="1"/>
  <c r="J52" i="61"/>
  <c r="I52" i="61"/>
  <c r="G52" i="61"/>
  <c r="C52" i="61"/>
  <c r="H54" i="61" l="1"/>
  <c r="M54" i="61" s="1"/>
  <c r="Q54" i="61" s="1"/>
  <c r="H56" i="61"/>
  <c r="H53" i="61"/>
  <c r="M53" i="61" s="1"/>
  <c r="Q53" i="61" s="1"/>
  <c r="L52" i="61"/>
  <c r="Y54" i="61"/>
  <c r="H52" i="61"/>
  <c r="M52" i="61" s="1"/>
  <c r="Q52" i="61" s="1"/>
  <c r="H55" i="61"/>
  <c r="H57" i="61"/>
  <c r="C51" i="61"/>
  <c r="Y45" i="61"/>
  <c r="N51" i="61"/>
  <c r="P51" i="61" s="1"/>
  <c r="G51" i="61"/>
  <c r="N50" i="61"/>
  <c r="P50" i="61" s="1"/>
  <c r="G50" i="61"/>
  <c r="C50" i="61"/>
  <c r="N49" i="61"/>
  <c r="P49" i="61" s="1"/>
  <c r="G49" i="61"/>
  <c r="C49" i="61"/>
  <c r="N48" i="61"/>
  <c r="P48" i="61" s="1"/>
  <c r="G48" i="61"/>
  <c r="C48" i="61"/>
  <c r="N47" i="61"/>
  <c r="P47" i="61" s="1"/>
  <c r="G47" i="61"/>
  <c r="C47" i="61"/>
  <c r="N46" i="61"/>
  <c r="P46" i="61" s="1"/>
  <c r="G46" i="61"/>
  <c r="C46" i="61"/>
  <c r="A5" i="77"/>
  <c r="A6" i="77" s="1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45" i="77" s="1"/>
  <c r="A46" i="77" s="1"/>
  <c r="A47" i="77" s="1"/>
  <c r="A48" i="77" s="1"/>
  <c r="A49" i="77" s="1"/>
  <c r="A50" i="77" s="1"/>
  <c r="J45" i="61"/>
  <c r="J44" i="61"/>
  <c r="J43" i="61"/>
  <c r="J42" i="61"/>
  <c r="J41" i="61"/>
  <c r="J40" i="61"/>
  <c r="J39" i="61"/>
  <c r="J38" i="61"/>
  <c r="J37" i="61"/>
  <c r="J36" i="61"/>
  <c r="J35" i="61"/>
  <c r="J34" i="61"/>
  <c r="J33" i="61"/>
  <c r="J32" i="61"/>
  <c r="J31" i="61"/>
  <c r="J30" i="61"/>
  <c r="J29" i="61"/>
  <c r="J28" i="61"/>
  <c r="J27" i="61"/>
  <c r="J26" i="61"/>
  <c r="J25" i="61"/>
  <c r="J24" i="61"/>
  <c r="J23" i="61"/>
  <c r="J22" i="61"/>
  <c r="J21" i="61"/>
  <c r="L21" i="61" s="1"/>
  <c r="J20" i="61"/>
  <c r="R60" i="61"/>
  <c r="I20" i="61"/>
  <c r="C20" i="61"/>
  <c r="G20" i="61"/>
  <c r="N20" i="61"/>
  <c r="P20" i="61" s="1"/>
  <c r="B10" i="61"/>
  <c r="I21" i="61"/>
  <c r="C21" i="61"/>
  <c r="G21" i="61"/>
  <c r="N21" i="61"/>
  <c r="P21" i="61" s="1"/>
  <c r="I22" i="61"/>
  <c r="C22" i="61"/>
  <c r="G22" i="61"/>
  <c r="N22" i="61"/>
  <c r="P22" i="61" s="1"/>
  <c r="I23" i="61"/>
  <c r="C23" i="61"/>
  <c r="G23" i="61"/>
  <c r="N23" i="61"/>
  <c r="P23" i="61" s="1"/>
  <c r="I24" i="61"/>
  <c r="C24" i="61"/>
  <c r="G24" i="61"/>
  <c r="N24" i="61"/>
  <c r="P24" i="61" s="1"/>
  <c r="I25" i="61"/>
  <c r="L25" i="61" s="1"/>
  <c r="C25" i="61"/>
  <c r="G25" i="61"/>
  <c r="N25" i="61"/>
  <c r="P25" i="61" s="1"/>
  <c r="I26" i="61"/>
  <c r="C26" i="61"/>
  <c r="G26" i="61"/>
  <c r="N26" i="61"/>
  <c r="P26" i="61" s="1"/>
  <c r="I27" i="61"/>
  <c r="C27" i="61"/>
  <c r="G27" i="61"/>
  <c r="N27" i="61"/>
  <c r="P27" i="61" s="1"/>
  <c r="I28" i="61"/>
  <c r="C28" i="61"/>
  <c r="G28" i="61"/>
  <c r="N28" i="61"/>
  <c r="P28" i="61" s="1"/>
  <c r="I29" i="61"/>
  <c r="C29" i="61"/>
  <c r="G29" i="61"/>
  <c r="N29" i="61"/>
  <c r="P29" i="61" s="1"/>
  <c r="I30" i="61"/>
  <c r="C30" i="61"/>
  <c r="G30" i="61"/>
  <c r="N30" i="61"/>
  <c r="P30" i="61" s="1"/>
  <c r="I31" i="61"/>
  <c r="C31" i="61"/>
  <c r="G31" i="61"/>
  <c r="N31" i="61"/>
  <c r="P31" i="61" s="1"/>
  <c r="I32" i="61"/>
  <c r="L32" i="61" s="1"/>
  <c r="C32" i="61"/>
  <c r="G32" i="61"/>
  <c r="N32" i="61"/>
  <c r="P32" i="61" s="1"/>
  <c r="I33" i="61"/>
  <c r="C33" i="61"/>
  <c r="G33" i="61"/>
  <c r="N33" i="61"/>
  <c r="P33" i="61" s="1"/>
  <c r="I34" i="61"/>
  <c r="C34" i="61"/>
  <c r="G34" i="61"/>
  <c r="N34" i="61"/>
  <c r="P34" i="61" s="1"/>
  <c r="I35" i="61"/>
  <c r="C35" i="61"/>
  <c r="G35" i="61"/>
  <c r="N35" i="61"/>
  <c r="P35" i="61" s="1"/>
  <c r="I36" i="61"/>
  <c r="C36" i="61"/>
  <c r="G36" i="61"/>
  <c r="N36" i="61"/>
  <c r="P36" i="61" s="1"/>
  <c r="I37" i="61"/>
  <c r="C37" i="61"/>
  <c r="G37" i="61"/>
  <c r="N37" i="61"/>
  <c r="P37" i="61" s="1"/>
  <c r="I38" i="61"/>
  <c r="C38" i="61"/>
  <c r="G38" i="61"/>
  <c r="N38" i="61"/>
  <c r="P38" i="61" s="1"/>
  <c r="I39" i="61"/>
  <c r="C39" i="61"/>
  <c r="G39" i="61"/>
  <c r="N39" i="61"/>
  <c r="P39" i="61" s="1"/>
  <c r="I40" i="61"/>
  <c r="C40" i="61"/>
  <c r="G40" i="61"/>
  <c r="N40" i="61"/>
  <c r="P40" i="61" s="1"/>
  <c r="I41" i="61"/>
  <c r="C41" i="61"/>
  <c r="G41" i="61"/>
  <c r="N41" i="61"/>
  <c r="P41" i="61" s="1"/>
  <c r="I42" i="61"/>
  <c r="C42" i="61"/>
  <c r="G42" i="61"/>
  <c r="N42" i="61"/>
  <c r="P42" i="61" s="1"/>
  <c r="I43" i="61"/>
  <c r="C43" i="61"/>
  <c r="G43" i="61"/>
  <c r="N43" i="61"/>
  <c r="P43" i="61" s="1"/>
  <c r="I44" i="61"/>
  <c r="C44" i="61"/>
  <c r="G44" i="61"/>
  <c r="N44" i="61"/>
  <c r="P44" i="61" s="1"/>
  <c r="I45" i="61"/>
  <c r="C45" i="61"/>
  <c r="G45" i="61"/>
  <c r="N45" i="61"/>
  <c r="P45" i="61" s="1"/>
  <c r="J11" i="61"/>
  <c r="I11" i="61"/>
  <c r="C11" i="61"/>
  <c r="G11" i="61"/>
  <c r="N11" i="61"/>
  <c r="P11" i="61" s="1"/>
  <c r="J12" i="61"/>
  <c r="I12" i="61"/>
  <c r="C12" i="61"/>
  <c r="G12" i="61"/>
  <c r="N12" i="61"/>
  <c r="P12" i="61" s="1"/>
  <c r="J13" i="61"/>
  <c r="I13" i="61"/>
  <c r="C13" i="61"/>
  <c r="G13" i="61"/>
  <c r="N13" i="61"/>
  <c r="P13" i="61" s="1"/>
  <c r="J14" i="61"/>
  <c r="I14" i="61"/>
  <c r="C14" i="61"/>
  <c r="G14" i="61"/>
  <c r="N14" i="61"/>
  <c r="P14" i="61" s="1"/>
  <c r="J15" i="61"/>
  <c r="I15" i="61"/>
  <c r="C15" i="61"/>
  <c r="G15" i="61"/>
  <c r="N15" i="61"/>
  <c r="P15" i="61" s="1"/>
  <c r="J16" i="61"/>
  <c r="I16" i="61"/>
  <c r="L16" i="61" s="1"/>
  <c r="C16" i="61"/>
  <c r="G16" i="61"/>
  <c r="N16" i="61"/>
  <c r="P16" i="61" s="1"/>
  <c r="J17" i="61"/>
  <c r="I17" i="61"/>
  <c r="C17" i="61"/>
  <c r="G17" i="61"/>
  <c r="N17" i="61"/>
  <c r="P17" i="61" s="1"/>
  <c r="J18" i="61"/>
  <c r="I18" i="61"/>
  <c r="C18" i="61"/>
  <c r="G18" i="61"/>
  <c r="N18" i="61"/>
  <c r="P18" i="61" s="1"/>
  <c r="J19" i="61"/>
  <c r="I19" i="61"/>
  <c r="C19" i="61"/>
  <c r="G19" i="61"/>
  <c r="N19" i="61"/>
  <c r="P19" i="61" s="1"/>
  <c r="Y20" i="61"/>
  <c r="Y21" i="61"/>
  <c r="Y22" i="61"/>
  <c r="Y23" i="61"/>
  <c r="Y24" i="61"/>
  <c r="Y25" i="61"/>
  <c r="Y26" i="61"/>
  <c r="Y27" i="61"/>
  <c r="Y28" i="61"/>
  <c r="Y29" i="61"/>
  <c r="Y30" i="61"/>
  <c r="Y31" i="61"/>
  <c r="Y32" i="61"/>
  <c r="Y33" i="61"/>
  <c r="Y34" i="61"/>
  <c r="Y35" i="61"/>
  <c r="Y36" i="61"/>
  <c r="Y37" i="61"/>
  <c r="Y38" i="61"/>
  <c r="Y39" i="61"/>
  <c r="Y40" i="61"/>
  <c r="Y41" i="61"/>
  <c r="Y42" i="61"/>
  <c r="Y43" i="61"/>
  <c r="Y44" i="61"/>
  <c r="T11" i="61"/>
  <c r="S12" i="61"/>
  <c r="S13" i="61" s="1"/>
  <c r="S14" i="61" s="1"/>
  <c r="A12" i="61"/>
  <c r="Y12" i="61"/>
  <c r="Y13" i="61"/>
  <c r="Y14" i="61"/>
  <c r="Y15" i="61"/>
  <c r="Y16" i="61"/>
  <c r="Y17" i="61"/>
  <c r="Y18" i="61"/>
  <c r="Y19" i="61"/>
  <c r="Y11" i="61"/>
  <c r="L23" i="61" l="1"/>
  <c r="L33" i="61"/>
  <c r="L39" i="61"/>
  <c r="Y55" i="61"/>
  <c r="J55" i="61"/>
  <c r="L55" i="61" s="1"/>
  <c r="M55" i="61" s="1"/>
  <c r="Q55" i="61" s="1"/>
  <c r="A13" i="61"/>
  <c r="V12" i="61"/>
  <c r="L31" i="61"/>
  <c r="L13" i="61"/>
  <c r="B12" i="61"/>
  <c r="T12" i="61" s="1"/>
  <c r="L37" i="61"/>
  <c r="L29" i="61"/>
  <c r="L12" i="61"/>
  <c r="L15" i="61"/>
  <c r="L36" i="61"/>
  <c r="L19" i="61"/>
  <c r="L38" i="61"/>
  <c r="L17" i="61"/>
  <c r="L14" i="61"/>
  <c r="L24" i="61"/>
  <c r="L30" i="61"/>
  <c r="H46" i="61"/>
  <c r="B13" i="61"/>
  <c r="B14" i="61" s="1"/>
  <c r="B15" i="61" s="1"/>
  <c r="B16" i="61" s="1"/>
  <c r="B17" i="61" s="1"/>
  <c r="B18" i="61" s="1"/>
  <c r="B19" i="61" s="1"/>
  <c r="B20" i="61" s="1"/>
  <c r="B21" i="61" s="1"/>
  <c r="B22" i="61" s="1"/>
  <c r="B23" i="61" s="1"/>
  <c r="B24" i="61" s="1"/>
  <c r="B25" i="61" s="1"/>
  <c r="B26" i="61" s="1"/>
  <c r="B27" i="61" s="1"/>
  <c r="B28" i="61" s="1"/>
  <c r="B29" i="61" s="1"/>
  <c r="B30" i="61" s="1"/>
  <c r="B31" i="61" s="1"/>
  <c r="B32" i="61" s="1"/>
  <c r="B33" i="61" s="1"/>
  <c r="B34" i="61" s="1"/>
  <c r="B35" i="61" s="1"/>
  <c r="B36" i="61" s="1"/>
  <c r="B37" i="61" s="1"/>
  <c r="H49" i="61"/>
  <c r="H18" i="61"/>
  <c r="H39" i="61"/>
  <c r="H26" i="61"/>
  <c r="H47" i="61"/>
  <c r="H48" i="61"/>
  <c r="H27" i="61"/>
  <c r="H35" i="61"/>
  <c r="H24" i="61"/>
  <c r="H44" i="61"/>
  <c r="H37" i="61"/>
  <c r="H34" i="61"/>
  <c r="H30" i="61"/>
  <c r="H13" i="61"/>
  <c r="H28" i="61"/>
  <c r="H25" i="61"/>
  <c r="M25" i="61" s="1"/>
  <c r="Q25" i="61" s="1"/>
  <c r="H20" i="61"/>
  <c r="H15" i="61"/>
  <c r="H36" i="61"/>
  <c r="H50" i="61"/>
  <c r="H21" i="61"/>
  <c r="M21" i="61" s="1"/>
  <c r="Q21" i="61" s="1"/>
  <c r="H14" i="61"/>
  <c r="H43" i="61"/>
  <c r="H40" i="61"/>
  <c r="H38" i="61"/>
  <c r="H29" i="61"/>
  <c r="H45" i="61"/>
  <c r="H23" i="61"/>
  <c r="M23" i="61" s="1"/>
  <c r="Q23" i="61" s="1"/>
  <c r="S15" i="61"/>
  <c r="L18" i="61"/>
  <c r="H17" i="61"/>
  <c r="L34" i="61"/>
  <c r="L27" i="61"/>
  <c r="J46" i="61"/>
  <c r="Y46" i="61"/>
  <c r="H12" i="61"/>
  <c r="H33" i="61"/>
  <c r="M33" i="61" s="1"/>
  <c r="Q33" i="61" s="1"/>
  <c r="H19" i="61"/>
  <c r="L40" i="61"/>
  <c r="H16" i="61"/>
  <c r="M16" i="61" s="1"/>
  <c r="Q16" i="61" s="1"/>
  <c r="H41" i="61"/>
  <c r="H32" i="61"/>
  <c r="M32" i="61" s="1"/>
  <c r="Q32" i="61" s="1"/>
  <c r="L22" i="61"/>
  <c r="L26" i="61"/>
  <c r="L35" i="61"/>
  <c r="L20" i="61"/>
  <c r="H51" i="61"/>
  <c r="H22" i="61"/>
  <c r="L28" i="61"/>
  <c r="L11" i="61"/>
  <c r="H11" i="61"/>
  <c r="H42" i="61"/>
  <c r="H31" i="61"/>
  <c r="I46" i="61"/>
  <c r="M29" i="61" l="1"/>
  <c r="Q29" i="61" s="1"/>
  <c r="M13" i="61"/>
  <c r="Q13" i="61" s="1"/>
  <c r="R13" i="61" s="1"/>
  <c r="M31" i="61"/>
  <c r="Q31" i="61" s="1"/>
  <c r="R31" i="61" s="1"/>
  <c r="M39" i="61"/>
  <c r="Q39" i="61" s="1"/>
  <c r="Y56" i="61"/>
  <c r="J56" i="61"/>
  <c r="L56" i="61" s="1"/>
  <c r="M56" i="61" s="1"/>
  <c r="Q56" i="61" s="1"/>
  <c r="M36" i="61"/>
  <c r="Q36" i="61" s="1"/>
  <c r="R36" i="61" s="1"/>
  <c r="M15" i="61"/>
  <c r="Q15" i="61" s="1"/>
  <c r="R15" i="61" s="1"/>
  <c r="M38" i="61"/>
  <c r="Q38" i="61" s="1"/>
  <c r="M30" i="61"/>
  <c r="Q30" i="61" s="1"/>
  <c r="R30" i="61" s="1"/>
  <c r="M12" i="61"/>
  <c r="Q12" i="61" s="1"/>
  <c r="R12" i="61" s="1"/>
  <c r="M37" i="61"/>
  <c r="Q37" i="61" s="1"/>
  <c r="R37" i="61" s="1"/>
  <c r="A14" i="61"/>
  <c r="V13" i="61"/>
  <c r="M11" i="61"/>
  <c r="Q11" i="61" s="1"/>
  <c r="R11" i="61" s="1"/>
  <c r="M14" i="61"/>
  <c r="Q14" i="61" s="1"/>
  <c r="R14" i="61" s="1"/>
  <c r="M17" i="61"/>
  <c r="Q17" i="61" s="1"/>
  <c r="R17" i="61" s="1"/>
  <c r="M19" i="61"/>
  <c r="Q19" i="61" s="1"/>
  <c r="R19" i="61" s="1"/>
  <c r="T14" i="61"/>
  <c r="M24" i="61"/>
  <c r="Q24" i="61" s="1"/>
  <c r="R24" i="61" s="1"/>
  <c r="M27" i="61"/>
  <c r="Q27" i="61" s="1"/>
  <c r="R27" i="61" s="1"/>
  <c r="M28" i="61"/>
  <c r="Q28" i="61" s="1"/>
  <c r="R28" i="61" s="1"/>
  <c r="M35" i="61"/>
  <c r="Q35" i="61" s="1"/>
  <c r="R35" i="61" s="1"/>
  <c r="R29" i="61"/>
  <c r="R32" i="61"/>
  <c r="R21" i="61"/>
  <c r="T13" i="61"/>
  <c r="R23" i="61"/>
  <c r="R25" i="61"/>
  <c r="R16" i="61"/>
  <c r="M26" i="61"/>
  <c r="Q26" i="61" s="1"/>
  <c r="R26" i="61" s="1"/>
  <c r="M40" i="61"/>
  <c r="Q40" i="61" s="1"/>
  <c r="M34" i="61"/>
  <c r="Q34" i="61" s="1"/>
  <c r="R34" i="61" s="1"/>
  <c r="M18" i="61"/>
  <c r="Q18" i="61" s="1"/>
  <c r="R18" i="61" s="1"/>
  <c r="M20" i="61"/>
  <c r="Q20" i="61" s="1"/>
  <c r="R20" i="61" s="1"/>
  <c r="R33" i="61"/>
  <c r="J47" i="61"/>
  <c r="Y47" i="61"/>
  <c r="T15" i="61"/>
  <c r="S16" i="61"/>
  <c r="L41" i="61"/>
  <c r="M41" i="61" s="1"/>
  <c r="Q41" i="61" s="1"/>
  <c r="I47" i="61"/>
  <c r="M22" i="61"/>
  <c r="Q22" i="61" s="1"/>
  <c r="R22" i="61" s="1"/>
  <c r="B38" i="61"/>
  <c r="Y57" i="61" l="1"/>
  <c r="J57" i="61"/>
  <c r="L57" i="61" s="1"/>
  <c r="M57" i="61" s="1"/>
  <c r="Q57" i="61" s="1"/>
  <c r="A15" i="61"/>
  <c r="V14" i="61"/>
  <c r="L42" i="61"/>
  <c r="M42" i="61" s="1"/>
  <c r="Q42" i="61" s="1"/>
  <c r="I48" i="61"/>
  <c r="B39" i="61"/>
  <c r="R38" i="61"/>
  <c r="S17" i="61"/>
  <c r="T16" i="61"/>
  <c r="J48" i="61"/>
  <c r="Y48" i="61"/>
  <c r="A16" i="61" l="1"/>
  <c r="V15" i="61"/>
  <c r="I49" i="61"/>
  <c r="Y49" i="61"/>
  <c r="J49" i="61"/>
  <c r="L43" i="61"/>
  <c r="M43" i="61" s="1"/>
  <c r="Q43" i="61" s="1"/>
  <c r="S18" i="61"/>
  <c r="T17" i="61"/>
  <c r="B40" i="61"/>
  <c r="R39" i="61"/>
  <c r="A17" i="61" l="1"/>
  <c r="V16" i="61"/>
  <c r="B41" i="61"/>
  <c r="R40" i="61"/>
  <c r="T18" i="61"/>
  <c r="S19" i="61"/>
  <c r="L44" i="61"/>
  <c r="M44" i="61" s="1"/>
  <c r="Q44" i="61" s="1"/>
  <c r="Y50" i="61"/>
  <c r="W58" i="61"/>
  <c r="J50" i="61"/>
  <c r="X58" i="61"/>
  <c r="I50" i="61"/>
  <c r="A18" i="61" l="1"/>
  <c r="V17" i="61"/>
  <c r="L45" i="61"/>
  <c r="M45" i="61" s="1"/>
  <c r="Q45" i="61" s="1"/>
  <c r="Y51" i="61"/>
  <c r="Y58" i="61" s="1"/>
  <c r="J51" i="61"/>
  <c r="T19" i="61"/>
  <c r="S20" i="61"/>
  <c r="B42" i="61"/>
  <c r="R41" i="61"/>
  <c r="I51" i="61"/>
  <c r="A19" i="61" l="1"/>
  <c r="V18" i="61"/>
  <c r="S21" i="61"/>
  <c r="T20" i="61"/>
  <c r="B43" i="61"/>
  <c r="R42" i="61"/>
  <c r="L46" i="61"/>
  <c r="M46" i="61" s="1"/>
  <c r="Q46" i="61" s="1"/>
  <c r="A20" i="61" l="1"/>
  <c r="V19" i="61"/>
  <c r="L47" i="61"/>
  <c r="M47" i="61" s="1"/>
  <c r="Q47" i="61" s="1"/>
  <c r="S22" i="61"/>
  <c r="T21" i="61"/>
  <c r="B44" i="61"/>
  <c r="R43" i="61"/>
  <c r="A21" i="61" l="1"/>
  <c r="V20" i="61"/>
  <c r="S23" i="61"/>
  <c r="T22" i="61"/>
  <c r="B45" i="61"/>
  <c r="R44" i="61"/>
  <c r="L48" i="61"/>
  <c r="M48" i="61" s="1"/>
  <c r="Q48" i="61" s="1"/>
  <c r="A22" i="61" l="1"/>
  <c r="V21" i="61"/>
  <c r="L49" i="61"/>
  <c r="M49" i="61" s="1"/>
  <c r="Q49" i="61" s="1"/>
  <c r="B46" i="61"/>
  <c r="R45" i="61"/>
  <c r="T23" i="61"/>
  <c r="S24" i="61"/>
  <c r="A23" i="61" l="1"/>
  <c r="V22" i="61"/>
  <c r="B47" i="61"/>
  <c r="R46" i="61"/>
  <c r="L50" i="61"/>
  <c r="M50" i="61" s="1"/>
  <c r="Q50" i="61" s="1"/>
  <c r="T24" i="61"/>
  <c r="S25" i="61"/>
  <c r="A24" i="61" l="1"/>
  <c r="V23" i="61"/>
  <c r="L51" i="61"/>
  <c r="M51" i="61" s="1"/>
  <c r="Q51" i="61" s="1"/>
  <c r="S26" i="61"/>
  <c r="T25" i="61"/>
  <c r="B48" i="61"/>
  <c r="R47" i="61"/>
  <c r="A25" i="61" l="1"/>
  <c r="V24" i="61"/>
  <c r="T26" i="61"/>
  <c r="S27" i="61"/>
  <c r="B49" i="61"/>
  <c r="R48" i="61"/>
  <c r="A26" i="61" l="1"/>
  <c r="V25" i="61"/>
  <c r="B50" i="61"/>
  <c r="R49" i="61"/>
  <c r="T27" i="61"/>
  <c r="S28" i="61"/>
  <c r="A27" i="61" l="1"/>
  <c r="V26" i="61"/>
  <c r="S29" i="61"/>
  <c r="T28" i="61"/>
  <c r="B51" i="61"/>
  <c r="R50" i="61"/>
  <c r="R51" i="61" l="1"/>
  <c r="B52" i="61"/>
  <c r="A28" i="61"/>
  <c r="V27" i="61"/>
  <c r="S30" i="61"/>
  <c r="T29" i="61"/>
  <c r="B53" i="61" l="1"/>
  <c r="R52" i="61"/>
  <c r="A29" i="61"/>
  <c r="V28" i="61"/>
  <c r="T30" i="61"/>
  <c r="S31" i="61"/>
  <c r="A30" i="61" l="1"/>
  <c r="V29" i="61"/>
  <c r="B54" i="61"/>
  <c r="R53" i="61"/>
  <c r="T31" i="61"/>
  <c r="S32" i="61"/>
  <c r="B55" i="61" l="1"/>
  <c r="R54" i="61"/>
  <c r="A31" i="61"/>
  <c r="V30" i="61"/>
  <c r="S33" i="61"/>
  <c r="T32" i="61"/>
  <c r="A32" i="61" l="1"/>
  <c r="V31" i="61"/>
  <c r="B56" i="61"/>
  <c r="R55" i="61"/>
  <c r="S34" i="61"/>
  <c r="T33" i="61"/>
  <c r="B57" i="61" l="1"/>
  <c r="R57" i="61" s="1"/>
  <c r="R56" i="61"/>
  <c r="A33" i="61"/>
  <c r="V32" i="61"/>
  <c r="T34" i="61"/>
  <c r="S35" i="61"/>
  <c r="R58" i="61" l="1"/>
  <c r="A34" i="61"/>
  <c r="V33" i="61"/>
  <c r="T35" i="61"/>
  <c r="S36" i="61"/>
  <c r="A35" i="61" l="1"/>
  <c r="V34" i="61"/>
  <c r="T36" i="61"/>
  <c r="S37" i="61"/>
  <c r="A36" i="61" l="1"/>
  <c r="V35" i="61"/>
  <c r="S38" i="61"/>
  <c r="T37" i="61"/>
  <c r="A37" i="61" l="1"/>
  <c r="V36" i="61"/>
  <c r="S39" i="61"/>
  <c r="T38" i="61"/>
  <c r="A38" i="61" l="1"/>
  <c r="V37" i="61"/>
  <c r="T39" i="61"/>
  <c r="S40" i="61"/>
  <c r="A39" i="61" l="1"/>
  <c r="V38" i="61"/>
  <c r="T40" i="61"/>
  <c r="S41" i="61"/>
  <c r="A40" i="61" l="1"/>
  <c r="V39" i="61"/>
  <c r="S42" i="61"/>
  <c r="T41" i="61"/>
  <c r="A41" i="61" l="1"/>
  <c r="V40" i="61"/>
  <c r="T42" i="61"/>
  <c r="S43" i="61"/>
  <c r="A42" i="61" l="1"/>
  <c r="V41" i="61"/>
  <c r="T43" i="61"/>
  <c r="S44" i="61"/>
  <c r="A43" i="61" l="1"/>
  <c r="V42" i="61"/>
  <c r="S45" i="61"/>
  <c r="T44" i="61"/>
  <c r="A44" i="61" l="1"/>
  <c r="V43" i="61"/>
  <c r="S46" i="61"/>
  <c r="T45" i="61"/>
  <c r="A45" i="61" l="1"/>
  <c r="V44" i="61"/>
  <c r="T46" i="61"/>
  <c r="S47" i="61"/>
  <c r="A46" i="61" l="1"/>
  <c r="V45" i="61"/>
  <c r="T47" i="61"/>
  <c r="S48" i="61"/>
  <c r="A47" i="61" l="1"/>
  <c r="V46" i="61"/>
  <c r="S49" i="61"/>
  <c r="T48" i="61"/>
  <c r="A48" i="61" l="1"/>
  <c r="V47" i="61"/>
  <c r="S50" i="61"/>
  <c r="T49" i="61"/>
  <c r="A49" i="61" l="1"/>
  <c r="V48" i="61"/>
  <c r="T50" i="61"/>
  <c r="S51" i="61"/>
  <c r="T51" i="61" l="1"/>
  <c r="S52" i="61"/>
  <c r="A50" i="61"/>
  <c r="V49" i="61"/>
  <c r="A51" i="61" l="1"/>
  <c r="V50" i="61"/>
  <c r="S53" i="61"/>
  <c r="T52" i="61"/>
  <c r="T53" i="61" l="1"/>
  <c r="S54" i="61"/>
  <c r="A52" i="61"/>
  <c r="V51" i="61"/>
  <c r="V52" i="61" l="1"/>
  <c r="A53" i="61"/>
  <c r="T54" i="61"/>
  <c r="S55" i="61"/>
  <c r="S56" i="61" l="1"/>
  <c r="T55" i="61"/>
  <c r="A54" i="61"/>
  <c r="V53" i="61"/>
  <c r="A55" i="61" l="1"/>
  <c r="V54" i="61"/>
  <c r="T56" i="61"/>
  <c r="S57" i="61"/>
  <c r="T57" i="61" s="1"/>
  <c r="T58" i="61" l="1"/>
  <c r="A56" i="61"/>
  <c r="V55" i="61"/>
  <c r="A57" i="61" l="1"/>
  <c r="V57" i="61" s="1"/>
  <c r="V56" i="61"/>
</calcChain>
</file>

<file path=xl/sharedStrings.xml><?xml version="1.0" encoding="utf-8"?>
<sst xmlns="http://schemas.openxmlformats.org/spreadsheetml/2006/main" count="157" uniqueCount="85">
  <si>
    <t>Annual</t>
  </si>
  <si>
    <t>Total</t>
  </si>
  <si>
    <t>NPV</t>
  </si>
  <si>
    <t>Discount</t>
  </si>
  <si>
    <t>Generation</t>
  </si>
  <si>
    <t xml:space="preserve">System </t>
  </si>
  <si>
    <t>Emission</t>
  </si>
  <si>
    <t>Cumulative</t>
  </si>
  <si>
    <t>Capital</t>
  </si>
  <si>
    <t>Net Fuel</t>
  </si>
  <si>
    <t>Costs</t>
  </si>
  <si>
    <t>Annual Cost</t>
  </si>
  <si>
    <t>Total Costs</t>
  </si>
  <si>
    <t>Year</t>
  </si>
  <si>
    <t>(Millions)</t>
  </si>
  <si>
    <t>Startup</t>
  </si>
  <si>
    <t>Fixed</t>
  </si>
  <si>
    <t>($000)</t>
  </si>
  <si>
    <t xml:space="preserve">Transmission </t>
  </si>
  <si>
    <t>Nominal</t>
  </si>
  <si>
    <t>Revenue</t>
  </si>
  <si>
    <t>Levelized System</t>
  </si>
  <si>
    <t>Factor</t>
  </si>
  <si>
    <t>Requirements</t>
  </si>
  <si>
    <t>Rate</t>
  </si>
  <si>
    <t>Average Rate</t>
  </si>
  <si>
    <t>(GWH)</t>
  </si>
  <si>
    <t>(cents/kWh)</t>
  </si>
  <si>
    <t>Variable Costs</t>
  </si>
  <si>
    <t>Fixed Costs</t>
  </si>
  <si>
    <t>NEL Forecast</t>
  </si>
  <si>
    <t>DSM Energy</t>
  </si>
  <si>
    <t>NEL Adjusted</t>
  </si>
  <si>
    <t>for DSM</t>
  </si>
  <si>
    <t>Other Costs</t>
  </si>
  <si>
    <t>DSM</t>
  </si>
  <si>
    <t>"Other" Program Costs -</t>
  </si>
  <si>
    <t>No New DSM</t>
  </si>
  <si>
    <t>Costs Associated for</t>
  </si>
  <si>
    <t>existing Load</t>
  </si>
  <si>
    <t>Management Customer</t>
  </si>
  <si>
    <t>Other</t>
  </si>
  <si>
    <t>Admin Costs</t>
  </si>
  <si>
    <t>Incentive Costs</t>
  </si>
  <si>
    <t>Existing</t>
  </si>
  <si>
    <t>Load Control</t>
  </si>
  <si>
    <t>Total Annual</t>
  </si>
  <si>
    <t>Case name:</t>
  </si>
  <si>
    <t>Date:</t>
  </si>
  <si>
    <t xml:space="preserve">Factor </t>
  </si>
  <si>
    <t>T+D Costs</t>
  </si>
  <si>
    <t>(Avoided)</t>
  </si>
  <si>
    <t>Interconnection</t>
  </si>
  <si>
    <t>NEL</t>
  </si>
  <si>
    <t>MWh</t>
  </si>
  <si>
    <t>(7) =</t>
  </si>
  <si>
    <t>(3)+(4)+(5)+(6)</t>
  </si>
  <si>
    <t>(8)+(9)+(10)</t>
  </si>
  <si>
    <t xml:space="preserve">(11) = </t>
  </si>
  <si>
    <t>(12) = (2)+(7)+(11)</t>
  </si>
  <si>
    <t>(15) = (13) - (14)</t>
  </si>
  <si>
    <t xml:space="preserve"> (16) = (12)/(15)</t>
  </si>
  <si>
    <t xml:space="preserve"> (17) = (16) *(1)</t>
  </si>
  <si>
    <t>(19) = (18) * (1)</t>
  </si>
  <si>
    <t>Levelized System Average Rate (2024-2070, 2024 cents/kWh)=</t>
  </si>
  <si>
    <t>Fixed O&amp;M &amp;</t>
  </si>
  <si>
    <t>Capital Replacement</t>
  </si>
  <si>
    <t>System Fixed Costs</t>
  </si>
  <si>
    <t>System Variable Costs</t>
  </si>
  <si>
    <t>VOM + PTC</t>
  </si>
  <si>
    <t>Variable</t>
  </si>
  <si>
    <t xml:space="preserve"> -- Click on cell T58, which is at the bottom of the "NPV Levelized System Average Rate column".</t>
  </si>
  <si>
    <t xml:space="preserve"> -- In the "To Value" box, enter the number that appears in cell R58</t>
  </si>
  <si>
    <t xml:space="preserve"> -- In the "By Changing Cell" box, enter S11</t>
  </si>
  <si>
    <t xml:space="preserve"> -- Click OK, and see that the cells S and R in row 58 have the same value.</t>
  </si>
  <si>
    <t>rev. 3-14-2024</t>
  </si>
  <si>
    <t xml:space="preserve"> -- Click [Data] , [What-if Analysis], [Goal Seek...]</t>
  </si>
  <si>
    <t>Calculation of System Average Levelized Rate -- Portfolio: Proposed</t>
  </si>
  <si>
    <t>Proposed Plan</t>
  </si>
  <si>
    <t>GWh Impact</t>
  </si>
  <si>
    <t>20240012-EG</t>
  </si>
  <si>
    <t>FPL 000054</t>
  </si>
  <si>
    <t>FPL 000055</t>
  </si>
  <si>
    <t>FPL 000056</t>
  </si>
  <si>
    <t>FPL 000057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</si>
</sst>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00"/>
    <numFmt numFmtId="166" formatCode="0_);\(0\)"/>
    <numFmt numFmtId="167" formatCode="General_)"/>
    <numFmt numFmtId="168" formatCode="0.00000"/>
    <numFmt numFmtId="169" formatCode="0.0000"/>
    <numFmt numFmtId="170" formatCode="#,##0.000"/>
    <numFmt numFmtId="171" formatCode="m/d/yyyy;;\-"/>
    <numFmt numFmtId="172" formatCode="_ * #,##0_ ;_ * \-#,##0_ ;_ * &quot;-&quot;_ ;_ @_ "/>
    <numFmt numFmtId="173" formatCode="_ * #,##0.00_ ;_ * \-#,##0.00_ ;_ * &quot;-&quot;??_ ;_ @_ "/>
    <numFmt numFmtId="174" formatCode="0.00%;\(0.00%\)"/>
    <numFmt numFmtId="175" formatCode="_(* #,##0_);_(* \(#,##0\);_(* &quot;-&quot;_)"/>
    <numFmt numFmtId="176" formatCode="0.000%;\(0.000%\);0%"/>
    <numFmt numFmtId="177" formatCode="&quot;$&quot;#.;\(&quot;$&quot;#,\)"/>
    <numFmt numFmtId="178" formatCode="_([$€-2]* #,##0.00_);_([$€-2]* \(#,##0.00\);_([$€-2]* &quot;-&quot;??_)"/>
    <numFmt numFmtId="179" formatCode="&quot;$&quot;#,\);\(&quot;$&quot;#,\)"/>
    <numFmt numFmtId="180" formatCode="#,##0.00000"/>
  </numFmts>
  <fonts count="7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u/>
      <sz val="12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b/>
      <sz val="10"/>
      <color indexed="10"/>
      <name val="Times New Roman"/>
      <family val="1"/>
    </font>
    <font>
      <b/>
      <sz val="11"/>
      <color indexed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Souvienne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color indexed="8"/>
      <name val="Calibri"/>
      <family val="2"/>
    </font>
    <font>
      <sz val="10"/>
      <name val="MS Serif"/>
      <family val="1"/>
    </font>
    <font>
      <sz val="8"/>
      <name val="Arial"/>
      <family val="2"/>
    </font>
    <font>
      <sz val="10"/>
      <color indexed="16"/>
      <name val="MS Serif"/>
      <family val="1"/>
    </font>
    <font>
      <sz val="8"/>
      <name val="Arial MT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Arial MT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9"/>
      <name val="Arial"/>
      <family val="2"/>
    </font>
    <font>
      <sz val="8"/>
      <name val="Helv"/>
    </font>
    <font>
      <sz val="8"/>
      <color indexed="56"/>
      <name val="Garamond"/>
      <family val="1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8.25"/>
      <name val="Microsoft Sans Serif"/>
      <family val="2"/>
    </font>
    <font>
      <sz val="11"/>
      <color rgb="FF000000"/>
      <name val="Calibri"/>
      <family val="2"/>
    </font>
    <font>
      <sz val="11"/>
      <color rgb="FF0000FF"/>
      <name val="Calibri"/>
      <family val="2"/>
    </font>
    <font>
      <sz val="11"/>
      <color indexed="0"/>
      <name val="Calibri"/>
      <family val="2"/>
    </font>
    <font>
      <sz val="11"/>
      <color rgb="FF2D2F32"/>
      <name val="Calibri"/>
      <family val="2"/>
    </font>
    <font>
      <sz val="9.75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6E6FA"/>
      </patternFill>
    </fill>
    <fill>
      <patternFill patternType="solid">
        <fgColor rgb="FFFFF6E9"/>
      </patternFill>
    </fill>
    <fill>
      <patternFill patternType="solid">
        <fgColor rgb="FFB0C4DE"/>
      </patternFill>
    </fill>
    <fill>
      <patternFill patternType="solid">
        <fgColor rgb="FFF5F5F5"/>
      </patternFill>
    </fill>
    <fill>
      <patternFill patternType="solid">
        <fgColor rgb="FFF0F8FF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66">
    <xf numFmtId="0" fontId="0" fillId="0" borderId="0"/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4" fillId="2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5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2" borderId="0" applyNumberFormat="0" applyBorder="0" applyAlignment="0" applyProtection="0"/>
    <xf numFmtId="0" fontId="24" fillId="6" borderId="0" applyNumberFormat="0" applyBorder="0" applyAlignment="0" applyProtection="0"/>
    <xf numFmtId="0" fontId="24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4" borderId="0" applyNumberFormat="0" applyBorder="0" applyAlignment="0" applyProtection="0"/>
    <xf numFmtId="0" fontId="25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5" borderId="0" applyNumberFormat="0" applyBorder="0" applyAlignment="0" applyProtection="0"/>
    <xf numFmtId="0" fontId="25" fillId="16" borderId="0" applyNumberFormat="0" applyBorder="0" applyAlignment="0" applyProtection="0"/>
    <xf numFmtId="0" fontId="25" fillId="10" borderId="0" applyNumberFormat="0" applyBorder="0" applyAlignment="0" applyProtection="0"/>
    <xf numFmtId="0" fontId="25" fillId="17" borderId="0" applyNumberFormat="0" applyBorder="0" applyAlignment="0" applyProtection="0"/>
    <xf numFmtId="0" fontId="25" fillId="4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21" borderId="0" applyNumberFormat="0" applyBorder="0" applyAlignment="0" applyProtection="0"/>
    <xf numFmtId="0" fontId="25" fillId="13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15" borderId="0" applyNumberFormat="0" applyBorder="0" applyAlignment="0" applyProtection="0"/>
    <xf numFmtId="39" fontId="26" fillId="0" borderId="0" applyNumberFormat="0" applyFill="0" applyBorder="0" applyAlignment="0">
      <protection locked="0"/>
    </xf>
    <xf numFmtId="0" fontId="27" fillId="9" borderId="0" applyNumberFormat="0" applyBorder="0" applyAlignment="0" applyProtection="0"/>
    <xf numFmtId="0" fontId="27" fillId="5" borderId="0" applyNumberFormat="0" applyBorder="0" applyAlignment="0" applyProtection="0"/>
    <xf numFmtId="177" fontId="23" fillId="0" borderId="0" applyFill="0" applyBorder="0" applyAlignment="0"/>
    <xf numFmtId="0" fontId="28" fillId="24" borderId="1" applyNumberFormat="0" applyAlignment="0" applyProtection="0"/>
    <xf numFmtId="0" fontId="29" fillId="25" borderId="1" applyNumberFormat="0" applyAlignment="0" applyProtection="0"/>
    <xf numFmtId="0" fontId="30" fillId="26" borderId="2" applyNumberFormat="0" applyAlignment="0" applyProtection="0"/>
    <xf numFmtId="0" fontId="30" fillId="26" borderId="2" applyNumberFormat="0" applyAlignment="0" applyProtection="0"/>
    <xf numFmtId="43" fontId="2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2" fillId="0" borderId="0" applyNumberFormat="0" applyAlignment="0">
      <alignment horizontal="left"/>
    </xf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10" borderId="0" applyNumberFormat="0" applyBorder="0" applyAlignment="0" applyProtection="0"/>
    <xf numFmtId="0" fontId="37" fillId="7" borderId="0" applyNumberFormat="0" applyBorder="0" applyAlignment="0" applyProtection="0"/>
    <xf numFmtId="38" fontId="33" fillId="27" borderId="0" applyNumberFormat="0" applyBorder="0" applyAlignment="0" applyProtection="0"/>
    <xf numFmtId="0" fontId="20" fillId="0" borderId="3" applyNumberFormat="0" applyAlignment="0" applyProtection="0">
      <alignment horizontal="left" vertical="center"/>
    </xf>
    <xf numFmtId="0" fontId="20" fillId="0" borderId="4">
      <alignment horizontal="left" vertical="center"/>
    </xf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40" fillId="0" borderId="7" applyNumberFormat="0" applyFill="0" applyAlignment="0" applyProtection="0"/>
    <xf numFmtId="0" fontId="41" fillId="0" borderId="8" applyNumberFormat="0" applyFill="0" applyAlignment="0" applyProtection="0"/>
    <xf numFmtId="0" fontId="42" fillId="0" borderId="9" applyNumberFormat="0" applyFill="0" applyAlignment="0" applyProtection="0"/>
    <xf numFmtId="0" fontId="43" fillId="0" borderId="10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11" borderId="1" applyNumberFormat="0" applyAlignment="0" applyProtection="0"/>
    <xf numFmtId="10" fontId="33" fillId="28" borderId="11" applyNumberFormat="0" applyBorder="0" applyAlignment="0" applyProtection="0"/>
    <xf numFmtId="0" fontId="44" fillId="8" borderId="1" applyNumberFormat="0" applyAlignment="0" applyProtection="0"/>
    <xf numFmtId="0" fontId="45" fillId="0" borderId="12" applyNumberFormat="0" applyFill="0" applyAlignment="0" applyProtection="0"/>
    <xf numFmtId="0" fontId="46" fillId="0" borderId="13" applyNumberFormat="0" applyFill="0" applyAlignment="0" applyProtection="0"/>
    <xf numFmtId="172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47" fillId="11" borderId="0" applyNumberFormat="0" applyBorder="0" applyAlignment="0" applyProtection="0"/>
    <xf numFmtId="0" fontId="48" fillId="11" borderId="0" applyNumberFormat="0" applyBorder="0" applyAlignment="0" applyProtection="0"/>
    <xf numFmtId="179" fontId="23" fillId="0" borderId="0"/>
    <xf numFmtId="165" fontId="23" fillId="0" borderId="0">
      <alignment horizontal="left" wrapText="1"/>
    </xf>
    <xf numFmtId="0" fontId="8" fillId="0" borderId="0"/>
    <xf numFmtId="0" fontId="23" fillId="0" borderId="0"/>
    <xf numFmtId="0" fontId="23" fillId="0" borderId="0"/>
    <xf numFmtId="165" fontId="49" fillId="0" borderId="0">
      <alignment horizontal="left" wrapText="1"/>
    </xf>
    <xf numFmtId="0" fontId="23" fillId="0" borderId="0"/>
    <xf numFmtId="165" fontId="23" fillId="0" borderId="0">
      <alignment horizontal="left" wrapText="1"/>
    </xf>
    <xf numFmtId="0" fontId="23" fillId="0" borderId="0"/>
    <xf numFmtId="165" fontId="23" fillId="0" borderId="0">
      <alignment horizontal="left" wrapText="1"/>
    </xf>
    <xf numFmtId="0" fontId="23" fillId="0" borderId="0"/>
    <xf numFmtId="165" fontId="23" fillId="0" borderId="0">
      <alignment horizontal="left" wrapText="1"/>
    </xf>
    <xf numFmtId="0" fontId="8" fillId="0" borderId="0"/>
    <xf numFmtId="0" fontId="33" fillId="0" borderId="0"/>
    <xf numFmtId="0" fontId="8" fillId="0" borderId="0"/>
    <xf numFmtId="167" fontId="49" fillId="0" borderId="0"/>
    <xf numFmtId="0" fontId="31" fillId="0" borderId="0"/>
    <xf numFmtId="0" fontId="6" fillId="0" borderId="0"/>
    <xf numFmtId="165" fontId="50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0" fontId="13" fillId="0" borderId="0"/>
    <xf numFmtId="0" fontId="23" fillId="6" borderId="14" applyNumberFormat="0" applyFont="0" applyAlignment="0" applyProtection="0"/>
    <xf numFmtId="0" fontId="49" fillId="6" borderId="14" applyNumberFormat="0" applyFont="0" applyAlignment="0" applyProtection="0"/>
    <xf numFmtId="0" fontId="51" fillId="24" borderId="15" applyNumberFormat="0" applyAlignment="0" applyProtection="0"/>
    <xf numFmtId="0" fontId="51" fillId="25" borderId="15" applyNumberFormat="0" applyAlignment="0" applyProtection="0"/>
    <xf numFmtId="40" fontId="52" fillId="29" borderId="0">
      <alignment horizontal="right"/>
    </xf>
    <xf numFmtId="0" fontId="53" fillId="29" borderId="0">
      <alignment horizontal="right"/>
    </xf>
    <xf numFmtId="0" fontId="54" fillId="29" borderId="16"/>
    <xf numFmtId="0" fontId="54" fillId="0" borderId="0" applyBorder="0">
      <alignment horizontal="centerContinuous"/>
    </xf>
    <xf numFmtId="0" fontId="55" fillId="0" borderId="0" applyBorder="0">
      <alignment horizontal="centerContinuous"/>
    </xf>
    <xf numFmtId="9" fontId="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56" fillId="30" borderId="11" applyNumberFormat="0" applyProtection="0">
      <alignment horizontal="center" vertical="center" wrapText="1"/>
    </xf>
    <xf numFmtId="14" fontId="57" fillId="0" borderId="0" applyNumberFormat="0" applyFill="0" applyBorder="0" applyAlignment="0" applyProtection="0">
      <alignment horizontal="left"/>
    </xf>
    <xf numFmtId="165" fontId="23" fillId="0" borderId="0">
      <alignment horizontal="left" wrapText="1"/>
    </xf>
    <xf numFmtId="165" fontId="23" fillId="0" borderId="0">
      <alignment horizontal="left" wrapText="1"/>
    </xf>
    <xf numFmtId="2" fontId="58" fillId="0" borderId="0" applyProtection="0"/>
    <xf numFmtId="165" fontId="23" fillId="0" borderId="0">
      <alignment horizontal="left" wrapText="1"/>
    </xf>
    <xf numFmtId="40" fontId="59" fillId="0" borderId="0" applyBorder="0">
      <alignment horizontal="right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17" applyNumberFormat="0" applyFill="0" applyAlignment="0" applyProtection="0"/>
    <xf numFmtId="0" fontId="62" fillId="0" borderId="18" applyNumberFormat="0" applyFill="0" applyAlignment="0" applyProtection="0"/>
    <xf numFmtId="3" fontId="2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0" fontId="2" fillId="0" borderId="0"/>
    <xf numFmtId="165" fontId="3" fillId="0" borderId="0">
      <alignment horizontal="left" wrapText="1"/>
    </xf>
    <xf numFmtId="0" fontId="63" fillId="0" borderId="0"/>
    <xf numFmtId="0" fontId="2" fillId="0" borderId="0"/>
    <xf numFmtId="9" fontId="3" fillId="0" borderId="0" applyFont="0" applyFill="0" applyBorder="0" applyAlignment="0" applyProtection="0"/>
    <xf numFmtId="0" fontId="64" fillId="0" borderId="0">
      <alignment vertical="top"/>
      <protection locked="0"/>
    </xf>
    <xf numFmtId="0" fontId="2" fillId="0" borderId="0"/>
    <xf numFmtId="0" fontId="3" fillId="0" borderId="0"/>
    <xf numFmtId="165" fontId="3" fillId="0" borderId="0">
      <alignment horizontal="left" wrapText="1"/>
    </xf>
    <xf numFmtId="0" fontId="65" fillId="0" borderId="0">
      <alignment vertical="center"/>
    </xf>
    <xf numFmtId="0" fontId="66" fillId="38" borderId="0">
      <alignment vertical="center"/>
    </xf>
    <xf numFmtId="0" fontId="67" fillId="39" borderId="0">
      <alignment vertical="center"/>
    </xf>
    <xf numFmtId="0" fontId="65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7" fillId="40" borderId="0">
      <alignment vertical="center"/>
    </xf>
    <xf numFmtId="0" fontId="69" fillId="41" borderId="50">
      <alignment vertical="center" wrapText="1"/>
    </xf>
    <xf numFmtId="0" fontId="69" fillId="42" borderId="0">
      <alignment vertical="center"/>
    </xf>
    <xf numFmtId="165" fontId="3" fillId="0" borderId="0">
      <alignment horizontal="left" wrapText="1"/>
    </xf>
    <xf numFmtId="0" fontId="2" fillId="0" borderId="0"/>
    <xf numFmtId="0" fontId="3" fillId="0" borderId="0"/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165" fontId="3" fillId="0" borderId="0">
      <alignment horizontal="left" wrapText="1"/>
    </xf>
    <xf numFmtId="0" fontId="3" fillId="0" borderId="0" applyNumberFormat="0" applyFill="0" applyBorder="0" applyAlignment="0" applyProtection="0"/>
    <xf numFmtId="177" fontId="3" fillId="0" borderId="0" applyFill="0" applyBorder="0" applyAlignment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38" fontId="4" fillId="27" borderId="0" applyNumberFormat="0" applyBorder="0" applyAlignment="0" applyProtection="0"/>
    <xf numFmtId="10" fontId="4" fillId="28" borderId="11" applyNumberFormat="0" applyBorder="0" applyAlignment="0" applyProtection="0"/>
    <xf numFmtId="179" fontId="3" fillId="0" borderId="0"/>
    <xf numFmtId="165" fontId="3" fillId="0" borderId="0">
      <alignment horizontal="left" wrapText="1"/>
    </xf>
    <xf numFmtId="165" fontId="3" fillId="0" borderId="0">
      <alignment horizontal="left" wrapText="1"/>
    </xf>
    <xf numFmtId="0" fontId="3" fillId="0" borderId="0"/>
    <xf numFmtId="0" fontId="3" fillId="0" borderId="0"/>
    <xf numFmtId="165" fontId="3" fillId="0" borderId="0">
      <alignment horizontal="left" wrapText="1"/>
    </xf>
    <xf numFmtId="0" fontId="4" fillId="0" borderId="0"/>
    <xf numFmtId="0" fontId="3" fillId="0" borderId="0"/>
    <xf numFmtId="0" fontId="3" fillId="6" borderId="14" applyNumberFormat="0" applyFont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>
      <alignment horizontal="left" wrapText="1"/>
    </xf>
    <xf numFmtId="165" fontId="3" fillId="0" borderId="0">
      <alignment horizontal="left" wrapText="1"/>
    </xf>
    <xf numFmtId="3" fontId="3" fillId="0" borderId="0" applyFont="0" applyFill="0" applyBorder="0" applyAlignment="0" applyProtection="0"/>
    <xf numFmtId="0" fontId="3" fillId="0" borderId="0"/>
    <xf numFmtId="17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187">
    <xf numFmtId="0" fontId="0" fillId="0" borderId="0" xfId="0"/>
    <xf numFmtId="0" fontId="16" fillId="0" borderId="0" xfId="196" applyFont="1" applyAlignment="1">
      <alignment horizontal="center"/>
    </xf>
    <xf numFmtId="0" fontId="5" fillId="0" borderId="0" xfId="0" applyFont="1"/>
    <xf numFmtId="0" fontId="15" fillId="0" borderId="0" xfId="196" applyFont="1" applyAlignment="1">
      <alignment horizontal="center"/>
    </xf>
    <xf numFmtId="0" fontId="15" fillId="0" borderId="0" xfId="196" applyFont="1"/>
    <xf numFmtId="166" fontId="15" fillId="0" borderId="0" xfId="196" applyNumberFormat="1" applyFont="1" applyAlignment="1">
      <alignment horizontal="center"/>
    </xf>
    <xf numFmtId="0" fontId="17" fillId="0" borderId="0" xfId="196" applyFont="1" applyAlignment="1">
      <alignment horizontal="center"/>
    </xf>
    <xf numFmtId="168" fontId="15" fillId="0" borderId="0" xfId="196" applyNumberFormat="1" applyFont="1" applyAlignment="1">
      <alignment horizontal="center"/>
    </xf>
    <xf numFmtId="0" fontId="15" fillId="0" borderId="0" xfId="196" applyFont="1" applyBorder="1"/>
    <xf numFmtId="0" fontId="15" fillId="0" borderId="3" xfId="196" applyFont="1" applyBorder="1"/>
    <xf numFmtId="0" fontId="15" fillId="0" borderId="3" xfId="196" applyFont="1" applyBorder="1" applyAlignment="1">
      <alignment horizontal="center"/>
    </xf>
    <xf numFmtId="3" fontId="15" fillId="0" borderId="0" xfId="196" applyNumberFormat="1" applyFont="1"/>
    <xf numFmtId="0" fontId="18" fillId="0" borderId="0" xfId="0" applyFont="1" applyFill="1" applyBorder="1"/>
    <xf numFmtId="0" fontId="18" fillId="0" borderId="0" xfId="196" applyFont="1" applyAlignment="1">
      <alignment horizontal="center"/>
    </xf>
    <xf numFmtId="169" fontId="15" fillId="0" borderId="0" xfId="196" applyNumberFormat="1" applyFont="1" applyAlignment="1">
      <alignment horizontal="center"/>
    </xf>
    <xf numFmtId="0" fontId="15" fillId="0" borderId="0" xfId="196" applyFont="1" applyAlignment="1">
      <alignment vertical="center"/>
    </xf>
    <xf numFmtId="3" fontId="15" fillId="0" borderId="0" xfId="196" applyNumberFormat="1" applyFont="1" applyAlignment="1">
      <alignment horizontal="center"/>
    </xf>
    <xf numFmtId="0" fontId="15" fillId="0" borderId="0" xfId="196" quotePrefix="1" applyFont="1"/>
    <xf numFmtId="0" fontId="18" fillId="0" borderId="0" xfId="0" applyFont="1" applyFill="1" applyBorder="1" applyAlignment="1">
      <alignment horizontal="center"/>
    </xf>
    <xf numFmtId="0" fontId="12" fillId="0" borderId="0" xfId="196" applyFont="1" applyAlignment="1">
      <alignment horizontal="center"/>
    </xf>
    <xf numFmtId="168" fontId="15" fillId="0" borderId="0" xfId="196" applyNumberFormat="1" applyFont="1" applyBorder="1" applyAlignment="1">
      <alignment horizontal="center"/>
    </xf>
    <xf numFmtId="0" fontId="18" fillId="0" borderId="0" xfId="0" applyFont="1" applyFill="1" applyBorder="1" applyAlignment="1" applyProtection="1">
      <alignment horizontal="left"/>
    </xf>
    <xf numFmtId="0" fontId="15" fillId="0" borderId="19" xfId="196" applyFont="1" applyBorder="1" applyAlignment="1">
      <alignment horizontal="center"/>
    </xf>
    <xf numFmtId="166" fontId="15" fillId="0" borderId="20" xfId="196" applyNumberFormat="1" applyFont="1" applyBorder="1" applyAlignment="1">
      <alignment horizontal="center"/>
    </xf>
    <xf numFmtId="0" fontId="15" fillId="0" borderId="21" xfId="196" applyFont="1" applyBorder="1" applyAlignment="1">
      <alignment horizontal="center"/>
    </xf>
    <xf numFmtId="0" fontId="15" fillId="0" borderId="0" xfId="196" applyFont="1" applyBorder="1" applyAlignment="1">
      <alignment horizontal="center"/>
    </xf>
    <xf numFmtId="166" fontId="15" fillId="0" borderId="22" xfId="196" applyNumberFormat="1" applyFont="1" applyBorder="1" applyAlignment="1">
      <alignment horizontal="center"/>
    </xf>
    <xf numFmtId="0" fontId="15" fillId="0" borderId="23" xfId="196" applyFont="1" applyBorder="1" applyAlignment="1">
      <alignment horizontal="center"/>
    </xf>
    <xf numFmtId="0" fontId="15" fillId="0" borderId="11" xfId="196" applyFont="1" applyBorder="1" applyAlignment="1">
      <alignment horizontal="center"/>
    </xf>
    <xf numFmtId="168" fontId="15" fillId="0" borderId="11" xfId="196" applyNumberFormat="1" applyFont="1" applyBorder="1" applyAlignment="1">
      <alignment horizontal="center"/>
    </xf>
    <xf numFmtId="0" fontId="15" fillId="0" borderId="24" xfId="196" applyFont="1" applyBorder="1" applyAlignment="1">
      <alignment horizontal="center"/>
    </xf>
    <xf numFmtId="0" fontId="15" fillId="0" borderId="25" xfId="196" applyFont="1" applyBorder="1" applyAlignment="1">
      <alignment horizontal="center"/>
    </xf>
    <xf numFmtId="0" fontId="15" fillId="0" borderId="26" xfId="196" applyFont="1" applyBorder="1" applyAlignment="1">
      <alignment horizontal="center"/>
    </xf>
    <xf numFmtId="3" fontId="15" fillId="0" borderId="11" xfId="196" applyNumberFormat="1" applyFont="1" applyFill="1" applyBorder="1" applyAlignment="1">
      <alignment horizontal="center"/>
    </xf>
    <xf numFmtId="169" fontId="15" fillId="0" borderId="11" xfId="196" applyNumberFormat="1" applyFont="1" applyBorder="1" applyAlignment="1">
      <alignment horizontal="center"/>
    </xf>
    <xf numFmtId="49" fontId="15" fillId="0" borderId="26" xfId="196" applyNumberFormat="1" applyFont="1" applyBorder="1" applyAlignment="1">
      <alignment horizontal="center"/>
    </xf>
    <xf numFmtId="49" fontId="15" fillId="0" borderId="25" xfId="196" applyNumberFormat="1" applyFont="1" applyBorder="1" applyAlignment="1">
      <alignment horizontal="center"/>
    </xf>
    <xf numFmtId="38" fontId="15" fillId="0" borderId="11" xfId="196" applyNumberFormat="1" applyFont="1" applyFill="1" applyBorder="1" applyAlignment="1">
      <alignment horizontal="center"/>
    </xf>
    <xf numFmtId="0" fontId="15" fillId="0" borderId="0" xfId="196" applyFont="1" applyFill="1" applyBorder="1" applyAlignment="1"/>
    <xf numFmtId="0" fontId="15" fillId="0" borderId="0" xfId="196" applyFont="1" applyFill="1" applyBorder="1"/>
    <xf numFmtId="2" fontId="15" fillId="0" borderId="0" xfId="196" applyNumberFormat="1" applyFont="1" applyFill="1" applyBorder="1" applyAlignment="1">
      <alignment horizontal="center"/>
    </xf>
    <xf numFmtId="0" fontId="15" fillId="0" borderId="0" xfId="196" applyFont="1" applyFill="1" applyBorder="1" applyAlignment="1">
      <alignment horizontal="center"/>
    </xf>
    <xf numFmtId="3" fontId="15" fillId="0" borderId="0" xfId="196" applyNumberFormat="1" applyFont="1" applyFill="1" applyBorder="1" applyAlignment="1">
      <alignment horizontal="center"/>
    </xf>
    <xf numFmtId="0" fontId="15" fillId="0" borderId="0" xfId="196" applyFont="1" applyFill="1" applyBorder="1" applyAlignment="1">
      <alignment vertical="center"/>
    </xf>
    <xf numFmtId="0" fontId="15" fillId="0" borderId="0" xfId="196" applyFont="1" applyFill="1" applyBorder="1" applyAlignment="1">
      <alignment horizontal="center" vertical="center"/>
    </xf>
    <xf numFmtId="3" fontId="15" fillId="0" borderId="0" xfId="196" applyNumberFormat="1" applyFont="1" applyFill="1" applyBorder="1"/>
    <xf numFmtId="2" fontId="15" fillId="0" borderId="0" xfId="196" applyNumberFormat="1" applyFont="1" applyFill="1" applyBorder="1" applyAlignment="1">
      <alignment horizontal="center" vertical="center"/>
    </xf>
    <xf numFmtId="164" fontId="15" fillId="0" borderId="0" xfId="196" applyNumberFormat="1" applyFont="1" applyFill="1" applyBorder="1" applyAlignment="1">
      <alignment horizontal="center"/>
    </xf>
    <xf numFmtId="164" fontId="15" fillId="0" borderId="0" xfId="196" applyNumberFormat="1" applyFont="1" applyFill="1" applyBorder="1" applyAlignment="1">
      <alignment horizontal="center" vertical="center"/>
    </xf>
    <xf numFmtId="166" fontId="15" fillId="0" borderId="22" xfId="196" applyNumberFormat="1" applyFont="1" applyFill="1" applyBorder="1" applyAlignment="1">
      <alignment horizontal="center"/>
    </xf>
    <xf numFmtId="166" fontId="15" fillId="0" borderId="20" xfId="196" applyNumberFormat="1" applyFont="1" applyFill="1" applyBorder="1" applyAlignment="1">
      <alignment horizontal="center"/>
    </xf>
    <xf numFmtId="0" fontId="15" fillId="0" borderId="23" xfId="196" applyFont="1" applyFill="1" applyBorder="1" applyAlignment="1">
      <alignment horizontal="center"/>
    </xf>
    <xf numFmtId="0" fontId="15" fillId="0" borderId="0" xfId="196" applyFont="1" applyFill="1" applyAlignment="1">
      <alignment horizontal="center"/>
    </xf>
    <xf numFmtId="0" fontId="15" fillId="0" borderId="25" xfId="196" applyFont="1" applyFill="1" applyBorder="1" applyAlignment="1">
      <alignment horizontal="center"/>
    </xf>
    <xf numFmtId="0" fontId="15" fillId="0" borderId="26" xfId="196" applyFont="1" applyFill="1" applyBorder="1" applyAlignment="1">
      <alignment horizontal="center"/>
    </xf>
    <xf numFmtId="169" fontId="15" fillId="0" borderId="11" xfId="196" applyNumberFormat="1" applyFont="1" applyFill="1" applyBorder="1" applyAlignment="1">
      <alignment horizontal="center"/>
    </xf>
    <xf numFmtId="1" fontId="15" fillId="0" borderId="0" xfId="196" applyNumberFormat="1" applyFont="1" applyAlignment="1">
      <alignment horizontal="center"/>
    </xf>
    <xf numFmtId="164" fontId="15" fillId="0" borderId="11" xfId="196" applyNumberFormat="1" applyFont="1" applyFill="1" applyBorder="1" applyAlignment="1">
      <alignment horizontal="center"/>
    </xf>
    <xf numFmtId="169" fontId="19" fillId="0" borderId="28" xfId="196" applyNumberFormat="1" applyFont="1" applyBorder="1" applyAlignment="1">
      <alignment horizontal="center"/>
    </xf>
    <xf numFmtId="0" fontId="16" fillId="0" borderId="0" xfId="196" applyFont="1" applyFill="1" applyAlignment="1">
      <alignment horizontal="center"/>
    </xf>
    <xf numFmtId="0" fontId="5" fillId="0" borderId="0" xfId="195" applyNumberFormat="1" applyFont="1" applyFill="1" applyAlignment="1"/>
    <xf numFmtId="0" fontId="7" fillId="0" borderId="0" xfId="195" applyNumberFormat="1" applyFont="1" applyFill="1" applyAlignment="1"/>
    <xf numFmtId="0" fontId="9" fillId="0" borderId="0" xfId="195" applyNumberFormat="1" applyFont="1" applyFill="1" applyAlignment="1"/>
    <xf numFmtId="0" fontId="16" fillId="33" borderId="29" xfId="195" applyNumberFormat="1" applyFont="1" applyFill="1" applyBorder="1" applyAlignment="1">
      <alignment horizontal="left" vertical="center"/>
    </xf>
    <xf numFmtId="0" fontId="16" fillId="33" borderId="3" xfId="195" applyNumberFormat="1" applyFont="1" applyFill="1" applyBorder="1" applyAlignment="1">
      <alignment vertical="center"/>
    </xf>
    <xf numFmtId="0" fontId="6" fillId="33" borderId="3" xfId="195" applyNumberFormat="1" applyFont="1" applyFill="1" applyBorder="1" applyAlignment="1">
      <alignment vertical="center" wrapText="1"/>
    </xf>
    <xf numFmtId="0" fontId="20" fillId="33" borderId="3" xfId="195" applyNumberFormat="1" applyFont="1" applyFill="1" applyBorder="1" applyAlignment="1">
      <alignment horizontal="left" vertical="center"/>
    </xf>
    <xf numFmtId="14" fontId="20" fillId="33" borderId="28" xfId="195" applyNumberFormat="1" applyFont="1" applyFill="1" applyBorder="1" applyAlignment="1">
      <alignment horizontal="center" vertical="center"/>
    </xf>
    <xf numFmtId="0" fontId="6" fillId="0" borderId="0" xfId="195" applyNumberFormat="1" applyFont="1" applyFill="1" applyBorder="1" applyAlignment="1">
      <alignment wrapText="1"/>
    </xf>
    <xf numFmtId="0" fontId="3" fillId="0" borderId="0" xfId="195" applyNumberFormat="1" applyFill="1" applyBorder="1" applyAlignment="1">
      <alignment horizontal="center"/>
    </xf>
    <xf numFmtId="0" fontId="7" fillId="0" borderId="19" xfId="195" applyNumberFormat="1" applyFont="1" applyFill="1" applyBorder="1" applyAlignment="1">
      <alignment horizontal="center"/>
    </xf>
    <xf numFmtId="0" fontId="11" fillId="0" borderId="22" xfId="195" applyNumberFormat="1" applyFont="1" applyFill="1" applyBorder="1" applyAlignment="1">
      <alignment horizontal="center"/>
    </xf>
    <xf numFmtId="0" fontId="7" fillId="0" borderId="21" xfId="195" applyNumberFormat="1" applyFont="1" applyFill="1" applyBorder="1" applyAlignment="1">
      <alignment horizontal="center"/>
    </xf>
    <xf numFmtId="0" fontId="11" fillId="0" borderId="23" xfId="195" applyNumberFormat="1" applyFont="1" applyFill="1" applyBorder="1" applyAlignment="1">
      <alignment horizontal="center"/>
    </xf>
    <xf numFmtId="0" fontId="7" fillId="0" borderId="21" xfId="195" applyNumberFormat="1" applyFont="1" applyFill="1" applyBorder="1" applyAlignment="1"/>
    <xf numFmtId="164" fontId="5" fillId="0" borderId="11" xfId="195" applyNumberFormat="1" applyFont="1" applyFill="1" applyBorder="1" applyAlignment="1">
      <alignment horizontal="center"/>
    </xf>
    <xf numFmtId="3" fontId="5" fillId="0" borderId="11" xfId="195" applyNumberFormat="1" applyFont="1" applyFill="1" applyBorder="1" applyAlignment="1">
      <alignment horizontal="center"/>
    </xf>
    <xf numFmtId="3" fontId="5" fillId="34" borderId="31" xfId="195" applyNumberFormat="1" applyFont="1" applyFill="1" applyBorder="1" applyAlignment="1">
      <alignment horizontal="center"/>
    </xf>
    <xf numFmtId="3" fontId="7" fillId="32" borderId="30" xfId="195" applyNumberFormat="1" applyFont="1" applyFill="1" applyBorder="1" applyAlignment="1">
      <alignment horizontal="center"/>
    </xf>
    <xf numFmtId="3" fontId="7" fillId="0" borderId="32" xfId="195" applyNumberFormat="1" applyFont="1" applyFill="1" applyBorder="1" applyAlignment="1">
      <alignment horizontal="center"/>
    </xf>
    <xf numFmtId="164" fontId="5" fillId="0" borderId="27" xfId="195" applyNumberFormat="1" applyFont="1" applyFill="1" applyBorder="1" applyAlignment="1">
      <alignment horizontal="center"/>
    </xf>
    <xf numFmtId="166" fontId="15" fillId="29" borderId="22" xfId="196" applyNumberFormat="1" applyFont="1" applyFill="1" applyBorder="1" applyAlignment="1">
      <alignment horizontal="center"/>
    </xf>
    <xf numFmtId="0" fontId="15" fillId="29" borderId="23" xfId="196" applyFont="1" applyFill="1" applyBorder="1" applyAlignment="1">
      <alignment horizontal="center"/>
    </xf>
    <xf numFmtId="49" fontId="15" fillId="29" borderId="25" xfId="196" applyNumberFormat="1" applyFont="1" applyFill="1" applyBorder="1" applyAlignment="1">
      <alignment horizontal="center"/>
    </xf>
    <xf numFmtId="38" fontId="15" fillId="29" borderId="11" xfId="196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1" fillId="34" borderId="33" xfId="0" applyNumberFormat="1" applyFont="1" applyFill="1" applyBorder="1" applyAlignment="1">
      <alignment horizontal="center"/>
    </xf>
    <xf numFmtId="0" fontId="11" fillId="0" borderId="34" xfId="0" applyNumberFormat="1" applyFont="1" applyFill="1" applyBorder="1" applyAlignment="1">
      <alignment horizontal="center"/>
    </xf>
    <xf numFmtId="0" fontId="11" fillId="32" borderId="33" xfId="0" applyNumberFormat="1" applyFont="1" applyFill="1" applyBorder="1" applyAlignment="1">
      <alignment horizontal="center"/>
    </xf>
    <xf numFmtId="0" fontId="11" fillId="34" borderId="35" xfId="0" applyNumberFormat="1" applyFont="1" applyFill="1" applyBorder="1" applyAlignment="1">
      <alignment horizontal="center"/>
    </xf>
    <xf numFmtId="0" fontId="11" fillId="0" borderId="16" xfId="0" applyNumberFormat="1" applyFont="1" applyFill="1" applyBorder="1" applyAlignment="1">
      <alignment horizontal="center"/>
    </xf>
    <xf numFmtId="0" fontId="11" fillId="32" borderId="35" xfId="0" applyNumberFormat="1" applyFont="1" applyFill="1" applyBorder="1" applyAlignment="1">
      <alignment horizontal="center"/>
    </xf>
    <xf numFmtId="3" fontId="18" fillId="0" borderId="11" xfId="196" applyNumberFormat="1" applyFont="1" applyFill="1" applyBorder="1" applyAlignment="1">
      <alignment horizontal="center"/>
    </xf>
    <xf numFmtId="0" fontId="18" fillId="0" borderId="23" xfId="196" applyFont="1" applyFill="1" applyBorder="1" applyAlignment="1">
      <alignment horizontal="center"/>
    </xf>
    <xf numFmtId="10" fontId="18" fillId="34" borderId="25" xfId="206" applyNumberFormat="1" applyFont="1" applyFill="1" applyBorder="1" applyAlignment="1">
      <alignment horizontal="center"/>
    </xf>
    <xf numFmtId="164" fontId="18" fillId="0" borderId="11" xfId="196" applyNumberFormat="1" applyFont="1" applyFill="1" applyBorder="1" applyAlignment="1">
      <alignment horizontal="center"/>
    </xf>
    <xf numFmtId="0" fontId="15" fillId="0" borderId="23" xfId="196" applyFont="1" applyBorder="1"/>
    <xf numFmtId="0" fontId="19" fillId="0" borderId="29" xfId="196" applyFont="1" applyBorder="1"/>
    <xf numFmtId="3" fontId="5" fillId="0" borderId="0" xfId="194" applyNumberFormat="1" applyFont="1" applyBorder="1" applyAlignment="1">
      <alignment horizontal="center" wrapText="1"/>
    </xf>
    <xf numFmtId="166" fontId="15" fillId="27" borderId="22" xfId="196" applyNumberFormat="1" applyFont="1" applyFill="1" applyBorder="1" applyAlignment="1">
      <alignment horizontal="center"/>
    </xf>
    <xf numFmtId="0" fontId="15" fillId="27" borderId="23" xfId="196" applyFont="1" applyFill="1" applyBorder="1"/>
    <xf numFmtId="0" fontId="15" fillId="27" borderId="23" xfId="196" applyFont="1" applyFill="1" applyBorder="1" applyAlignment="1">
      <alignment horizontal="center"/>
    </xf>
    <xf numFmtId="49" fontId="15" fillId="27" borderId="25" xfId="196" applyNumberFormat="1" applyFont="1" applyFill="1" applyBorder="1" applyAlignment="1">
      <alignment horizontal="center"/>
    </xf>
    <xf numFmtId="3" fontId="15" fillId="27" borderId="11" xfId="196" applyNumberFormat="1" applyFont="1" applyFill="1" applyBorder="1" applyAlignment="1">
      <alignment horizontal="center"/>
    </xf>
    <xf numFmtId="166" fontId="15" fillId="32" borderId="22" xfId="196" applyNumberFormat="1" applyFont="1" applyFill="1" applyBorder="1" applyAlignment="1">
      <alignment horizontal="center"/>
    </xf>
    <xf numFmtId="0" fontId="15" fillId="32" borderId="23" xfId="196" applyFont="1" applyFill="1" applyBorder="1" applyAlignment="1">
      <alignment horizontal="center"/>
    </xf>
    <xf numFmtId="49" fontId="15" fillId="32" borderId="25" xfId="196" applyNumberFormat="1" applyFont="1" applyFill="1" applyBorder="1" applyAlignment="1">
      <alignment horizontal="center"/>
    </xf>
    <xf numFmtId="38" fontId="15" fillId="32" borderId="11" xfId="196" applyNumberFormat="1" applyFont="1" applyFill="1" applyBorder="1" applyAlignment="1">
      <alignment horizontal="center"/>
    </xf>
    <xf numFmtId="0" fontId="17" fillId="32" borderId="33" xfId="196" applyFont="1" applyFill="1" applyBorder="1" applyAlignment="1">
      <alignment horizontal="center"/>
    </xf>
    <xf numFmtId="3" fontId="15" fillId="32" borderId="35" xfId="196" applyNumberFormat="1" applyFont="1" applyFill="1" applyBorder="1" applyAlignment="1">
      <alignment horizontal="center"/>
    </xf>
    <xf numFmtId="168" fontId="19" fillId="27" borderId="36" xfId="196" applyNumberFormat="1" applyFont="1" applyFill="1" applyBorder="1" applyAlignment="1">
      <alignment horizontal="center"/>
    </xf>
    <xf numFmtId="169" fontId="19" fillId="31" borderId="11" xfId="196" applyNumberFormat="1" applyFont="1" applyFill="1" applyBorder="1" applyAlignment="1">
      <alignment horizontal="center"/>
    </xf>
    <xf numFmtId="0" fontId="5" fillId="0" borderId="0" xfId="195" applyNumberFormat="1" applyFont="1" applyFill="1" applyBorder="1" applyAlignment="1"/>
    <xf numFmtId="0" fontId="5" fillId="0" borderId="3" xfId="195" applyNumberFormat="1" applyFont="1" applyFill="1" applyBorder="1" applyAlignment="1"/>
    <xf numFmtId="0" fontId="22" fillId="0" borderId="0" xfId="196" applyFont="1" applyBorder="1" applyAlignment="1"/>
    <xf numFmtId="180" fontId="15" fillId="0" borderId="0" xfId="196" applyNumberFormat="1" applyFont="1"/>
    <xf numFmtId="180" fontId="19" fillId="0" borderId="0" xfId="196" applyNumberFormat="1" applyFont="1"/>
    <xf numFmtId="0" fontId="24" fillId="0" borderId="0" xfId="0" applyNumberFormat="1" applyFont="1" applyFill="1" applyBorder="1" applyAlignment="1" applyProtection="1"/>
    <xf numFmtId="0" fontId="7" fillId="0" borderId="31" xfId="228" applyNumberFormat="1" applyFont="1" applyBorder="1" applyAlignment="1">
      <alignment horizontal="center"/>
    </xf>
    <xf numFmtId="0" fontId="7" fillId="0" borderId="30" xfId="228" applyNumberFormat="1" applyFont="1" applyBorder="1" applyAlignment="1">
      <alignment horizontal="center"/>
    </xf>
    <xf numFmtId="0" fontId="7" fillId="0" borderId="46" xfId="228" applyNumberFormat="1" applyFont="1" applyBorder="1" applyAlignment="1">
      <alignment horizontal="center"/>
    </xf>
    <xf numFmtId="164" fontId="15" fillId="0" borderId="11" xfId="196" applyNumberFormat="1" applyFont="1" applyBorder="1" applyAlignment="1">
      <alignment horizontal="center"/>
    </xf>
    <xf numFmtId="0" fontId="10" fillId="0" borderId="23" xfId="228" applyNumberFormat="1" applyFont="1" applyBorder="1" applyAlignment="1">
      <alignment horizontal="center" vertical="center" wrapText="1"/>
    </xf>
    <xf numFmtId="3" fontId="7" fillId="36" borderId="30" xfId="228" applyNumberFormat="1" applyFont="1" applyFill="1" applyBorder="1" applyAlignment="1">
      <alignment horizontal="center"/>
    </xf>
    <xf numFmtId="3" fontId="7" fillId="36" borderId="31" xfId="228" applyNumberFormat="1" applyFont="1" applyFill="1" applyBorder="1" applyAlignment="1">
      <alignment horizontal="center"/>
    </xf>
    <xf numFmtId="3" fontId="7" fillId="36" borderId="46" xfId="228" applyNumberFormat="1" applyFont="1" applyFill="1" applyBorder="1" applyAlignment="1">
      <alignment horizontal="center"/>
    </xf>
    <xf numFmtId="3" fontId="5" fillId="35" borderId="11" xfId="228" applyNumberFormat="1" applyFont="1" applyFill="1" applyBorder="1" applyAlignment="1">
      <alignment horizontal="center"/>
    </xf>
    <xf numFmtId="3" fontId="5" fillId="35" borderId="27" xfId="228" applyNumberFormat="1" applyFont="1" applyFill="1" applyBorder="1" applyAlignment="1">
      <alignment horizontal="center"/>
    </xf>
    <xf numFmtId="3" fontId="5" fillId="35" borderId="47" xfId="228" applyNumberFormat="1" applyFont="1" applyFill="1" applyBorder="1" applyAlignment="1">
      <alignment horizontal="center"/>
    </xf>
    <xf numFmtId="38" fontId="5" fillId="0" borderId="44" xfId="228" applyNumberFormat="1" applyFont="1" applyBorder="1" applyAlignment="1">
      <alignment horizontal="center"/>
    </xf>
    <xf numFmtId="38" fontId="5" fillId="0" borderId="27" xfId="228" applyNumberFormat="1" applyFont="1" applyBorder="1" applyAlignment="1">
      <alignment horizontal="center"/>
    </xf>
    <xf numFmtId="38" fontId="5" fillId="0" borderId="11" xfId="228" applyNumberFormat="1" applyFont="1" applyBorder="1" applyAlignment="1">
      <alignment horizontal="center"/>
    </xf>
    <xf numFmtId="38" fontId="5" fillId="0" borderId="45" xfId="228" applyNumberFormat="1" applyFont="1" applyBorder="1" applyAlignment="1">
      <alignment horizontal="center"/>
    </xf>
    <xf numFmtId="38" fontId="5" fillId="0" borderId="48" xfId="228" applyNumberFormat="1" applyFont="1" applyBorder="1" applyAlignment="1">
      <alignment horizontal="center"/>
    </xf>
    <xf numFmtId="38" fontId="5" fillId="0" borderId="47" xfId="228" applyNumberFormat="1" applyFont="1" applyBorder="1" applyAlignment="1">
      <alignment horizontal="center"/>
    </xf>
    <xf numFmtId="38" fontId="5" fillId="0" borderId="49" xfId="228" applyNumberFormat="1" applyFont="1" applyBorder="1" applyAlignment="1">
      <alignment horizontal="center"/>
    </xf>
    <xf numFmtId="0" fontId="10" fillId="0" borderId="40" xfId="228" applyNumberFormat="1" applyFont="1" applyBorder="1" applyAlignment="1">
      <alignment horizontal="center" vertical="center"/>
    </xf>
    <xf numFmtId="0" fontId="10" fillId="0" borderId="23" xfId="228" applyNumberFormat="1" applyFont="1" applyBorder="1" applyAlignment="1">
      <alignment horizontal="center" vertical="center"/>
    </xf>
    <xf numFmtId="0" fontId="10" fillId="0" borderId="41" xfId="228" applyNumberFormat="1" applyFont="1" applyBorder="1" applyAlignment="1">
      <alignment horizontal="center" vertical="center"/>
    </xf>
    <xf numFmtId="0" fontId="10" fillId="0" borderId="42" xfId="228" applyNumberFormat="1" applyFont="1" applyBorder="1" applyAlignment="1">
      <alignment horizontal="center" vertical="center"/>
    </xf>
    <xf numFmtId="0" fontId="10" fillId="0" borderId="43" xfId="228" applyNumberFormat="1" applyFont="1" applyBorder="1" applyAlignment="1">
      <alignment horizontal="center" vertical="center"/>
    </xf>
    <xf numFmtId="0" fontId="10" fillId="0" borderId="23" xfId="228" quotePrefix="1" applyNumberFormat="1" applyFont="1" applyBorder="1" applyAlignment="1">
      <alignment horizontal="center" vertical="center"/>
    </xf>
    <xf numFmtId="0" fontId="10" fillId="36" borderId="33" xfId="228" applyNumberFormat="1" applyFont="1" applyFill="1" applyBorder="1" applyAlignment="1">
      <alignment horizontal="center" vertical="center"/>
    </xf>
    <xf numFmtId="0" fontId="10" fillId="36" borderId="35" xfId="228" applyNumberFormat="1" applyFont="1" applyFill="1" applyBorder="1" applyAlignment="1">
      <alignment horizontal="center" vertical="center"/>
    </xf>
    <xf numFmtId="0" fontId="3" fillId="0" borderId="0" xfId="0" quotePrefix="1" applyFont="1"/>
    <xf numFmtId="0" fontId="3" fillId="0" borderId="0" xfId="0" applyFont="1"/>
    <xf numFmtId="0" fontId="21" fillId="0" borderId="0" xfId="0" applyFont="1" applyAlignment="1">
      <alignment horizontal="center"/>
    </xf>
    <xf numFmtId="10" fontId="10" fillId="0" borderId="23" xfId="206" applyNumberFormat="1" applyFont="1" applyFill="1" applyBorder="1" applyAlignment="1">
      <alignment horizontal="center"/>
    </xf>
    <xf numFmtId="0" fontId="10" fillId="0" borderId="51" xfId="228" applyNumberFormat="1" applyFont="1" applyBorder="1" applyAlignment="1">
      <alignment horizontal="center" vertical="center"/>
    </xf>
    <xf numFmtId="0" fontId="10" fillId="34" borderId="35" xfId="0" applyNumberFormat="1" applyFont="1" applyFill="1" applyBorder="1" applyAlignment="1">
      <alignment horizontal="center"/>
    </xf>
    <xf numFmtId="0" fontId="10" fillId="32" borderId="35" xfId="0" applyNumberFormat="1" applyFont="1" applyFill="1" applyBorder="1" applyAlignment="1">
      <alignment horizontal="center"/>
    </xf>
    <xf numFmtId="0" fontId="10" fillId="0" borderId="16" xfId="0" applyNumberFormat="1" applyFont="1" applyFill="1" applyBorder="1" applyAlignment="1">
      <alignment horizontal="center"/>
    </xf>
    <xf numFmtId="0" fontId="10" fillId="0" borderId="23" xfId="0" applyNumberFormat="1" applyFont="1" applyFill="1" applyBorder="1" applyAlignment="1">
      <alignment horizontal="center"/>
    </xf>
    <xf numFmtId="0" fontId="7" fillId="0" borderId="52" xfId="228" applyNumberFormat="1" applyFont="1" applyBorder="1" applyAlignment="1">
      <alignment horizontal="center"/>
    </xf>
    <xf numFmtId="164" fontId="5" fillId="0" borderId="53" xfId="195" applyNumberFormat="1" applyFont="1" applyFill="1" applyBorder="1" applyAlignment="1">
      <alignment horizontal="center"/>
    </xf>
    <xf numFmtId="3" fontId="5" fillId="35" borderId="53" xfId="228" applyNumberFormat="1" applyFont="1" applyFill="1" applyBorder="1" applyAlignment="1">
      <alignment horizontal="center"/>
    </xf>
    <xf numFmtId="3" fontId="7" fillId="36" borderId="52" xfId="228" applyNumberFormat="1" applyFont="1" applyFill="1" applyBorder="1" applyAlignment="1">
      <alignment horizontal="center"/>
    </xf>
    <xf numFmtId="38" fontId="5" fillId="0" borderId="54" xfId="228" applyNumberFormat="1" applyFont="1" applyBorder="1" applyAlignment="1">
      <alignment horizontal="center"/>
    </xf>
    <xf numFmtId="38" fontId="5" fillId="0" borderId="53" xfId="228" applyNumberFormat="1" applyFont="1" applyBorder="1" applyAlignment="1">
      <alignment horizontal="center"/>
    </xf>
    <xf numFmtId="38" fontId="5" fillId="0" borderId="55" xfId="228" applyNumberFormat="1" applyFont="1" applyBorder="1" applyAlignment="1">
      <alignment horizontal="center"/>
    </xf>
    <xf numFmtId="3" fontId="5" fillId="34" borderId="52" xfId="195" applyNumberFormat="1" applyFont="1" applyFill="1" applyBorder="1" applyAlignment="1">
      <alignment horizontal="center"/>
    </xf>
    <xf numFmtId="3" fontId="7" fillId="32" borderId="52" xfId="195" applyNumberFormat="1" applyFont="1" applyFill="1" applyBorder="1" applyAlignment="1">
      <alignment horizontal="center"/>
    </xf>
    <xf numFmtId="3" fontId="7" fillId="0" borderId="56" xfId="195" applyNumberFormat="1" applyFont="1" applyFill="1" applyBorder="1" applyAlignment="1">
      <alignment horizontal="center"/>
    </xf>
    <xf numFmtId="3" fontId="5" fillId="0" borderId="53" xfId="195" applyNumberFormat="1" applyFont="1" applyFill="1" applyBorder="1" applyAlignment="1">
      <alignment horizontal="center"/>
    </xf>
    <xf numFmtId="0" fontId="7" fillId="0" borderId="55" xfId="195" applyNumberFormat="1" applyFont="1" applyFill="1" applyBorder="1" applyAlignment="1">
      <alignment horizontal="center"/>
    </xf>
    <xf numFmtId="0" fontId="7" fillId="0" borderId="45" xfId="195" applyNumberFormat="1" applyFont="1" applyFill="1" applyBorder="1" applyAlignment="1">
      <alignment horizontal="center"/>
    </xf>
    <xf numFmtId="164" fontId="5" fillId="0" borderId="47" xfId="195" applyNumberFormat="1" applyFont="1" applyFill="1" applyBorder="1" applyAlignment="1">
      <alignment horizontal="center"/>
    </xf>
    <xf numFmtId="3" fontId="5" fillId="34" borderId="46" xfId="195" applyNumberFormat="1" applyFont="1" applyFill="1" applyBorder="1" applyAlignment="1">
      <alignment horizontal="center"/>
    </xf>
    <xf numFmtId="3" fontId="7" fillId="32" borderId="57" xfId="195" applyNumberFormat="1" applyFont="1" applyFill="1" applyBorder="1" applyAlignment="1">
      <alignment horizontal="center"/>
    </xf>
    <xf numFmtId="3" fontId="7" fillId="0" borderId="58" xfId="195" applyNumberFormat="1" applyFont="1" applyFill="1" applyBorder="1" applyAlignment="1">
      <alignment horizontal="center"/>
    </xf>
    <xf numFmtId="3" fontId="5" fillId="0" borderId="47" xfId="195" applyNumberFormat="1" applyFont="1" applyFill="1" applyBorder="1" applyAlignment="1">
      <alignment horizontal="center"/>
    </xf>
    <xf numFmtId="0" fontId="7" fillId="0" borderId="49" xfId="195" applyNumberFormat="1" applyFont="1" applyFill="1" applyBorder="1" applyAlignment="1">
      <alignment horizontal="center"/>
    </xf>
    <xf numFmtId="0" fontId="12" fillId="0" borderId="0" xfId="196" applyFont="1" applyAlignment="1"/>
    <xf numFmtId="3" fontId="15" fillId="32" borderId="57" xfId="196" applyNumberFormat="1" applyFont="1" applyFill="1" applyBorder="1" applyAlignment="1">
      <alignment horizontal="center"/>
    </xf>
    <xf numFmtId="0" fontId="16" fillId="0" borderId="0" xfId="196" applyFont="1" applyAlignment="1">
      <alignment horizontal="center"/>
    </xf>
    <xf numFmtId="0" fontId="7" fillId="36" borderId="29" xfId="228" applyNumberFormat="1" applyFont="1" applyFill="1" applyBorder="1" applyAlignment="1">
      <alignment horizontal="center"/>
    </xf>
    <xf numFmtId="0" fontId="7" fillId="36" borderId="3" xfId="228" applyNumberFormat="1" applyFont="1" applyFill="1" applyBorder="1" applyAlignment="1">
      <alignment horizontal="center"/>
    </xf>
    <xf numFmtId="0" fontId="7" fillId="36" borderId="28" xfId="228" applyNumberFormat="1" applyFont="1" applyFill="1" applyBorder="1" applyAlignment="1">
      <alignment horizontal="center"/>
    </xf>
    <xf numFmtId="0" fontId="7" fillId="37" borderId="37" xfId="228" applyNumberFormat="1" applyFont="1" applyFill="1" applyBorder="1" applyAlignment="1">
      <alignment horizontal="center"/>
    </xf>
    <xf numFmtId="0" fontId="7" fillId="37" borderId="38" xfId="228" applyNumberFormat="1" applyFont="1" applyFill="1" applyBorder="1" applyAlignment="1">
      <alignment horizontal="center"/>
    </xf>
    <xf numFmtId="0" fontId="7" fillId="37" borderId="39" xfId="228" applyNumberFormat="1" applyFont="1" applyFill="1" applyBorder="1" applyAlignment="1">
      <alignment horizontal="center"/>
    </xf>
    <xf numFmtId="1" fontId="7" fillId="0" borderId="0" xfId="362" applyNumberFormat="1" applyFont="1"/>
    <xf numFmtId="1" fontId="7" fillId="0" borderId="0" xfId="362" applyNumberFormat="1" applyFont="1"/>
    <xf numFmtId="1" fontId="7" fillId="0" borderId="0" xfId="362" applyNumberFormat="1" applyFont="1"/>
    <xf numFmtId="0" fontId="5" fillId="0" borderId="0" xfId="195" applyNumberFormat="1" applyFont="1" applyFill="1" applyAlignment="1"/>
    <xf numFmtId="0" fontId="7" fillId="0" borderId="0" xfId="195" applyNumberFormat="1" applyFont="1" applyFill="1" applyAlignment="1"/>
    <xf numFmtId="1" fontId="7" fillId="0" borderId="0" xfId="362" applyNumberFormat="1" applyFont="1"/>
  </cellXfs>
  <cellStyles count="366">
    <cellStyle name="_CC Oil" xfId="1" xr:uid="{00000000-0005-0000-0000-000000000000}"/>
    <cellStyle name="_CC Oil 2" xfId="2" xr:uid="{00000000-0005-0000-0000-000001000000}"/>
    <cellStyle name="_CC Oil 2 2" xfId="249" xr:uid="{2DC2F9CE-7759-487A-AB38-DC36B1B7BE70}"/>
    <cellStyle name="_CC Oil 3" xfId="248" xr:uid="{36622874-F1E7-4C07-BF3B-E7D5FCEE4730}"/>
    <cellStyle name="_CC Oil_130204 2013 - 2061 LONG-TERM FORECAST FPL METHODOLOGY Clean Copy" xfId="3" xr:uid="{00000000-0005-0000-0000-000002000000}"/>
    <cellStyle name="_CC Oil_130204 2013 - 2061 LONG-TERM FORECAST FPL METHODOLOGY Clean Copy 2" xfId="250" xr:uid="{10C30C46-7371-4954-B212-C05443EE700A}"/>
    <cellStyle name="_CC Oil_MTHLY_MWH_to EOC_AS AVAILABLE" xfId="4" xr:uid="{00000000-0005-0000-0000-000003000000}"/>
    <cellStyle name="_CC Oil_MTHLY_MWH_to EOC_AS AVAILABLE 2" xfId="251" xr:uid="{8ECA1F08-58A1-47B1-8789-4E556D754826}"/>
    <cellStyle name="_DSO Oil" xfId="5" xr:uid="{00000000-0005-0000-0000-000004000000}"/>
    <cellStyle name="_DSO Oil 2" xfId="6" xr:uid="{00000000-0005-0000-0000-000005000000}"/>
    <cellStyle name="_DSO Oil 2 2" xfId="253" xr:uid="{A5EB5F25-3F87-44D1-8A62-23B00A4E7273}"/>
    <cellStyle name="_DSO Oil 3" xfId="252" xr:uid="{0F363E14-5FE6-4F6D-8C47-E6C666D96E70}"/>
    <cellStyle name="_DSO Oil_130204 2013 - 2061 LONG-TERM FORECAST FPL METHODOLOGY Clean Copy" xfId="7" xr:uid="{00000000-0005-0000-0000-000006000000}"/>
    <cellStyle name="_DSO Oil_130204 2013 - 2061 LONG-TERM FORECAST FPL METHODOLOGY Clean Copy 2" xfId="254" xr:uid="{8E84BFE7-6423-4B2C-B20A-43505B577271}"/>
    <cellStyle name="_DSO Oil_MTHLY_MWH_to EOC_AS AVAILABLE" xfId="8" xr:uid="{00000000-0005-0000-0000-000007000000}"/>
    <cellStyle name="_DSO Oil_MTHLY_MWH_to EOC_AS AVAILABLE 2" xfId="255" xr:uid="{90F9D04C-3B9A-47AC-A036-757B6D2D7933}"/>
    <cellStyle name="_FLCC Oil" xfId="9" xr:uid="{00000000-0005-0000-0000-000008000000}"/>
    <cellStyle name="_FLCC Oil 2" xfId="10" xr:uid="{00000000-0005-0000-0000-000009000000}"/>
    <cellStyle name="_FLCC Oil 2 2" xfId="257" xr:uid="{FBF42B30-578F-4024-9A27-8A7ED0EEFC72}"/>
    <cellStyle name="_FLCC Oil 3" xfId="256" xr:uid="{3D31763A-79AD-472A-AD27-11AB4A2D7FFC}"/>
    <cellStyle name="_FLCC Oil_130204 2013 - 2061 LONG-TERM FORECAST FPL METHODOLOGY Clean Copy" xfId="11" xr:uid="{00000000-0005-0000-0000-00000A000000}"/>
    <cellStyle name="_FLCC Oil_130204 2013 - 2061 LONG-TERM FORECAST FPL METHODOLOGY Clean Copy 2" xfId="258" xr:uid="{B6061207-768F-4363-9440-40F8EE4DDFAC}"/>
    <cellStyle name="_FLCC Oil_MTHLY_MWH_to EOC_AS AVAILABLE" xfId="12" xr:uid="{00000000-0005-0000-0000-00000B000000}"/>
    <cellStyle name="_FLCC Oil_MTHLY_MWH_to EOC_AS AVAILABLE 2" xfId="259" xr:uid="{E31A34F0-F7D1-41AC-BBB9-B5AAC3D6CD4C}"/>
    <cellStyle name="_FLPEGT Oil" xfId="13" xr:uid="{00000000-0005-0000-0000-00000C000000}"/>
    <cellStyle name="_FLPEGT Oil 2" xfId="14" xr:uid="{00000000-0005-0000-0000-00000D000000}"/>
    <cellStyle name="_FLPEGT Oil 2 2" xfId="261" xr:uid="{CD22BA90-FD4E-4B13-90A4-5B32ED6A8330}"/>
    <cellStyle name="_FLPEGT Oil 3" xfId="260" xr:uid="{FE054562-C71E-4147-A633-0AEE5D5A2017}"/>
    <cellStyle name="_FLPEGT Oil_130204 2013 - 2061 LONG-TERM FORECAST FPL METHODOLOGY Clean Copy" xfId="15" xr:uid="{00000000-0005-0000-0000-00000E000000}"/>
    <cellStyle name="_FLPEGT Oil_130204 2013 - 2061 LONG-TERM FORECAST FPL METHODOLOGY Clean Copy 2" xfId="262" xr:uid="{5C87833C-F987-4FC7-B0DE-C6BC87C7EFAF}"/>
    <cellStyle name="_FLPEGT Oil_MTHLY_MWH_to EOC_AS AVAILABLE" xfId="16" xr:uid="{00000000-0005-0000-0000-00000F000000}"/>
    <cellStyle name="_FLPEGT Oil_MTHLY_MWH_to EOC_AS AVAILABLE 2" xfId="263" xr:uid="{B8166543-8493-4728-8167-90184389DC34}"/>
    <cellStyle name="_FMCT Oil" xfId="17" xr:uid="{00000000-0005-0000-0000-000010000000}"/>
    <cellStyle name="_FMCT Oil 2" xfId="18" xr:uid="{00000000-0005-0000-0000-000011000000}"/>
    <cellStyle name="_FMCT Oil 2 2" xfId="265" xr:uid="{45B617D4-8160-4863-9460-F4953059E256}"/>
    <cellStyle name="_FMCT Oil 3" xfId="264" xr:uid="{9729D9D6-8AF4-4D16-AA3B-8275205874E6}"/>
    <cellStyle name="_FMCT Oil_130204 2013 - 2061 LONG-TERM FORECAST FPL METHODOLOGY Clean Copy" xfId="19" xr:uid="{00000000-0005-0000-0000-000012000000}"/>
    <cellStyle name="_FMCT Oil_130204 2013 - 2061 LONG-TERM FORECAST FPL METHODOLOGY Clean Copy 2" xfId="266" xr:uid="{A7767A85-ED44-428B-A9BF-B6532530C4CE}"/>
    <cellStyle name="_FMCT Oil_MTHLY_MWH_to EOC_AS AVAILABLE" xfId="20" xr:uid="{00000000-0005-0000-0000-000013000000}"/>
    <cellStyle name="_FMCT Oil_MTHLY_MWH_to EOC_AS AVAILABLE 2" xfId="267" xr:uid="{49F35A9C-8F40-4EC3-B637-5770510A124B}"/>
    <cellStyle name="_GTDW_DataTemplate" xfId="21" xr:uid="{00000000-0005-0000-0000-000014000000}"/>
    <cellStyle name="_GTDW_DataTemplate 2" xfId="22" xr:uid="{00000000-0005-0000-0000-000015000000}"/>
    <cellStyle name="_GTDW_DataTemplate 2 2" xfId="269" xr:uid="{1F5A3414-45FA-4B85-97DD-7358695E4EEE}"/>
    <cellStyle name="_GTDW_DataTemplate 3" xfId="268" xr:uid="{427BBF0A-01FB-44A1-BE7B-A88D885D2D0C}"/>
    <cellStyle name="_GTDW_DataTemplate_130204 2013 - 2061 LONG-TERM FORECAST FPL METHODOLOGY Clean Copy" xfId="23" xr:uid="{00000000-0005-0000-0000-000016000000}"/>
    <cellStyle name="_GTDW_DataTemplate_130204 2013 - 2061 LONG-TERM FORECAST FPL METHODOLOGY Clean Copy 2" xfId="270" xr:uid="{35752D3C-2CFB-4325-ACAF-3E9630C00DAE}"/>
    <cellStyle name="_GTDW_DataTemplate_MTHLY_MWH_to EOC_AS AVAILABLE" xfId="24" xr:uid="{00000000-0005-0000-0000-000017000000}"/>
    <cellStyle name="_GTDW_DataTemplate_MTHLY_MWH_to EOC_AS AVAILABLE 2" xfId="271" xr:uid="{C3FEFD10-7E69-43A3-B9FC-66A76E11CD6C}"/>
    <cellStyle name="_Gulfstream Gas" xfId="25" xr:uid="{00000000-0005-0000-0000-000018000000}"/>
    <cellStyle name="_Gulfstream Gas 2" xfId="26" xr:uid="{00000000-0005-0000-0000-000019000000}"/>
    <cellStyle name="_Gulfstream Gas 2 2" xfId="273" xr:uid="{8118A7E7-B296-4CAF-89B3-94B4DBBFC51A}"/>
    <cellStyle name="_Gulfstream Gas 3" xfId="272" xr:uid="{4CD5A17E-9ACC-4C76-9DB6-1DD7492677F5}"/>
    <cellStyle name="_Gulfstream Gas_130204 2013 - 2061 LONG-TERM FORECAST FPL METHODOLOGY Clean Copy" xfId="27" xr:uid="{00000000-0005-0000-0000-00001A000000}"/>
    <cellStyle name="_Gulfstream Gas_130204 2013 - 2061 LONG-TERM FORECAST FPL METHODOLOGY Clean Copy 2" xfId="274" xr:uid="{5985EF59-7070-4A2A-931C-49CE531EB8A4}"/>
    <cellStyle name="_Gulfstream Gas_MTHLY_MWH_to EOC_AS AVAILABLE" xfId="28" xr:uid="{00000000-0005-0000-0000-00001B000000}"/>
    <cellStyle name="_Gulfstream Gas_MTHLY_MWH_to EOC_AS AVAILABLE 2" xfId="275" xr:uid="{628AD740-533A-4C6C-8575-2A5497E1215C}"/>
    <cellStyle name="_MR .7 Oil" xfId="29" xr:uid="{00000000-0005-0000-0000-00001C000000}"/>
    <cellStyle name="_MR .7 Oil 2" xfId="30" xr:uid="{00000000-0005-0000-0000-00001D000000}"/>
    <cellStyle name="_MR .7 Oil 2 2" xfId="277" xr:uid="{60C209A7-6D32-46B5-8127-04D4DC250654}"/>
    <cellStyle name="_MR .7 Oil 3" xfId="276" xr:uid="{AB022D94-24FB-45BC-9576-8F8EFDE892EC}"/>
    <cellStyle name="_MR .7 Oil_130204 2013 - 2061 LONG-TERM FORECAST FPL METHODOLOGY Clean Copy" xfId="31" xr:uid="{00000000-0005-0000-0000-00001E000000}"/>
    <cellStyle name="_MR .7 Oil_130204 2013 - 2061 LONG-TERM FORECAST FPL METHODOLOGY Clean Copy 2" xfId="278" xr:uid="{A4A451E7-EA36-46D5-9958-06FCE645C775}"/>
    <cellStyle name="_MR .7 Oil_MTHLY_MWH_to EOC_AS AVAILABLE" xfId="32" xr:uid="{00000000-0005-0000-0000-00001F000000}"/>
    <cellStyle name="_MR .7 Oil_MTHLY_MWH_to EOC_AS AVAILABLE 2" xfId="279" xr:uid="{B3FAF751-F5B6-4AB5-95E3-D0B8A6DAAF8A}"/>
    <cellStyle name="_MR 1 Oil" xfId="33" xr:uid="{00000000-0005-0000-0000-000020000000}"/>
    <cellStyle name="_MR 1 Oil 2" xfId="34" xr:uid="{00000000-0005-0000-0000-000021000000}"/>
    <cellStyle name="_MR 1 Oil 2 2" xfId="281" xr:uid="{D38DA374-EA51-4C8D-B35B-153EF5C76B26}"/>
    <cellStyle name="_MR 1 Oil 3" xfId="280" xr:uid="{FDEFF45D-D5C1-4760-A88E-5BD57B63717E}"/>
    <cellStyle name="_MR 1 Oil_130204 2013 - 2061 LONG-TERM FORECAST FPL METHODOLOGY Clean Copy" xfId="35" xr:uid="{00000000-0005-0000-0000-000022000000}"/>
    <cellStyle name="_MR 1 Oil_130204 2013 - 2061 LONG-TERM FORECAST FPL METHODOLOGY Clean Copy 2" xfId="282" xr:uid="{0DBCAA9D-7C10-42C4-A834-D171C9B2F751}"/>
    <cellStyle name="_MR 1 Oil_MTHLY_MWH_to EOC_AS AVAILABLE" xfId="36" xr:uid="{00000000-0005-0000-0000-000023000000}"/>
    <cellStyle name="_MR 1 Oil_MTHLY_MWH_to EOC_AS AVAILABLE 2" xfId="283" xr:uid="{3BBAA844-6A6E-4903-B226-AA96849303E1}"/>
    <cellStyle name="_MRCT Oil" xfId="37" xr:uid="{00000000-0005-0000-0000-000024000000}"/>
    <cellStyle name="_MRCT Oil 2" xfId="38" xr:uid="{00000000-0005-0000-0000-000025000000}"/>
    <cellStyle name="_MRCT Oil 2 2" xfId="285" xr:uid="{5A2DBE09-61D3-41C9-8945-937DD9A4E51B}"/>
    <cellStyle name="_MRCT Oil 3" xfId="284" xr:uid="{4959923B-07E6-44EB-9228-4D47260C8C8D}"/>
    <cellStyle name="_MRCT Oil_130204 2013 - 2061 LONG-TERM FORECAST FPL METHODOLOGY Clean Copy" xfId="39" xr:uid="{00000000-0005-0000-0000-000026000000}"/>
    <cellStyle name="_MRCT Oil_130204 2013 - 2061 LONG-TERM FORECAST FPL METHODOLOGY Clean Copy 2" xfId="286" xr:uid="{45A76334-BD3F-4493-9A7B-D6AEB4F169DE}"/>
    <cellStyle name="_MRCT Oil_MTHLY_MWH_to EOC_AS AVAILABLE" xfId="40" xr:uid="{00000000-0005-0000-0000-000027000000}"/>
    <cellStyle name="_MRCT Oil_MTHLY_MWH_to EOC_AS AVAILABLE 2" xfId="287" xr:uid="{F2D0E459-3ACB-4E92-BF60-CEF39E7A0BFC}"/>
    <cellStyle name="_MT Gulfstream Gas" xfId="41" xr:uid="{00000000-0005-0000-0000-000028000000}"/>
    <cellStyle name="_MT Gulfstream Gas 2" xfId="42" xr:uid="{00000000-0005-0000-0000-000029000000}"/>
    <cellStyle name="_MT Gulfstream Gas 2 2" xfId="289" xr:uid="{0FA22C90-82A9-472E-BF28-104F9C71A4E7}"/>
    <cellStyle name="_MT Gulfstream Gas 3" xfId="288" xr:uid="{EACB66CA-7602-4425-B214-D30F06C90BF7}"/>
    <cellStyle name="_MT Gulfstream Gas_130204 2013 - 2061 LONG-TERM FORECAST FPL METHODOLOGY Clean Copy" xfId="43" xr:uid="{00000000-0005-0000-0000-00002A000000}"/>
    <cellStyle name="_MT Gulfstream Gas_130204 2013 - 2061 LONG-TERM FORECAST FPL METHODOLOGY Clean Copy 2" xfId="290" xr:uid="{60253E7D-AA12-40CE-9289-EA34AF4FA412}"/>
    <cellStyle name="_MT Gulfstream Gas_MTHLY_MWH_to EOC_AS AVAILABLE" xfId="44" xr:uid="{00000000-0005-0000-0000-00002B000000}"/>
    <cellStyle name="_MT Gulfstream Gas_MTHLY_MWH_to EOC_AS AVAILABLE 2" xfId="291" xr:uid="{0E8A0D52-3452-4039-9804-2A505A40828C}"/>
    <cellStyle name="_MT Oil" xfId="45" xr:uid="{00000000-0005-0000-0000-00002C000000}"/>
    <cellStyle name="_MT Oil 2" xfId="46" xr:uid="{00000000-0005-0000-0000-00002D000000}"/>
    <cellStyle name="_MT Oil 2 2" xfId="293" xr:uid="{28EEE82A-8EC4-42A9-8878-4937D01A9FC9}"/>
    <cellStyle name="_MT Oil 3" xfId="292" xr:uid="{D74A2326-0FA8-43B8-9DAD-8F4BD8550C4C}"/>
    <cellStyle name="_MT Oil_130204 2013 - 2061 LONG-TERM FORECAST FPL METHODOLOGY Clean Copy" xfId="47" xr:uid="{00000000-0005-0000-0000-00002E000000}"/>
    <cellStyle name="_MT Oil_130204 2013 - 2061 LONG-TERM FORECAST FPL METHODOLOGY Clean Copy 2" xfId="294" xr:uid="{30916998-D32C-4833-8E8A-CA133D8D9026}"/>
    <cellStyle name="_MT Oil_MTHLY_MWH_to EOC_AS AVAILABLE" xfId="48" xr:uid="{00000000-0005-0000-0000-00002F000000}"/>
    <cellStyle name="_MT Oil_MTHLY_MWH_to EOC_AS AVAILABLE 2" xfId="295" xr:uid="{26162310-682B-4ADA-BCB0-2A367744409B}"/>
    <cellStyle name="_OLCT Oil" xfId="49" xr:uid="{00000000-0005-0000-0000-000030000000}"/>
    <cellStyle name="_OLCT Oil 2" xfId="50" xr:uid="{00000000-0005-0000-0000-000031000000}"/>
    <cellStyle name="_OLCT Oil 2 2" xfId="297" xr:uid="{91293148-0FA0-4F8C-8646-82BEA79D8D88}"/>
    <cellStyle name="_OLCT Oil 3" xfId="296" xr:uid="{DAB67AFC-F0AD-402C-8148-51DB768A340F}"/>
    <cellStyle name="_OLCT Oil_130204 2013 - 2061 LONG-TERM FORECAST FPL METHODOLOGY Clean Copy" xfId="51" xr:uid="{00000000-0005-0000-0000-000032000000}"/>
    <cellStyle name="_OLCT Oil_130204 2013 - 2061 LONG-TERM FORECAST FPL METHODOLOGY Clean Copy 2" xfId="298" xr:uid="{2FB69750-D43D-4C51-A0DC-7D16CF92D0A8}"/>
    <cellStyle name="_OLCT Oil_MTHLY_MWH_to EOC_AS AVAILABLE" xfId="52" xr:uid="{00000000-0005-0000-0000-000033000000}"/>
    <cellStyle name="_OLCT Oil_MTHLY_MWH_to EOC_AS AVAILABLE 2" xfId="299" xr:uid="{7AA2D517-B29E-4476-AB09-9B693131031C}"/>
    <cellStyle name="_PE Oil" xfId="53" xr:uid="{00000000-0005-0000-0000-000034000000}"/>
    <cellStyle name="_PE Oil 2" xfId="54" xr:uid="{00000000-0005-0000-0000-000035000000}"/>
    <cellStyle name="_PE Oil 2 2" xfId="301" xr:uid="{6E5F25B7-6173-4073-A5DA-125C6E4DA666}"/>
    <cellStyle name="_PE Oil 3" xfId="300" xr:uid="{57CFAC76-448C-4CF3-BED5-64107B4411FC}"/>
    <cellStyle name="_PE Oil_130204 2013 - 2061 LONG-TERM FORECAST FPL METHODOLOGY Clean Copy" xfId="55" xr:uid="{00000000-0005-0000-0000-000036000000}"/>
    <cellStyle name="_PE Oil_130204 2013 - 2061 LONG-TERM FORECAST FPL METHODOLOGY Clean Copy 2" xfId="302" xr:uid="{CC258C17-322E-4AAB-A14E-EAB868E085A3}"/>
    <cellStyle name="_PE Oil_MTHLY_MWH_to EOC_AS AVAILABLE" xfId="56" xr:uid="{00000000-0005-0000-0000-000037000000}"/>
    <cellStyle name="_PE Oil_MTHLY_MWH_to EOC_AS AVAILABLE 2" xfId="303" xr:uid="{29008402-6E90-4DB5-92CD-25543FBE7CA2}"/>
    <cellStyle name="_PN Oil" xfId="57" xr:uid="{00000000-0005-0000-0000-000038000000}"/>
    <cellStyle name="_PN Oil 2" xfId="58" xr:uid="{00000000-0005-0000-0000-000039000000}"/>
    <cellStyle name="_PN Oil 2 2" xfId="305" xr:uid="{A00495FF-FF26-4F64-9F41-413D0D86BD71}"/>
    <cellStyle name="_PN Oil 3" xfId="304" xr:uid="{26D0EA87-422C-462A-B0F5-E85234E5C053}"/>
    <cellStyle name="_PN Oil_130204 2013 - 2061 LONG-TERM FORECAST FPL METHODOLOGY Clean Copy" xfId="59" xr:uid="{00000000-0005-0000-0000-00003A000000}"/>
    <cellStyle name="_PN Oil_130204 2013 - 2061 LONG-TERM FORECAST FPL METHODOLOGY Clean Copy 2" xfId="306" xr:uid="{6677948F-93EB-4573-9371-FF96C0C213FC}"/>
    <cellStyle name="_PN Oil_MTHLY_MWH_to EOC_AS AVAILABLE" xfId="60" xr:uid="{00000000-0005-0000-0000-00003B000000}"/>
    <cellStyle name="_PN Oil_MTHLY_MWH_to EOC_AS AVAILABLE 2" xfId="307" xr:uid="{91FAD932-92A2-4C32-8BC3-1665A7AC89F4}"/>
    <cellStyle name="_RV Oil" xfId="61" xr:uid="{00000000-0005-0000-0000-00003C000000}"/>
    <cellStyle name="_RV Oil 2" xfId="62" xr:uid="{00000000-0005-0000-0000-00003D000000}"/>
    <cellStyle name="_RV Oil 2 2" xfId="309" xr:uid="{B626BC91-37B0-40BB-B3E7-89745BA17018}"/>
    <cellStyle name="_RV Oil 3" xfId="308" xr:uid="{3C531CE2-800D-4B80-8DE9-4F39AB71879D}"/>
    <cellStyle name="_RV Oil_130204 2013 - 2061 LONG-TERM FORECAST FPL METHODOLOGY Clean Copy" xfId="63" xr:uid="{00000000-0005-0000-0000-00003E000000}"/>
    <cellStyle name="_RV Oil_130204 2013 - 2061 LONG-TERM FORECAST FPL METHODOLOGY Clean Copy 2" xfId="310" xr:uid="{6347FDCF-03B1-4C10-85F4-371AE3A8B35F}"/>
    <cellStyle name="_RV Oil_MTHLY_MWH_to EOC_AS AVAILABLE" xfId="64" xr:uid="{00000000-0005-0000-0000-00003F000000}"/>
    <cellStyle name="_RV Oil_MTHLY_MWH_to EOC_AS AVAILABLE 2" xfId="311" xr:uid="{C79BC73F-45FD-4510-8F7E-2A78164517E3}"/>
    <cellStyle name="_SHCT Oil" xfId="65" xr:uid="{00000000-0005-0000-0000-000040000000}"/>
    <cellStyle name="_SHCT Oil 2" xfId="66" xr:uid="{00000000-0005-0000-0000-000041000000}"/>
    <cellStyle name="_SHCT Oil 2 2" xfId="313" xr:uid="{EFF0ACEA-5109-4B32-A741-284C40F23AF3}"/>
    <cellStyle name="_SHCT Oil 3" xfId="312" xr:uid="{ADB8AE9B-3B38-4B4C-B83F-9072DF8F635D}"/>
    <cellStyle name="_SHCT Oil_130204 2013 - 2061 LONG-TERM FORECAST FPL METHODOLOGY Clean Copy" xfId="67" xr:uid="{00000000-0005-0000-0000-000042000000}"/>
    <cellStyle name="_SHCT Oil_130204 2013 - 2061 LONG-TERM FORECAST FPL METHODOLOGY Clean Copy 2" xfId="314" xr:uid="{E470C229-76A6-4D0B-A85E-4F26270DCFB2}"/>
    <cellStyle name="_SHCT Oil_MTHLY_MWH_to EOC_AS AVAILABLE" xfId="68" xr:uid="{00000000-0005-0000-0000-000043000000}"/>
    <cellStyle name="_SHCT Oil_MTHLY_MWH_to EOC_AS AVAILABLE 2" xfId="315" xr:uid="{97CA8130-32B6-4933-82AB-497AD77E8249}"/>
    <cellStyle name="_SN Oil" xfId="69" xr:uid="{00000000-0005-0000-0000-000044000000}"/>
    <cellStyle name="_SN Oil 2" xfId="70" xr:uid="{00000000-0005-0000-0000-000045000000}"/>
    <cellStyle name="_SN Oil 2 2" xfId="317" xr:uid="{B01AAF6D-0D7B-410A-BDD8-5099941471FB}"/>
    <cellStyle name="_SN Oil 3" xfId="316" xr:uid="{AD123508-5CEB-4941-AE3B-9DDDFA58035C}"/>
    <cellStyle name="_SN Oil_130204 2013 - 2061 LONG-TERM FORECAST FPL METHODOLOGY Clean Copy" xfId="71" xr:uid="{00000000-0005-0000-0000-000046000000}"/>
    <cellStyle name="_SN Oil_130204 2013 - 2061 LONG-TERM FORECAST FPL METHODOLOGY Clean Copy 2" xfId="318" xr:uid="{25D8ECEC-FD2D-4A46-A3D1-98C8089D698F}"/>
    <cellStyle name="_SN Oil_MTHLY_MWH_to EOC_AS AVAILABLE" xfId="72" xr:uid="{00000000-0005-0000-0000-000047000000}"/>
    <cellStyle name="_SN Oil_MTHLY_MWH_to EOC_AS AVAILABLE 2" xfId="319" xr:uid="{EF07048E-26D7-4F37-91C8-1DEF728A893A}"/>
    <cellStyle name="_TP Oil" xfId="73" xr:uid="{00000000-0005-0000-0000-000048000000}"/>
    <cellStyle name="_TP Oil 2" xfId="74" xr:uid="{00000000-0005-0000-0000-000049000000}"/>
    <cellStyle name="_TP Oil 2 2" xfId="321" xr:uid="{703D55D1-4FA5-4238-8C0C-33276081721B}"/>
    <cellStyle name="_TP Oil 3" xfId="320" xr:uid="{CAC290CC-19DB-4389-AA0C-8BB78684D340}"/>
    <cellStyle name="_TP Oil_130204 2013 - 2061 LONG-TERM FORECAST FPL METHODOLOGY Clean Copy" xfId="75" xr:uid="{00000000-0005-0000-0000-00004A000000}"/>
    <cellStyle name="_TP Oil_130204 2013 - 2061 LONG-TERM FORECAST FPL METHODOLOGY Clean Copy 2" xfId="322" xr:uid="{90E58C28-1687-4796-94F3-5DED833CC338}"/>
    <cellStyle name="_TP Oil_MTHLY_MWH_to EOC_AS AVAILABLE" xfId="76" xr:uid="{00000000-0005-0000-0000-00004B000000}"/>
    <cellStyle name="_TP Oil_MTHLY_MWH_to EOC_AS AVAILABLE 2" xfId="323" xr:uid="{310E91EC-1449-4C7B-9A18-5532A90A89C6}"/>
    <cellStyle name="_x0010_“+ˆÉ•?pý¤" xfId="77" xr:uid="{00000000-0005-0000-0000-00004C000000}"/>
    <cellStyle name="_x0010_“+ˆÉ•?pý¤ 2" xfId="324" xr:uid="{7C57763F-5B24-4F10-BE7F-8EA01C658554}"/>
    <cellStyle name="20% - Accent1" xfId="78" builtinId="30" customBuiltin="1"/>
    <cellStyle name="20% - Accent1 2" xfId="79" xr:uid="{00000000-0005-0000-0000-00004E000000}"/>
    <cellStyle name="20% - Accent2" xfId="80" builtinId="34" customBuiltin="1"/>
    <cellStyle name="20% - Accent2 2" xfId="81" xr:uid="{00000000-0005-0000-0000-000050000000}"/>
    <cellStyle name="20% - Accent3" xfId="82" builtinId="38" customBuiltin="1"/>
    <cellStyle name="20% - Accent3 2" xfId="83" xr:uid="{00000000-0005-0000-0000-000052000000}"/>
    <cellStyle name="20% - Accent4" xfId="84" builtinId="42" customBuiltin="1"/>
    <cellStyle name="20% - Accent4 2" xfId="85" xr:uid="{00000000-0005-0000-0000-000054000000}"/>
    <cellStyle name="20% - Accent5" xfId="86" builtinId="46" customBuiltin="1"/>
    <cellStyle name="20% - Accent5 2" xfId="87" xr:uid="{00000000-0005-0000-0000-000056000000}"/>
    <cellStyle name="20% - Accent6" xfId="88" builtinId="50" customBuiltin="1"/>
    <cellStyle name="20% - Accent6 2" xfId="89" xr:uid="{00000000-0005-0000-0000-000058000000}"/>
    <cellStyle name="40% - Accent1" xfId="90" builtinId="31" customBuiltin="1"/>
    <cellStyle name="40% - Accent1 2" xfId="91" xr:uid="{00000000-0005-0000-0000-00005A000000}"/>
    <cellStyle name="40% - Accent2" xfId="92" builtinId="35" customBuiltin="1"/>
    <cellStyle name="40% - Accent2 2" xfId="93" xr:uid="{00000000-0005-0000-0000-00005C000000}"/>
    <cellStyle name="40% - Accent3" xfId="94" builtinId="39" customBuiltin="1"/>
    <cellStyle name="40% - Accent3 2" xfId="95" xr:uid="{00000000-0005-0000-0000-00005E000000}"/>
    <cellStyle name="40% - Accent4" xfId="96" builtinId="43" customBuiltin="1"/>
    <cellStyle name="40% - Accent4 2" xfId="97" xr:uid="{00000000-0005-0000-0000-000060000000}"/>
    <cellStyle name="40% - Accent5" xfId="98" builtinId="47" customBuiltin="1"/>
    <cellStyle name="40% - Accent5 2" xfId="99" xr:uid="{00000000-0005-0000-0000-000062000000}"/>
    <cellStyle name="40% - Accent6" xfId="100" builtinId="51" customBuiltin="1"/>
    <cellStyle name="40% - Accent6 2" xfId="101" xr:uid="{00000000-0005-0000-0000-000064000000}"/>
    <cellStyle name="60% - Accent1" xfId="102" builtinId="32" customBuiltin="1"/>
    <cellStyle name="60% - Accent1 2" xfId="103" xr:uid="{00000000-0005-0000-0000-000066000000}"/>
    <cellStyle name="60% - Accent2" xfId="104" builtinId="36" customBuiltin="1"/>
    <cellStyle name="60% - Accent2 2" xfId="105" xr:uid="{00000000-0005-0000-0000-000068000000}"/>
    <cellStyle name="60% - Accent3" xfId="106" builtinId="40" customBuiltin="1"/>
    <cellStyle name="60% - Accent3 2" xfId="107" xr:uid="{00000000-0005-0000-0000-00006A000000}"/>
    <cellStyle name="60% - Accent4" xfId="108" builtinId="44" customBuiltin="1"/>
    <cellStyle name="60% - Accent4 2" xfId="109" xr:uid="{00000000-0005-0000-0000-00006C000000}"/>
    <cellStyle name="60% - Accent5" xfId="110" builtinId="48" customBuiltin="1"/>
    <cellStyle name="60% - Accent5 2" xfId="111" xr:uid="{00000000-0005-0000-0000-00006E000000}"/>
    <cellStyle name="60% - Accent6" xfId="112" builtinId="52" customBuiltin="1"/>
    <cellStyle name="60% - Accent6 2" xfId="113" xr:uid="{00000000-0005-0000-0000-000070000000}"/>
    <cellStyle name="Accent1" xfId="114" builtinId="29" customBuiltin="1"/>
    <cellStyle name="Accent1 2" xfId="115" xr:uid="{00000000-0005-0000-0000-000072000000}"/>
    <cellStyle name="Accent2" xfId="116" builtinId="33" customBuiltin="1"/>
    <cellStyle name="Accent2 2" xfId="117" xr:uid="{00000000-0005-0000-0000-000074000000}"/>
    <cellStyle name="Accent3" xfId="118" builtinId="37" customBuiltin="1"/>
    <cellStyle name="Accent3 2" xfId="119" xr:uid="{00000000-0005-0000-0000-000076000000}"/>
    <cellStyle name="Accent4" xfId="120" builtinId="41" customBuiltin="1"/>
    <cellStyle name="Accent4 2" xfId="121" xr:uid="{00000000-0005-0000-0000-000078000000}"/>
    <cellStyle name="Accent5" xfId="122" builtinId="45" customBuiltin="1"/>
    <cellStyle name="Accent5 2" xfId="123" xr:uid="{00000000-0005-0000-0000-00007A000000}"/>
    <cellStyle name="Accent6" xfId="124" builtinId="49" customBuiltin="1"/>
    <cellStyle name="Accent6 2" xfId="125" xr:uid="{00000000-0005-0000-0000-00007C000000}"/>
    <cellStyle name="ActiveColumnHeaderStyle" xfId="241" xr:uid="{1C5F3DF6-91C9-45EA-B32C-A12D4B4AFA22}"/>
    <cellStyle name="ActiveRowHeaderStyle" xfId="240" xr:uid="{50580490-343F-430D-A173-89840E2EACCB}"/>
    <cellStyle name="Adjustable" xfId="126" xr:uid="{00000000-0005-0000-0000-00007D000000}"/>
    <cellStyle name="alt" xfId="244" xr:uid="{03032D03-10B5-4CD6-B376-6CFF23536050}"/>
    <cellStyle name="Bad" xfId="127" builtinId="27" customBuiltin="1"/>
    <cellStyle name="Bad 2" xfId="128" xr:uid="{00000000-0005-0000-0000-00007F000000}"/>
    <cellStyle name="Calc Currency (0)" xfId="129" xr:uid="{00000000-0005-0000-0000-000080000000}"/>
    <cellStyle name="Calc Currency (0) 2" xfId="325" xr:uid="{668B6563-B780-462C-ACF6-4C42AEBABF77}"/>
    <cellStyle name="Calculation" xfId="130" builtinId="22" customBuiltin="1"/>
    <cellStyle name="Calculation 2" xfId="131" xr:uid="{00000000-0005-0000-0000-000082000000}"/>
    <cellStyle name="Check Cell" xfId="132" builtinId="23" customBuiltin="1"/>
    <cellStyle name="Check Cell 2" xfId="133" xr:uid="{00000000-0005-0000-0000-000084000000}"/>
    <cellStyle name="Comma 2" xfId="134" xr:uid="{00000000-0005-0000-0000-000086000000}"/>
    <cellStyle name="Comma 2 2" xfId="135" xr:uid="{00000000-0005-0000-0000-000087000000}"/>
    <cellStyle name="Comma 2 3" xfId="326" xr:uid="{BCF1807B-0293-47E4-B0B6-7E3D04381BD7}"/>
    <cellStyle name="Comma 3" xfId="136" xr:uid="{00000000-0005-0000-0000-000088000000}"/>
    <cellStyle name="Comma 3 2" xfId="137" xr:uid="{00000000-0005-0000-0000-000089000000}"/>
    <cellStyle name="Comma 3 2 2" xfId="328" xr:uid="{E93A66D0-26B9-4525-80A7-180D48CAE618}"/>
    <cellStyle name="Comma 3 3" xfId="327" xr:uid="{12849A3C-C74A-4F50-AAA6-A59A1CEFC099}"/>
    <cellStyle name="Comma 4" xfId="138" xr:uid="{00000000-0005-0000-0000-00008A000000}"/>
    <cellStyle name="Copied" xfId="139" xr:uid="{00000000-0005-0000-0000-00008B000000}"/>
    <cellStyle name="Currency 2" xfId="140" xr:uid="{00000000-0005-0000-0000-00008C000000}"/>
    <cellStyle name="Currency 2 2" xfId="141" xr:uid="{00000000-0005-0000-0000-00008D000000}"/>
    <cellStyle name="Currency 2 2 2" xfId="330" xr:uid="{065DF3B8-482F-4CFF-8DF9-1042502378CA}"/>
    <cellStyle name="Currency 2 3" xfId="329" xr:uid="{A9B274CD-A82A-43E6-AD75-7FAE66506C1D}"/>
    <cellStyle name="Currency 3" xfId="142" xr:uid="{00000000-0005-0000-0000-00008E000000}"/>
    <cellStyle name="Currency 3 2" xfId="143" xr:uid="{00000000-0005-0000-0000-00008F000000}"/>
    <cellStyle name="Currency 3 2 2" xfId="332" xr:uid="{2A38363D-7F91-4F38-AE51-8CBC8E889F80}"/>
    <cellStyle name="Currency 3 3" xfId="331" xr:uid="{3E3C263A-0134-41B7-A642-59DD3EAB3952}"/>
    <cellStyle name="Date" xfId="144" xr:uid="{00000000-0005-0000-0000-000090000000}"/>
    <cellStyle name="Date 2" xfId="333" xr:uid="{19657123-634F-45C3-9691-EDAC8D3A3EED}"/>
    <cellStyle name="DefaultHeaderStyle" xfId="243" xr:uid="{5C7353F6-0555-4443-A981-8E3D16E922F9}"/>
    <cellStyle name="Dollars" xfId="145" xr:uid="{00000000-0005-0000-0000-000091000000}"/>
    <cellStyle name="Dollars 2" xfId="334" xr:uid="{3DB4FC3A-5F11-4A4C-96EF-4363F3E83ECF}"/>
    <cellStyle name="Duration" xfId="146" xr:uid="{00000000-0005-0000-0000-000092000000}"/>
    <cellStyle name="Duration 2" xfId="335" xr:uid="{A093FD89-DEDD-4330-86B1-263493B54673}"/>
    <cellStyle name="Entered" xfId="147" xr:uid="{00000000-0005-0000-0000-000093000000}"/>
    <cellStyle name="Euro" xfId="148" xr:uid="{00000000-0005-0000-0000-000094000000}"/>
    <cellStyle name="Explanatory Text" xfId="149" builtinId="53" customBuiltin="1"/>
    <cellStyle name="Explanatory Text 2" xfId="150" xr:uid="{00000000-0005-0000-0000-000096000000}"/>
    <cellStyle name="FrozenColumnHeader" xfId="242" xr:uid="{DC8DD4FD-6709-4A4A-9A84-8492E9E4CEBF}"/>
    <cellStyle name="Good" xfId="151" builtinId="26" customBuiltin="1"/>
    <cellStyle name="Good 2" xfId="152" xr:uid="{00000000-0005-0000-0000-000098000000}"/>
    <cellStyle name="Grey" xfId="153" xr:uid="{00000000-0005-0000-0000-000099000000}"/>
    <cellStyle name="Grey 2" xfId="336" xr:uid="{3F5DDC17-875D-4080-B943-1E0DF0BED42B}"/>
    <cellStyle name="Header1" xfId="154" xr:uid="{00000000-0005-0000-0000-00009A000000}"/>
    <cellStyle name="Header2" xfId="155" xr:uid="{00000000-0005-0000-0000-00009B000000}"/>
    <cellStyle name="Heading 1" xfId="156" builtinId="16" customBuiltin="1"/>
    <cellStyle name="Heading 1 2" xfId="157" xr:uid="{00000000-0005-0000-0000-00009D000000}"/>
    <cellStyle name="Heading 2" xfId="158" builtinId="17" customBuiltin="1"/>
    <cellStyle name="Heading 2 2" xfId="159" xr:uid="{00000000-0005-0000-0000-00009F000000}"/>
    <cellStyle name="Heading 3" xfId="160" builtinId="18" customBuiltin="1"/>
    <cellStyle name="Heading 3 2" xfId="161" xr:uid="{00000000-0005-0000-0000-0000A1000000}"/>
    <cellStyle name="Heading 4" xfId="162" builtinId="19" customBuiltin="1"/>
    <cellStyle name="Heading 4 2" xfId="163" xr:uid="{00000000-0005-0000-0000-0000A3000000}"/>
    <cellStyle name="InactiveRowHeaderStyle" xfId="239" xr:uid="{A9DA7EE9-2757-44C6-8240-546F133AA518}"/>
    <cellStyle name="Input" xfId="164" builtinId="20" customBuiltin="1"/>
    <cellStyle name="Input [yellow]" xfId="165" xr:uid="{00000000-0005-0000-0000-0000A5000000}"/>
    <cellStyle name="Input [yellow] 2" xfId="337" xr:uid="{F07DBFEA-3C1D-4EF8-AB88-F9085F1DD923}"/>
    <cellStyle name="Input 2" xfId="166" xr:uid="{00000000-0005-0000-0000-0000A6000000}"/>
    <cellStyle name="Linked Cell" xfId="167" builtinId="24" customBuiltin="1"/>
    <cellStyle name="Linked Cell 2" xfId="168" xr:uid="{00000000-0005-0000-0000-0000A8000000}"/>
    <cellStyle name="Millares [0]_2AV_M_M " xfId="169" xr:uid="{00000000-0005-0000-0000-0000A9000000}"/>
    <cellStyle name="Millares_2AV_M_M " xfId="170" xr:uid="{00000000-0005-0000-0000-0000AA000000}"/>
    <cellStyle name="Moneda [0]_2AV_M_M " xfId="171" xr:uid="{00000000-0005-0000-0000-0000AB000000}"/>
    <cellStyle name="Moneda_2AV_M_M " xfId="172" xr:uid="{00000000-0005-0000-0000-0000AC000000}"/>
    <cellStyle name="Neutral" xfId="173" builtinId="28" customBuiltin="1"/>
    <cellStyle name="Neutral 2" xfId="174" xr:uid="{00000000-0005-0000-0000-0000AE000000}"/>
    <cellStyle name="NonStandardColumnStyle" xfId="238" xr:uid="{3E105239-6C3A-4820-8C5F-4FFF98741B59}"/>
    <cellStyle name="Normal" xfId="0" builtinId="0"/>
    <cellStyle name="Normal - Style1" xfId="175" xr:uid="{00000000-0005-0000-0000-0000B0000000}"/>
    <cellStyle name="Normal - Style1 2" xfId="338" xr:uid="{13D95ED8-1BFF-4E43-B519-8E6F30F1A1B8}"/>
    <cellStyle name="Normal 10" xfId="176" xr:uid="{00000000-0005-0000-0000-0000B1000000}"/>
    <cellStyle name="Normal 10 2" xfId="339" xr:uid="{CF7FD8AE-24C4-4513-A6AC-992B5ADE3B3E}"/>
    <cellStyle name="Normal 11" xfId="227" xr:uid="{3792DF75-3336-4065-B29A-1A92D72D0996}"/>
    <cellStyle name="Normal 11 2" xfId="355" xr:uid="{E38939B3-F56B-43FC-94D4-25626D08820C}"/>
    <cellStyle name="Normal 12" xfId="246" xr:uid="{AB3995DA-09ED-485B-ADC4-5D9A72DA20C5}"/>
    <cellStyle name="Normal 12 2" xfId="358" xr:uid="{0EBFE368-A4EB-42E9-AF76-3CEF098EA4DB}"/>
    <cellStyle name="Normal 13" xfId="177" xr:uid="{00000000-0005-0000-0000-0000B2000000}"/>
    <cellStyle name="Normal 14" xfId="359" xr:uid="{EC25F9E3-FCF2-4951-A104-30E2D5E3F9DC}"/>
    <cellStyle name="Normal 15" xfId="362" xr:uid="{8AFAECD1-4CFD-448E-8831-E9D7051BDEAD}"/>
    <cellStyle name="Normal 16" xfId="364" xr:uid="{1292D3B8-F691-4628-BD00-3CC19D2C2EF5}"/>
    <cellStyle name="Normal 17" xfId="363" xr:uid="{AE6749B8-38EE-4487-B316-C4001AB48D6F}"/>
    <cellStyle name="Normal 18" xfId="247" xr:uid="{4622731D-516A-423E-9411-A9159BDD135A}"/>
    <cellStyle name="Normal 19" xfId="353" xr:uid="{627A0E7F-C7AE-42BA-806F-24491F1DB1DA}"/>
    <cellStyle name="Normal 2" xfId="178" xr:uid="{00000000-0005-0000-0000-0000B3000000}"/>
    <cellStyle name="Normal 2 2" xfId="179" xr:uid="{00000000-0005-0000-0000-0000B4000000}"/>
    <cellStyle name="Normal 2 2 2" xfId="228" xr:uid="{9487D0A4-C3F6-4A47-9036-A420C32BD52C}"/>
    <cellStyle name="Normal 2 2 2 2" xfId="229" xr:uid="{1BA8FC94-77AA-40F8-A8F5-C05E98BA36F7}"/>
    <cellStyle name="Normal 2 2 3" xfId="234" xr:uid="{561BBD82-B6B5-4A69-8014-D23C0D5693E0}"/>
    <cellStyle name="Normal 2 2 4" xfId="232" xr:uid="{492AC89A-9607-4345-915C-D191F3362CB4}"/>
    <cellStyle name="Normal 2 2 5" xfId="245" xr:uid="{71E7C63B-79DF-4ADD-A65D-E88D1900249D}"/>
    <cellStyle name="Normal 2 3" xfId="180" xr:uid="{00000000-0005-0000-0000-0000B5000000}"/>
    <cellStyle name="Normal 2 4" xfId="236" xr:uid="{F06EDA38-C0D5-47E0-AF8A-F9E56F82A1AA}"/>
    <cellStyle name="Normal 2_2009-Oct 2021 RR Current" xfId="181" xr:uid="{00000000-0005-0000-0000-0000B6000000}"/>
    <cellStyle name="Normal 20" xfId="365" xr:uid="{58689343-81E2-40FA-8170-75E2F326984E}"/>
    <cellStyle name="Normal 21" xfId="345" xr:uid="{168357B3-3CE2-459D-801F-54046A150EEE}"/>
    <cellStyle name="Normal 3" xfId="182" xr:uid="{00000000-0005-0000-0000-0000B7000000}"/>
    <cellStyle name="Normal 3 2" xfId="183" xr:uid="{00000000-0005-0000-0000-0000B8000000}"/>
    <cellStyle name="Normal 3 2 2" xfId="341" xr:uid="{9434241F-9C80-4710-A6D2-697D1BA8D3D9}"/>
    <cellStyle name="Normal 3 3" xfId="340" xr:uid="{FB0314CF-C2DB-4AF2-B6CA-710C33C2B36A}"/>
    <cellStyle name="Normal 4" xfId="184" xr:uid="{00000000-0005-0000-0000-0000B9000000}"/>
    <cellStyle name="Normal 4 2" xfId="185" xr:uid="{00000000-0005-0000-0000-0000BA000000}"/>
    <cellStyle name="Normal 4 2 2" xfId="233" xr:uid="{BBD1213B-C2CF-4CA4-A5A1-93F456F3AB17}"/>
    <cellStyle name="Normal 4 2 2 2" xfId="361" xr:uid="{118B62BB-629F-4C8C-920D-09C234A6BCC6}"/>
    <cellStyle name="Normal 4 2 2 3" xfId="357" xr:uid="{C206936F-A967-4E3B-A0C3-07B6B3E20B89}"/>
    <cellStyle name="Normal 4 2 3" xfId="342" xr:uid="{2304553A-ABBB-4CEB-BD9E-4E0CAE94E886}"/>
    <cellStyle name="Normal 4 3 2" xfId="235" xr:uid="{DBE3F030-FA2B-48BE-BF0B-C763EFF38509}"/>
    <cellStyle name="Normal 5" xfId="186" xr:uid="{00000000-0005-0000-0000-0000BB000000}"/>
    <cellStyle name="Normal 5 2" xfId="187" xr:uid="{00000000-0005-0000-0000-0000BC000000}"/>
    <cellStyle name="Normal 5 2 2 2" xfId="230" xr:uid="{95BECE48-3354-44FD-ADB1-172921C58F9A}"/>
    <cellStyle name="Normal 5 2 2 2 2" xfId="360" xr:uid="{A428C00D-0E4A-4AB0-9861-26038870F6A7}"/>
    <cellStyle name="Normal 5 2 2 2 3" xfId="356" xr:uid="{83D574D0-1849-4BC8-9A3D-2F01F5D01BCD}"/>
    <cellStyle name="Normal 5 3" xfId="343" xr:uid="{51FA4872-1B7B-4EAC-A80E-3CA500B7CECB}"/>
    <cellStyle name="Normal 6" xfId="188" xr:uid="{00000000-0005-0000-0000-0000BD000000}"/>
    <cellStyle name="Normal 6 2" xfId="189" xr:uid="{00000000-0005-0000-0000-0000BE000000}"/>
    <cellStyle name="Normal 6 3" xfId="344" xr:uid="{A54FEBCC-BB4A-4145-905E-F6698E6CB8A1}"/>
    <cellStyle name="Normal 7" xfId="190" xr:uid="{00000000-0005-0000-0000-0000BF000000}"/>
    <cellStyle name="Normal 7 2" xfId="191" xr:uid="{00000000-0005-0000-0000-0000C0000000}"/>
    <cellStyle name="Normal 8" xfId="192" xr:uid="{00000000-0005-0000-0000-0000C1000000}"/>
    <cellStyle name="Normal 9" xfId="193" xr:uid="{00000000-0005-0000-0000-0000C2000000}"/>
    <cellStyle name="Normal_2008-2040 FPL Hourly Fcst (Jan2009 Update) JAN1309" xfId="194" xr:uid="{00000000-0005-0000-0000-0000C3000000}"/>
    <cellStyle name="Normal_FC - Supply Only A" xfId="195" xr:uid="{00000000-0005-0000-0000-0000C5000000}"/>
    <cellStyle name="Normal_system average levelized rate" xfId="196" xr:uid="{00000000-0005-0000-0000-0000C6000000}"/>
    <cellStyle name="Note" xfId="197" builtinId="10" customBuiltin="1"/>
    <cellStyle name="Note 2" xfId="198" xr:uid="{00000000-0005-0000-0000-0000C8000000}"/>
    <cellStyle name="Note 3" xfId="346" xr:uid="{D334AFF5-F806-4457-BC45-80597CB663EA}"/>
    <cellStyle name="Output" xfId="199" builtinId="21" customBuiltin="1"/>
    <cellStyle name="Output 2" xfId="200" xr:uid="{00000000-0005-0000-0000-0000CA000000}"/>
    <cellStyle name="Output Amounts" xfId="201" xr:uid="{00000000-0005-0000-0000-0000CB000000}"/>
    <cellStyle name="Output Column Headings" xfId="202" xr:uid="{00000000-0005-0000-0000-0000CC000000}"/>
    <cellStyle name="Output Line Items" xfId="203" xr:uid="{00000000-0005-0000-0000-0000CD000000}"/>
    <cellStyle name="Output Report Heading" xfId="204" xr:uid="{00000000-0005-0000-0000-0000CE000000}"/>
    <cellStyle name="Output Report Title" xfId="205" xr:uid="{00000000-0005-0000-0000-0000CF000000}"/>
    <cellStyle name="Percent" xfId="206" builtinId="5"/>
    <cellStyle name="Percent [2]" xfId="207" xr:uid="{00000000-0005-0000-0000-0000D1000000}"/>
    <cellStyle name="Percent [2] 2" xfId="347" xr:uid="{610B657D-2500-4D59-B950-A6E5DF34C7B8}"/>
    <cellStyle name="Percent 2" xfId="208" xr:uid="{00000000-0005-0000-0000-0000D2000000}"/>
    <cellStyle name="Percent 2 2" xfId="209" xr:uid="{00000000-0005-0000-0000-0000D3000000}"/>
    <cellStyle name="Percent 2 3" xfId="231" xr:uid="{2AFF157F-BA35-411C-85C5-3EC5EE6AD9C0}"/>
    <cellStyle name="Percent 3" xfId="210" xr:uid="{00000000-0005-0000-0000-0000D4000000}"/>
    <cellStyle name="Percent 3 2" xfId="348" xr:uid="{BAA73E00-D2DC-470B-A04B-D5EFDE54793C}"/>
    <cellStyle name="Price" xfId="211" xr:uid="{00000000-0005-0000-0000-0000D5000000}"/>
    <cellStyle name="Price 2" xfId="349" xr:uid="{6EF53DC2-0DEB-445F-97F4-1377832FE395}"/>
    <cellStyle name="ReportHeader" xfId="212" xr:uid="{00000000-0005-0000-0000-0000D6000000}"/>
    <cellStyle name="ResolvedCell" xfId="237" xr:uid="{97D5F71E-FBEB-491A-A8BF-C95754BA9DC1}"/>
    <cellStyle name="RevList" xfId="213" xr:uid="{00000000-0005-0000-0000-0000D7000000}"/>
    <cellStyle name="Style 1" xfId="214" xr:uid="{00000000-0005-0000-0000-0000D8000000}"/>
    <cellStyle name="Style 1 2" xfId="215" xr:uid="{00000000-0005-0000-0000-0000D9000000}"/>
    <cellStyle name="Style 1 2 2" xfId="351" xr:uid="{B4195F8E-EFEB-4525-9F6C-8AD951B10807}"/>
    <cellStyle name="Style 1 3" xfId="216" xr:uid="{00000000-0005-0000-0000-0000DA000000}"/>
    <cellStyle name="Style 1 4" xfId="350" xr:uid="{AD511D57-79B5-41C6-A63E-36872D92E649}"/>
    <cellStyle name="Style 1_MTHLY_MWH_to EOC_AS AVAILABLE" xfId="217" xr:uid="{00000000-0005-0000-0000-0000DB000000}"/>
    <cellStyle name="Subtotal" xfId="218" xr:uid="{00000000-0005-0000-0000-0000DC000000}"/>
    <cellStyle name="Title" xfId="219" builtinId="15" customBuiltin="1"/>
    <cellStyle name="Title 2" xfId="220" xr:uid="{00000000-0005-0000-0000-0000DE000000}"/>
    <cellStyle name="Total" xfId="221" builtinId="25" customBuiltin="1"/>
    <cellStyle name="Total 2" xfId="222" xr:uid="{00000000-0005-0000-0000-0000E0000000}"/>
    <cellStyle name="Unit" xfId="223" xr:uid="{00000000-0005-0000-0000-0000E1000000}"/>
    <cellStyle name="Unit 2" xfId="352" xr:uid="{3B5E0FFB-F38A-4150-AC70-9D2F6B39C80F}"/>
    <cellStyle name="Warning Text" xfId="224" builtinId="11" customBuiltin="1"/>
    <cellStyle name="Warning Text 2" xfId="225" xr:uid="{00000000-0005-0000-0000-0000E3000000}"/>
    <cellStyle name="Yield" xfId="226" xr:uid="{00000000-0005-0000-0000-0000E4000000}"/>
    <cellStyle name="Yield 2" xfId="354" xr:uid="{9AD46375-EF0F-44A3-9C13-96732EF7DDD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65"/>
  <sheetViews>
    <sheetView zoomScale="85" workbookViewId="0">
      <selection activeCell="A3" sqref="A3:T3"/>
    </sheetView>
  </sheetViews>
  <sheetFormatPr defaultColWidth="10.28515625" defaultRowHeight="15"/>
  <cols>
    <col min="1" max="1" width="10.28515625" style="3" customWidth="1"/>
    <col min="2" max="2" width="10.28515625" style="4" customWidth="1"/>
    <col min="3" max="3" width="13.5703125" style="4" bestFit="1" customWidth="1"/>
    <col min="4" max="4" width="12" style="4" bestFit="1" customWidth="1"/>
    <col min="5" max="5" width="14.140625" style="4" bestFit="1" customWidth="1"/>
    <col min="6" max="6" width="10.42578125" style="4" bestFit="1" customWidth="1"/>
    <col min="7" max="7" width="10.85546875" style="4" bestFit="1" customWidth="1"/>
    <col min="8" max="8" width="18" style="4" bestFit="1" customWidth="1"/>
    <col min="9" max="9" width="12.140625" style="4" bestFit="1" customWidth="1"/>
    <col min="10" max="10" width="9.42578125" style="4" customWidth="1"/>
    <col min="11" max="11" width="13.5703125" style="4" bestFit="1" customWidth="1"/>
    <col min="12" max="12" width="13.28515625" style="4" bestFit="1" customWidth="1"/>
    <col min="13" max="13" width="17.5703125" style="3" bestFit="1" customWidth="1"/>
    <col min="14" max="14" width="13.140625" style="3" bestFit="1" customWidth="1"/>
    <col min="15" max="15" width="12.28515625" style="3" bestFit="1" customWidth="1"/>
    <col min="16" max="16" width="15.7109375" style="3" bestFit="1" customWidth="1"/>
    <col min="17" max="18" width="15" style="3" bestFit="1" customWidth="1"/>
    <col min="19" max="20" width="16" style="3" bestFit="1" customWidth="1"/>
    <col min="21" max="21" width="16.85546875" style="3" customWidth="1"/>
    <col min="22" max="22" width="5.28515625" style="3" bestFit="1" customWidth="1"/>
    <col min="23" max="23" width="22.140625" style="3" bestFit="1" customWidth="1"/>
    <col min="24" max="24" width="21" style="3" bestFit="1" customWidth="1"/>
    <col min="25" max="25" width="18.5703125" style="3" bestFit="1" customWidth="1"/>
    <col min="26" max="26" width="16.85546875" style="3" customWidth="1"/>
    <col min="27" max="27" width="3.7109375" style="3" customWidth="1"/>
    <col min="28" max="28" width="5.85546875" style="3" bestFit="1" customWidth="1"/>
    <col min="29" max="29" width="14.5703125" style="4" customWidth="1"/>
    <col min="30" max="31" width="14" style="4" bestFit="1" customWidth="1"/>
    <col min="32" max="32" width="13.42578125" style="4" bestFit="1" customWidth="1"/>
    <col min="33" max="16384" width="10.28515625" style="4"/>
  </cols>
  <sheetData>
    <row r="1" spans="1:35" ht="15.75">
      <c r="A1" s="181" t="s">
        <v>81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9"/>
      <c r="V1" s="19"/>
      <c r="W1" s="19"/>
      <c r="X1" s="19"/>
      <c r="Y1" s="19"/>
      <c r="Z1" s="19"/>
    </row>
    <row r="2" spans="1:35">
      <c r="A2" s="181" t="s">
        <v>80</v>
      </c>
    </row>
    <row r="3" spans="1:35" ht="18.75">
      <c r="A3" s="174" t="s">
        <v>77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"/>
      <c r="V3" s="1"/>
      <c r="W3" s="1"/>
      <c r="X3" s="1"/>
      <c r="Y3" s="1"/>
      <c r="Z3" s="1"/>
    </row>
    <row r="4" spans="1:35" ht="18.75">
      <c r="A4" s="1"/>
      <c r="B4" s="1"/>
      <c r="C4" s="1"/>
      <c r="D4" s="1"/>
      <c r="E4" s="1"/>
      <c r="F4" s="1"/>
      <c r="G4" s="1"/>
      <c r="H4" s="5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35">
      <c r="A6" s="22"/>
      <c r="B6" s="26">
        <v>-1</v>
      </c>
      <c r="C6" s="26">
        <v>-2</v>
      </c>
      <c r="D6" s="99">
        <v>-3</v>
      </c>
      <c r="E6" s="99">
        <v>-4</v>
      </c>
      <c r="F6" s="99">
        <v>-5</v>
      </c>
      <c r="G6" s="23">
        <v>-6</v>
      </c>
      <c r="H6" s="26" t="s">
        <v>55</v>
      </c>
      <c r="I6" s="104">
        <v>-8</v>
      </c>
      <c r="J6" s="104">
        <v>-9</v>
      </c>
      <c r="K6" s="81">
        <v>-10</v>
      </c>
      <c r="L6" s="26" t="s">
        <v>58</v>
      </c>
      <c r="M6" s="23" t="s">
        <v>59</v>
      </c>
      <c r="N6" s="49">
        <v>-13</v>
      </c>
      <c r="O6" s="50">
        <v>-14</v>
      </c>
      <c r="P6" s="26" t="s">
        <v>60</v>
      </c>
      <c r="Q6" s="23" t="s">
        <v>61</v>
      </c>
      <c r="R6" s="26" t="s">
        <v>62</v>
      </c>
      <c r="S6" s="23">
        <v>-18</v>
      </c>
      <c r="T6" s="26" t="s">
        <v>63</v>
      </c>
      <c r="U6" s="5"/>
      <c r="V6" s="5"/>
      <c r="W6" s="5">
        <v>1000000</v>
      </c>
      <c r="X6" s="5"/>
      <c r="Y6" s="5"/>
      <c r="Z6" s="5"/>
      <c r="AB6" s="41"/>
      <c r="AC6" s="38"/>
      <c r="AD6" s="38"/>
      <c r="AE6" s="38"/>
      <c r="AF6" s="39"/>
      <c r="AG6" s="39"/>
    </row>
    <row r="7" spans="1:35">
      <c r="A7" s="24"/>
      <c r="B7" s="93" t="s">
        <v>0</v>
      </c>
      <c r="C7" s="96"/>
      <c r="D7" s="100"/>
      <c r="E7" s="100"/>
      <c r="F7" s="101" t="s">
        <v>35</v>
      </c>
      <c r="H7" s="27" t="s">
        <v>56</v>
      </c>
      <c r="I7" s="105" t="s">
        <v>44</v>
      </c>
      <c r="J7" s="105" t="s">
        <v>41</v>
      </c>
      <c r="K7" s="82" t="s">
        <v>41</v>
      </c>
      <c r="L7" s="27" t="s">
        <v>57</v>
      </c>
      <c r="M7" s="25" t="s">
        <v>0</v>
      </c>
      <c r="N7" s="51"/>
      <c r="O7" s="52"/>
      <c r="P7" s="27" t="s">
        <v>0</v>
      </c>
      <c r="Q7" s="25" t="s">
        <v>19</v>
      </c>
      <c r="R7" s="27" t="s">
        <v>2</v>
      </c>
      <c r="S7" s="25" t="s">
        <v>19</v>
      </c>
      <c r="T7" s="27" t="s">
        <v>2</v>
      </c>
      <c r="W7" s="114"/>
      <c r="X7" s="114"/>
      <c r="Y7" s="114"/>
      <c r="AB7" s="41"/>
      <c r="AC7" s="38"/>
      <c r="AD7" s="38"/>
      <c r="AE7" s="38"/>
      <c r="AF7" s="39"/>
      <c r="AG7" s="39"/>
    </row>
    <row r="8" spans="1:35">
      <c r="A8" s="24"/>
      <c r="B8" s="93" t="s">
        <v>3</v>
      </c>
      <c r="C8" s="27" t="s">
        <v>0</v>
      </c>
      <c r="D8" s="101" t="s">
        <v>35</v>
      </c>
      <c r="E8" s="101" t="s">
        <v>35</v>
      </c>
      <c r="F8" s="101" t="s">
        <v>51</v>
      </c>
      <c r="G8" s="25" t="s">
        <v>4</v>
      </c>
      <c r="H8" s="27" t="s">
        <v>46</v>
      </c>
      <c r="I8" s="105" t="s">
        <v>45</v>
      </c>
      <c r="J8" s="105" t="s">
        <v>35</v>
      </c>
      <c r="K8" s="82" t="s">
        <v>8</v>
      </c>
      <c r="L8" s="27" t="s">
        <v>0</v>
      </c>
      <c r="M8" s="25" t="s">
        <v>20</v>
      </c>
      <c r="N8" s="51" t="s">
        <v>0</v>
      </c>
      <c r="O8" s="41" t="s">
        <v>0</v>
      </c>
      <c r="P8" s="27" t="s">
        <v>32</v>
      </c>
      <c r="Q8" s="25" t="s">
        <v>0</v>
      </c>
      <c r="R8" s="27" t="s">
        <v>0</v>
      </c>
      <c r="S8" s="25" t="s">
        <v>21</v>
      </c>
      <c r="T8" s="27" t="s">
        <v>21</v>
      </c>
      <c r="W8" s="52"/>
      <c r="X8" s="3" t="s">
        <v>38</v>
      </c>
      <c r="AB8" s="41"/>
      <c r="AC8" s="41"/>
      <c r="AD8" s="38"/>
      <c r="AE8" s="39"/>
      <c r="AF8" s="41"/>
      <c r="AG8" s="39"/>
      <c r="AH8" s="15"/>
      <c r="AI8" s="15"/>
    </row>
    <row r="9" spans="1:35" ht="15.75" thickBot="1">
      <c r="A9" s="24"/>
      <c r="B9" s="93" t="s">
        <v>22</v>
      </c>
      <c r="C9" s="27" t="s">
        <v>28</v>
      </c>
      <c r="D9" s="101" t="s">
        <v>42</v>
      </c>
      <c r="E9" s="101" t="s">
        <v>43</v>
      </c>
      <c r="F9" s="101" t="s">
        <v>50</v>
      </c>
      <c r="G9" s="25" t="s">
        <v>29</v>
      </c>
      <c r="H9" s="27" t="s">
        <v>29</v>
      </c>
      <c r="I9" s="105" t="s">
        <v>10</v>
      </c>
      <c r="J9" s="105" t="s">
        <v>10</v>
      </c>
      <c r="K9" s="82" t="s">
        <v>10</v>
      </c>
      <c r="L9" s="27" t="s">
        <v>34</v>
      </c>
      <c r="M9" s="25" t="s">
        <v>23</v>
      </c>
      <c r="N9" s="51" t="s">
        <v>30</v>
      </c>
      <c r="O9" s="41" t="s">
        <v>31</v>
      </c>
      <c r="P9" s="27" t="s">
        <v>33</v>
      </c>
      <c r="Q9" s="25" t="s">
        <v>24</v>
      </c>
      <c r="R9" s="27" t="s">
        <v>24</v>
      </c>
      <c r="S9" s="25" t="s">
        <v>25</v>
      </c>
      <c r="T9" s="27" t="s">
        <v>25</v>
      </c>
      <c r="W9" s="3" t="s">
        <v>36</v>
      </c>
      <c r="X9" s="3" t="s">
        <v>39</v>
      </c>
      <c r="AB9" s="41"/>
      <c r="AC9" s="39" t="s">
        <v>79</v>
      </c>
      <c r="AD9" s="39"/>
      <c r="AE9" s="39"/>
      <c r="AF9" s="41"/>
      <c r="AG9" s="39"/>
      <c r="AH9" s="15"/>
      <c r="AI9" s="15"/>
    </row>
    <row r="10" spans="1:35" ht="15.75" thickBot="1">
      <c r="A10" s="30" t="s">
        <v>13</v>
      </c>
      <c r="B10" s="94">
        <f>'Fixed Costs - Proposed'!$C$8</f>
        <v>8.1438910919999996E-2</v>
      </c>
      <c r="C10" s="36" t="s">
        <v>17</v>
      </c>
      <c r="D10" s="102" t="s">
        <v>17</v>
      </c>
      <c r="E10" s="102" t="s">
        <v>17</v>
      </c>
      <c r="F10" s="102" t="s">
        <v>17</v>
      </c>
      <c r="G10" s="35" t="s">
        <v>17</v>
      </c>
      <c r="H10" s="36" t="s">
        <v>17</v>
      </c>
      <c r="I10" s="106" t="s">
        <v>17</v>
      </c>
      <c r="J10" s="106" t="s">
        <v>17</v>
      </c>
      <c r="K10" s="83" t="s">
        <v>17</v>
      </c>
      <c r="L10" s="36" t="s">
        <v>17</v>
      </c>
      <c r="M10" s="35" t="s">
        <v>17</v>
      </c>
      <c r="N10" s="53" t="s">
        <v>26</v>
      </c>
      <c r="O10" s="54" t="s">
        <v>26</v>
      </c>
      <c r="P10" s="31" t="s">
        <v>26</v>
      </c>
      <c r="Q10" s="32" t="s">
        <v>27</v>
      </c>
      <c r="R10" s="31" t="s">
        <v>27</v>
      </c>
      <c r="S10" s="32" t="s">
        <v>27</v>
      </c>
      <c r="T10" s="31" t="s">
        <v>27</v>
      </c>
      <c r="U10" s="6"/>
      <c r="V10" s="6" t="s">
        <v>13</v>
      </c>
      <c r="W10" s="6" t="s">
        <v>37</v>
      </c>
      <c r="X10" s="6" t="s">
        <v>40</v>
      </c>
      <c r="Y10" s="108" t="s">
        <v>1</v>
      </c>
      <c r="Z10" s="6"/>
      <c r="AB10" s="41"/>
      <c r="AC10" s="41"/>
      <c r="AD10" s="41"/>
      <c r="AE10" s="39"/>
      <c r="AF10" s="41"/>
      <c r="AG10" s="39"/>
      <c r="AH10" s="15"/>
      <c r="AI10" s="15"/>
    </row>
    <row r="11" spans="1:35" ht="15.75" thickTop="1">
      <c r="A11" s="28">
        <v>2024</v>
      </c>
      <c r="B11" s="95">
        <v>1</v>
      </c>
      <c r="C11" s="33">
        <f>'Fixed Costs - Proposed'!L9*1000</f>
        <v>2698824.1871630042</v>
      </c>
      <c r="D11" s="103">
        <v>0</v>
      </c>
      <c r="E11" s="103">
        <v>0</v>
      </c>
      <c r="F11" s="103">
        <v>0</v>
      </c>
      <c r="G11" s="33">
        <f>'Fixed Costs - Proposed'!G9*1000</f>
        <v>172692.60292053223</v>
      </c>
      <c r="H11" s="37">
        <f t="shared" ref="H11:H57" si="0">SUM(D11:G11)</f>
        <v>172692.60292053223</v>
      </c>
      <c r="I11" s="107">
        <f>X11/1000</f>
        <v>109833.20258635563</v>
      </c>
      <c r="J11" s="107">
        <f>W11/1000</f>
        <v>29443.389429999999</v>
      </c>
      <c r="K11" s="84">
        <v>10859878.200178469</v>
      </c>
      <c r="L11" s="33">
        <f>SUM(I11:K11)</f>
        <v>10999154.792194825</v>
      </c>
      <c r="M11" s="33">
        <f t="shared" ref="M11:M57" si="1">C11+H11+L11</f>
        <v>13870671.582278362</v>
      </c>
      <c r="N11" s="33">
        <f>NEL!B4/1000</f>
        <v>140469.03977881325</v>
      </c>
      <c r="O11" s="92">
        <v>113.16277017307091</v>
      </c>
      <c r="P11" s="33">
        <f t="shared" ref="P11:P40" si="2">N11-O11</f>
        <v>140355.87700864018</v>
      </c>
      <c r="Q11" s="57">
        <f t="shared" ref="Q11:Q40" si="3">(M11/P11)/10</f>
        <v>9.8825014512391913</v>
      </c>
      <c r="R11" s="29">
        <f t="shared" ref="R11:R57" si="4">Q11*B11</f>
        <v>9.8825014512391913</v>
      </c>
      <c r="S11" s="111">
        <v>14.848520920836167</v>
      </c>
      <c r="T11" s="34">
        <f t="shared" ref="T11:T57" si="5">S11*B11</f>
        <v>14.848520920836167</v>
      </c>
      <c r="U11" s="117"/>
      <c r="V11" s="56">
        <f t="shared" ref="V11:V57" si="6">A11</f>
        <v>2024</v>
      </c>
      <c r="W11" s="16">
        <v>29443389.43</v>
      </c>
      <c r="X11" s="16">
        <v>109833202.58635563</v>
      </c>
      <c r="Y11" s="109">
        <f>W11+X11</f>
        <v>139276592.01635563</v>
      </c>
      <c r="Z11" s="14"/>
      <c r="AB11" s="41"/>
      <c r="AC11" s="41"/>
      <c r="AD11" s="40"/>
      <c r="AE11" s="39"/>
      <c r="AF11" s="42"/>
      <c r="AG11" s="39"/>
      <c r="AH11" s="15"/>
      <c r="AI11" s="15"/>
    </row>
    <row r="12" spans="1:35">
      <c r="A12" s="28">
        <f t="shared" ref="A12:A57" si="7">A11+1</f>
        <v>2025</v>
      </c>
      <c r="B12" s="95">
        <f t="shared" ref="B12:B40" si="8">B11/(1+$B$10)</f>
        <v>0.92469393314993775</v>
      </c>
      <c r="C12" s="33">
        <f>'Fixed Costs - Proposed'!L10*1000</f>
        <v>2844460.0965898531</v>
      </c>
      <c r="D12" s="103">
        <v>5413.1379591981804</v>
      </c>
      <c r="E12" s="103">
        <v>8536.2027644375612</v>
      </c>
      <c r="F12" s="103">
        <v>0</v>
      </c>
      <c r="G12" s="33">
        <f>'Fixed Costs - Proposed'!G10*1000</f>
        <v>365018.49858474685</v>
      </c>
      <c r="H12" s="37">
        <f t="shared" si="0"/>
        <v>378967.83930838259</v>
      </c>
      <c r="I12" s="107">
        <f t="shared" ref="I12:I45" si="9">X12/1000</f>
        <v>109833.20258635563</v>
      </c>
      <c r="J12" s="107">
        <f>W12/1000</f>
        <v>29443.389429999999</v>
      </c>
      <c r="K12" s="84">
        <v>11202336.756806841</v>
      </c>
      <c r="L12" s="33">
        <f t="shared" ref="L12:L40" si="10">SUM(I12:K12)</f>
        <v>11341613.348823197</v>
      </c>
      <c r="M12" s="33">
        <f t="shared" si="1"/>
        <v>14565041.284721432</v>
      </c>
      <c r="N12" s="33">
        <f>NEL!B5/1000</f>
        <v>141760.59545007616</v>
      </c>
      <c r="O12" s="92">
        <f>O11+AC12</f>
        <v>200.87135030979135</v>
      </c>
      <c r="P12" s="33">
        <f t="shared" si="2"/>
        <v>141559.72409976638</v>
      </c>
      <c r="Q12" s="57">
        <f t="shared" si="3"/>
        <v>10.28897264200409</v>
      </c>
      <c r="R12" s="29">
        <f t="shared" si="4"/>
        <v>9.5141505804068682</v>
      </c>
      <c r="S12" s="55">
        <f t="shared" ref="S12:S37" si="11">S11</f>
        <v>14.848520920836167</v>
      </c>
      <c r="T12" s="34">
        <f t="shared" si="5"/>
        <v>13.730337211747131</v>
      </c>
      <c r="U12" s="117"/>
      <c r="V12" s="56">
        <f t="shared" si="6"/>
        <v>2025</v>
      </c>
      <c r="W12" s="16">
        <v>29443389.43</v>
      </c>
      <c r="X12" s="16">
        <v>109833202.58635563</v>
      </c>
      <c r="Y12" s="109">
        <f t="shared" ref="Y12:Y51" si="12">W12+X12</f>
        <v>139276592.01635563</v>
      </c>
      <c r="Z12" s="14"/>
      <c r="AB12" s="41"/>
      <c r="AC12" s="42">
        <v>87.708580136720457</v>
      </c>
      <c r="AD12" s="42"/>
      <c r="AE12" s="39"/>
      <c r="AF12" s="41"/>
      <c r="AG12" s="39"/>
      <c r="AH12" s="15"/>
      <c r="AI12" s="15"/>
    </row>
    <row r="13" spans="1:35">
      <c r="A13" s="28">
        <f t="shared" si="7"/>
        <v>2026</v>
      </c>
      <c r="B13" s="95">
        <f t="shared" si="8"/>
        <v>0.85505887000430159</v>
      </c>
      <c r="C13" s="33">
        <f>'Fixed Costs - Proposed'!L11*1000</f>
        <v>2955491.8169023707</v>
      </c>
      <c r="D13" s="103">
        <v>5909.5334077234465</v>
      </c>
      <c r="E13" s="103">
        <v>9594.0068028443529</v>
      </c>
      <c r="F13" s="103">
        <v>-2185.2872388991682</v>
      </c>
      <c r="G13" s="33">
        <f>'Fixed Costs - Proposed'!G11*1000</f>
        <v>1002077.1925048828</v>
      </c>
      <c r="H13" s="37">
        <f t="shared" si="0"/>
        <v>1015395.4454765514</v>
      </c>
      <c r="I13" s="107">
        <f t="shared" si="9"/>
        <v>109833.20258635563</v>
      </c>
      <c r="J13" s="107">
        <f t="shared" ref="J13:J19" si="13">W13/1000</f>
        <v>29443.389429999999</v>
      </c>
      <c r="K13" s="84">
        <v>12157659.839351771</v>
      </c>
      <c r="L13" s="33">
        <f t="shared" si="10"/>
        <v>12296936.431368127</v>
      </c>
      <c r="M13" s="33">
        <f t="shared" si="1"/>
        <v>16267823.693747049</v>
      </c>
      <c r="N13" s="33">
        <f>NEL!B6/1000</f>
        <v>142991.00188578918</v>
      </c>
      <c r="O13" s="33">
        <f t="shared" ref="O13:O21" si="14">O12+AC13</f>
        <v>288.55294420405573</v>
      </c>
      <c r="P13" s="33">
        <f t="shared" si="2"/>
        <v>142702.44894158514</v>
      </c>
      <c r="Q13" s="57">
        <f t="shared" si="3"/>
        <v>11.399820966216382</v>
      </c>
      <c r="R13" s="29">
        <f t="shared" si="4"/>
        <v>9.7475180336243241</v>
      </c>
      <c r="S13" s="55">
        <f t="shared" si="11"/>
        <v>14.848520920836167</v>
      </c>
      <c r="T13" s="34">
        <f t="shared" si="5"/>
        <v>12.696359519805405</v>
      </c>
      <c r="U13" s="117"/>
      <c r="V13" s="56">
        <f t="shared" si="6"/>
        <v>2026</v>
      </c>
      <c r="W13" s="16">
        <v>29443389.43</v>
      </c>
      <c r="X13" s="16">
        <f>X12</f>
        <v>109833202.58635563</v>
      </c>
      <c r="Y13" s="109">
        <f t="shared" si="12"/>
        <v>139276592.01635563</v>
      </c>
      <c r="Z13" s="14"/>
      <c r="AB13" s="41"/>
      <c r="AC13" s="43">
        <v>87.681593894264381</v>
      </c>
      <c r="AD13" s="44"/>
      <c r="AE13" s="44"/>
      <c r="AF13" s="41"/>
      <c r="AG13" s="41"/>
      <c r="AH13" s="15"/>
      <c r="AI13" s="15"/>
    </row>
    <row r="14" spans="1:35">
      <c r="A14" s="28">
        <f t="shared" si="7"/>
        <v>2027</v>
      </c>
      <c r="B14" s="95">
        <f t="shared" si="8"/>
        <v>0.79066774957901897</v>
      </c>
      <c r="C14" s="33">
        <f>'Fixed Costs - Proposed'!L12*1000</f>
        <v>2531108.2316077366</v>
      </c>
      <c r="D14" s="103">
        <v>6407.0784093048187</v>
      </c>
      <c r="E14" s="103">
        <v>10659.97047625332</v>
      </c>
      <c r="F14" s="103">
        <v>-4258.501708820856</v>
      </c>
      <c r="G14" s="33">
        <f>'Fixed Costs - Proposed'!G12*1000</f>
        <v>1518427.0116348239</v>
      </c>
      <c r="H14" s="37">
        <f t="shared" si="0"/>
        <v>1531235.5588115612</v>
      </c>
      <c r="I14" s="107">
        <f t="shared" si="9"/>
        <v>109833.20258635563</v>
      </c>
      <c r="J14" s="107">
        <f t="shared" si="13"/>
        <v>29443.389429999999</v>
      </c>
      <c r="K14" s="84">
        <v>12794985.855433038</v>
      </c>
      <c r="L14" s="33">
        <f t="shared" si="10"/>
        <v>12934262.447449394</v>
      </c>
      <c r="M14" s="33">
        <f t="shared" si="1"/>
        <v>16996606.237868693</v>
      </c>
      <c r="N14" s="33">
        <f>NEL!B7/1000</f>
        <v>144052.94912134702</v>
      </c>
      <c r="O14" s="33">
        <f t="shared" si="14"/>
        <v>376.32716394814389</v>
      </c>
      <c r="P14" s="33">
        <f t="shared" si="2"/>
        <v>143676.62195739886</v>
      </c>
      <c r="Q14" s="57">
        <f t="shared" si="3"/>
        <v>11.8297646522538</v>
      </c>
      <c r="R14" s="29">
        <f t="shared" si="4"/>
        <v>9.353413395646939</v>
      </c>
      <c r="S14" s="55">
        <f t="shared" si="11"/>
        <v>14.848520920836167</v>
      </c>
      <c r="T14" s="34">
        <f t="shared" si="5"/>
        <v>11.740246621054515</v>
      </c>
      <c r="U14" s="117"/>
      <c r="V14" s="56">
        <f t="shared" si="6"/>
        <v>2027</v>
      </c>
      <c r="W14" s="16">
        <v>29443389.43</v>
      </c>
      <c r="X14" s="16">
        <f t="shared" ref="X14:X57" si="15">X13</f>
        <v>109833202.58635563</v>
      </c>
      <c r="Y14" s="109">
        <f t="shared" si="12"/>
        <v>139276592.01635563</v>
      </c>
      <c r="Z14" s="14"/>
      <c r="AB14" s="41"/>
      <c r="AC14" s="39">
        <v>87.774219744088143</v>
      </c>
      <c r="AD14" s="45"/>
      <c r="AE14" s="46"/>
      <c r="AF14" s="42"/>
      <c r="AG14" s="47"/>
      <c r="AH14" s="15"/>
      <c r="AI14" s="15"/>
    </row>
    <row r="15" spans="1:35">
      <c r="A15" s="28">
        <f t="shared" si="7"/>
        <v>2028</v>
      </c>
      <c r="B15" s="95">
        <f t="shared" si="8"/>
        <v>0.73112567117303318</v>
      </c>
      <c r="C15" s="33">
        <f>'Fixed Costs - Proposed'!L13*1000</f>
        <v>2340042.5651170448</v>
      </c>
      <c r="D15" s="103">
        <v>6802.5976658000809</v>
      </c>
      <c r="E15" s="103">
        <v>11366.348980589626</v>
      </c>
      <c r="F15" s="103">
        <v>-6310.1499894441058</v>
      </c>
      <c r="G15" s="33">
        <f>'Fixed Costs - Proposed'!G13*1000</f>
        <v>2000223.4958725006</v>
      </c>
      <c r="H15" s="37">
        <f t="shared" si="0"/>
        <v>2012082.2925294461</v>
      </c>
      <c r="I15" s="107">
        <f t="shared" si="9"/>
        <v>109833.20258635563</v>
      </c>
      <c r="J15" s="107">
        <f t="shared" si="13"/>
        <v>29443.389429999999</v>
      </c>
      <c r="K15" s="84">
        <v>13073195.357879939</v>
      </c>
      <c r="L15" s="33">
        <f t="shared" si="10"/>
        <v>13212471.949896295</v>
      </c>
      <c r="M15" s="33">
        <f t="shared" si="1"/>
        <v>17564596.807542786</v>
      </c>
      <c r="N15" s="33">
        <f>NEL!B8/1000</f>
        <v>145101.0749486612</v>
      </c>
      <c r="O15" s="33">
        <f t="shared" si="14"/>
        <v>463.81202522818705</v>
      </c>
      <c r="P15" s="33">
        <f t="shared" si="2"/>
        <v>144637.26292343301</v>
      </c>
      <c r="Q15" s="57">
        <f t="shared" si="3"/>
        <v>12.143894631662796</v>
      </c>
      <c r="R15" s="29">
        <f t="shared" si="4"/>
        <v>8.8787131132290558</v>
      </c>
      <c r="S15" s="55">
        <f t="shared" si="11"/>
        <v>14.848520920836167</v>
      </c>
      <c r="T15" s="34">
        <f t="shared" si="5"/>
        <v>10.856134824173168</v>
      </c>
      <c r="U15" s="117"/>
      <c r="V15" s="56">
        <f t="shared" si="6"/>
        <v>2028</v>
      </c>
      <c r="W15" s="16">
        <v>29443389.43</v>
      </c>
      <c r="X15" s="16">
        <f t="shared" si="15"/>
        <v>109833202.58635563</v>
      </c>
      <c r="Y15" s="109">
        <f t="shared" si="12"/>
        <v>139276592.01635563</v>
      </c>
      <c r="Z15" s="14"/>
      <c r="AB15" s="41"/>
      <c r="AC15" s="39">
        <v>87.484861280043191</v>
      </c>
      <c r="AD15" s="39"/>
      <c r="AE15" s="39"/>
      <c r="AF15" s="42"/>
      <c r="AG15" s="48"/>
      <c r="AH15" s="15"/>
      <c r="AI15" s="15"/>
    </row>
    <row r="16" spans="1:35">
      <c r="A16" s="28">
        <f t="shared" si="7"/>
        <v>2029</v>
      </c>
      <c r="B16" s="95">
        <f t="shared" si="8"/>
        <v>0.67606747250388011</v>
      </c>
      <c r="C16" s="33">
        <f>'Fixed Costs - Proposed'!L14*1000</f>
        <v>2068998.5115200784</v>
      </c>
      <c r="D16" s="103">
        <v>7315.5931892990966</v>
      </c>
      <c r="E16" s="103">
        <v>12239.053892633638</v>
      </c>
      <c r="F16" s="103">
        <v>-8348.0198842553455</v>
      </c>
      <c r="G16" s="33">
        <f>'Fixed Costs - Proposed'!G14*1000</f>
        <v>2470101.9975128123</v>
      </c>
      <c r="H16" s="37">
        <f t="shared" si="0"/>
        <v>2481308.6247104895</v>
      </c>
      <c r="I16" s="107">
        <f t="shared" si="9"/>
        <v>109833.20258635563</v>
      </c>
      <c r="J16" s="107">
        <f t="shared" si="13"/>
        <v>29443.389429999999</v>
      </c>
      <c r="K16" s="84">
        <v>13452685.131728483</v>
      </c>
      <c r="L16" s="33">
        <f t="shared" si="10"/>
        <v>13591961.723744839</v>
      </c>
      <c r="M16" s="33">
        <f t="shared" si="1"/>
        <v>18142268.859975405</v>
      </c>
      <c r="N16" s="33">
        <f>NEL!B9/1000</f>
        <v>146550.77966747939</v>
      </c>
      <c r="O16" s="33">
        <f t="shared" si="14"/>
        <v>551.59886729598293</v>
      </c>
      <c r="P16" s="33">
        <f t="shared" si="2"/>
        <v>145999.18080018341</v>
      </c>
      <c r="Q16" s="57">
        <f t="shared" si="3"/>
        <v>12.426281271266294</v>
      </c>
      <c r="R16" s="29">
        <f t="shared" si="4"/>
        <v>8.4010045716873059</v>
      </c>
      <c r="S16" s="55">
        <f t="shared" si="11"/>
        <v>14.848520920836167</v>
      </c>
      <c r="T16" s="34">
        <f t="shared" si="5"/>
        <v>10.038602009370694</v>
      </c>
      <c r="U16" s="117"/>
      <c r="V16" s="56">
        <f t="shared" si="6"/>
        <v>2029</v>
      </c>
      <c r="W16" s="16">
        <v>29443389.43</v>
      </c>
      <c r="X16" s="16">
        <f t="shared" si="15"/>
        <v>109833202.58635563</v>
      </c>
      <c r="Y16" s="109">
        <f t="shared" si="12"/>
        <v>139276592.01635563</v>
      </c>
      <c r="Z16" s="14"/>
      <c r="AB16" s="41"/>
      <c r="AC16" s="43">
        <v>87.786842067795817</v>
      </c>
      <c r="AD16" s="45"/>
      <c r="AE16" s="39"/>
      <c r="AF16" s="42"/>
      <c r="AG16" s="41"/>
    </row>
    <row r="17" spans="1:33">
      <c r="A17" s="28">
        <f t="shared" si="7"/>
        <v>2030</v>
      </c>
      <c r="B17" s="95">
        <f t="shared" si="8"/>
        <v>0.62515549022435035</v>
      </c>
      <c r="C17" s="33">
        <f>'Fixed Costs - Proposed'!L15*1000</f>
        <v>1550197.258244676</v>
      </c>
      <c r="D17" s="103">
        <v>7629.5011310619811</v>
      </c>
      <c r="E17" s="103">
        <v>13119.55876285104</v>
      </c>
      <c r="F17" s="103">
        <v>-10379.427151738066</v>
      </c>
      <c r="G17" s="33">
        <f>'Fixed Costs - Proposed'!G15*1000</f>
        <v>2883593.9639739962</v>
      </c>
      <c r="H17" s="37">
        <f t="shared" si="0"/>
        <v>2893963.5967161711</v>
      </c>
      <c r="I17" s="107">
        <f t="shared" si="9"/>
        <v>109833.20258635563</v>
      </c>
      <c r="J17" s="107">
        <f t="shared" si="13"/>
        <v>29443.389429999999</v>
      </c>
      <c r="K17" s="84">
        <v>13835256.619957393</v>
      </c>
      <c r="L17" s="33">
        <f t="shared" si="10"/>
        <v>13974533.211973749</v>
      </c>
      <c r="M17" s="33">
        <f t="shared" si="1"/>
        <v>18418694.066934597</v>
      </c>
      <c r="N17" s="33">
        <f>NEL!B10/1000</f>
        <v>148289.96700672709</v>
      </c>
      <c r="O17" s="33">
        <f t="shared" si="14"/>
        <v>639.77969715673737</v>
      </c>
      <c r="P17" s="33">
        <f t="shared" si="2"/>
        <v>147650.18730957035</v>
      </c>
      <c r="Q17" s="57">
        <f t="shared" si="3"/>
        <v>12.474548392083712</v>
      </c>
      <c r="R17" s="29">
        <f t="shared" si="4"/>
        <v>7.7985324153804738</v>
      </c>
      <c r="S17" s="55">
        <f t="shared" si="11"/>
        <v>14.848520920836167</v>
      </c>
      <c r="T17" s="34">
        <f t="shared" si="5"/>
        <v>9.2826343753718561</v>
      </c>
      <c r="U17" s="117"/>
      <c r="V17" s="56">
        <f t="shared" si="6"/>
        <v>2030</v>
      </c>
      <c r="W17" s="16">
        <v>29443389.43</v>
      </c>
      <c r="X17" s="16">
        <f t="shared" si="15"/>
        <v>109833202.58635563</v>
      </c>
      <c r="Y17" s="109">
        <f t="shared" si="12"/>
        <v>139276592.01635563</v>
      </c>
      <c r="Z17" s="14"/>
      <c r="AB17" s="41"/>
      <c r="AC17" s="43">
        <v>88.180829860754486</v>
      </c>
      <c r="AD17" s="44"/>
      <c r="AE17" s="44"/>
      <c r="AF17" s="41"/>
      <c r="AG17" s="41"/>
    </row>
    <row r="18" spans="1:33">
      <c r="A18" s="28">
        <f t="shared" si="7"/>
        <v>2031</v>
      </c>
      <c r="B18" s="95">
        <f t="shared" si="8"/>
        <v>0.57807748908583201</v>
      </c>
      <c r="C18" s="33">
        <f>'Fixed Costs - Proposed'!L16*1000</f>
        <v>1163232.7157517364</v>
      </c>
      <c r="D18" s="103">
        <v>7947.7612511505222</v>
      </c>
      <c r="E18" s="103">
        <v>14006.995846498829</v>
      </c>
      <c r="F18" s="103">
        <v>-12411.292406401839</v>
      </c>
      <c r="G18" s="33">
        <f>'Fixed Costs - Proposed'!G16*1000</f>
        <v>3299348.5837593107</v>
      </c>
      <c r="H18" s="37">
        <f t="shared" si="0"/>
        <v>3308892.048450558</v>
      </c>
      <c r="I18" s="107">
        <f t="shared" si="9"/>
        <v>109833.20258635563</v>
      </c>
      <c r="J18" s="107">
        <f t="shared" si="13"/>
        <v>29443.389429999999</v>
      </c>
      <c r="K18" s="84">
        <v>14250744.92000314</v>
      </c>
      <c r="L18" s="33">
        <f t="shared" si="10"/>
        <v>14390021.512019496</v>
      </c>
      <c r="M18" s="33">
        <f t="shared" si="1"/>
        <v>18862146.276221789</v>
      </c>
      <c r="N18" s="33">
        <f>NEL!B11/1000</f>
        <v>149577.66103711218</v>
      </c>
      <c r="O18" s="33">
        <f t="shared" si="14"/>
        <v>728.43918450681792</v>
      </c>
      <c r="P18" s="33">
        <f t="shared" si="2"/>
        <v>148849.22185260535</v>
      </c>
      <c r="Q18" s="57">
        <f t="shared" si="3"/>
        <v>12.671981782276037</v>
      </c>
      <c r="R18" s="29">
        <f t="shared" si="4"/>
        <v>7.3253874104395376</v>
      </c>
      <c r="S18" s="55">
        <f t="shared" si="11"/>
        <v>14.848520920836167</v>
      </c>
      <c r="T18" s="34">
        <f t="shared" si="5"/>
        <v>8.583595690555418</v>
      </c>
      <c r="U18" s="117"/>
      <c r="V18" s="56">
        <f t="shared" si="6"/>
        <v>2031</v>
      </c>
      <c r="W18" s="16">
        <v>29443389.43</v>
      </c>
      <c r="X18" s="16">
        <f t="shared" si="15"/>
        <v>109833202.58635563</v>
      </c>
      <c r="Y18" s="109">
        <f t="shared" si="12"/>
        <v>139276592.01635563</v>
      </c>
      <c r="Z18" s="14"/>
      <c r="AB18" s="41"/>
      <c r="AC18" s="46">
        <v>88.659487350080568</v>
      </c>
      <c r="AD18" s="45"/>
      <c r="AE18" s="39"/>
      <c r="AF18" s="42"/>
      <c r="AG18" s="47"/>
    </row>
    <row r="19" spans="1:33">
      <c r="A19" s="28">
        <f t="shared" si="7"/>
        <v>2032</v>
      </c>
      <c r="B19" s="95">
        <f t="shared" si="8"/>
        <v>0.53454474704821819</v>
      </c>
      <c r="C19" s="33">
        <f>'Fixed Costs - Proposed'!L17*1000</f>
        <v>909702.94185509847</v>
      </c>
      <c r="D19" s="103">
        <v>8281.349076701139</v>
      </c>
      <c r="E19" s="103">
        <v>14900.545446439704</v>
      </c>
      <c r="F19" s="103">
        <v>-14449.662392047092</v>
      </c>
      <c r="G19" s="33">
        <f>'Fixed Costs - Proposed'!G17*1000</f>
        <v>3710646.3999404944</v>
      </c>
      <c r="H19" s="37">
        <f t="shared" si="0"/>
        <v>3719378.6320715882</v>
      </c>
      <c r="I19" s="107">
        <f t="shared" si="9"/>
        <v>109833.20258635563</v>
      </c>
      <c r="J19" s="107">
        <f t="shared" si="13"/>
        <v>29443.389429999999</v>
      </c>
      <c r="K19" s="84">
        <v>14703480.850589929</v>
      </c>
      <c r="L19" s="33">
        <f t="shared" si="10"/>
        <v>14842757.442606285</v>
      </c>
      <c r="M19" s="33">
        <f t="shared" si="1"/>
        <v>19471839.016532972</v>
      </c>
      <c r="N19" s="33">
        <f>NEL!B12/1000</f>
        <v>151677.42700159541</v>
      </c>
      <c r="O19" s="33">
        <f t="shared" si="14"/>
        <v>817.65542717117705</v>
      </c>
      <c r="P19" s="33">
        <f t="shared" si="2"/>
        <v>150859.77157442423</v>
      </c>
      <c r="Q19" s="57">
        <f t="shared" si="3"/>
        <v>12.907244133620377</v>
      </c>
      <c r="R19" s="29">
        <f t="shared" si="4"/>
        <v>6.8994995504957028</v>
      </c>
      <c r="S19" s="55">
        <f t="shared" si="11"/>
        <v>14.848520920836167</v>
      </c>
      <c r="T19" s="34">
        <f t="shared" si="5"/>
        <v>7.9371988596685448</v>
      </c>
      <c r="U19" s="117"/>
      <c r="V19" s="56">
        <f t="shared" si="6"/>
        <v>2032</v>
      </c>
      <c r="W19" s="16">
        <v>29443389.43</v>
      </c>
      <c r="X19" s="16">
        <f t="shared" si="15"/>
        <v>109833202.58635563</v>
      </c>
      <c r="Y19" s="109">
        <f t="shared" si="12"/>
        <v>139276592.01635563</v>
      </c>
      <c r="Z19" s="14"/>
      <c r="AB19" s="41"/>
      <c r="AC19" s="39">
        <v>89.216242664359072</v>
      </c>
      <c r="AD19" s="39"/>
      <c r="AE19" s="39"/>
      <c r="AF19" s="42"/>
      <c r="AG19" s="48"/>
    </row>
    <row r="20" spans="1:33">
      <c r="A20" s="28">
        <f t="shared" si="7"/>
        <v>2033</v>
      </c>
      <c r="B20" s="95">
        <f t="shared" si="8"/>
        <v>0.4942902845926555</v>
      </c>
      <c r="C20" s="33">
        <f>'Fixed Costs - Proposed'!L18*1000</f>
        <v>799057.30817801156</v>
      </c>
      <c r="D20" s="103">
        <v>8628.9153303221829</v>
      </c>
      <c r="E20" s="103">
        <v>15799.38718763275</v>
      </c>
      <c r="F20" s="103">
        <v>-16394.676567663071</v>
      </c>
      <c r="G20" s="33">
        <f>'Fixed Costs - Proposed'!G18*1000</f>
        <v>4090809.6928977994</v>
      </c>
      <c r="H20" s="37">
        <f t="shared" si="0"/>
        <v>4098843.3188480912</v>
      </c>
      <c r="I20" s="107">
        <f t="shared" si="9"/>
        <v>109833.20258635563</v>
      </c>
      <c r="J20" s="107">
        <f t="shared" ref="J20:J40" si="16">W20/1000</f>
        <v>29443.389429999999</v>
      </c>
      <c r="K20" s="84">
        <v>15205712.264756653</v>
      </c>
      <c r="L20" s="33">
        <f t="shared" si="10"/>
        <v>15344988.85677301</v>
      </c>
      <c r="M20" s="33">
        <f t="shared" si="1"/>
        <v>20242889.483799111</v>
      </c>
      <c r="N20" s="33">
        <f>NEL!B13/1000</f>
        <v>153686.05484132862</v>
      </c>
      <c r="O20" s="33">
        <f t="shared" si="14"/>
        <v>907.50064062684544</v>
      </c>
      <c r="P20" s="33">
        <f t="shared" si="2"/>
        <v>152778.55420070176</v>
      </c>
      <c r="Q20" s="57">
        <f t="shared" si="3"/>
        <v>13.249823962338642</v>
      </c>
      <c r="R20" s="29">
        <f t="shared" si="4"/>
        <v>6.5492592571469537</v>
      </c>
      <c r="S20" s="55">
        <f t="shared" si="11"/>
        <v>14.848520920836167</v>
      </c>
      <c r="T20" s="34">
        <f t="shared" si="5"/>
        <v>7.3394796317401081</v>
      </c>
      <c r="U20" s="117"/>
      <c r="V20" s="56">
        <f t="shared" si="6"/>
        <v>2033</v>
      </c>
      <c r="W20" s="16">
        <v>29443389.43</v>
      </c>
      <c r="X20" s="16">
        <f t="shared" si="15"/>
        <v>109833202.58635563</v>
      </c>
      <c r="Y20" s="109">
        <f t="shared" si="12"/>
        <v>139276592.01635563</v>
      </c>
      <c r="Z20" s="14"/>
      <c r="AB20" s="41"/>
      <c r="AC20" s="39">
        <v>89.845213455668429</v>
      </c>
      <c r="AD20" s="39"/>
      <c r="AE20" s="39"/>
      <c r="AF20" s="39"/>
      <c r="AG20" s="39"/>
    </row>
    <row r="21" spans="1:33">
      <c r="A21" s="28">
        <f t="shared" si="7"/>
        <v>2034</v>
      </c>
      <c r="B21" s="95">
        <f t="shared" si="8"/>
        <v>0.45706722737778471</v>
      </c>
      <c r="C21" s="33">
        <f>'Fixed Costs - Proposed'!L19*1000</f>
        <v>846718.91488641908</v>
      </c>
      <c r="D21" s="103">
        <v>11486.082154990618</v>
      </c>
      <c r="E21" s="103">
        <v>17867.714048493312</v>
      </c>
      <c r="F21" s="103">
        <v>-15983.311825159028</v>
      </c>
      <c r="G21" s="33">
        <f>'Fixed Costs - Proposed'!G19*1000</f>
        <v>4683066.8525352543</v>
      </c>
      <c r="H21" s="37">
        <f t="shared" si="0"/>
        <v>4696437.3369135791</v>
      </c>
      <c r="I21" s="107">
        <f t="shared" si="9"/>
        <v>109833.20258635563</v>
      </c>
      <c r="J21" s="107">
        <f t="shared" si="16"/>
        <v>29443.389429999999</v>
      </c>
      <c r="K21" s="84">
        <v>15755980.331482695</v>
      </c>
      <c r="L21" s="33">
        <f t="shared" si="10"/>
        <v>15895256.923499051</v>
      </c>
      <c r="M21" s="33">
        <f t="shared" si="1"/>
        <v>21438413.175299048</v>
      </c>
      <c r="N21" s="33">
        <f>NEL!B14/1000</f>
        <v>155677.52606339942</v>
      </c>
      <c r="O21" s="33">
        <f t="shared" si="14"/>
        <v>998.03825519004192</v>
      </c>
      <c r="P21" s="33">
        <f t="shared" si="2"/>
        <v>154679.48780820938</v>
      </c>
      <c r="Q21" s="57">
        <f t="shared" si="3"/>
        <v>13.859894081030982</v>
      </c>
      <c r="R21" s="29">
        <f t="shared" si="4"/>
        <v>6.3349033593666002</v>
      </c>
      <c r="S21" s="55">
        <f t="shared" si="11"/>
        <v>14.848520920836167</v>
      </c>
      <c r="T21" s="34">
        <f t="shared" si="5"/>
        <v>6.7867722879476178</v>
      </c>
      <c r="U21" s="117"/>
      <c r="V21" s="56">
        <f t="shared" si="6"/>
        <v>2034</v>
      </c>
      <c r="W21" s="16">
        <v>29443389.43</v>
      </c>
      <c r="X21" s="16">
        <f t="shared" si="15"/>
        <v>109833202.58635563</v>
      </c>
      <c r="Y21" s="109">
        <f t="shared" si="12"/>
        <v>139276592.01635563</v>
      </c>
      <c r="Z21" s="14"/>
      <c r="AC21" s="4">
        <v>90.537614563196456</v>
      </c>
    </row>
    <row r="22" spans="1:33">
      <c r="A22" s="28">
        <f t="shared" si="7"/>
        <v>2035</v>
      </c>
      <c r="B22" s="95">
        <f t="shared" si="8"/>
        <v>0.42264729219790065</v>
      </c>
      <c r="C22" s="33">
        <f>'Fixed Costs - Proposed'!L20*1000</f>
        <v>1235906.8437506098</v>
      </c>
      <c r="D22" s="103">
        <v>4753.6988608166175</v>
      </c>
      <c r="E22" s="103">
        <v>9872.7276795281359</v>
      </c>
      <c r="F22" s="103">
        <v>-15577.683505264822</v>
      </c>
      <c r="G22" s="33">
        <f>'Fixed Costs - Proposed'!G20*1000</f>
        <v>4507925.5254173316</v>
      </c>
      <c r="H22" s="37">
        <f t="shared" si="0"/>
        <v>4506974.2684524115</v>
      </c>
      <c r="I22" s="107">
        <f t="shared" si="9"/>
        <v>109833.20258635563</v>
      </c>
      <c r="J22" s="107">
        <f t="shared" si="16"/>
        <v>29443.389429999999</v>
      </c>
      <c r="K22" s="84">
        <v>16345144.779350987</v>
      </c>
      <c r="L22" s="33">
        <f t="shared" si="10"/>
        <v>16484421.371367343</v>
      </c>
      <c r="M22" s="33">
        <f t="shared" si="1"/>
        <v>22227302.483570363</v>
      </c>
      <c r="N22" s="33">
        <f>NEL!B15/1000</f>
        <v>157715.25018778408</v>
      </c>
      <c r="O22" s="33">
        <f t="shared" ref="O22:O57" si="17">O21</f>
        <v>998.03825519004192</v>
      </c>
      <c r="P22" s="33">
        <f t="shared" si="2"/>
        <v>156717.21193259404</v>
      </c>
      <c r="Q22" s="121">
        <f t="shared" si="3"/>
        <v>14.183064010308319</v>
      </c>
      <c r="R22" s="29">
        <f t="shared" si="4"/>
        <v>5.9944335990263085</v>
      </c>
      <c r="S22" s="55">
        <f t="shared" si="11"/>
        <v>14.848520920836167</v>
      </c>
      <c r="T22" s="34">
        <f t="shared" si="5"/>
        <v>6.2756871603352842</v>
      </c>
      <c r="U22" s="117"/>
      <c r="V22" s="56">
        <f t="shared" si="6"/>
        <v>2035</v>
      </c>
      <c r="W22" s="16">
        <v>29443389.43</v>
      </c>
      <c r="X22" s="16">
        <f t="shared" si="15"/>
        <v>109833202.58635563</v>
      </c>
      <c r="Y22" s="109">
        <f t="shared" si="12"/>
        <v>139276592.01635563</v>
      </c>
      <c r="Z22" s="14"/>
    </row>
    <row r="23" spans="1:33">
      <c r="A23" s="28">
        <f t="shared" si="7"/>
        <v>2036</v>
      </c>
      <c r="B23" s="95">
        <f t="shared" si="8"/>
        <v>0.39081938695764779</v>
      </c>
      <c r="C23" s="33">
        <f>'Fixed Costs - Proposed'!L21*1000</f>
        <v>1722447.91966187</v>
      </c>
      <c r="D23" s="103">
        <v>4489.9914253959205</v>
      </c>
      <c r="E23" s="103">
        <v>9884.4941914822848</v>
      </c>
      <c r="F23" s="103">
        <v>-15185.192726137631</v>
      </c>
      <c r="G23" s="33">
        <f>'Fixed Costs - Proposed'!G21*1000</f>
        <v>4322608.3548774729</v>
      </c>
      <c r="H23" s="37">
        <f t="shared" si="0"/>
        <v>4321797.6477682134</v>
      </c>
      <c r="I23" s="107">
        <f t="shared" si="9"/>
        <v>109833.20258635563</v>
      </c>
      <c r="J23" s="107">
        <f t="shared" si="16"/>
        <v>29443.389429999999</v>
      </c>
      <c r="K23" s="84">
        <v>16968234.853518717</v>
      </c>
      <c r="L23" s="33">
        <f t="shared" si="10"/>
        <v>17107511.445535071</v>
      </c>
      <c r="M23" s="33">
        <f t="shared" si="1"/>
        <v>23151757.012965154</v>
      </c>
      <c r="N23" s="33">
        <f>NEL!B16/1000</f>
        <v>159678.55276802424</v>
      </c>
      <c r="O23" s="33">
        <f t="shared" si="17"/>
        <v>998.03825519004192</v>
      </c>
      <c r="P23" s="33">
        <f t="shared" si="2"/>
        <v>158680.5145128342</v>
      </c>
      <c r="Q23" s="121">
        <f t="shared" si="3"/>
        <v>14.59017011889801</v>
      </c>
      <c r="R23" s="29">
        <f t="shared" si="4"/>
        <v>5.7021213414755119</v>
      </c>
      <c r="S23" s="55">
        <f t="shared" si="11"/>
        <v>14.848520920836167</v>
      </c>
      <c r="T23" s="34">
        <f t="shared" si="5"/>
        <v>5.8030898435089986</v>
      </c>
      <c r="U23" s="117"/>
      <c r="V23" s="56">
        <f t="shared" si="6"/>
        <v>2036</v>
      </c>
      <c r="W23" s="16">
        <v>29443389.43</v>
      </c>
      <c r="X23" s="16">
        <f t="shared" si="15"/>
        <v>109833202.58635563</v>
      </c>
      <c r="Y23" s="109">
        <f t="shared" si="12"/>
        <v>139276592.01635563</v>
      </c>
      <c r="Z23" s="14"/>
    </row>
    <row r="24" spans="1:33">
      <c r="A24" s="28">
        <f t="shared" si="7"/>
        <v>2037</v>
      </c>
      <c r="B24" s="95">
        <f t="shared" si="8"/>
        <v>0.3613883160771148</v>
      </c>
      <c r="C24" s="33">
        <f>'Fixed Costs - Proposed'!L22*1000</f>
        <v>2293857.3884415915</v>
      </c>
      <c r="D24" s="103">
        <v>4247.5831753610146</v>
      </c>
      <c r="E24" s="103">
        <v>9896.3783685559756</v>
      </c>
      <c r="F24" s="103">
        <v>-14802.479555853319</v>
      </c>
      <c r="G24" s="33">
        <f>'Fixed Costs - Proposed'!G22*1000</f>
        <v>4187282.6518707289</v>
      </c>
      <c r="H24" s="37">
        <f t="shared" si="0"/>
        <v>4186624.1338587925</v>
      </c>
      <c r="I24" s="107">
        <f t="shared" si="9"/>
        <v>109833.20258635563</v>
      </c>
      <c r="J24" s="107">
        <f t="shared" si="16"/>
        <v>29443.389429999999</v>
      </c>
      <c r="K24" s="84">
        <v>17609372.300392464</v>
      </c>
      <c r="L24" s="33">
        <f t="shared" si="10"/>
        <v>17748648.892408818</v>
      </c>
      <c r="M24" s="33">
        <f t="shared" si="1"/>
        <v>24229130.414709203</v>
      </c>
      <c r="N24" s="33">
        <f>NEL!B17/1000</f>
        <v>161501.51323125177</v>
      </c>
      <c r="O24" s="33">
        <f t="shared" si="17"/>
        <v>998.03825519004192</v>
      </c>
      <c r="P24" s="33">
        <f t="shared" si="2"/>
        <v>160503.47497606173</v>
      </c>
      <c r="Q24" s="121">
        <f t="shared" si="3"/>
        <v>15.095704574821733</v>
      </c>
      <c r="R24" s="29">
        <f t="shared" si="4"/>
        <v>5.4554112562924244</v>
      </c>
      <c r="S24" s="55">
        <f t="shared" si="11"/>
        <v>14.848520920836167</v>
      </c>
      <c r="T24" s="34">
        <f t="shared" si="5"/>
        <v>5.3660819718167927</v>
      </c>
      <c r="U24" s="117"/>
      <c r="V24" s="56">
        <f t="shared" si="6"/>
        <v>2037</v>
      </c>
      <c r="W24" s="16">
        <v>29443389.43</v>
      </c>
      <c r="X24" s="16">
        <f t="shared" si="15"/>
        <v>109833202.58635563</v>
      </c>
      <c r="Y24" s="109">
        <f t="shared" si="12"/>
        <v>139276592.01635563</v>
      </c>
      <c r="Z24" s="14"/>
    </row>
    <row r="25" spans="1:33">
      <c r="A25" s="28">
        <f t="shared" si="7"/>
        <v>2038</v>
      </c>
      <c r="B25" s="95">
        <f t="shared" si="8"/>
        <v>0.33417358338778019</v>
      </c>
      <c r="C25" s="33">
        <f>'Fixed Costs - Proposed'!L23*1000</f>
        <v>2904769.6862046276</v>
      </c>
      <c r="D25" s="103">
        <v>4015.416718462533</v>
      </c>
      <c r="E25" s="103">
        <v>9908.3813874004045</v>
      </c>
      <c r="F25" s="103">
        <v>-14426.473508922625</v>
      </c>
      <c r="G25" s="33">
        <f>'Fixed Costs - Proposed'!G23*1000</f>
        <v>4486169.6021041814</v>
      </c>
      <c r="H25" s="37">
        <f t="shared" si="0"/>
        <v>4485666.926701122</v>
      </c>
      <c r="I25" s="107">
        <f t="shared" si="9"/>
        <v>109833.20258635563</v>
      </c>
      <c r="J25" s="107">
        <f t="shared" si="16"/>
        <v>29443.389429999999</v>
      </c>
      <c r="K25" s="84">
        <v>18263728.403979845</v>
      </c>
      <c r="L25" s="33">
        <f t="shared" si="10"/>
        <v>18403004.9959962</v>
      </c>
      <c r="M25" s="33">
        <f t="shared" si="1"/>
        <v>25793441.608901948</v>
      </c>
      <c r="N25" s="33">
        <f>NEL!B18/1000</f>
        <v>163154.1174881566</v>
      </c>
      <c r="O25" s="33">
        <f t="shared" si="17"/>
        <v>998.03825519004192</v>
      </c>
      <c r="P25" s="33">
        <f t="shared" si="2"/>
        <v>162156.07923296656</v>
      </c>
      <c r="Q25" s="121">
        <f t="shared" si="3"/>
        <v>15.906552335817764</v>
      </c>
      <c r="R25" s="29">
        <f t="shared" si="4"/>
        <v>5.3155495934054873</v>
      </c>
      <c r="S25" s="55">
        <f t="shared" si="11"/>
        <v>14.848520920836167</v>
      </c>
      <c r="T25" s="34">
        <f t="shared" si="5"/>
        <v>4.9619834441242432</v>
      </c>
      <c r="U25" s="117"/>
      <c r="V25" s="56">
        <f t="shared" si="6"/>
        <v>2038</v>
      </c>
      <c r="W25" s="16">
        <v>29443389.43</v>
      </c>
      <c r="X25" s="16">
        <f t="shared" si="15"/>
        <v>109833202.58635563</v>
      </c>
      <c r="Y25" s="109">
        <f t="shared" si="12"/>
        <v>139276592.01635563</v>
      </c>
      <c r="Z25" s="14"/>
      <c r="AC25" s="11"/>
      <c r="AD25" s="11"/>
    </row>
    <row r="26" spans="1:33">
      <c r="A26" s="28">
        <f t="shared" si="7"/>
        <v>2039</v>
      </c>
      <c r="B26" s="95">
        <f t="shared" si="8"/>
        <v>0.30900828517765516</v>
      </c>
      <c r="C26" s="33">
        <f>'Fixed Costs - Proposed'!L24*1000</f>
        <v>3502023.0834199903</v>
      </c>
      <c r="D26" s="103">
        <v>3796.4115143730864</v>
      </c>
      <c r="E26" s="103">
        <v>9920.5044364332753</v>
      </c>
      <c r="F26" s="103">
        <v>-14054.334770967946</v>
      </c>
      <c r="G26" s="33">
        <f>'Fixed Costs - Proposed'!G24*1000</f>
        <v>4450441.5794982892</v>
      </c>
      <c r="H26" s="37">
        <f t="shared" si="0"/>
        <v>4450104.1606781278</v>
      </c>
      <c r="I26" s="107">
        <f t="shared" si="9"/>
        <v>109833.20258635563</v>
      </c>
      <c r="J26" s="107">
        <f t="shared" si="16"/>
        <v>29443.389429999999</v>
      </c>
      <c r="K26" s="84">
        <v>18925302.381772649</v>
      </c>
      <c r="L26" s="33">
        <f t="shared" si="10"/>
        <v>19064578.973789003</v>
      </c>
      <c r="M26" s="33">
        <f t="shared" si="1"/>
        <v>27016706.217887118</v>
      </c>
      <c r="N26" s="33">
        <f>NEL!B19/1000</f>
        <v>164626.97309057534</v>
      </c>
      <c r="O26" s="33">
        <f t="shared" si="17"/>
        <v>998.03825519004192</v>
      </c>
      <c r="P26" s="33">
        <f t="shared" si="2"/>
        <v>163628.9348353853</v>
      </c>
      <c r="Q26" s="121">
        <f t="shared" si="3"/>
        <v>16.510958923656496</v>
      </c>
      <c r="R26" s="29">
        <f t="shared" si="4"/>
        <v>5.102023103637797</v>
      </c>
      <c r="S26" s="55">
        <f t="shared" si="11"/>
        <v>14.848520920836167</v>
      </c>
      <c r="T26" s="34">
        <f t="shared" si="5"/>
        <v>4.5883159871721215</v>
      </c>
      <c r="U26" s="117"/>
      <c r="V26" s="56">
        <f t="shared" si="6"/>
        <v>2039</v>
      </c>
      <c r="W26" s="16">
        <v>29443389.43</v>
      </c>
      <c r="X26" s="16">
        <f t="shared" si="15"/>
        <v>109833202.58635563</v>
      </c>
      <c r="Y26" s="109">
        <f t="shared" si="12"/>
        <v>139276592.01635563</v>
      </c>
      <c r="Z26" s="14"/>
      <c r="AC26" s="11"/>
      <c r="AD26" s="11"/>
    </row>
    <row r="27" spans="1:33">
      <c r="A27" s="28">
        <f t="shared" si="7"/>
        <v>2040</v>
      </c>
      <c r="B27" s="95">
        <f t="shared" si="8"/>
        <v>0.28573808659684358</v>
      </c>
      <c r="C27" s="33">
        <f>'Fixed Costs - Proposed'!L25*1000</f>
        <v>4224489.9687485117</v>
      </c>
      <c r="D27" s="103">
        <v>4039.0793083050435</v>
      </c>
      <c r="E27" s="103">
        <v>10156.817805365939</v>
      </c>
      <c r="F27" s="103">
        <v>-13684.051679212607</v>
      </c>
      <c r="G27" s="33">
        <f>'Fixed Costs - Proposed'!G25*1000</f>
        <v>4460942.5997467032</v>
      </c>
      <c r="H27" s="37">
        <f t="shared" si="0"/>
        <v>4461454.4451811612</v>
      </c>
      <c r="I27" s="107">
        <f t="shared" si="9"/>
        <v>109833.20258635563</v>
      </c>
      <c r="J27" s="107">
        <f t="shared" si="16"/>
        <v>29443.389429999999</v>
      </c>
      <c r="K27" s="84">
        <v>19602342.072269935</v>
      </c>
      <c r="L27" s="33">
        <f t="shared" si="10"/>
        <v>19741618.664286289</v>
      </c>
      <c r="M27" s="33">
        <f t="shared" si="1"/>
        <v>28427563.078215964</v>
      </c>
      <c r="N27" s="33">
        <f>NEL!B20/1000</f>
        <v>165934.75901036451</v>
      </c>
      <c r="O27" s="33">
        <f t="shared" si="17"/>
        <v>998.03825519004192</v>
      </c>
      <c r="P27" s="33">
        <f t="shared" si="2"/>
        <v>164936.72075517447</v>
      </c>
      <c r="Q27" s="121">
        <f t="shared" si="3"/>
        <v>17.235436080005929</v>
      </c>
      <c r="R27" s="29">
        <f t="shared" si="4"/>
        <v>4.9248205271630967</v>
      </c>
      <c r="S27" s="55">
        <f t="shared" si="11"/>
        <v>14.848520920836167</v>
      </c>
      <c r="T27" s="34">
        <f t="shared" si="5"/>
        <v>4.2427879567129283</v>
      </c>
      <c r="U27" s="117"/>
      <c r="V27" s="56">
        <f t="shared" si="6"/>
        <v>2040</v>
      </c>
      <c r="W27" s="16">
        <v>29443389.43</v>
      </c>
      <c r="X27" s="16">
        <f t="shared" si="15"/>
        <v>109833202.58635563</v>
      </c>
      <c r="Y27" s="109">
        <f t="shared" si="12"/>
        <v>139276592.01635563</v>
      </c>
      <c r="Z27" s="14"/>
      <c r="AC27" s="11"/>
      <c r="AD27" s="11"/>
    </row>
    <row r="28" spans="1:33">
      <c r="A28" s="28">
        <f t="shared" si="7"/>
        <v>2041</v>
      </c>
      <c r="B28" s="95">
        <f t="shared" si="8"/>
        <v>0.26422027514597279</v>
      </c>
      <c r="C28" s="33">
        <f>'Fixed Costs - Proposed'!L26*1000</f>
        <v>4799755.0632972717</v>
      </c>
      <c r="D28" s="103">
        <v>4166.3565307033341</v>
      </c>
      <c r="E28" s="103">
        <v>10173.66590947256</v>
      </c>
      <c r="F28" s="103">
        <v>-13320.103263400582</v>
      </c>
      <c r="G28" s="33">
        <f>'Fixed Costs - Proposed'!G26*1000</f>
        <v>4498135.4070587214</v>
      </c>
      <c r="H28" s="37">
        <f t="shared" si="0"/>
        <v>4499155.3262354964</v>
      </c>
      <c r="I28" s="107">
        <f t="shared" si="9"/>
        <v>109833.20258635563</v>
      </c>
      <c r="J28" s="107">
        <f t="shared" si="16"/>
        <v>29443.389429999999</v>
      </c>
      <c r="K28" s="84">
        <v>19999891.722335413</v>
      </c>
      <c r="L28" s="33">
        <f t="shared" si="10"/>
        <v>20139168.314351767</v>
      </c>
      <c r="M28" s="33">
        <f t="shared" si="1"/>
        <v>29438078.703884535</v>
      </c>
      <c r="N28" s="33">
        <f>NEL!B21/1000</f>
        <v>164918.52822270812</v>
      </c>
      <c r="O28" s="33">
        <f t="shared" si="17"/>
        <v>998.03825519004192</v>
      </c>
      <c r="P28" s="33">
        <f t="shared" si="2"/>
        <v>163920.48996751808</v>
      </c>
      <c r="Q28" s="121">
        <f t="shared" si="3"/>
        <v>17.958754704624106</v>
      </c>
      <c r="R28" s="29">
        <f t="shared" si="4"/>
        <v>4.7450671093348147</v>
      </c>
      <c r="S28" s="55">
        <f t="shared" si="11"/>
        <v>14.848520920836167</v>
      </c>
      <c r="T28" s="34">
        <f t="shared" si="5"/>
        <v>3.9232802832140652</v>
      </c>
      <c r="U28" s="117"/>
      <c r="V28" s="56">
        <f t="shared" si="6"/>
        <v>2041</v>
      </c>
      <c r="W28" s="16">
        <v>29443389.43</v>
      </c>
      <c r="X28" s="16">
        <f t="shared" si="15"/>
        <v>109833202.58635563</v>
      </c>
      <c r="Y28" s="109">
        <f t="shared" si="12"/>
        <v>139276592.01635563</v>
      </c>
      <c r="Z28" s="14"/>
      <c r="AC28" s="11"/>
      <c r="AD28" s="11"/>
    </row>
    <row r="29" spans="1:33">
      <c r="A29" s="28">
        <f t="shared" si="7"/>
        <v>2042</v>
      </c>
      <c r="B29" s="95">
        <f t="shared" si="8"/>
        <v>0.24432288544268835</v>
      </c>
      <c r="C29" s="33">
        <f>'Fixed Costs - Proposed'!L27*1000</f>
        <v>5454498.3856863407</v>
      </c>
      <c r="D29" s="103">
        <v>4302.9482303097193</v>
      </c>
      <c r="E29" s="103">
        <v>10190.72730843813</v>
      </c>
      <c r="F29" s="103">
        <v>-12972.846796399866</v>
      </c>
      <c r="G29" s="33">
        <f>'Fixed Costs - Proposed'!G27*1000</f>
        <v>4480465.0051612807</v>
      </c>
      <c r="H29" s="37">
        <f t="shared" si="0"/>
        <v>4481985.8339036284</v>
      </c>
      <c r="I29" s="107">
        <f t="shared" si="9"/>
        <v>109833.20258635563</v>
      </c>
      <c r="J29" s="107">
        <f t="shared" si="16"/>
        <v>29443.389429999999</v>
      </c>
      <c r="K29" s="84">
        <v>20430952.528708454</v>
      </c>
      <c r="L29" s="33">
        <f t="shared" si="10"/>
        <v>20570229.120724808</v>
      </c>
      <c r="M29" s="33">
        <f t="shared" si="1"/>
        <v>30506713.340314776</v>
      </c>
      <c r="N29" s="33">
        <f>NEL!B22/1000</f>
        <v>166510.76719574467</v>
      </c>
      <c r="O29" s="33">
        <f t="shared" si="17"/>
        <v>998.03825519004192</v>
      </c>
      <c r="P29" s="33">
        <f t="shared" si="2"/>
        <v>165512.72894055463</v>
      </c>
      <c r="Q29" s="121">
        <f t="shared" si="3"/>
        <v>18.431641805188008</v>
      </c>
      <c r="R29" s="29">
        <f t="shared" si="4"/>
        <v>4.503271909289615</v>
      </c>
      <c r="S29" s="55">
        <f t="shared" si="11"/>
        <v>14.848520920836167</v>
      </c>
      <c r="T29" s="34">
        <f t="shared" si="5"/>
        <v>3.6278334759348163</v>
      </c>
      <c r="U29" s="117"/>
      <c r="V29" s="56">
        <f t="shared" si="6"/>
        <v>2042</v>
      </c>
      <c r="W29" s="16">
        <v>29443389.43</v>
      </c>
      <c r="X29" s="16">
        <f t="shared" si="15"/>
        <v>109833202.58635563</v>
      </c>
      <c r="Y29" s="109">
        <f t="shared" si="12"/>
        <v>139276592.01635563</v>
      </c>
      <c r="Z29" s="14"/>
      <c r="AC29" s="11"/>
      <c r="AD29" s="11"/>
    </row>
    <row r="30" spans="1:33">
      <c r="A30" s="28">
        <f t="shared" si="7"/>
        <v>2043</v>
      </c>
      <c r="B30" s="95">
        <f t="shared" si="8"/>
        <v>0.22592388989854117</v>
      </c>
      <c r="C30" s="33">
        <f>'Fixed Costs - Proposed'!L28*1000</f>
        <v>6148261.9874817682</v>
      </c>
      <c r="D30" s="103">
        <v>9131.1124147011542</v>
      </c>
      <c r="E30" s="103">
        <v>15635.93953615558</v>
      </c>
      <c r="F30" s="103">
        <v>-12647.652270720955</v>
      </c>
      <c r="G30" s="33">
        <f>'Fixed Costs - Proposed'!G28*1000</f>
        <v>4492609.3005180387</v>
      </c>
      <c r="H30" s="37">
        <f t="shared" si="0"/>
        <v>4504728.7001981745</v>
      </c>
      <c r="I30" s="107">
        <f t="shared" si="9"/>
        <v>109833.20258635563</v>
      </c>
      <c r="J30" s="107">
        <f t="shared" si="16"/>
        <v>29443.389429999999</v>
      </c>
      <c r="K30" s="84">
        <v>20868865.153961189</v>
      </c>
      <c r="L30" s="33">
        <f t="shared" si="10"/>
        <v>21008141.745977543</v>
      </c>
      <c r="M30" s="33">
        <f t="shared" si="1"/>
        <v>31661132.433657486</v>
      </c>
      <c r="N30" s="33">
        <f>NEL!B23/1000</f>
        <v>168119.10276074152</v>
      </c>
      <c r="O30" s="33">
        <f t="shared" si="17"/>
        <v>998.03825519004192</v>
      </c>
      <c r="P30" s="33">
        <f t="shared" si="2"/>
        <v>167121.06450555148</v>
      </c>
      <c r="Q30" s="121">
        <f t="shared" si="3"/>
        <v>18.945027981559896</v>
      </c>
      <c r="R30" s="29">
        <f t="shared" si="4"/>
        <v>4.2801344158307195</v>
      </c>
      <c r="S30" s="55">
        <f t="shared" si="11"/>
        <v>14.848520920836167</v>
      </c>
      <c r="T30" s="34">
        <f t="shared" si="5"/>
        <v>3.3546356056751754</v>
      </c>
      <c r="U30" s="117"/>
      <c r="V30" s="56">
        <f t="shared" si="6"/>
        <v>2043</v>
      </c>
      <c r="W30" s="16">
        <v>29443389.43</v>
      </c>
      <c r="X30" s="16">
        <f t="shared" si="15"/>
        <v>109833202.58635563</v>
      </c>
      <c r="Y30" s="109">
        <f t="shared" si="12"/>
        <v>139276592.01635563</v>
      </c>
      <c r="Z30" s="14"/>
      <c r="AC30" s="11"/>
      <c r="AD30" s="11"/>
    </row>
    <row r="31" spans="1:33">
      <c r="A31" s="28">
        <f t="shared" si="7"/>
        <v>2044</v>
      </c>
      <c r="B31" s="95">
        <f t="shared" si="8"/>
        <v>0.20891045034281555</v>
      </c>
      <c r="C31" s="33">
        <f>'Fixed Costs - Proposed'!L29*1000</f>
        <v>6772593.6550829737</v>
      </c>
      <c r="D31" s="103">
        <v>6782.0452764563433</v>
      </c>
      <c r="E31" s="103">
        <v>16101.664562266553</v>
      </c>
      <c r="F31" s="103">
        <v>-12344.894761099464</v>
      </c>
      <c r="G31" s="33">
        <f>'Fixed Costs - Proposed'!G29*1000</f>
        <v>4446516.597114563</v>
      </c>
      <c r="H31" s="37">
        <f t="shared" si="0"/>
        <v>4457055.4121921863</v>
      </c>
      <c r="I31" s="107">
        <f t="shared" si="9"/>
        <v>109833.20258635563</v>
      </c>
      <c r="J31" s="107">
        <f t="shared" si="16"/>
        <v>29443.389429999999</v>
      </c>
      <c r="K31" s="84">
        <v>21313734.632471275</v>
      </c>
      <c r="L31" s="33">
        <f t="shared" si="10"/>
        <v>21453011.224487629</v>
      </c>
      <c r="M31" s="33">
        <f t="shared" si="1"/>
        <v>32682660.291762788</v>
      </c>
      <c r="N31" s="33">
        <f>NEL!B24/1000</f>
        <v>169743.69938976341</v>
      </c>
      <c r="O31" s="33">
        <f t="shared" si="17"/>
        <v>998.03825519004192</v>
      </c>
      <c r="P31" s="33">
        <f t="shared" si="2"/>
        <v>168745.66113457337</v>
      </c>
      <c r="Q31" s="121">
        <f t="shared" si="3"/>
        <v>19.36800038117639</v>
      </c>
      <c r="R31" s="29">
        <f t="shared" si="4"/>
        <v>4.0461776818713826</v>
      </c>
      <c r="S31" s="55">
        <f t="shared" si="11"/>
        <v>14.848520920836167</v>
      </c>
      <c r="T31" s="34">
        <f t="shared" si="5"/>
        <v>3.1020111924966018</v>
      </c>
      <c r="U31" s="117"/>
      <c r="V31" s="56">
        <f t="shared" si="6"/>
        <v>2044</v>
      </c>
      <c r="W31" s="16">
        <v>29443389.43</v>
      </c>
      <c r="X31" s="16">
        <f t="shared" si="15"/>
        <v>109833202.58635563</v>
      </c>
      <c r="Y31" s="109">
        <f t="shared" si="12"/>
        <v>139276592.01635563</v>
      </c>
      <c r="Z31" s="14"/>
      <c r="AC31" s="11"/>
      <c r="AD31" s="11"/>
    </row>
    <row r="32" spans="1:33">
      <c r="A32" s="28">
        <f t="shared" si="7"/>
        <v>2045</v>
      </c>
      <c r="B32" s="95">
        <f t="shared" si="8"/>
        <v>0.19317822600362289</v>
      </c>
      <c r="C32" s="33">
        <f>'Fixed Costs - Proposed'!L30*1000</f>
        <v>7393399.5511898967</v>
      </c>
      <c r="D32" s="103">
        <v>9697.9968774442077</v>
      </c>
      <c r="E32" s="103">
        <v>16850.913350762516</v>
      </c>
      <c r="F32" s="103">
        <v>-12065.004167155877</v>
      </c>
      <c r="G32" s="33">
        <f>'Fixed Costs - Proposed'!G30*1000</f>
        <v>4391064.0960769653</v>
      </c>
      <c r="H32" s="37">
        <f t="shared" si="0"/>
        <v>4405548.0021380158</v>
      </c>
      <c r="I32" s="107">
        <f t="shared" si="9"/>
        <v>109833.20258635563</v>
      </c>
      <c r="J32" s="107">
        <f t="shared" si="16"/>
        <v>29443.389429999999</v>
      </c>
      <c r="K32" s="84">
        <v>21765667.715793397</v>
      </c>
      <c r="L32" s="33">
        <f t="shared" si="10"/>
        <v>21904944.307809751</v>
      </c>
      <c r="M32" s="33">
        <f t="shared" si="1"/>
        <v>33703891.861137666</v>
      </c>
      <c r="N32" s="33">
        <f>NEL!B25/1000</f>
        <v>171384.72323944248</v>
      </c>
      <c r="O32" s="33">
        <f t="shared" si="17"/>
        <v>998.03825519004192</v>
      </c>
      <c r="P32" s="33">
        <f t="shared" si="2"/>
        <v>170386.68498425244</v>
      </c>
      <c r="Q32" s="121">
        <f t="shared" si="3"/>
        <v>19.78082493021838</v>
      </c>
      <c r="R32" s="29">
        <f t="shared" si="4"/>
        <v>3.8212246689078242</v>
      </c>
      <c r="S32" s="55">
        <f t="shared" si="11"/>
        <v>14.848520920836167</v>
      </c>
      <c r="T32" s="34">
        <f t="shared" si="5"/>
        <v>2.8684109302648118</v>
      </c>
      <c r="U32" s="117"/>
      <c r="V32" s="56">
        <f t="shared" si="6"/>
        <v>2045</v>
      </c>
      <c r="W32" s="16">
        <v>29443389.43</v>
      </c>
      <c r="X32" s="16">
        <f t="shared" si="15"/>
        <v>109833202.58635563</v>
      </c>
      <c r="Y32" s="109">
        <f t="shared" si="12"/>
        <v>139276592.01635563</v>
      </c>
      <c r="Z32" s="14"/>
      <c r="AC32" s="11"/>
      <c r="AD32" s="11"/>
    </row>
    <row r="33" spans="1:30">
      <c r="A33" s="28">
        <f t="shared" si="7"/>
        <v>2046</v>
      </c>
      <c r="B33" s="95">
        <f t="shared" si="8"/>
        <v>0.17863073360221762</v>
      </c>
      <c r="C33" s="33">
        <f>'Fixed Costs - Proposed'!L31*1000</f>
        <v>7807402.3250534264</v>
      </c>
      <c r="D33" s="103">
        <v>10277.682760053338</v>
      </c>
      <c r="E33" s="103">
        <v>16596.449261198704</v>
      </c>
      <c r="F33" s="103">
        <v>-11808.464686889194</v>
      </c>
      <c r="G33" s="33">
        <f>'Fixed Costs - Proposed'!G31*1000</f>
        <v>4435170.1915626545</v>
      </c>
      <c r="H33" s="37">
        <f t="shared" si="0"/>
        <v>4450235.8588970173</v>
      </c>
      <c r="I33" s="107">
        <f t="shared" si="9"/>
        <v>109833.20258635563</v>
      </c>
      <c r="J33" s="107">
        <f t="shared" si="16"/>
        <v>29443.389429999999</v>
      </c>
      <c r="K33" s="84">
        <v>22224772.882065356</v>
      </c>
      <c r="L33" s="33">
        <f t="shared" si="10"/>
        <v>22364049.47408171</v>
      </c>
      <c r="M33" s="33">
        <f t="shared" si="1"/>
        <v>34621687.658032149</v>
      </c>
      <c r="N33" s="33">
        <f>NEL!B26/1000</f>
        <v>173042.34216823126</v>
      </c>
      <c r="O33" s="33">
        <f t="shared" si="17"/>
        <v>998.03825519004192</v>
      </c>
      <c r="P33" s="33">
        <f t="shared" si="2"/>
        <v>172044.30391304122</v>
      </c>
      <c r="Q33" s="121">
        <f t="shared" si="3"/>
        <v>20.123704691514504</v>
      </c>
      <c r="R33" s="29">
        <f t="shared" si="4"/>
        <v>3.5947121318396245</v>
      </c>
      <c r="S33" s="55">
        <f t="shared" si="11"/>
        <v>14.848520920836167</v>
      </c>
      <c r="T33" s="34">
        <f t="shared" si="5"/>
        <v>2.6524021849968404</v>
      </c>
      <c r="U33" s="117"/>
      <c r="V33" s="56">
        <f t="shared" si="6"/>
        <v>2046</v>
      </c>
      <c r="W33" s="16">
        <v>29443389.43</v>
      </c>
      <c r="X33" s="16">
        <f t="shared" si="15"/>
        <v>109833202.58635563</v>
      </c>
      <c r="Y33" s="109">
        <f t="shared" si="12"/>
        <v>139276592.01635563</v>
      </c>
      <c r="Z33" s="14"/>
      <c r="AC33" s="11"/>
      <c r="AD33" s="11"/>
    </row>
    <row r="34" spans="1:30">
      <c r="A34" s="28">
        <f t="shared" si="7"/>
        <v>2047</v>
      </c>
      <c r="B34" s="95">
        <f t="shared" si="8"/>
        <v>0.16517875563609336</v>
      </c>
      <c r="C34" s="33">
        <f>'Fixed Costs - Proposed'!L32*1000</f>
        <v>8445470.5128321033</v>
      </c>
      <c r="D34" s="103">
        <v>11000.720653980847</v>
      </c>
      <c r="E34" s="103">
        <v>16612.256569018413</v>
      </c>
      <c r="F34" s="103">
        <v>-11575.814478231834</v>
      </c>
      <c r="G34" s="33">
        <f>'Fixed Costs - Proposed'!G32*1000</f>
        <v>4303874.4806518517</v>
      </c>
      <c r="H34" s="37">
        <f t="shared" si="0"/>
        <v>4319911.6433966188</v>
      </c>
      <c r="I34" s="107">
        <f t="shared" si="9"/>
        <v>109833.20258635563</v>
      </c>
      <c r="J34" s="107">
        <f t="shared" si="16"/>
        <v>29443.389429999999</v>
      </c>
      <c r="K34" s="84">
        <v>22691160.351764329</v>
      </c>
      <c r="L34" s="33">
        <f t="shared" si="10"/>
        <v>22830436.943780683</v>
      </c>
      <c r="M34" s="33">
        <f t="shared" si="1"/>
        <v>35595819.100009404</v>
      </c>
      <c r="N34" s="33">
        <f>NEL!B27/1000</f>
        <v>174716.72575385048</v>
      </c>
      <c r="O34" s="33">
        <f t="shared" si="17"/>
        <v>998.03825519004192</v>
      </c>
      <c r="P34" s="33">
        <f t="shared" si="2"/>
        <v>173718.68749866044</v>
      </c>
      <c r="Q34" s="121">
        <f t="shared" si="3"/>
        <v>20.490495071397479</v>
      </c>
      <c r="R34" s="29">
        <f t="shared" si="4"/>
        <v>3.3845944782609396</v>
      </c>
      <c r="S34" s="55">
        <f t="shared" si="11"/>
        <v>14.848520920836167</v>
      </c>
      <c r="T34" s="34">
        <f t="shared" si="5"/>
        <v>2.452660208740217</v>
      </c>
      <c r="U34" s="117"/>
      <c r="V34" s="56">
        <f t="shared" si="6"/>
        <v>2047</v>
      </c>
      <c r="W34" s="16">
        <v>29443389.43</v>
      </c>
      <c r="X34" s="16">
        <f t="shared" si="15"/>
        <v>109833202.58635563</v>
      </c>
      <c r="Y34" s="109">
        <f t="shared" si="12"/>
        <v>139276592.01635563</v>
      </c>
      <c r="Z34" s="14"/>
      <c r="AC34" s="11"/>
      <c r="AD34" s="11"/>
    </row>
    <row r="35" spans="1:30">
      <c r="A35" s="28">
        <f t="shared" si="7"/>
        <v>2048</v>
      </c>
      <c r="B35" s="95">
        <f t="shared" si="8"/>
        <v>0.15273979322195161</v>
      </c>
      <c r="C35" s="33">
        <f>'Fixed Costs - Proposed'!L33*1000</f>
        <v>9145722.683676485</v>
      </c>
      <c r="D35" s="103">
        <v>11742.491485194616</v>
      </c>
      <c r="E35" s="103">
        <v>16634.844397736801</v>
      </c>
      <c r="F35" s="103">
        <v>-11367.645501483965</v>
      </c>
      <c r="G35" s="33">
        <f>'Fixed Costs - Proposed'!G33*1000</f>
        <v>4322007.5699820546</v>
      </c>
      <c r="H35" s="37">
        <f t="shared" si="0"/>
        <v>4339017.2603635024</v>
      </c>
      <c r="I35" s="107">
        <f t="shared" si="9"/>
        <v>109833.20258635563</v>
      </c>
      <c r="J35" s="107">
        <f t="shared" si="16"/>
        <v>29443.389429999999</v>
      </c>
      <c r="K35" s="84">
        <v>23164942.107887957</v>
      </c>
      <c r="L35" s="33">
        <f t="shared" si="10"/>
        <v>23304218.699904311</v>
      </c>
      <c r="M35" s="33">
        <f t="shared" si="1"/>
        <v>36788958.643944301</v>
      </c>
      <c r="N35" s="33">
        <f>NEL!B28/1000</f>
        <v>176408.04531090354</v>
      </c>
      <c r="O35" s="33">
        <f t="shared" si="17"/>
        <v>998.03825519004192</v>
      </c>
      <c r="P35" s="33">
        <f t="shared" si="2"/>
        <v>175410.0070557135</v>
      </c>
      <c r="Q35" s="121">
        <f t="shared" si="3"/>
        <v>20.97312420280528</v>
      </c>
      <c r="R35" s="29">
        <f t="shared" si="4"/>
        <v>3.2034306539547872</v>
      </c>
      <c r="S35" s="55">
        <f t="shared" si="11"/>
        <v>14.848520920836167</v>
      </c>
      <c r="T35" s="34">
        <f t="shared" si="5"/>
        <v>2.2679600151003387</v>
      </c>
      <c r="U35" s="117"/>
      <c r="V35" s="56">
        <f t="shared" si="6"/>
        <v>2048</v>
      </c>
      <c r="W35" s="16">
        <v>29443389.43</v>
      </c>
      <c r="X35" s="16">
        <f t="shared" si="15"/>
        <v>109833202.58635563</v>
      </c>
      <c r="Y35" s="109">
        <f t="shared" si="12"/>
        <v>139276592.01635563</v>
      </c>
      <c r="Z35" s="14"/>
      <c r="AC35" s="11"/>
      <c r="AD35" s="11"/>
    </row>
    <row r="36" spans="1:30">
      <c r="A36" s="28">
        <f t="shared" si="7"/>
        <v>2049</v>
      </c>
      <c r="B36" s="95">
        <f t="shared" si="8"/>
        <v>0.14123756014291464</v>
      </c>
      <c r="C36" s="33">
        <f>'Fixed Costs - Proposed'!L34*1000</f>
        <v>9906849.5314846002</v>
      </c>
      <c r="D36" s="103">
        <v>12498.618788125399</v>
      </c>
      <c r="E36" s="103">
        <v>16663.624363897321</v>
      </c>
      <c r="F36" s="103">
        <v>-11178.544385483956</v>
      </c>
      <c r="G36" s="33">
        <f>'Fixed Costs - Proposed'!G34*1000</f>
        <v>4373617.819036481</v>
      </c>
      <c r="H36" s="37">
        <f t="shared" si="0"/>
        <v>4391601.5178030198</v>
      </c>
      <c r="I36" s="107">
        <f t="shared" si="9"/>
        <v>109833.20258635563</v>
      </c>
      <c r="J36" s="107">
        <f t="shared" si="16"/>
        <v>29443.389429999999</v>
      </c>
      <c r="K36" s="84">
        <v>23646231.919269901</v>
      </c>
      <c r="L36" s="33">
        <f t="shared" si="10"/>
        <v>23785508.511286255</v>
      </c>
      <c r="M36" s="33">
        <f t="shared" si="1"/>
        <v>38083959.560573876</v>
      </c>
      <c r="N36" s="33">
        <f>NEL!B29/1000</f>
        <v>178116.47390867816</v>
      </c>
      <c r="O36" s="33">
        <f t="shared" si="17"/>
        <v>998.03825519004192</v>
      </c>
      <c r="P36" s="33">
        <f t="shared" si="2"/>
        <v>177118.43565348812</v>
      </c>
      <c r="Q36" s="121">
        <f t="shared" si="3"/>
        <v>21.501973761263773</v>
      </c>
      <c r="R36" s="29">
        <f t="shared" si="4"/>
        <v>3.0368863122978644</v>
      </c>
      <c r="S36" s="55">
        <f t="shared" si="11"/>
        <v>14.848520920836167</v>
      </c>
      <c r="T36" s="34">
        <f t="shared" si="5"/>
        <v>2.0971688665899242</v>
      </c>
      <c r="U36" s="117"/>
      <c r="V36" s="56">
        <f t="shared" si="6"/>
        <v>2049</v>
      </c>
      <c r="W36" s="16">
        <v>29443389.43</v>
      </c>
      <c r="X36" s="16">
        <f t="shared" si="15"/>
        <v>109833202.58635563</v>
      </c>
      <c r="Y36" s="109">
        <f t="shared" si="12"/>
        <v>139276592.01635563</v>
      </c>
      <c r="Z36" s="14"/>
      <c r="AC36" s="11"/>
      <c r="AD36" s="11"/>
    </row>
    <row r="37" spans="1:30">
      <c r="A37" s="28">
        <f t="shared" si="7"/>
        <v>2050</v>
      </c>
      <c r="B37" s="95">
        <f t="shared" si="8"/>
        <v>0.13060151499705264</v>
      </c>
      <c r="C37" s="33">
        <f>'Fixed Costs - Proposed'!L35*1000</f>
        <v>10978179.437654676</v>
      </c>
      <c r="D37" s="103">
        <v>12743.679454464735</v>
      </c>
      <c r="E37" s="103">
        <v>16424.928970514302</v>
      </c>
      <c r="F37" s="103">
        <v>-10996.893447814246</v>
      </c>
      <c r="G37" s="33">
        <f>'Fixed Costs - Proposed'!G35*1000</f>
        <v>4287311.8671698561</v>
      </c>
      <c r="H37" s="37">
        <f t="shared" si="0"/>
        <v>4305483.5821470208</v>
      </c>
      <c r="I37" s="107">
        <f t="shared" si="9"/>
        <v>109833.20258635563</v>
      </c>
      <c r="J37" s="107">
        <f t="shared" si="16"/>
        <v>29443.389429999999</v>
      </c>
      <c r="K37" s="84">
        <v>24135145.366166316</v>
      </c>
      <c r="L37" s="33">
        <f t="shared" si="10"/>
        <v>24274421.95818267</v>
      </c>
      <c r="M37" s="33">
        <f t="shared" si="1"/>
        <v>39558084.977984369</v>
      </c>
      <c r="N37" s="33">
        <f>NEL!B30/1000</f>
        <v>179842.18638912725</v>
      </c>
      <c r="O37" s="33">
        <f t="shared" si="17"/>
        <v>998.03825519004192</v>
      </c>
      <c r="P37" s="33">
        <f t="shared" si="2"/>
        <v>178844.14813393721</v>
      </c>
      <c r="Q37" s="121">
        <f t="shared" si="3"/>
        <v>22.118747183362764</v>
      </c>
      <c r="R37" s="29">
        <f t="shared" si="4"/>
        <v>2.8887418919839676</v>
      </c>
      <c r="S37" s="55">
        <f t="shared" si="11"/>
        <v>14.848520920836167</v>
      </c>
      <c r="T37" s="34">
        <f t="shared" si="5"/>
        <v>1.9392393277266344</v>
      </c>
      <c r="U37" s="117"/>
      <c r="V37" s="56">
        <f t="shared" si="6"/>
        <v>2050</v>
      </c>
      <c r="W37" s="16">
        <v>29443389.43</v>
      </c>
      <c r="X37" s="16">
        <f t="shared" si="15"/>
        <v>109833202.58635563</v>
      </c>
      <c r="Y37" s="109">
        <f t="shared" si="12"/>
        <v>139276592.01635563</v>
      </c>
      <c r="Z37" s="14"/>
      <c r="AC37" s="11"/>
      <c r="AD37" s="11"/>
    </row>
    <row r="38" spans="1:30">
      <c r="A38" s="28">
        <f t="shared" si="7"/>
        <v>2051</v>
      </c>
      <c r="B38" s="95">
        <f t="shared" si="8"/>
        <v>0.12076642857796518</v>
      </c>
      <c r="C38" s="33">
        <f>'Fixed Costs - Proposed'!L36*1000</f>
        <v>11240532.617594006</v>
      </c>
      <c r="D38" s="103">
        <v>13190.633678170827</v>
      </c>
      <c r="E38" s="103">
        <v>16459.098733398128</v>
      </c>
      <c r="F38" s="103">
        <v>-10816.837741653015</v>
      </c>
      <c r="G38" s="33">
        <f>'Fixed Costs - Proposed'!G36*1000</f>
        <v>4263279.8368091537</v>
      </c>
      <c r="H38" s="37">
        <f t="shared" si="0"/>
        <v>4282112.7314790692</v>
      </c>
      <c r="I38" s="107">
        <f t="shared" si="9"/>
        <v>109833.20258635563</v>
      </c>
      <c r="J38" s="107">
        <f t="shared" si="16"/>
        <v>29443.389429999999</v>
      </c>
      <c r="K38" s="84">
        <v>24631799.867536113</v>
      </c>
      <c r="L38" s="33">
        <f t="shared" si="10"/>
        <v>24771076.459552467</v>
      </c>
      <c r="M38" s="33">
        <f t="shared" si="1"/>
        <v>40293721.808625542</v>
      </c>
      <c r="N38" s="33">
        <f>NEL!B31/1000</f>
        <v>181585.35938502947</v>
      </c>
      <c r="O38" s="33">
        <f t="shared" si="17"/>
        <v>998.03825519004192</v>
      </c>
      <c r="P38" s="33">
        <f t="shared" si="2"/>
        <v>180587.32112983943</v>
      </c>
      <c r="Q38" s="121">
        <f t="shared" si="3"/>
        <v>22.312597338799325</v>
      </c>
      <c r="R38" s="29">
        <f t="shared" si="4"/>
        <v>2.6946126929050047</v>
      </c>
      <c r="S38" s="55">
        <f t="shared" ref="S38:S57" si="18">S37</f>
        <v>14.848520920836167</v>
      </c>
      <c r="T38" s="34">
        <f t="shared" si="5"/>
        <v>1.7932028412745828</v>
      </c>
      <c r="U38" s="117"/>
      <c r="V38" s="56">
        <f t="shared" si="6"/>
        <v>2051</v>
      </c>
      <c r="W38" s="16">
        <v>29443389.43</v>
      </c>
      <c r="X38" s="16">
        <f t="shared" si="15"/>
        <v>109833202.58635563</v>
      </c>
      <c r="Y38" s="109">
        <f t="shared" si="12"/>
        <v>139276592.01635563</v>
      </c>
      <c r="Z38" s="14"/>
      <c r="AC38" s="11"/>
      <c r="AD38" s="11"/>
    </row>
    <row r="39" spans="1:30">
      <c r="A39" s="28">
        <f t="shared" si="7"/>
        <v>2052</v>
      </c>
      <c r="B39" s="95">
        <f t="shared" si="8"/>
        <v>0.11167198383422967</v>
      </c>
      <c r="C39" s="33">
        <f>'Fixed Costs - Proposed'!L37*1000</f>
        <v>11759394.8436321</v>
      </c>
      <c r="D39" s="103">
        <v>17555.4406597056</v>
      </c>
      <c r="E39" s="103">
        <v>17662.923253687983</v>
      </c>
      <c r="F39" s="103">
        <v>-10638.417147787977</v>
      </c>
      <c r="G39" s="33">
        <f>'Fixed Costs - Proposed'!G37*1000</f>
        <v>4536062.4165091477</v>
      </c>
      <c r="H39" s="37">
        <f t="shared" si="0"/>
        <v>4560642.3632747531</v>
      </c>
      <c r="I39" s="107">
        <f t="shared" si="9"/>
        <v>109833.20258635563</v>
      </c>
      <c r="J39" s="107">
        <f t="shared" si="16"/>
        <v>29443.389429999999</v>
      </c>
      <c r="K39" s="84">
        <v>25136314.709630359</v>
      </c>
      <c r="L39" s="33">
        <f t="shared" si="10"/>
        <v>25275591.301646713</v>
      </c>
      <c r="M39" s="33">
        <f t="shared" si="1"/>
        <v>41595628.508553565</v>
      </c>
      <c r="N39" s="33">
        <f>NEL!B32/1000</f>
        <v>183346.17133835287</v>
      </c>
      <c r="O39" s="33">
        <f t="shared" si="17"/>
        <v>998.03825519004192</v>
      </c>
      <c r="P39" s="33">
        <f t="shared" si="2"/>
        <v>182348.13308316283</v>
      </c>
      <c r="Q39" s="121">
        <f t="shared" si="3"/>
        <v>22.811107415935648</v>
      </c>
      <c r="R39" s="29">
        <f t="shared" si="4"/>
        <v>2.5473616185932424</v>
      </c>
      <c r="S39" s="55">
        <f t="shared" si="18"/>
        <v>14.848520920836167</v>
      </c>
      <c r="T39" s="34">
        <f t="shared" si="5"/>
        <v>1.6581637882338376</v>
      </c>
      <c r="U39" s="117"/>
      <c r="V39" s="56">
        <f t="shared" si="6"/>
        <v>2052</v>
      </c>
      <c r="W39" s="16">
        <v>29443389.43</v>
      </c>
      <c r="X39" s="16">
        <f t="shared" si="15"/>
        <v>109833202.58635563</v>
      </c>
      <c r="Y39" s="109">
        <f t="shared" si="12"/>
        <v>139276592.01635563</v>
      </c>
      <c r="Z39" s="14"/>
      <c r="AC39" s="11"/>
      <c r="AD39" s="11"/>
    </row>
    <row r="40" spans="1:30">
      <c r="A40" s="28">
        <f t="shared" si="7"/>
        <v>2053</v>
      </c>
      <c r="B40" s="95">
        <f t="shared" si="8"/>
        <v>0.1032624059543301</v>
      </c>
      <c r="C40" s="33">
        <f>'Fixed Costs - Proposed'!L38*1000</f>
        <v>12860981.215472108</v>
      </c>
      <c r="D40" s="103">
        <v>11740.191262704893</v>
      </c>
      <c r="E40" s="103">
        <v>12012.183435995044</v>
      </c>
      <c r="F40" s="103">
        <v>-10461.672544026533</v>
      </c>
      <c r="G40" s="33">
        <f>'Fixed Costs - Proposed'!G38*1000</f>
        <v>4823058.3756504068</v>
      </c>
      <c r="H40" s="37">
        <f t="shared" si="0"/>
        <v>4836349.0778050805</v>
      </c>
      <c r="I40" s="107">
        <f t="shared" si="9"/>
        <v>109833.20258635563</v>
      </c>
      <c r="J40" s="107">
        <f t="shared" si="16"/>
        <v>29443.389429999999</v>
      </c>
      <c r="K40" s="84">
        <v>25648811.075635657</v>
      </c>
      <c r="L40" s="33">
        <f t="shared" si="10"/>
        <v>25788087.667652011</v>
      </c>
      <c r="M40" s="33">
        <f t="shared" si="1"/>
        <v>43485417.9609292</v>
      </c>
      <c r="N40" s="33">
        <f>NEL!B33/1000</f>
        <v>185124.80251877927</v>
      </c>
      <c r="O40" s="33">
        <f t="shared" si="17"/>
        <v>998.03825519004192</v>
      </c>
      <c r="P40" s="33">
        <f t="shared" si="2"/>
        <v>184126.76426358923</v>
      </c>
      <c r="Q40" s="121">
        <f t="shared" si="3"/>
        <v>23.617108645148971</v>
      </c>
      <c r="R40" s="29">
        <f t="shared" si="4"/>
        <v>2.4387594603828919</v>
      </c>
      <c r="S40" s="55">
        <f t="shared" si="18"/>
        <v>14.848520920836167</v>
      </c>
      <c r="T40" s="34">
        <f t="shared" si="5"/>
        <v>1.5332939951487476</v>
      </c>
      <c r="U40" s="117"/>
      <c r="V40" s="56">
        <f t="shared" si="6"/>
        <v>2053</v>
      </c>
      <c r="W40" s="16">
        <v>29443389.43</v>
      </c>
      <c r="X40" s="16">
        <f t="shared" si="15"/>
        <v>109833202.58635563</v>
      </c>
      <c r="Y40" s="109">
        <f t="shared" si="12"/>
        <v>139276592.01635563</v>
      </c>
      <c r="Z40" s="14"/>
      <c r="AC40" s="11"/>
      <c r="AD40" s="11"/>
    </row>
    <row r="41" spans="1:30">
      <c r="A41" s="28">
        <f t="shared" si="7"/>
        <v>2054</v>
      </c>
      <c r="B41" s="95">
        <f>B40/(1+$B$10)</f>
        <v>9.5486120308435063E-2</v>
      </c>
      <c r="C41" s="33">
        <f>'Fixed Costs - Proposed'!L39*1000</f>
        <v>13391506.180958085</v>
      </c>
      <c r="D41" s="103">
        <v>10902.78394612515</v>
      </c>
      <c r="E41" s="103">
        <v>10154.320450919187</v>
      </c>
      <c r="F41" s="103">
        <v>-10286.645830121281</v>
      </c>
      <c r="G41" s="33">
        <f>'Fixed Costs - Proposed'!G39*1000</f>
        <v>4817339.9338855771</v>
      </c>
      <c r="H41" s="37">
        <f t="shared" si="0"/>
        <v>4828110.3924524998</v>
      </c>
      <c r="I41" s="107">
        <f t="shared" si="9"/>
        <v>109833.20258635563</v>
      </c>
      <c r="J41" s="107">
        <f>W41/1000</f>
        <v>29443.389429999999</v>
      </c>
      <c r="K41" s="84">
        <v>26167862.568673439</v>
      </c>
      <c r="L41" s="33">
        <f>SUM(I41:K41)</f>
        <v>26307139.160689794</v>
      </c>
      <c r="M41" s="33">
        <f t="shared" si="1"/>
        <v>44526755.734100379</v>
      </c>
      <c r="N41" s="33">
        <f>NEL!B34/1000</f>
        <v>186921.43504245102</v>
      </c>
      <c r="O41" s="33">
        <f t="shared" si="17"/>
        <v>998.03825519004192</v>
      </c>
      <c r="P41" s="33">
        <f>N41-O41</f>
        <v>185923.39678726098</v>
      </c>
      <c r="Q41" s="121">
        <f>(M41/P41)/10</f>
        <v>23.94897925894136</v>
      </c>
      <c r="R41" s="29">
        <f t="shared" si="4"/>
        <v>2.2867951147834908</v>
      </c>
      <c r="S41" s="55">
        <f t="shared" si="18"/>
        <v>14.848520920836167</v>
      </c>
      <c r="T41" s="34">
        <f t="shared" si="5"/>
        <v>1.4178276550492772</v>
      </c>
      <c r="U41" s="14"/>
      <c r="V41" s="56">
        <f t="shared" si="6"/>
        <v>2054</v>
      </c>
      <c r="W41" s="16">
        <v>29443389.43</v>
      </c>
      <c r="X41" s="16">
        <f t="shared" si="15"/>
        <v>109833202.58635563</v>
      </c>
      <c r="Y41" s="109">
        <f t="shared" si="12"/>
        <v>139276592.01635563</v>
      </c>
      <c r="Z41" s="14"/>
      <c r="AC41" s="115"/>
      <c r="AD41" s="115"/>
    </row>
    <row r="42" spans="1:30">
      <c r="A42" s="28">
        <f t="shared" si="7"/>
        <v>2055</v>
      </c>
      <c r="B42" s="95">
        <f>B41/(1+$B$10)</f>
        <v>8.8295436149234963E-2</v>
      </c>
      <c r="C42" s="33">
        <f>'Fixed Costs - Proposed'!L40*1000</f>
        <v>13654207.347485784</v>
      </c>
      <c r="D42" s="103">
        <v>8088.0352190230487</v>
      </c>
      <c r="E42" s="103">
        <v>10120.447457965438</v>
      </c>
      <c r="F42" s="103">
        <v>-10113.379953318617</v>
      </c>
      <c r="G42" s="33">
        <f>'Fixed Costs - Proposed'!G40*1000</f>
        <v>4856173.1941680918</v>
      </c>
      <c r="H42" s="37">
        <f t="shared" si="0"/>
        <v>4864268.2968917619</v>
      </c>
      <c r="I42" s="107">
        <f t="shared" si="9"/>
        <v>109833.20258635563</v>
      </c>
      <c r="J42" s="107">
        <f>W42/1000</f>
        <v>29443.389429999999</v>
      </c>
      <c r="K42" s="84">
        <v>26695116.774999283</v>
      </c>
      <c r="L42" s="33">
        <f>SUM(I42:K42)</f>
        <v>26834393.367015637</v>
      </c>
      <c r="M42" s="33">
        <f t="shared" si="1"/>
        <v>45352869.011393182</v>
      </c>
      <c r="N42" s="33">
        <f>NEL!B35/1000</f>
        <v>188736.25289088118</v>
      </c>
      <c r="O42" s="33">
        <f t="shared" si="17"/>
        <v>998.03825519004192</v>
      </c>
      <c r="P42" s="33">
        <f>N42-O42</f>
        <v>187738.21463569114</v>
      </c>
      <c r="Q42" s="121">
        <f>(M42/P42)/10</f>
        <v>24.157505225774685</v>
      </c>
      <c r="R42" s="29">
        <f t="shared" si="4"/>
        <v>2.1329974601871986</v>
      </c>
      <c r="S42" s="55">
        <f t="shared" si="18"/>
        <v>14.848520920836167</v>
      </c>
      <c r="T42" s="34">
        <f t="shared" si="5"/>
        <v>1.3110566308762692</v>
      </c>
      <c r="U42" s="14"/>
      <c r="V42" s="56">
        <f t="shared" si="6"/>
        <v>2055</v>
      </c>
      <c r="W42" s="16">
        <v>29443389.43</v>
      </c>
      <c r="X42" s="16">
        <f t="shared" si="15"/>
        <v>109833202.58635563</v>
      </c>
      <c r="Y42" s="109">
        <f t="shared" si="12"/>
        <v>139276592.01635563</v>
      </c>
      <c r="Z42" s="14"/>
      <c r="AC42" s="115"/>
      <c r="AD42" s="115"/>
    </row>
    <row r="43" spans="1:30">
      <c r="A43" s="28">
        <f t="shared" si="7"/>
        <v>2056</v>
      </c>
      <c r="B43" s="95">
        <f>B42/(1+$B$10)</f>
        <v>8.1646254132025281E-2</v>
      </c>
      <c r="C43" s="33">
        <f>'Fixed Costs - Proposed'!L41*1000</f>
        <v>14595288.322443428</v>
      </c>
      <c r="D43" s="103">
        <v>7651.1482359423026</v>
      </c>
      <c r="E43" s="103">
        <v>10136.931858598055</v>
      </c>
      <c r="F43" s="103">
        <v>-9941.9189345461127</v>
      </c>
      <c r="G43" s="33">
        <f>'Fixed Costs - Proposed'!G41*1000</f>
        <v>5186848.4089622516</v>
      </c>
      <c r="H43" s="37">
        <f t="shared" si="0"/>
        <v>5194694.5701222457</v>
      </c>
      <c r="I43" s="107">
        <f t="shared" si="9"/>
        <v>109833.20258635563</v>
      </c>
      <c r="J43" s="107">
        <f>W43/1000</f>
        <v>29443.389429999999</v>
      </c>
      <c r="K43" s="84">
        <v>27230700.070107445</v>
      </c>
      <c r="L43" s="33">
        <f>SUM(I43:K43)</f>
        <v>27369976.662123799</v>
      </c>
      <c r="M43" s="33">
        <f t="shared" si="1"/>
        <v>47159959.554689474</v>
      </c>
      <c r="N43" s="33">
        <f>NEL!B36/1000</f>
        <v>190569.44193007273</v>
      </c>
      <c r="O43" s="33">
        <f t="shared" si="17"/>
        <v>998.03825519004192</v>
      </c>
      <c r="P43" s="33">
        <f>N43-O43</f>
        <v>189571.40367488269</v>
      </c>
      <c r="Q43" s="121">
        <f>(M43/P43)/10</f>
        <v>24.877148473073181</v>
      </c>
      <c r="R43" s="29">
        <f t="shared" si="4"/>
        <v>2.0311259863126576</v>
      </c>
      <c r="S43" s="55">
        <f t="shared" si="18"/>
        <v>14.848520920836167</v>
      </c>
      <c r="T43" s="34">
        <f t="shared" si="5"/>
        <v>1.2123261125872837</v>
      </c>
      <c r="U43" s="14"/>
      <c r="V43" s="56">
        <f t="shared" si="6"/>
        <v>2056</v>
      </c>
      <c r="W43" s="16">
        <v>29443389.43</v>
      </c>
      <c r="X43" s="16">
        <f t="shared" si="15"/>
        <v>109833202.58635563</v>
      </c>
      <c r="Y43" s="109">
        <f t="shared" si="12"/>
        <v>139276592.01635563</v>
      </c>
      <c r="Z43" s="14"/>
      <c r="AC43" s="115"/>
      <c r="AD43" s="115"/>
    </row>
    <row r="44" spans="1:30">
      <c r="A44" s="28">
        <f t="shared" si="7"/>
        <v>2057</v>
      </c>
      <c r="B44" s="95">
        <f>B43/(1+$B$10)</f>
        <v>7.5497795860301822E-2</v>
      </c>
      <c r="C44" s="33">
        <f>'Fixed Costs - Proposed'!L42*1000</f>
        <v>14996864.576653786</v>
      </c>
      <c r="D44" s="103">
        <v>7255.3615425397484</v>
      </c>
      <c r="E44" s="103">
        <v>10153.625917054878</v>
      </c>
      <c r="F44" s="103">
        <v>-9772.3078952545147</v>
      </c>
      <c r="G44" s="33">
        <f>'Fixed Costs - Proposed'!G42*1000</f>
        <v>5287377.6342201205</v>
      </c>
      <c r="H44" s="37">
        <f t="shared" si="0"/>
        <v>5295014.3137844605</v>
      </c>
      <c r="I44" s="107">
        <f t="shared" si="9"/>
        <v>109833.20258635563</v>
      </c>
      <c r="J44" s="107">
        <f>W44/1000</f>
        <v>29443.389429999999</v>
      </c>
      <c r="K44" s="84">
        <v>27774740.835283663</v>
      </c>
      <c r="L44" s="33">
        <f>SUM(I44:K44)</f>
        <v>27914017.427300017</v>
      </c>
      <c r="M44" s="33">
        <f t="shared" si="1"/>
        <v>48205896.317738265</v>
      </c>
      <c r="N44" s="33">
        <f>NEL!B37/1000</f>
        <v>192421.18992983163</v>
      </c>
      <c r="O44" s="33">
        <f t="shared" si="17"/>
        <v>998.03825519004192</v>
      </c>
      <c r="P44" s="33">
        <f>N44-O44</f>
        <v>191423.15167464159</v>
      </c>
      <c r="Q44" s="121">
        <f>(M44/P44)/10</f>
        <v>25.182897625504015</v>
      </c>
      <c r="R44" s="29">
        <f t="shared" si="4"/>
        <v>1.9012532641011817</v>
      </c>
      <c r="S44" s="55">
        <f t="shared" si="18"/>
        <v>14.848520920836167</v>
      </c>
      <c r="T44" s="34">
        <f t="shared" si="5"/>
        <v>1.1210306013087097</v>
      </c>
      <c r="U44" s="14"/>
      <c r="V44" s="56">
        <f t="shared" si="6"/>
        <v>2057</v>
      </c>
      <c r="W44" s="16">
        <v>29443389.43</v>
      </c>
      <c r="X44" s="16">
        <f t="shared" si="15"/>
        <v>109833202.58635563</v>
      </c>
      <c r="Y44" s="109">
        <f t="shared" si="12"/>
        <v>139276592.01635563</v>
      </c>
      <c r="Z44" s="14"/>
      <c r="AC44" s="115"/>
      <c r="AD44" s="115"/>
    </row>
    <row r="45" spans="1:30">
      <c r="A45" s="28">
        <f t="shared" si="7"/>
        <v>2058</v>
      </c>
      <c r="B45" s="95">
        <f>B44/(1+$B$10)</f>
        <v>6.9812353798213586E-2</v>
      </c>
      <c r="C45" s="33">
        <f>'Fixed Costs - Proposed'!L43*1000</f>
        <v>15219363.374336379</v>
      </c>
      <c r="D45" s="103">
        <v>6882.3711698859206</v>
      </c>
      <c r="E45" s="103">
        <v>10170.532626190512</v>
      </c>
      <c r="F45" s="103">
        <v>-9604.5930849308552</v>
      </c>
      <c r="G45" s="33">
        <f>'Fixed Costs - Proposed'!G43*1000</f>
        <v>5207340.8437976791</v>
      </c>
      <c r="H45" s="37">
        <f t="shared" si="0"/>
        <v>5214789.1545088245</v>
      </c>
      <c r="I45" s="107">
        <f t="shared" si="9"/>
        <v>109833.20258635563</v>
      </c>
      <c r="J45" s="107">
        <f>W45/1000</f>
        <v>29443.389429999999</v>
      </c>
      <c r="K45" s="84">
        <v>28327369.490628313</v>
      </c>
      <c r="L45" s="33">
        <f>SUM(I45:K45)</f>
        <v>28466646.082644667</v>
      </c>
      <c r="M45" s="33">
        <f t="shared" si="1"/>
        <v>48900798.61148987</v>
      </c>
      <c r="N45" s="33">
        <f>NEL!B38/1000</f>
        <v>194291.68658327684</v>
      </c>
      <c r="O45" s="33">
        <f t="shared" si="17"/>
        <v>998.03825519004192</v>
      </c>
      <c r="P45" s="33">
        <f>N45-O45</f>
        <v>193293.6483280868</v>
      </c>
      <c r="Q45" s="121">
        <f>(M45/P45)/10</f>
        <v>25.298709520184619</v>
      </c>
      <c r="R45" s="29">
        <f t="shared" si="4"/>
        <v>1.766162459661363</v>
      </c>
      <c r="S45" s="55">
        <f t="shared" si="18"/>
        <v>14.848520920836167</v>
      </c>
      <c r="T45" s="34">
        <f t="shared" si="5"/>
        <v>1.0366101959055907</v>
      </c>
      <c r="U45" s="14"/>
      <c r="V45" s="56">
        <f t="shared" si="6"/>
        <v>2058</v>
      </c>
      <c r="W45" s="16">
        <v>29443389.43</v>
      </c>
      <c r="X45" s="16">
        <f t="shared" si="15"/>
        <v>109833202.58635563</v>
      </c>
      <c r="Y45" s="109">
        <f t="shared" si="12"/>
        <v>139276592.01635563</v>
      </c>
      <c r="Z45" s="14"/>
      <c r="AC45" s="115"/>
      <c r="AD45" s="115"/>
    </row>
    <row r="46" spans="1:30">
      <c r="A46" s="28">
        <f t="shared" si="7"/>
        <v>2059</v>
      </c>
      <c r="B46" s="95">
        <f t="shared" ref="B46:B57" si="19">B45/(1+$B$10)</f>
        <v>6.4555060016125113E-2</v>
      </c>
      <c r="C46" s="33">
        <f>'Fixed Costs - Proposed'!L44*1000</f>
        <v>15594295.784433803</v>
      </c>
      <c r="D46" s="103">
        <v>6536.7780083516773</v>
      </c>
      <c r="E46" s="103">
        <v>10187.655026713626</v>
      </c>
      <c r="F46" s="103">
        <v>-9438.8219092993259</v>
      </c>
      <c r="G46" s="33">
        <f>'Fixed Costs - Proposed'!G44*1000</f>
        <v>5265846.2581884889</v>
      </c>
      <c r="H46" s="37">
        <f t="shared" si="0"/>
        <v>5273131.8693142552</v>
      </c>
      <c r="I46" s="107">
        <f t="shared" ref="I46:I51" si="20">X46/1000</f>
        <v>109833.20258635563</v>
      </c>
      <c r="J46" s="107">
        <f t="shared" ref="J46:J51" si="21">W46/1000</f>
        <v>29443.389429999999</v>
      </c>
      <c r="K46" s="84">
        <v>28888718.528638612</v>
      </c>
      <c r="L46" s="33">
        <f t="shared" ref="L46:L51" si="22">SUM(I46:K46)</f>
        <v>29027995.120654967</v>
      </c>
      <c r="M46" s="33">
        <f t="shared" si="1"/>
        <v>49895422.774403021</v>
      </c>
      <c r="N46" s="33">
        <f>NEL!B39/1000</f>
        <v>196181.1235265471</v>
      </c>
      <c r="O46" s="33">
        <f t="shared" si="17"/>
        <v>998.03825519004192</v>
      </c>
      <c r="P46" s="33">
        <f t="shared" ref="P46:P51" si="23">N46-O46</f>
        <v>195183.08527135706</v>
      </c>
      <c r="Q46" s="121">
        <f t="shared" ref="Q46:Q51" si="24">(M46/P46)/10</f>
        <v>25.563394853111859</v>
      </c>
      <c r="R46" s="29">
        <f t="shared" si="4"/>
        <v>1.65024648895854</v>
      </c>
      <c r="S46" s="55">
        <f t="shared" si="18"/>
        <v>14.848520920836167</v>
      </c>
      <c r="T46" s="34">
        <f t="shared" si="5"/>
        <v>0.95854715919526812</v>
      </c>
      <c r="U46" s="14"/>
      <c r="V46" s="56">
        <f t="shared" si="6"/>
        <v>2059</v>
      </c>
      <c r="W46" s="16">
        <v>29443389.43</v>
      </c>
      <c r="X46" s="16">
        <f t="shared" si="15"/>
        <v>109833202.58635563</v>
      </c>
      <c r="Y46" s="109">
        <f t="shared" si="12"/>
        <v>139276592.01635563</v>
      </c>
      <c r="Z46" s="14"/>
      <c r="AC46" s="116"/>
      <c r="AD46" s="116"/>
    </row>
    <row r="47" spans="1:30">
      <c r="A47" s="28">
        <f t="shared" si="7"/>
        <v>2060</v>
      </c>
      <c r="B47" s="95">
        <f t="shared" si="19"/>
        <v>5.9693672351041019E-2</v>
      </c>
      <c r="C47" s="33">
        <f>'Fixed Costs - Proposed'!L45*1000</f>
        <v>15921898.598213334</v>
      </c>
      <c r="D47" s="103">
        <v>6729.8062315048528</v>
      </c>
      <c r="E47" s="103">
        <v>10204.996208024018</v>
      </c>
      <c r="F47" s="103">
        <v>-9275.0429592272303</v>
      </c>
      <c r="G47" s="33">
        <f>'Fixed Costs - Proposed'!G45*1000</f>
        <v>5347275.0418946724</v>
      </c>
      <c r="H47" s="37">
        <f t="shared" si="0"/>
        <v>5354934.8013749737</v>
      </c>
      <c r="I47" s="107">
        <f t="shared" si="20"/>
        <v>109833.20258635563</v>
      </c>
      <c r="J47" s="107">
        <f t="shared" si="21"/>
        <v>29443.389429999999</v>
      </c>
      <c r="K47" s="84">
        <v>29458922.548359588</v>
      </c>
      <c r="L47" s="33">
        <f t="shared" si="22"/>
        <v>29598199.140375942</v>
      </c>
      <c r="M47" s="33">
        <f t="shared" si="1"/>
        <v>50875032.539964251</v>
      </c>
      <c r="N47" s="33">
        <f>NEL!B40/1000</f>
        <v>198089.69435871768</v>
      </c>
      <c r="O47" s="33">
        <f t="shared" si="17"/>
        <v>998.03825519004192</v>
      </c>
      <c r="P47" s="33">
        <f t="shared" si="23"/>
        <v>197091.65610352764</v>
      </c>
      <c r="Q47" s="121">
        <f t="shared" si="24"/>
        <v>25.812879928940667</v>
      </c>
      <c r="R47" s="29">
        <f t="shared" si="4"/>
        <v>1.5408655969149472</v>
      </c>
      <c r="S47" s="55">
        <f t="shared" si="18"/>
        <v>14.848520920836167</v>
      </c>
      <c r="T47" s="34">
        <f t="shared" si="5"/>
        <v>0.88636274274597204</v>
      </c>
      <c r="U47" s="14"/>
      <c r="V47" s="56">
        <f t="shared" si="6"/>
        <v>2060</v>
      </c>
      <c r="W47" s="16">
        <v>29443389.43</v>
      </c>
      <c r="X47" s="16">
        <f t="shared" si="15"/>
        <v>109833202.58635563</v>
      </c>
      <c r="Y47" s="109">
        <f t="shared" si="12"/>
        <v>139276592.01635563</v>
      </c>
      <c r="Z47" s="14"/>
      <c r="AC47" s="11"/>
      <c r="AD47" s="11"/>
    </row>
    <row r="48" spans="1:30">
      <c r="A48" s="28">
        <f t="shared" si="7"/>
        <v>2061</v>
      </c>
      <c r="B48" s="95">
        <f t="shared" si="19"/>
        <v>5.5198376670447816E-2</v>
      </c>
      <c r="C48" s="33">
        <f>'Fixed Costs - Proposed'!L46*1000</f>
        <v>16175608.9729298</v>
      </c>
      <c r="D48" s="103">
        <v>14264.738337147259</v>
      </c>
      <c r="E48" s="103">
        <v>15650.493813733186</v>
      </c>
      <c r="F48" s="103">
        <v>-9113.3060403535546</v>
      </c>
      <c r="G48" s="33">
        <f>'Fixed Costs - Proposed'!G46*1000</f>
        <v>5353402.3497314388</v>
      </c>
      <c r="H48" s="37">
        <f t="shared" si="0"/>
        <v>5374204.2758419653</v>
      </c>
      <c r="I48" s="107">
        <f t="shared" si="20"/>
        <v>109833.20258635563</v>
      </c>
      <c r="J48" s="107">
        <f t="shared" si="21"/>
        <v>29443.389429999999</v>
      </c>
      <c r="K48" s="84">
        <v>30038118.290113412</v>
      </c>
      <c r="L48" s="33">
        <f t="shared" si="22"/>
        <v>30177394.882129766</v>
      </c>
      <c r="M48" s="33">
        <f t="shared" si="1"/>
        <v>51727208.13090153</v>
      </c>
      <c r="N48" s="33">
        <f>NEL!B41/1000</f>
        <v>200017.59466191049</v>
      </c>
      <c r="O48" s="33">
        <f t="shared" si="17"/>
        <v>998.03825519004192</v>
      </c>
      <c r="P48" s="33">
        <f t="shared" si="23"/>
        <v>199019.55640672045</v>
      </c>
      <c r="Q48" s="121">
        <f t="shared" si="24"/>
        <v>25.991017699381636</v>
      </c>
      <c r="R48" s="29">
        <f t="shared" si="4"/>
        <v>1.4346619850187436</v>
      </c>
      <c r="S48" s="55">
        <f t="shared" si="18"/>
        <v>14.848520920836167</v>
      </c>
      <c r="T48" s="34">
        <f t="shared" si="5"/>
        <v>0.8196142507873394</v>
      </c>
      <c r="U48" s="14"/>
      <c r="V48" s="56">
        <f t="shared" si="6"/>
        <v>2061</v>
      </c>
      <c r="W48" s="16">
        <v>29443389.43</v>
      </c>
      <c r="X48" s="16">
        <f t="shared" si="15"/>
        <v>109833202.58635563</v>
      </c>
      <c r="Y48" s="109">
        <f t="shared" si="12"/>
        <v>139276592.01635563</v>
      </c>
      <c r="Z48" s="14"/>
      <c r="AC48" s="11"/>
      <c r="AD48" s="11"/>
    </row>
    <row r="49" spans="1:30">
      <c r="A49" s="28">
        <f t="shared" si="7"/>
        <v>2062</v>
      </c>
      <c r="B49" s="95">
        <f t="shared" si="19"/>
        <v>5.1041604026888156E-2</v>
      </c>
      <c r="C49" s="33">
        <f>'Fixed Costs - Proposed'!L47*1000</f>
        <v>16519169.073761383</v>
      </c>
      <c r="D49" s="103">
        <v>9237.6736489623127</v>
      </c>
      <c r="E49" s="103">
        <v>14433.046925395711</v>
      </c>
      <c r="F49" s="103">
        <v>-8958.1029697974482</v>
      </c>
      <c r="G49" s="33">
        <f>'Fixed Costs - Proposed'!G47*1000</f>
        <v>5123495.9893798865</v>
      </c>
      <c r="H49" s="37">
        <f t="shared" si="0"/>
        <v>5138208.6069844468</v>
      </c>
      <c r="I49" s="107">
        <f t="shared" si="20"/>
        <v>109833.20258635563</v>
      </c>
      <c r="J49" s="107">
        <f t="shared" si="21"/>
        <v>29443.389429999999</v>
      </c>
      <c r="K49" s="84">
        <v>30626444.67081736</v>
      </c>
      <c r="L49" s="33">
        <f t="shared" si="22"/>
        <v>30765721.262833714</v>
      </c>
      <c r="M49" s="33">
        <f t="shared" si="1"/>
        <v>52423098.94357954</v>
      </c>
      <c r="N49" s="33">
        <f>NEL!B42/1000</f>
        <v>201965.02202162123</v>
      </c>
      <c r="O49" s="33">
        <f t="shared" si="17"/>
        <v>998.03825519004192</v>
      </c>
      <c r="P49" s="33">
        <f t="shared" si="23"/>
        <v>200966.98376643119</v>
      </c>
      <c r="Q49" s="121">
        <f t="shared" si="24"/>
        <v>26.085428542086778</v>
      </c>
      <c r="R49" s="29">
        <f t="shared" si="4"/>
        <v>1.3314421145168798</v>
      </c>
      <c r="S49" s="55">
        <f t="shared" si="18"/>
        <v>14.848520920836167</v>
      </c>
      <c r="T49" s="34">
        <f t="shared" si="5"/>
        <v>0.75789232522628436</v>
      </c>
      <c r="U49" s="14"/>
      <c r="V49" s="56">
        <f t="shared" si="6"/>
        <v>2062</v>
      </c>
      <c r="W49" s="16">
        <v>29443389.43</v>
      </c>
      <c r="X49" s="16">
        <f t="shared" si="15"/>
        <v>109833202.58635563</v>
      </c>
      <c r="Y49" s="109">
        <f t="shared" si="12"/>
        <v>139276592.01635563</v>
      </c>
      <c r="Z49" s="14"/>
      <c r="AC49" s="11"/>
      <c r="AD49" s="11"/>
    </row>
    <row r="50" spans="1:30">
      <c r="A50" s="28">
        <f t="shared" si="7"/>
        <v>2063</v>
      </c>
      <c r="B50" s="95">
        <f t="shared" si="19"/>
        <v>4.7197861581904914E-2</v>
      </c>
      <c r="C50" s="33">
        <f>'Fixed Costs - Proposed'!L48*1000</f>
        <v>17349217.670473654</v>
      </c>
      <c r="D50" s="103">
        <v>10944.720262334786</v>
      </c>
      <c r="E50" s="103">
        <v>16173.825119324216</v>
      </c>
      <c r="F50" s="103">
        <v>-8810.6587654927243</v>
      </c>
      <c r="G50" s="33">
        <f>'Fixed Costs - Proposed'!G48*1000</f>
        <v>5617693.1412353516</v>
      </c>
      <c r="H50" s="37">
        <f t="shared" si="0"/>
        <v>5636001.0278515182</v>
      </c>
      <c r="I50" s="107">
        <f t="shared" si="20"/>
        <v>109833.20258635563</v>
      </c>
      <c r="J50" s="107">
        <f t="shared" si="21"/>
        <v>29443.389429999999</v>
      </c>
      <c r="K50" s="84">
        <v>31224042.819900218</v>
      </c>
      <c r="L50" s="33">
        <f t="shared" si="22"/>
        <v>31363319.411916573</v>
      </c>
      <c r="M50" s="33">
        <f t="shared" si="1"/>
        <v>54348538.110241741</v>
      </c>
      <c r="N50" s="33">
        <f>NEL!B43/1000</f>
        <v>203932.17604724571</v>
      </c>
      <c r="O50" s="33">
        <f t="shared" si="17"/>
        <v>998.03825519004192</v>
      </c>
      <c r="P50" s="33">
        <f t="shared" si="23"/>
        <v>202934.13779205567</v>
      </c>
      <c r="Q50" s="121">
        <f t="shared" si="24"/>
        <v>26.781367936198137</v>
      </c>
      <c r="R50" s="29">
        <f t="shared" si="4"/>
        <v>1.2640232968267462</v>
      </c>
      <c r="S50" s="55">
        <f t="shared" si="18"/>
        <v>14.848520920836167</v>
      </c>
      <c r="T50" s="34">
        <f t="shared" si="5"/>
        <v>0.70081843511764474</v>
      </c>
      <c r="U50" s="14"/>
      <c r="V50" s="56">
        <f t="shared" si="6"/>
        <v>2063</v>
      </c>
      <c r="W50" s="16">
        <v>29443389.43</v>
      </c>
      <c r="X50" s="16">
        <f t="shared" si="15"/>
        <v>109833202.58635563</v>
      </c>
      <c r="Y50" s="109">
        <f t="shared" si="12"/>
        <v>139276592.01635563</v>
      </c>
      <c r="Z50" s="14"/>
      <c r="AC50" s="11"/>
      <c r="AD50" s="11"/>
    </row>
    <row r="51" spans="1:30">
      <c r="A51" s="28">
        <f t="shared" si="7"/>
        <v>2064</v>
      </c>
      <c r="B51" s="95">
        <f t="shared" si="19"/>
        <v>4.3643576262437998E-2</v>
      </c>
      <c r="C51" s="33">
        <f>'Fixed Costs - Proposed'!L49*1000</f>
        <v>17861299.076700404</v>
      </c>
      <c r="D51" s="103">
        <v>11059.011249595213</v>
      </c>
      <c r="E51" s="103">
        <v>15985.763572182461</v>
      </c>
      <c r="F51" s="103">
        <v>-8671.1170639374104</v>
      </c>
      <c r="G51" s="33">
        <f>'Fixed Costs - Proposed'!G49*1000</f>
        <v>5533322.6394042969</v>
      </c>
      <c r="H51" s="37">
        <f t="shared" si="0"/>
        <v>5551696.297162137</v>
      </c>
      <c r="I51" s="107">
        <f t="shared" si="20"/>
        <v>109833.20258635563</v>
      </c>
      <c r="J51" s="107">
        <f t="shared" si="21"/>
        <v>29443.389429999999</v>
      </c>
      <c r="K51" s="84">
        <v>31224042.819900218</v>
      </c>
      <c r="L51" s="33">
        <f t="shared" si="22"/>
        <v>31363319.411916573</v>
      </c>
      <c r="M51" s="33">
        <f t="shared" si="1"/>
        <v>54776314.785779119</v>
      </c>
      <c r="N51" s="33">
        <f>NEL!B44/1000</f>
        <v>205919.25839282293</v>
      </c>
      <c r="O51" s="33">
        <f t="shared" si="17"/>
        <v>998.03825519004192</v>
      </c>
      <c r="P51" s="33">
        <f t="shared" si="23"/>
        <v>204921.22013763289</v>
      </c>
      <c r="Q51" s="121">
        <f t="shared" si="24"/>
        <v>26.730425843155366</v>
      </c>
      <c r="R51" s="29">
        <f t="shared" si="4"/>
        <v>1.1666113788131947</v>
      </c>
      <c r="S51" s="55">
        <f t="shared" si="18"/>
        <v>14.848520920836167</v>
      </c>
      <c r="T51" s="34">
        <f t="shared" si="5"/>
        <v>0.64804255519291931</v>
      </c>
      <c r="U51" s="14"/>
      <c r="V51" s="56">
        <f t="shared" si="6"/>
        <v>2064</v>
      </c>
      <c r="W51" s="16">
        <v>29443389.43</v>
      </c>
      <c r="X51" s="16">
        <f t="shared" si="15"/>
        <v>109833202.58635563</v>
      </c>
      <c r="Y51" s="109">
        <f t="shared" si="12"/>
        <v>139276592.01635563</v>
      </c>
      <c r="Z51" s="14"/>
      <c r="AC51" s="11"/>
      <c r="AD51" s="11"/>
    </row>
    <row r="52" spans="1:30">
      <c r="A52" s="28">
        <f t="shared" si="7"/>
        <v>2065</v>
      </c>
      <c r="B52" s="95">
        <f t="shared" si="19"/>
        <v>4.0356950190843052E-2</v>
      </c>
      <c r="C52" s="33">
        <f>'Fixed Costs - Proposed'!L50*1000</f>
        <v>18219167.104697298</v>
      </c>
      <c r="D52" s="103">
        <v>15637.750389275743</v>
      </c>
      <c r="E52" s="103">
        <v>16463.595178245869</v>
      </c>
      <c r="F52" s="103">
        <v>-8539.6375281888777</v>
      </c>
      <c r="G52" s="33">
        <f>'Fixed Costs - Proposed'!G50*1000</f>
        <v>5485152.7517089797</v>
      </c>
      <c r="H52" s="37">
        <f t="shared" si="0"/>
        <v>5508714.4597483128</v>
      </c>
      <c r="I52" s="107">
        <f t="shared" ref="I52:I57" si="25">X52/1000</f>
        <v>109833.20258635563</v>
      </c>
      <c r="J52" s="107">
        <f t="shared" ref="J52:J57" si="26">W52/1000</f>
        <v>29443.389429999999</v>
      </c>
      <c r="K52" s="84">
        <v>31224042.819900218</v>
      </c>
      <c r="L52" s="33">
        <f t="shared" ref="L52:L57" si="27">SUM(I52:K52)</f>
        <v>31363319.411916573</v>
      </c>
      <c r="M52" s="33">
        <f t="shared" si="1"/>
        <v>55091200.976362184</v>
      </c>
      <c r="N52" s="33">
        <f>NEL!B45/1000</f>
        <v>207926.47277798827</v>
      </c>
      <c r="O52" s="33">
        <f t="shared" si="17"/>
        <v>998.03825519004192</v>
      </c>
      <c r="P52" s="33">
        <f t="shared" ref="P52:P57" si="28">N52-O52</f>
        <v>206928.43452279823</v>
      </c>
      <c r="Q52" s="121">
        <f t="shared" ref="Q52:Q57" si="29">(M52/P52)/10</f>
        <v>26.623311147841569</v>
      </c>
      <c r="R52" s="29">
        <f t="shared" si="4"/>
        <v>1.0744356419087588</v>
      </c>
      <c r="S52" s="55">
        <f t="shared" si="18"/>
        <v>14.848520920836167</v>
      </c>
      <c r="T52" s="34">
        <f t="shared" si="5"/>
        <v>0.59924101920987616</v>
      </c>
      <c r="U52" s="14"/>
      <c r="V52" s="56">
        <f t="shared" si="6"/>
        <v>2065</v>
      </c>
      <c r="W52" s="16">
        <v>29443389.43</v>
      </c>
      <c r="X52" s="16">
        <f t="shared" si="15"/>
        <v>109833202.58635563</v>
      </c>
      <c r="Y52" s="109">
        <f t="shared" ref="Y52:Y57" si="30">W52+X52</f>
        <v>139276592.01635563</v>
      </c>
      <c r="Z52" s="14"/>
      <c r="AC52" s="11"/>
      <c r="AD52" s="11"/>
    </row>
    <row r="53" spans="1:30">
      <c r="A53" s="28">
        <f t="shared" si="7"/>
        <v>2066</v>
      </c>
      <c r="B53" s="95">
        <f t="shared" si="19"/>
        <v>3.7317827001906792E-2</v>
      </c>
      <c r="C53" s="33">
        <f>'Fixed Costs - Proposed'!L51*1000</f>
        <v>18608156.743597116</v>
      </c>
      <c r="D53" s="103">
        <v>16827.123404008955</v>
      </c>
      <c r="E53" s="103">
        <v>16468.248363154671</v>
      </c>
      <c r="F53" s="103">
        <v>-8416.395722865509</v>
      </c>
      <c r="G53" s="33">
        <f>'Fixed Costs - Proposed'!G51*1000</f>
        <v>5551832.7810058566</v>
      </c>
      <c r="H53" s="37">
        <f t="shared" si="0"/>
        <v>5576711.7570501547</v>
      </c>
      <c r="I53" s="107">
        <f t="shared" si="25"/>
        <v>109833.20258635563</v>
      </c>
      <c r="J53" s="107">
        <f t="shared" si="26"/>
        <v>29443.389429999999</v>
      </c>
      <c r="K53" s="84">
        <v>31224042.819900218</v>
      </c>
      <c r="L53" s="33">
        <f t="shared" si="27"/>
        <v>31363319.411916573</v>
      </c>
      <c r="M53" s="33">
        <f t="shared" si="1"/>
        <v>55548187.912563846</v>
      </c>
      <c r="N53" s="33">
        <f>NEL!B46/1000</f>
        <v>209954.02500914101</v>
      </c>
      <c r="O53" s="33">
        <f t="shared" si="17"/>
        <v>998.03825519004192</v>
      </c>
      <c r="P53" s="33">
        <f t="shared" si="28"/>
        <v>208955.98675395097</v>
      </c>
      <c r="Q53" s="121">
        <f t="shared" si="29"/>
        <v>26.583678589679618</v>
      </c>
      <c r="R53" s="29">
        <f t="shared" si="4"/>
        <v>0.99204511868395751</v>
      </c>
      <c r="S53" s="55">
        <f t="shared" si="18"/>
        <v>14.848520920836167</v>
      </c>
      <c r="T53" s="34">
        <f t="shared" si="5"/>
        <v>0.55411453495795782</v>
      </c>
      <c r="U53" s="14"/>
      <c r="V53" s="56">
        <f t="shared" si="6"/>
        <v>2066</v>
      </c>
      <c r="W53" s="16">
        <v>29443389.43</v>
      </c>
      <c r="X53" s="16">
        <f t="shared" si="15"/>
        <v>109833202.58635563</v>
      </c>
      <c r="Y53" s="109">
        <f t="shared" si="30"/>
        <v>139276592.01635563</v>
      </c>
      <c r="Z53" s="14"/>
      <c r="AC53" s="11"/>
      <c r="AD53" s="11"/>
    </row>
    <row r="54" spans="1:30">
      <c r="A54" s="28">
        <f t="shared" si="7"/>
        <v>2067</v>
      </c>
      <c r="B54" s="95">
        <f t="shared" si="19"/>
        <v>3.4507568227002142E-2</v>
      </c>
      <c r="C54" s="33">
        <f>'Fixed Costs - Proposed'!L52*1000</f>
        <v>18961075.095935978</v>
      </c>
      <c r="D54" s="103">
        <v>18006.837460127736</v>
      </c>
      <c r="E54" s="103">
        <v>16480.250280115819</v>
      </c>
      <c r="F54" s="103">
        <v>-8301.5830412703217</v>
      </c>
      <c r="G54" s="33">
        <f>'Fixed Costs - Proposed'!G52*1000</f>
        <v>5667764.4040527334</v>
      </c>
      <c r="H54" s="37">
        <f t="shared" si="0"/>
        <v>5693949.9087517066</v>
      </c>
      <c r="I54" s="107">
        <f t="shared" si="25"/>
        <v>109833.20258635563</v>
      </c>
      <c r="J54" s="107">
        <f t="shared" si="26"/>
        <v>29443.389429999999</v>
      </c>
      <c r="K54" s="84">
        <v>31224042.819900218</v>
      </c>
      <c r="L54" s="33">
        <f t="shared" si="27"/>
        <v>31363319.411916573</v>
      </c>
      <c r="M54" s="33">
        <f t="shared" si="1"/>
        <v>56018344.416604258</v>
      </c>
      <c r="N54" s="33">
        <f>NEL!B47/1000</f>
        <v>212002.12300082471</v>
      </c>
      <c r="O54" s="33">
        <f t="shared" si="17"/>
        <v>998.03825519004192</v>
      </c>
      <c r="P54" s="33">
        <f t="shared" si="28"/>
        <v>211004.08474563467</v>
      </c>
      <c r="Q54" s="121">
        <f t="shared" si="29"/>
        <v>26.548464445195144</v>
      </c>
      <c r="R54" s="29">
        <f t="shared" si="4"/>
        <v>0.91612294816471196</v>
      </c>
      <c r="S54" s="55">
        <f t="shared" si="18"/>
        <v>14.848520920836167</v>
      </c>
      <c r="T54" s="34">
        <f t="shared" si="5"/>
        <v>0.51238634874582267</v>
      </c>
      <c r="U54" s="14"/>
      <c r="V54" s="56">
        <f t="shared" si="6"/>
        <v>2067</v>
      </c>
      <c r="W54" s="16">
        <v>29443389.43</v>
      </c>
      <c r="X54" s="16">
        <f t="shared" si="15"/>
        <v>109833202.58635563</v>
      </c>
      <c r="Y54" s="109">
        <f t="shared" si="30"/>
        <v>139276592.01635563</v>
      </c>
      <c r="Z54" s="14"/>
      <c r="AC54" s="11"/>
      <c r="AD54" s="11"/>
    </row>
    <row r="55" spans="1:30">
      <c r="A55" s="28">
        <f t="shared" si="7"/>
        <v>2068</v>
      </c>
      <c r="B55" s="95">
        <f t="shared" si="19"/>
        <v>3.1908938987266433E-2</v>
      </c>
      <c r="C55" s="33">
        <f>'Fixed Costs - Proposed'!L53*1000</f>
        <v>19254978.378610089</v>
      </c>
      <c r="D55" s="103">
        <v>19183.949048169179</v>
      </c>
      <c r="E55" s="103">
        <v>16498.944196429507</v>
      </c>
      <c r="F55" s="103">
        <v>-8195.4066826612179</v>
      </c>
      <c r="G55" s="33">
        <f>'Fixed Costs - Proposed'!G53*1000</f>
        <v>5793457.4208984384</v>
      </c>
      <c r="H55" s="37">
        <f t="shared" si="0"/>
        <v>5820944.9074603757</v>
      </c>
      <c r="I55" s="107">
        <f t="shared" si="25"/>
        <v>109833.20258635563</v>
      </c>
      <c r="J55" s="107">
        <f t="shared" si="26"/>
        <v>29443.389429999999</v>
      </c>
      <c r="K55" s="84">
        <v>31224042.819900218</v>
      </c>
      <c r="L55" s="33">
        <f t="shared" si="27"/>
        <v>31363319.411916573</v>
      </c>
      <c r="M55" s="33">
        <f t="shared" si="1"/>
        <v>56439242.697987035</v>
      </c>
      <c r="N55" s="33">
        <f>NEL!B48/1000</f>
        <v>214070.9767973432</v>
      </c>
      <c r="O55" s="33">
        <f t="shared" si="17"/>
        <v>998.03825519004192</v>
      </c>
      <c r="P55" s="33">
        <f t="shared" si="28"/>
        <v>213072.93854215316</v>
      </c>
      <c r="Q55" s="121">
        <f t="shared" si="29"/>
        <v>26.488226559479966</v>
      </c>
      <c r="R55" s="29">
        <f t="shared" si="4"/>
        <v>0.8452112051673365</v>
      </c>
      <c r="S55" s="55">
        <f t="shared" si="18"/>
        <v>14.848520920836167</v>
      </c>
      <c r="T55" s="34">
        <f t="shared" si="5"/>
        <v>0.47380054811411043</v>
      </c>
      <c r="U55" s="14"/>
      <c r="V55" s="56">
        <f t="shared" si="6"/>
        <v>2068</v>
      </c>
      <c r="W55" s="16">
        <v>29443389.43</v>
      </c>
      <c r="X55" s="16">
        <f t="shared" si="15"/>
        <v>109833202.58635563</v>
      </c>
      <c r="Y55" s="109">
        <f t="shared" si="30"/>
        <v>139276592.01635563</v>
      </c>
      <c r="Z55" s="14"/>
      <c r="AC55" s="11"/>
      <c r="AD55" s="11"/>
    </row>
    <row r="56" spans="1:30">
      <c r="A56" s="28">
        <f t="shared" si="7"/>
        <v>2069</v>
      </c>
      <c r="B56" s="95">
        <f t="shared" si="19"/>
        <v>2.950600229477679E-2</v>
      </c>
      <c r="C56" s="33">
        <f>'Fixed Costs - Proposed'!L54*1000</f>
        <v>19645491.137689836</v>
      </c>
      <c r="D56" s="103">
        <v>20416.69388770725</v>
      </c>
      <c r="E56" s="103">
        <v>16523.739834070962</v>
      </c>
      <c r="F56" s="103">
        <v>-8098.0896779166005</v>
      </c>
      <c r="G56" s="33">
        <f>'Fixed Costs - Proposed'!G54*1000</f>
        <v>5988144.0659179678</v>
      </c>
      <c r="H56" s="37">
        <f t="shared" si="0"/>
        <v>6016986.4099618299</v>
      </c>
      <c r="I56" s="107">
        <f t="shared" si="25"/>
        <v>109833.20258635563</v>
      </c>
      <c r="J56" s="107">
        <f t="shared" si="26"/>
        <v>29443.389429999999</v>
      </c>
      <c r="K56" s="84">
        <v>31224042.819900218</v>
      </c>
      <c r="L56" s="33">
        <f t="shared" si="27"/>
        <v>31363319.411916573</v>
      </c>
      <c r="M56" s="33">
        <f t="shared" si="1"/>
        <v>57025796.95956824</v>
      </c>
      <c r="N56" s="33">
        <f>NEL!B49/1000</f>
        <v>216160.79859457305</v>
      </c>
      <c r="O56" s="33">
        <f t="shared" si="17"/>
        <v>998.03825519004192</v>
      </c>
      <c r="P56" s="33">
        <f t="shared" si="28"/>
        <v>215162.76033938301</v>
      </c>
      <c r="Q56" s="121">
        <f t="shared" si="29"/>
        <v>26.503562637707216</v>
      </c>
      <c r="R56" s="29">
        <f t="shared" si="4"/>
        <v>0.78201418000794953</v>
      </c>
      <c r="S56" s="55">
        <f t="shared" si="18"/>
        <v>14.848520920836167</v>
      </c>
      <c r="T56" s="34">
        <f t="shared" si="5"/>
        <v>0.43812049236423312</v>
      </c>
      <c r="U56" s="14"/>
      <c r="V56" s="56">
        <f t="shared" si="6"/>
        <v>2069</v>
      </c>
      <c r="W56" s="16">
        <v>29443389.43</v>
      </c>
      <c r="X56" s="16">
        <f t="shared" si="15"/>
        <v>109833202.58635563</v>
      </c>
      <c r="Y56" s="109">
        <f t="shared" si="30"/>
        <v>139276592.01635563</v>
      </c>
      <c r="Z56" s="14"/>
      <c r="AC56" s="11"/>
      <c r="AD56" s="11"/>
    </row>
    <row r="57" spans="1:30" ht="15.75" thickBot="1">
      <c r="A57" s="28">
        <f t="shared" si="7"/>
        <v>2070</v>
      </c>
      <c r="B57" s="95">
        <f t="shared" si="19"/>
        <v>2.7284021313488241E-2</v>
      </c>
      <c r="C57" s="33">
        <f>'Fixed Costs - Proposed'!L55*1000</f>
        <v>20055694.893690512</v>
      </c>
      <c r="D57" s="103">
        <v>27511.634827602582</v>
      </c>
      <c r="E57" s="103">
        <v>17943.177005025638</v>
      </c>
      <c r="F57" s="103">
        <v>-7701.8726228170162</v>
      </c>
      <c r="G57" s="33">
        <f>'Fixed Costs - Proposed'!G55*1000</f>
        <v>5941909.4727783175</v>
      </c>
      <c r="H57" s="37">
        <f t="shared" si="0"/>
        <v>5979662.4119881289</v>
      </c>
      <c r="I57" s="107">
        <f t="shared" si="25"/>
        <v>109833.20258635563</v>
      </c>
      <c r="J57" s="107">
        <f t="shared" si="26"/>
        <v>29443.389429999999</v>
      </c>
      <c r="K57" s="84">
        <v>31224042.819900218</v>
      </c>
      <c r="L57" s="33">
        <f t="shared" si="27"/>
        <v>31363319.411916573</v>
      </c>
      <c r="M57" s="33">
        <f t="shared" si="1"/>
        <v>57398676.717595212</v>
      </c>
      <c r="N57" s="33">
        <f>NEL!B50/1000</f>
        <v>218271.80276202236</v>
      </c>
      <c r="O57" s="33">
        <f t="shared" si="17"/>
        <v>998.03825519004192</v>
      </c>
      <c r="P57" s="33">
        <f t="shared" si="28"/>
        <v>217273.76450683232</v>
      </c>
      <c r="Q57" s="121">
        <f t="shared" si="29"/>
        <v>26.417674884898624</v>
      </c>
      <c r="R57" s="29">
        <f t="shared" si="4"/>
        <v>0.72078040461237702</v>
      </c>
      <c r="S57" s="55">
        <f t="shared" si="18"/>
        <v>14.848520920836167</v>
      </c>
      <c r="T57" s="34">
        <f t="shared" si="5"/>
        <v>0.40512736127787002</v>
      </c>
      <c r="U57" s="14"/>
      <c r="V57" s="56">
        <f t="shared" si="6"/>
        <v>2070</v>
      </c>
      <c r="W57" s="16">
        <v>29443389.43</v>
      </c>
      <c r="X57" s="16">
        <f t="shared" si="15"/>
        <v>109833202.58635563</v>
      </c>
      <c r="Y57" s="173">
        <f t="shared" si="30"/>
        <v>139276592.01635563</v>
      </c>
      <c r="Z57" s="14"/>
      <c r="AC57" s="11"/>
      <c r="AD57" s="11"/>
    </row>
    <row r="58" spans="1:30" ht="15.75" thickBot="1">
      <c r="A58" s="25"/>
      <c r="B58" s="8"/>
      <c r="C58" s="16"/>
      <c r="D58" s="16"/>
      <c r="E58" s="16"/>
      <c r="F58" s="16"/>
      <c r="G58" s="16"/>
      <c r="H58" s="8"/>
      <c r="I58" s="8"/>
      <c r="J58" s="8"/>
      <c r="K58" s="8"/>
      <c r="L58" s="8"/>
      <c r="R58" s="110">
        <f>SUM(R11:R57)</f>
        <v>192.20101222975634</v>
      </c>
      <c r="T58" s="110">
        <f>SUM(T11:T57)</f>
        <v>192.20100999999997</v>
      </c>
      <c r="U58" s="20"/>
      <c r="V58" s="20"/>
      <c r="W58" s="16">
        <f>NPV($B$10,W12:W57)+W11</f>
        <v>381118713.19979566</v>
      </c>
      <c r="X58" s="16">
        <f>NPV($B$10,X12:X57)+X11</f>
        <v>1421693957.3428833</v>
      </c>
      <c r="Y58" s="16">
        <f>NPV($B$10,Y12:Y57)+Y11</f>
        <v>1802812670.5426798</v>
      </c>
      <c r="Z58" s="20"/>
    </row>
    <row r="59" spans="1:30" ht="15.75" thickBot="1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30" ht="15.75" thickBot="1">
      <c r="A60" s="97" t="s">
        <v>64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10"/>
      <c r="N60" s="10"/>
      <c r="O60" s="10"/>
      <c r="P60" s="10"/>
      <c r="Q60" s="10"/>
      <c r="R60" s="58">
        <f>S11</f>
        <v>14.848520920836167</v>
      </c>
    </row>
    <row r="61" spans="1:30">
      <c r="R61" s="7"/>
    </row>
    <row r="62" spans="1:30">
      <c r="A62" s="21"/>
      <c r="B62" s="12"/>
      <c r="C62" s="12"/>
      <c r="D62" s="12"/>
      <c r="E62" s="12"/>
      <c r="F62" s="12"/>
      <c r="G62" s="12"/>
      <c r="H62" s="18"/>
      <c r="I62" s="18"/>
      <c r="J62" s="18"/>
      <c r="K62" s="18"/>
      <c r="L62" s="18"/>
      <c r="M62" s="13"/>
    </row>
    <row r="65" spans="2:2">
      <c r="B65" s="17"/>
    </row>
  </sheetData>
  <mergeCells count="1">
    <mergeCell ref="A3:T3"/>
  </mergeCells>
  <phoneticPr fontId="14" type="noConversion"/>
  <printOptions horizontalCentered="1"/>
  <pageMargins left="0.25" right="0.25" top="0.75" bottom="0.25" header="0.5" footer="0.5"/>
  <pageSetup scale="33" orientation="landscape" r:id="rId1"/>
  <headerFooter alignWithMargins="0"/>
  <ignoredErrors>
    <ignoredError sqref="E10:F10 C10:D10 G10:M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Q55"/>
  <sheetViews>
    <sheetView showGridLines="0" zoomScale="75" workbookViewId="0">
      <selection activeCell="A2" sqref="A2"/>
    </sheetView>
  </sheetViews>
  <sheetFormatPr defaultRowHeight="12.75"/>
  <cols>
    <col min="1" max="1" width="3.85546875" style="60" customWidth="1"/>
    <col min="2" max="2" width="8.140625" style="61" bestFit="1" customWidth="1"/>
    <col min="3" max="3" width="9" style="60" customWidth="1"/>
    <col min="4" max="4" width="12.28515625" style="60" bestFit="1" customWidth="1"/>
    <col min="5" max="5" width="14.28515625" style="60" bestFit="1" customWidth="1"/>
    <col min="6" max="6" width="17.140625" style="60" bestFit="1" customWidth="1"/>
    <col min="7" max="11" width="12.28515625" style="60" customWidth="1"/>
    <col min="12" max="12" width="15.7109375" style="60" customWidth="1"/>
    <col min="13" max="13" width="12.28515625" style="60" customWidth="1"/>
    <col min="14" max="14" width="15" style="60" customWidth="1"/>
    <col min="15" max="17" width="12.28515625" style="60" customWidth="1"/>
    <col min="18" max="16384" width="9.140625" style="60"/>
  </cols>
  <sheetData>
    <row r="1" spans="1:17" s="184" customFormat="1">
      <c r="A1" s="186" t="s">
        <v>82</v>
      </c>
      <c r="B1" s="185"/>
    </row>
    <row r="2" spans="1:17" ht="13.5" thickBot="1">
      <c r="A2" s="186" t="s">
        <v>80</v>
      </c>
      <c r="B2" s="60"/>
      <c r="K2" s="112"/>
    </row>
    <row r="3" spans="1:17" ht="33" customHeight="1" thickBot="1">
      <c r="B3" s="62"/>
      <c r="C3" s="63" t="s">
        <v>47</v>
      </c>
      <c r="D3" s="63"/>
      <c r="E3" s="63"/>
      <c r="F3" s="63"/>
      <c r="G3" s="64" t="s">
        <v>78</v>
      </c>
      <c r="H3" s="64"/>
      <c r="I3" s="65"/>
      <c r="J3" s="65"/>
      <c r="K3" s="113"/>
      <c r="L3" s="113"/>
      <c r="M3" s="66" t="s">
        <v>48</v>
      </c>
      <c r="N3" s="67">
        <v>45377</v>
      </c>
      <c r="O3" s="68"/>
      <c r="P3" s="68"/>
      <c r="Q3" s="69"/>
    </row>
    <row r="4" spans="1:17" ht="13.5" thickBot="1">
      <c r="C4" s="61"/>
      <c r="D4" s="175" t="s">
        <v>67</v>
      </c>
      <c r="E4" s="176"/>
      <c r="F4" s="177"/>
      <c r="H4" s="178" t="s">
        <v>68</v>
      </c>
      <c r="I4" s="179"/>
      <c r="J4" s="179"/>
      <c r="K4" s="180"/>
      <c r="L4" s="61"/>
      <c r="M4" s="61"/>
    </row>
    <row r="5" spans="1:17">
      <c r="B5" s="70"/>
      <c r="C5" s="71" t="s">
        <v>0</v>
      </c>
      <c r="D5" s="136" t="s">
        <v>4</v>
      </c>
      <c r="E5" s="136" t="s">
        <v>65</v>
      </c>
      <c r="F5" s="136" t="s">
        <v>18</v>
      </c>
      <c r="G5" s="142" t="s">
        <v>1</v>
      </c>
      <c r="H5" s="138"/>
      <c r="I5" s="136"/>
      <c r="J5" s="136"/>
      <c r="K5" s="139"/>
      <c r="L5" s="86" t="s">
        <v>1</v>
      </c>
      <c r="M5" s="88" t="s">
        <v>1</v>
      </c>
      <c r="N5" s="87" t="s">
        <v>2</v>
      </c>
      <c r="O5" s="87" t="s">
        <v>2</v>
      </c>
      <c r="P5" s="61"/>
    </row>
    <row r="6" spans="1:17" ht="32.25" customHeight="1">
      <c r="B6" s="72"/>
      <c r="C6" s="73" t="s">
        <v>3</v>
      </c>
      <c r="D6" s="122" t="s">
        <v>8</v>
      </c>
      <c r="E6" s="122" t="s">
        <v>66</v>
      </c>
      <c r="F6" s="137" t="s">
        <v>52</v>
      </c>
      <c r="G6" s="143" t="s">
        <v>16</v>
      </c>
      <c r="H6" s="140" t="s">
        <v>5</v>
      </c>
      <c r="I6" s="141" t="s">
        <v>15</v>
      </c>
      <c r="J6" s="137" t="s">
        <v>69</v>
      </c>
      <c r="K6" s="137" t="s">
        <v>6</v>
      </c>
      <c r="L6" s="89" t="s">
        <v>70</v>
      </c>
      <c r="M6" s="91" t="s">
        <v>0</v>
      </c>
      <c r="N6" s="90" t="s">
        <v>1</v>
      </c>
      <c r="O6" s="90" t="s">
        <v>7</v>
      </c>
      <c r="P6" s="61"/>
    </row>
    <row r="7" spans="1:17">
      <c r="B7" s="74"/>
      <c r="C7" s="73" t="s">
        <v>49</v>
      </c>
      <c r="D7" s="137" t="s">
        <v>10</v>
      </c>
      <c r="E7" s="137" t="s">
        <v>10</v>
      </c>
      <c r="F7" s="137" t="s">
        <v>10</v>
      </c>
      <c r="G7" s="143" t="s">
        <v>10</v>
      </c>
      <c r="H7" s="140" t="s">
        <v>9</v>
      </c>
      <c r="I7" s="137" t="s">
        <v>10</v>
      </c>
      <c r="J7" s="137" t="s">
        <v>10</v>
      </c>
      <c r="K7" s="137" t="s">
        <v>10</v>
      </c>
      <c r="L7" s="89" t="s">
        <v>10</v>
      </c>
      <c r="M7" s="91" t="s">
        <v>10</v>
      </c>
      <c r="N7" s="90" t="s">
        <v>11</v>
      </c>
      <c r="O7" s="90" t="s">
        <v>12</v>
      </c>
      <c r="P7" s="61"/>
    </row>
    <row r="8" spans="1:17" ht="13.5" thickBot="1">
      <c r="B8" s="72" t="s">
        <v>13</v>
      </c>
      <c r="C8" s="147">
        <v>8.1438910919999996E-2</v>
      </c>
      <c r="D8" s="137" t="s">
        <v>14</v>
      </c>
      <c r="E8" s="137" t="s">
        <v>14</v>
      </c>
      <c r="F8" s="137" t="s">
        <v>14</v>
      </c>
      <c r="G8" s="143" t="s">
        <v>14</v>
      </c>
      <c r="H8" s="140" t="s">
        <v>14</v>
      </c>
      <c r="I8" s="137" t="s">
        <v>14</v>
      </c>
      <c r="J8" s="137" t="s">
        <v>14</v>
      </c>
      <c r="K8" s="148" t="s">
        <v>14</v>
      </c>
      <c r="L8" s="149" t="s">
        <v>14</v>
      </c>
      <c r="M8" s="150" t="s">
        <v>14</v>
      </c>
      <c r="N8" s="151" t="s">
        <v>14</v>
      </c>
      <c r="O8" s="152" t="s">
        <v>14</v>
      </c>
      <c r="P8" s="61"/>
    </row>
    <row r="9" spans="1:17">
      <c r="A9" s="60">
        <v>1</v>
      </c>
      <c r="B9" s="153">
        <v>2024</v>
      </c>
      <c r="C9" s="154">
        <v>1</v>
      </c>
      <c r="D9" s="155">
        <v>160.16651562499999</v>
      </c>
      <c r="E9" s="155">
        <v>3.4924339599609402</v>
      </c>
      <c r="F9" s="155">
        <v>9.0336533355712891</v>
      </c>
      <c r="G9" s="156">
        <f>SUM(D9:F9)</f>
        <v>172.69260292053224</v>
      </c>
      <c r="H9" s="157">
        <v>2539.1420118579899</v>
      </c>
      <c r="I9" s="158">
        <v>117.592608969688</v>
      </c>
      <c r="J9" s="158">
        <v>41.548436995692498</v>
      </c>
      <c r="K9" s="159">
        <v>0.54112933963350995</v>
      </c>
      <c r="L9" s="160">
        <f>SUM(H9:K9)</f>
        <v>2698.8241871630044</v>
      </c>
      <c r="M9" s="161">
        <f>L9+G9</f>
        <v>2871.5167900835368</v>
      </c>
      <c r="N9" s="162">
        <f>M9*C9</f>
        <v>2871.5167900835368</v>
      </c>
      <c r="O9" s="163">
        <f>N9</f>
        <v>2871.5167900835368</v>
      </c>
      <c r="P9" s="164">
        <v>2024</v>
      </c>
    </row>
    <row r="10" spans="1:17">
      <c r="A10" s="60">
        <v>2</v>
      </c>
      <c r="B10" s="118">
        <v>2025</v>
      </c>
      <c r="C10" s="75">
        <v>0.92822505603856131</v>
      </c>
      <c r="D10" s="126">
        <v>337.48591498947098</v>
      </c>
      <c r="E10" s="126">
        <v>12.8770021286011</v>
      </c>
      <c r="F10" s="126">
        <v>14.6555814666748</v>
      </c>
      <c r="G10" s="123">
        <f t="shared" ref="G10:G55" si="0">SUM(D10:F10)</f>
        <v>365.01849858474685</v>
      </c>
      <c r="H10" s="129">
        <v>2821.9940705699901</v>
      </c>
      <c r="I10" s="130">
        <v>127.172295104027</v>
      </c>
      <c r="J10" s="131">
        <v>-105.262279579535</v>
      </c>
      <c r="K10" s="132">
        <v>0.55601049537118497</v>
      </c>
      <c r="L10" s="77">
        <f>SUM(H10:K10)</f>
        <v>2844.460096589853</v>
      </c>
      <c r="M10" s="78">
        <f t="shared" ref="M10:M55" si="1">L10+G10</f>
        <v>3209.4785951745998</v>
      </c>
      <c r="N10" s="79">
        <f t="shared" ref="N10:N55" si="2">M10*C10</f>
        <v>2979.1184488605059</v>
      </c>
      <c r="O10" s="76">
        <f>O9+N10</f>
        <v>5850.6352389440426</v>
      </c>
      <c r="P10" s="165">
        <v>2025</v>
      </c>
    </row>
    <row r="11" spans="1:17">
      <c r="A11" s="60">
        <v>3</v>
      </c>
      <c r="B11" s="118">
        <v>2026</v>
      </c>
      <c r="C11" s="75">
        <v>0.86160175465779032</v>
      </c>
      <c r="D11" s="126">
        <v>885.25376757812501</v>
      </c>
      <c r="E11" s="126">
        <v>34.996137634277297</v>
      </c>
      <c r="F11" s="126">
        <v>81.827287292480506</v>
      </c>
      <c r="G11" s="123">
        <f t="shared" si="0"/>
        <v>1002.0771925048828</v>
      </c>
      <c r="H11" s="129">
        <v>3168.1144938259099</v>
      </c>
      <c r="I11" s="130">
        <v>146.371068582535</v>
      </c>
      <c r="J11" s="131">
        <v>-359.518088458389</v>
      </c>
      <c r="K11" s="132">
        <v>0.52434295231476402</v>
      </c>
      <c r="L11" s="77">
        <f t="shared" ref="L11:L55" si="3">SUM(H11:K11)</f>
        <v>2955.4918169023708</v>
      </c>
      <c r="M11" s="78">
        <f t="shared" si="1"/>
        <v>3957.5690094072534</v>
      </c>
      <c r="N11" s="79">
        <f t="shared" si="2"/>
        <v>3409.8484026845827</v>
      </c>
      <c r="O11" s="76">
        <f t="shared" ref="O11:O55" si="4">O10+N11</f>
        <v>9260.4836416286253</v>
      </c>
      <c r="P11" s="165">
        <v>2026</v>
      </c>
    </row>
    <row r="12" spans="1:17">
      <c r="A12" s="60">
        <v>4</v>
      </c>
      <c r="B12" s="118">
        <v>2027</v>
      </c>
      <c r="C12" s="75">
        <v>0.79976033700015015</v>
      </c>
      <c r="D12" s="126">
        <v>1323.47532910156</v>
      </c>
      <c r="E12" s="126">
        <v>48.625243347168002</v>
      </c>
      <c r="F12" s="126">
        <v>146.326439186096</v>
      </c>
      <c r="G12" s="123">
        <f t="shared" si="0"/>
        <v>1518.4270116348239</v>
      </c>
      <c r="H12" s="129">
        <v>2991.5314584274302</v>
      </c>
      <c r="I12" s="130">
        <v>156.03991361427299</v>
      </c>
      <c r="J12" s="131">
        <v>-616.97689534982999</v>
      </c>
      <c r="K12" s="132">
        <v>0.51375491586327504</v>
      </c>
      <c r="L12" s="77">
        <f t="shared" si="3"/>
        <v>2531.1082316077363</v>
      </c>
      <c r="M12" s="78">
        <f t="shared" si="1"/>
        <v>4049.5352432425602</v>
      </c>
      <c r="N12" s="79">
        <f t="shared" si="2"/>
        <v>3238.6576708296548</v>
      </c>
      <c r="O12" s="76">
        <f t="shared" si="4"/>
        <v>12499.14131245828</v>
      </c>
      <c r="P12" s="165">
        <v>2027</v>
      </c>
    </row>
    <row r="13" spans="1:17">
      <c r="A13" s="60">
        <v>5</v>
      </c>
      <c r="B13" s="118">
        <v>2028</v>
      </c>
      <c r="C13" s="75">
        <v>0.74235758362938309</v>
      </c>
      <c r="D13" s="126">
        <v>1729.49853808594</v>
      </c>
      <c r="E13" s="126">
        <v>62.418831848144499</v>
      </c>
      <c r="F13" s="126">
        <v>208.30612593841599</v>
      </c>
      <c r="G13" s="123">
        <f t="shared" si="0"/>
        <v>2000.2234958725005</v>
      </c>
      <c r="H13" s="129">
        <v>3031.37234308815</v>
      </c>
      <c r="I13" s="130">
        <v>167.670623714447</v>
      </c>
      <c r="J13" s="131">
        <v>-859.47655340582105</v>
      </c>
      <c r="K13" s="132">
        <v>0.47615172026888503</v>
      </c>
      <c r="L13" s="77">
        <f t="shared" si="3"/>
        <v>2340.0425651170449</v>
      </c>
      <c r="M13" s="78">
        <f t="shared" si="1"/>
        <v>4340.2660609895456</v>
      </c>
      <c r="N13" s="79">
        <f t="shared" si="2"/>
        <v>3222.0294253448196</v>
      </c>
      <c r="O13" s="76">
        <f t="shared" si="4"/>
        <v>15721.170737803099</v>
      </c>
      <c r="P13" s="165">
        <v>2028</v>
      </c>
    </row>
    <row r="14" spans="1:17">
      <c r="A14" s="60">
        <v>6</v>
      </c>
      <c r="B14" s="118">
        <v>2029</v>
      </c>
      <c r="C14" s="75">
        <v>0.68907490966503504</v>
      </c>
      <c r="D14" s="126">
        <v>2107.7627246093698</v>
      </c>
      <c r="E14" s="126">
        <v>94.506751770019505</v>
      </c>
      <c r="F14" s="126">
        <v>267.83252113342297</v>
      </c>
      <c r="G14" s="123">
        <f t="shared" si="0"/>
        <v>2470.1019975128124</v>
      </c>
      <c r="H14" s="129">
        <v>3010.7868054466298</v>
      </c>
      <c r="I14" s="130">
        <v>195.17433718872101</v>
      </c>
      <c r="J14" s="131">
        <v>-1137.3857068959501</v>
      </c>
      <c r="K14" s="132">
        <v>0.42307578067760898</v>
      </c>
      <c r="L14" s="77">
        <f t="shared" si="3"/>
        <v>2068.9985115200784</v>
      </c>
      <c r="M14" s="78">
        <f t="shared" si="1"/>
        <v>4539.1005090328908</v>
      </c>
      <c r="N14" s="79">
        <f t="shared" si="2"/>
        <v>3127.780273222354</v>
      </c>
      <c r="O14" s="76">
        <f t="shared" si="4"/>
        <v>18848.951011025452</v>
      </c>
      <c r="P14" s="165">
        <v>2029</v>
      </c>
    </row>
    <row r="15" spans="1:17">
      <c r="A15" s="60">
        <v>7</v>
      </c>
      <c r="B15" s="118">
        <v>2030</v>
      </c>
      <c r="C15" s="75">
        <v>0.63961659663859372</v>
      </c>
      <c r="D15" s="126">
        <v>2465.6974228515601</v>
      </c>
      <c r="E15" s="126">
        <v>92.799867980957004</v>
      </c>
      <c r="F15" s="126">
        <v>325.09667314147902</v>
      </c>
      <c r="G15" s="123">
        <f t="shared" si="0"/>
        <v>2883.5939639739963</v>
      </c>
      <c r="H15" s="129">
        <v>2780.5594595432299</v>
      </c>
      <c r="I15" s="130">
        <v>202.854918088913</v>
      </c>
      <c r="J15" s="131">
        <v>-1433.6217924381499</v>
      </c>
      <c r="K15" s="132">
        <v>0.40467305068299197</v>
      </c>
      <c r="L15" s="77">
        <f t="shared" si="3"/>
        <v>1550.197258244676</v>
      </c>
      <c r="M15" s="78">
        <f t="shared" si="1"/>
        <v>4433.7912222186724</v>
      </c>
      <c r="N15" s="79">
        <f t="shared" si="2"/>
        <v>2835.9264517615779</v>
      </c>
      <c r="O15" s="76">
        <f t="shared" si="4"/>
        <v>21684.87746278703</v>
      </c>
      <c r="P15" s="165">
        <v>2030</v>
      </c>
    </row>
    <row r="16" spans="1:17">
      <c r="A16" s="60">
        <v>8</v>
      </c>
      <c r="B16" s="118">
        <v>2031</v>
      </c>
      <c r="C16" s="75">
        <v>0.59370815125805254</v>
      </c>
      <c r="D16" s="126">
        <v>2805.11061572266</v>
      </c>
      <c r="E16" s="126">
        <v>114.09696295166</v>
      </c>
      <c r="F16" s="126">
        <v>380.14100508499098</v>
      </c>
      <c r="G16" s="123">
        <f t="shared" si="0"/>
        <v>3299.3485837593107</v>
      </c>
      <c r="H16" s="129">
        <v>2675.03383123818</v>
      </c>
      <c r="I16" s="130">
        <v>230.99819573020901</v>
      </c>
      <c r="J16" s="131">
        <v>-1743.1973123759001</v>
      </c>
      <c r="K16" s="132">
        <v>0.39800115924765</v>
      </c>
      <c r="L16" s="77">
        <f t="shared" si="3"/>
        <v>1163.2327157517364</v>
      </c>
      <c r="M16" s="78">
        <f t="shared" si="1"/>
        <v>4462.5812995110473</v>
      </c>
      <c r="N16" s="79">
        <f t="shared" si="2"/>
        <v>2649.4708931714617</v>
      </c>
      <c r="O16" s="76">
        <f t="shared" si="4"/>
        <v>24334.348355958493</v>
      </c>
      <c r="P16" s="165">
        <v>2031</v>
      </c>
    </row>
    <row r="17" spans="1:16">
      <c r="A17" s="60">
        <v>9</v>
      </c>
      <c r="B17" s="118">
        <v>2032</v>
      </c>
      <c r="C17" s="75">
        <v>0.55109478197205641</v>
      </c>
      <c r="D17" s="126">
        <v>3129.9089047851598</v>
      </c>
      <c r="E17" s="126">
        <v>147.681808105469</v>
      </c>
      <c r="F17" s="126">
        <v>433.05568704986598</v>
      </c>
      <c r="G17" s="123">
        <f t="shared" si="0"/>
        <v>3710.6463999404946</v>
      </c>
      <c r="H17" s="129">
        <v>2636.4624315891301</v>
      </c>
      <c r="I17" s="130">
        <v>263.94151157379201</v>
      </c>
      <c r="J17" s="131">
        <v>-1991.0987832058699</v>
      </c>
      <c r="K17" s="132">
        <v>0.39778189804637798</v>
      </c>
      <c r="L17" s="77">
        <f t="shared" si="3"/>
        <v>909.70294185509852</v>
      </c>
      <c r="M17" s="78">
        <f t="shared" si="1"/>
        <v>4620.3493417955933</v>
      </c>
      <c r="N17" s="79">
        <f t="shared" si="2"/>
        <v>2546.250413151577</v>
      </c>
      <c r="O17" s="76">
        <f t="shared" si="4"/>
        <v>26880.598769110071</v>
      </c>
      <c r="P17" s="165">
        <v>2032</v>
      </c>
    </row>
    <row r="18" spans="1:16">
      <c r="A18" s="60">
        <v>10</v>
      </c>
      <c r="B18" s="118">
        <v>2033</v>
      </c>
      <c r="C18" s="75">
        <v>0.51153998487857077</v>
      </c>
      <c r="D18" s="126">
        <v>3453.91510449219</v>
      </c>
      <c r="E18" s="126">
        <v>152.75772283935501</v>
      </c>
      <c r="F18" s="126">
        <v>484.13686556625402</v>
      </c>
      <c r="G18" s="123">
        <f t="shared" si="0"/>
        <v>4090.8096928977993</v>
      </c>
      <c r="H18" s="129">
        <v>2675.9573783845899</v>
      </c>
      <c r="I18" s="130">
        <v>296.99499956512398</v>
      </c>
      <c r="J18" s="131">
        <v>-2174.2849238826898</v>
      </c>
      <c r="K18" s="132">
        <v>0.38985411098739098</v>
      </c>
      <c r="L18" s="77">
        <f t="shared" si="3"/>
        <v>799.05730817801157</v>
      </c>
      <c r="M18" s="78">
        <f t="shared" si="1"/>
        <v>4889.8670010758105</v>
      </c>
      <c r="N18" s="79">
        <f t="shared" si="2"/>
        <v>2501.3624917885422</v>
      </c>
      <c r="O18" s="76">
        <f t="shared" si="4"/>
        <v>29381.961260898614</v>
      </c>
      <c r="P18" s="165">
        <v>2033</v>
      </c>
    </row>
    <row r="19" spans="1:16">
      <c r="A19" s="60">
        <v>11</v>
      </c>
      <c r="B19" s="118">
        <v>2034</v>
      </c>
      <c r="C19" s="75">
        <v>0.47482423112987615</v>
      </c>
      <c r="D19" s="126">
        <v>3983.7208652343802</v>
      </c>
      <c r="E19" s="126">
        <v>193.951825317383</v>
      </c>
      <c r="F19" s="126">
        <v>505.39416198348999</v>
      </c>
      <c r="G19" s="123">
        <f t="shared" si="0"/>
        <v>4683.0668525352539</v>
      </c>
      <c r="H19" s="129">
        <v>2735.5672773780798</v>
      </c>
      <c r="I19" s="130">
        <v>170.58234443855301</v>
      </c>
      <c r="J19" s="131">
        <v>-2059.7772734273699</v>
      </c>
      <c r="K19" s="132">
        <v>0.34656649715639698</v>
      </c>
      <c r="L19" s="77">
        <f t="shared" si="3"/>
        <v>846.71891488641904</v>
      </c>
      <c r="M19" s="78">
        <f t="shared" si="1"/>
        <v>5529.785767421673</v>
      </c>
      <c r="N19" s="79">
        <f t="shared" si="2"/>
        <v>2625.6762753289281</v>
      </c>
      <c r="O19" s="76">
        <f t="shared" si="4"/>
        <v>32007.637536227543</v>
      </c>
      <c r="P19" s="165">
        <v>2034</v>
      </c>
    </row>
    <row r="20" spans="1:16">
      <c r="A20" s="60">
        <v>12</v>
      </c>
      <c r="B20" s="118">
        <v>2035</v>
      </c>
      <c r="C20" s="75">
        <v>0.44074374854899606</v>
      </c>
      <c r="D20" s="126">
        <v>3813.6347446289101</v>
      </c>
      <c r="E20" s="126">
        <v>207.233020446777</v>
      </c>
      <c r="F20" s="126">
        <v>487.05776034164398</v>
      </c>
      <c r="G20" s="123">
        <f t="shared" si="0"/>
        <v>4507.9255254173313</v>
      </c>
      <c r="H20" s="129">
        <v>2972.8109163999602</v>
      </c>
      <c r="I20" s="130">
        <v>179.836939079285</v>
      </c>
      <c r="J20" s="131">
        <v>-1917.09746148625</v>
      </c>
      <c r="K20" s="132">
        <v>0.35644975761463898</v>
      </c>
      <c r="L20" s="77">
        <f t="shared" si="3"/>
        <v>1235.9068437506098</v>
      </c>
      <c r="M20" s="78">
        <f t="shared" si="1"/>
        <v>5743.8323691679416</v>
      </c>
      <c r="N20" s="79">
        <f t="shared" si="2"/>
        <v>2531.5582094241395</v>
      </c>
      <c r="O20" s="76">
        <f t="shared" si="4"/>
        <v>34539.195745651683</v>
      </c>
      <c r="P20" s="165">
        <v>2035</v>
      </c>
    </row>
    <row r="21" spans="1:16">
      <c r="A21" s="60">
        <v>13</v>
      </c>
      <c r="B21" s="118">
        <v>2036</v>
      </c>
      <c r="C21" s="75">
        <v>0.40910939069553742</v>
      </c>
      <c r="D21" s="126">
        <v>3664.1509956054701</v>
      </c>
      <c r="E21" s="126">
        <v>189.608605255127</v>
      </c>
      <c r="F21" s="126">
        <v>468.848754016876</v>
      </c>
      <c r="G21" s="123">
        <f t="shared" si="0"/>
        <v>4322.6083548774732</v>
      </c>
      <c r="H21" s="129">
        <v>3191.87417864799</v>
      </c>
      <c r="I21" s="130">
        <v>187.799041394234</v>
      </c>
      <c r="J21" s="131">
        <v>-1750.4841353972899</v>
      </c>
      <c r="K21" s="132">
        <v>93.258835016936104</v>
      </c>
      <c r="L21" s="77">
        <f t="shared" si="3"/>
        <v>1722.4479196618699</v>
      </c>
      <c r="M21" s="78">
        <f t="shared" si="1"/>
        <v>6045.0562745393436</v>
      </c>
      <c r="N21" s="79">
        <f t="shared" si="2"/>
        <v>2473.0892891970261</v>
      </c>
      <c r="O21" s="76">
        <f t="shared" si="4"/>
        <v>37012.285034848712</v>
      </c>
      <c r="P21" s="165">
        <v>2036</v>
      </c>
    </row>
    <row r="22" spans="1:16">
      <c r="A22" s="60">
        <v>14</v>
      </c>
      <c r="B22" s="118">
        <v>2037</v>
      </c>
      <c r="C22" s="75">
        <v>0.37974558710426687</v>
      </c>
      <c r="D22" s="126">
        <v>3533.8741596679702</v>
      </c>
      <c r="E22" s="126">
        <v>202.31712353515599</v>
      </c>
      <c r="F22" s="126">
        <v>451.09136866760298</v>
      </c>
      <c r="G22" s="123">
        <f t="shared" si="0"/>
        <v>4187.2826518707288</v>
      </c>
      <c r="H22" s="129">
        <v>3389.83227326202</v>
      </c>
      <c r="I22" s="130">
        <v>197.73148090743999</v>
      </c>
      <c r="J22" s="131">
        <v>-1487.71786226162</v>
      </c>
      <c r="K22" s="132">
        <v>194.011496533751</v>
      </c>
      <c r="L22" s="77">
        <f t="shared" si="3"/>
        <v>2293.8573884415914</v>
      </c>
      <c r="M22" s="78">
        <f t="shared" si="1"/>
        <v>6481.1400403123207</v>
      </c>
      <c r="N22" s="79">
        <f t="shared" si="2"/>
        <v>2461.1843297133742</v>
      </c>
      <c r="O22" s="76">
        <f t="shared" si="4"/>
        <v>39473.469364562086</v>
      </c>
      <c r="P22" s="165">
        <v>2037</v>
      </c>
    </row>
    <row r="23" spans="1:16">
      <c r="A23" s="60">
        <v>15</v>
      </c>
      <c r="B23" s="119">
        <v>2038</v>
      </c>
      <c r="C23" s="80">
        <v>0.35248936887025445</v>
      </c>
      <c r="D23" s="126">
        <v>3779.1481894531198</v>
      </c>
      <c r="E23" s="126">
        <v>262.58418853759798</v>
      </c>
      <c r="F23" s="126">
        <v>444.43722411346403</v>
      </c>
      <c r="G23" s="123">
        <f t="shared" si="0"/>
        <v>4486.1696021041816</v>
      </c>
      <c r="H23" s="129">
        <v>3615.21050433459</v>
      </c>
      <c r="I23" s="130">
        <v>203.43215328884099</v>
      </c>
      <c r="J23" s="131">
        <v>-1219.1599705306101</v>
      </c>
      <c r="K23" s="132">
        <v>305.28699911180701</v>
      </c>
      <c r="L23" s="77">
        <f t="shared" si="3"/>
        <v>2904.7696862046278</v>
      </c>
      <c r="M23" s="78">
        <f t="shared" si="1"/>
        <v>7390.9392883088094</v>
      </c>
      <c r="N23" s="79">
        <f t="shared" si="2"/>
        <v>2605.2275250943399</v>
      </c>
      <c r="O23" s="76">
        <f t="shared" si="4"/>
        <v>42078.696889656429</v>
      </c>
      <c r="P23" s="165">
        <v>2038</v>
      </c>
    </row>
    <row r="24" spans="1:16">
      <c r="A24" s="60">
        <v>16</v>
      </c>
      <c r="B24" s="118">
        <v>2039</v>
      </c>
      <c r="C24" s="75">
        <v>0.32718946417258904</v>
      </c>
      <c r="D24" s="126">
        <v>3769.97396972656</v>
      </c>
      <c r="E24" s="126">
        <v>242.40119128417999</v>
      </c>
      <c r="F24" s="126">
        <v>438.06641848754902</v>
      </c>
      <c r="G24" s="123">
        <f t="shared" si="0"/>
        <v>4450.4415794982888</v>
      </c>
      <c r="H24" s="129">
        <v>3809.59898672485</v>
      </c>
      <c r="I24" s="130">
        <v>205.91800250053399</v>
      </c>
      <c r="J24" s="131">
        <v>-938.58282143489998</v>
      </c>
      <c r="K24" s="132">
        <v>425.088915629506</v>
      </c>
      <c r="L24" s="77">
        <f t="shared" si="3"/>
        <v>3502.0230834199901</v>
      </c>
      <c r="M24" s="78">
        <f t="shared" si="1"/>
        <v>7952.4646629182789</v>
      </c>
      <c r="N24" s="79">
        <f t="shared" si="2"/>
        <v>2601.9626519116805</v>
      </c>
      <c r="O24" s="76">
        <f t="shared" si="4"/>
        <v>44680.659541568108</v>
      </c>
      <c r="P24" s="165">
        <v>2039</v>
      </c>
    </row>
    <row r="25" spans="1:16">
      <c r="A25" s="60">
        <v>17</v>
      </c>
      <c r="B25" s="118">
        <v>2040</v>
      </c>
      <c r="C25" s="75">
        <v>0.3037054587168283</v>
      </c>
      <c r="D25" s="126">
        <v>3767.82619189453</v>
      </c>
      <c r="E25" s="126">
        <v>261.22773193359399</v>
      </c>
      <c r="F25" s="126">
        <v>431.888675918579</v>
      </c>
      <c r="G25" s="123">
        <f t="shared" si="0"/>
        <v>4460.9425997467033</v>
      </c>
      <c r="H25" s="129">
        <v>4115.8242486753497</v>
      </c>
      <c r="I25" s="130">
        <v>211.605862443924</v>
      </c>
      <c r="J25" s="131">
        <v>-650.73029988819405</v>
      </c>
      <c r="K25" s="132">
        <v>547.79015751743304</v>
      </c>
      <c r="L25" s="77">
        <f t="shared" si="3"/>
        <v>4224.4899687485122</v>
      </c>
      <c r="M25" s="78">
        <f t="shared" si="1"/>
        <v>8685.4325684952164</v>
      </c>
      <c r="N25" s="79">
        <f t="shared" si="2"/>
        <v>2637.8132823689198</v>
      </c>
      <c r="O25" s="76">
        <f t="shared" si="4"/>
        <v>47318.472823937031</v>
      </c>
      <c r="P25" s="165">
        <v>2040</v>
      </c>
    </row>
    <row r="26" spans="1:16">
      <c r="A26" s="60">
        <v>18</v>
      </c>
      <c r="B26" s="118">
        <v>2041</v>
      </c>
      <c r="C26" s="75">
        <v>0.2819070164366449</v>
      </c>
      <c r="D26" s="126">
        <v>3767.1705410156301</v>
      </c>
      <c r="E26" s="126">
        <v>304.99420349121101</v>
      </c>
      <c r="F26" s="126">
        <v>425.97066255188003</v>
      </c>
      <c r="G26" s="123">
        <f t="shared" si="0"/>
        <v>4498.1354070587213</v>
      </c>
      <c r="H26" s="129">
        <v>4306.0600440902699</v>
      </c>
      <c r="I26" s="130">
        <v>212.40777577972401</v>
      </c>
      <c r="J26" s="131">
        <v>-347.96693689680097</v>
      </c>
      <c r="K26" s="132">
        <v>629.25418032407799</v>
      </c>
      <c r="L26" s="77">
        <f t="shared" si="3"/>
        <v>4799.7550632972716</v>
      </c>
      <c r="M26" s="78">
        <f t="shared" si="1"/>
        <v>9297.8904703559929</v>
      </c>
      <c r="N26" s="79">
        <f t="shared" si="2"/>
        <v>2621.1405616527709</v>
      </c>
      <c r="O26" s="76">
        <f t="shared" si="4"/>
        <v>49939.613385589801</v>
      </c>
      <c r="P26" s="165">
        <v>2041</v>
      </c>
    </row>
    <row r="27" spans="1:16">
      <c r="A27" s="60">
        <v>19</v>
      </c>
      <c r="B27" s="118">
        <v>2042</v>
      </c>
      <c r="C27" s="75">
        <v>0.26167315612956832</v>
      </c>
      <c r="D27" s="126">
        <v>3768.2465249023398</v>
      </c>
      <c r="E27" s="126">
        <v>291.57760522460899</v>
      </c>
      <c r="F27" s="126">
        <v>420.640875034332</v>
      </c>
      <c r="G27" s="123">
        <f t="shared" si="0"/>
        <v>4480.4650051612807</v>
      </c>
      <c r="H27" s="129">
        <v>4521.4036088447601</v>
      </c>
      <c r="I27" s="130">
        <v>221.26217402458201</v>
      </c>
      <c r="J27" s="131">
        <v>-29.5027562449574</v>
      </c>
      <c r="K27" s="132">
        <v>741.33535906195596</v>
      </c>
      <c r="L27" s="77">
        <f t="shared" si="3"/>
        <v>5454.498385686341</v>
      </c>
      <c r="M27" s="78">
        <f t="shared" si="1"/>
        <v>9934.9633908476208</v>
      </c>
      <c r="N27" s="79">
        <f t="shared" si="2"/>
        <v>2599.7132265148148</v>
      </c>
      <c r="O27" s="76">
        <f t="shared" si="4"/>
        <v>52539.326612104618</v>
      </c>
      <c r="P27" s="165">
        <v>2042</v>
      </c>
    </row>
    <row r="28" spans="1:16">
      <c r="A28" s="60">
        <v>20</v>
      </c>
      <c r="B28" s="119">
        <v>2043</v>
      </c>
      <c r="C28" s="80">
        <v>0.24289158001215574</v>
      </c>
      <c r="D28" s="126">
        <v>3770.1477375488298</v>
      </c>
      <c r="E28" s="126">
        <v>306.41643115234399</v>
      </c>
      <c r="F28" s="126">
        <v>416.045131816864</v>
      </c>
      <c r="G28" s="123">
        <f t="shared" si="0"/>
        <v>4492.6093005180383</v>
      </c>
      <c r="H28" s="129">
        <v>4760.5381984176602</v>
      </c>
      <c r="I28" s="130">
        <v>224.34785001373299</v>
      </c>
      <c r="J28" s="131">
        <v>298.74814719551802</v>
      </c>
      <c r="K28" s="132">
        <v>864.62779185485795</v>
      </c>
      <c r="L28" s="77">
        <f t="shared" si="3"/>
        <v>6148.2619874817683</v>
      </c>
      <c r="M28" s="78">
        <f t="shared" si="1"/>
        <v>10640.871287999806</v>
      </c>
      <c r="N28" s="79">
        <f t="shared" si="2"/>
        <v>2584.5780398482557</v>
      </c>
      <c r="O28" s="76">
        <f t="shared" si="4"/>
        <v>55123.904651952871</v>
      </c>
      <c r="P28" s="165">
        <v>2043</v>
      </c>
    </row>
    <row r="29" spans="1:16">
      <c r="A29" s="60">
        <v>21</v>
      </c>
      <c r="B29" s="118">
        <v>2044</v>
      </c>
      <c r="C29" s="75">
        <v>0.22545805046807796</v>
      </c>
      <c r="D29" s="126">
        <v>3646.35557373047</v>
      </c>
      <c r="E29" s="126">
        <v>400.83779315185501</v>
      </c>
      <c r="F29" s="126">
        <v>399.32323023223898</v>
      </c>
      <c r="G29" s="123">
        <f t="shared" si="0"/>
        <v>4446.5165971145634</v>
      </c>
      <c r="H29" s="129">
        <v>5194.7937999000596</v>
      </c>
      <c r="I29" s="130">
        <v>248.49552119064299</v>
      </c>
      <c r="J29" s="131">
        <v>312.514163035661</v>
      </c>
      <c r="K29" s="132">
        <v>1016.79017095661</v>
      </c>
      <c r="L29" s="77">
        <f t="shared" si="3"/>
        <v>6772.5936550829738</v>
      </c>
      <c r="M29" s="78">
        <f t="shared" si="1"/>
        <v>11219.110252197537</v>
      </c>
      <c r="N29" s="79">
        <f t="shared" si="2"/>
        <v>2529.4387254468834</v>
      </c>
      <c r="O29" s="76">
        <f t="shared" si="4"/>
        <v>57653.343377399753</v>
      </c>
      <c r="P29" s="165">
        <v>2044</v>
      </c>
    </row>
    <row r="30" spans="1:16">
      <c r="A30" s="60">
        <v>22</v>
      </c>
      <c r="B30" s="118">
        <v>2045</v>
      </c>
      <c r="C30" s="75">
        <v>0.20927581153007643</v>
      </c>
      <c r="D30" s="126">
        <v>3650.7639106445299</v>
      </c>
      <c r="E30" s="126">
        <v>343.79447442627003</v>
      </c>
      <c r="F30" s="126">
        <v>396.50571100616497</v>
      </c>
      <c r="G30" s="123">
        <f t="shared" si="0"/>
        <v>4391.0640960769651</v>
      </c>
      <c r="H30" s="129">
        <v>5618.0844476394604</v>
      </c>
      <c r="I30" s="130">
        <v>249.041401491165</v>
      </c>
      <c r="J30" s="131">
        <v>327.37664693117102</v>
      </c>
      <c r="K30" s="132">
        <v>1198.8970551281</v>
      </c>
      <c r="L30" s="77">
        <f t="shared" si="3"/>
        <v>7393.3995511898966</v>
      </c>
      <c r="M30" s="78">
        <f t="shared" si="1"/>
        <v>11784.463647266861</v>
      </c>
      <c r="N30" s="79">
        <f t="shared" si="2"/>
        <v>2466.2031932284567</v>
      </c>
      <c r="O30" s="76">
        <f t="shared" si="4"/>
        <v>60119.546570628212</v>
      </c>
      <c r="P30" s="165">
        <v>2045</v>
      </c>
    </row>
    <row r="31" spans="1:16">
      <c r="A31" s="60">
        <v>23</v>
      </c>
      <c r="B31" s="118">
        <v>2046</v>
      </c>
      <c r="C31" s="75">
        <v>0.1942550518850206</v>
      </c>
      <c r="D31" s="126">
        <v>3643.4467104492201</v>
      </c>
      <c r="E31" s="126">
        <v>397.12707897949201</v>
      </c>
      <c r="F31" s="126">
        <v>394.59640213394198</v>
      </c>
      <c r="G31" s="123">
        <f t="shared" si="0"/>
        <v>4435.1701915626545</v>
      </c>
      <c r="H31" s="129">
        <v>5855.6836582870501</v>
      </c>
      <c r="I31" s="130">
        <v>255.317163778305</v>
      </c>
      <c r="J31" s="131">
        <v>339.66032253763098</v>
      </c>
      <c r="K31" s="132">
        <v>1356.74118045044</v>
      </c>
      <c r="L31" s="77">
        <f t="shared" si="3"/>
        <v>7807.4023250534265</v>
      </c>
      <c r="M31" s="78">
        <f t="shared" si="1"/>
        <v>12242.572516616081</v>
      </c>
      <c r="N31" s="79">
        <f t="shared" si="2"/>
        <v>2378.181559421384</v>
      </c>
      <c r="O31" s="76">
        <f t="shared" si="4"/>
        <v>62497.728130049596</v>
      </c>
      <c r="P31" s="165">
        <v>2046</v>
      </c>
    </row>
    <row r="32" spans="1:16">
      <c r="A32" s="60">
        <v>24</v>
      </c>
      <c r="B32" s="118">
        <v>2047</v>
      </c>
      <c r="C32" s="75">
        <v>0.18031240642174687</v>
      </c>
      <c r="D32" s="126">
        <v>3507.1740521240199</v>
      </c>
      <c r="E32" s="126">
        <v>417.54967004394501</v>
      </c>
      <c r="F32" s="126">
        <v>379.15075848388699</v>
      </c>
      <c r="G32" s="123">
        <f t="shared" si="0"/>
        <v>4303.8744806518516</v>
      </c>
      <c r="H32" s="129">
        <v>6262.4025945091198</v>
      </c>
      <c r="I32" s="130">
        <v>272.99354780483202</v>
      </c>
      <c r="J32" s="131">
        <v>357.28097358316199</v>
      </c>
      <c r="K32" s="132">
        <v>1552.7933969349899</v>
      </c>
      <c r="L32" s="77">
        <f t="shared" si="3"/>
        <v>8445.4705128321039</v>
      </c>
      <c r="M32" s="78">
        <f t="shared" si="1"/>
        <v>12749.344993483955</v>
      </c>
      <c r="N32" s="79">
        <f t="shared" si="2"/>
        <v>2298.8650760761425</v>
      </c>
      <c r="O32" s="76">
        <f t="shared" si="4"/>
        <v>64796.593206125741</v>
      </c>
      <c r="P32" s="165">
        <v>2047</v>
      </c>
    </row>
    <row r="33" spans="1:16">
      <c r="A33" s="60">
        <v>25</v>
      </c>
      <c r="B33" s="118">
        <v>2048</v>
      </c>
      <c r="C33" s="75">
        <v>0.16737049355527384</v>
      </c>
      <c r="D33" s="126">
        <v>3514.1301101684599</v>
      </c>
      <c r="E33" s="126">
        <v>429.03616979980501</v>
      </c>
      <c r="F33" s="126">
        <v>378.84129001379</v>
      </c>
      <c r="G33" s="123">
        <f t="shared" si="0"/>
        <v>4322.0075699820545</v>
      </c>
      <c r="H33" s="129">
        <v>6715.0324429397597</v>
      </c>
      <c r="I33" s="130">
        <v>290.96491278076201</v>
      </c>
      <c r="J33" s="131">
        <v>371.765876947165</v>
      </c>
      <c r="K33" s="132">
        <v>1767.9594510088</v>
      </c>
      <c r="L33" s="77">
        <f t="shared" si="3"/>
        <v>9145.7226836764858</v>
      </c>
      <c r="M33" s="78">
        <f t="shared" si="1"/>
        <v>13467.730253658541</v>
      </c>
      <c r="N33" s="79">
        <f t="shared" si="2"/>
        <v>2254.1006596241232</v>
      </c>
      <c r="O33" s="76">
        <f t="shared" si="4"/>
        <v>67050.693865749869</v>
      </c>
      <c r="P33" s="165">
        <v>2048</v>
      </c>
    </row>
    <row r="34" spans="1:16">
      <c r="A34" s="60">
        <v>26</v>
      </c>
      <c r="B34" s="118">
        <v>2049</v>
      </c>
      <c r="C34" s="75">
        <v>0.15535748575954572</v>
      </c>
      <c r="D34" s="126">
        <v>3524.56869213867</v>
      </c>
      <c r="E34" s="126">
        <v>469.72164080810501</v>
      </c>
      <c r="F34" s="126">
        <v>379.32748608970599</v>
      </c>
      <c r="G34" s="123">
        <f t="shared" si="0"/>
        <v>4373.6178190364808</v>
      </c>
      <c r="H34" s="129">
        <v>7205.7266211776696</v>
      </c>
      <c r="I34" s="130">
        <v>308.52876732635502</v>
      </c>
      <c r="J34" s="131">
        <v>387.217326224327</v>
      </c>
      <c r="K34" s="132">
        <v>2005.37681675625</v>
      </c>
      <c r="L34" s="77">
        <f t="shared" si="3"/>
        <v>9906.8495314846004</v>
      </c>
      <c r="M34" s="78">
        <f t="shared" si="1"/>
        <v>14280.467350521081</v>
      </c>
      <c r="N34" s="79">
        <f t="shared" si="2"/>
        <v>2218.5775030482364</v>
      </c>
      <c r="O34" s="76">
        <f t="shared" si="4"/>
        <v>69269.271368798101</v>
      </c>
      <c r="P34" s="165">
        <v>2049</v>
      </c>
    </row>
    <row r="35" spans="1:16">
      <c r="A35" s="60">
        <v>27</v>
      </c>
      <c r="B35" s="118">
        <v>2050</v>
      </c>
      <c r="C35" s="75">
        <v>0.14420671092516432</v>
      </c>
      <c r="D35" s="126">
        <v>3386.7770332641599</v>
      </c>
      <c r="E35" s="126">
        <v>535.70985449218699</v>
      </c>
      <c r="F35" s="126">
        <v>364.82497941350903</v>
      </c>
      <c r="G35" s="123">
        <f t="shared" si="0"/>
        <v>4287.3118671698558</v>
      </c>
      <c r="H35" s="129">
        <v>7950.6272473373401</v>
      </c>
      <c r="I35" s="130">
        <v>327.98074093437202</v>
      </c>
      <c r="J35" s="131">
        <v>406.16206357115499</v>
      </c>
      <c r="K35" s="132">
        <v>2293.4093858118099</v>
      </c>
      <c r="L35" s="77">
        <f t="shared" si="3"/>
        <v>10978.179437654677</v>
      </c>
      <c r="M35" s="78">
        <f t="shared" si="1"/>
        <v>15265.491304824533</v>
      </c>
      <c r="N35" s="79">
        <f t="shared" si="2"/>
        <v>2201.386291725441</v>
      </c>
      <c r="O35" s="76">
        <f t="shared" si="4"/>
        <v>71470.657660523546</v>
      </c>
      <c r="P35" s="165">
        <v>2050</v>
      </c>
    </row>
    <row r="36" spans="1:16">
      <c r="A36" s="60">
        <v>28</v>
      </c>
      <c r="B36" s="118">
        <v>2051</v>
      </c>
      <c r="C36" s="75">
        <v>0.13385628232964727</v>
      </c>
      <c r="D36" s="126">
        <v>3407.69908978271</v>
      </c>
      <c r="E36" s="126">
        <v>489.35686334228501</v>
      </c>
      <c r="F36" s="126">
        <v>366.22388368415801</v>
      </c>
      <c r="G36" s="123">
        <f t="shared" si="0"/>
        <v>4263.2798368091535</v>
      </c>
      <c r="H36" s="129">
        <v>8105.8238035659797</v>
      </c>
      <c r="I36" s="130">
        <v>319.81066552734399</v>
      </c>
      <c r="J36" s="131">
        <v>423.90658667588201</v>
      </c>
      <c r="K36" s="132">
        <v>2390.9915618248001</v>
      </c>
      <c r="L36" s="77">
        <f t="shared" si="3"/>
        <v>11240.532617594006</v>
      </c>
      <c r="M36" s="78">
        <f t="shared" si="1"/>
        <v>15503.81245440316</v>
      </c>
      <c r="N36" s="79">
        <f t="shared" si="2"/>
        <v>2075.2826970824908</v>
      </c>
      <c r="O36" s="76">
        <f t="shared" si="4"/>
        <v>73545.940357606043</v>
      </c>
      <c r="P36" s="165">
        <v>2051</v>
      </c>
    </row>
    <row r="37" spans="1:16">
      <c r="A37" s="60">
        <v>29</v>
      </c>
      <c r="B37" s="118">
        <v>2052</v>
      </c>
      <c r="C37" s="75">
        <v>0.12424875516655032</v>
      </c>
      <c r="D37" s="126">
        <v>3593.8120270385698</v>
      </c>
      <c r="E37" s="126">
        <v>558.077429016113</v>
      </c>
      <c r="F37" s="126">
        <v>384.17296045446398</v>
      </c>
      <c r="G37" s="123">
        <f t="shared" si="0"/>
        <v>4536.0624165091476</v>
      </c>
      <c r="H37" s="129">
        <v>8429.8395680465692</v>
      </c>
      <c r="I37" s="130">
        <v>320.965074871063</v>
      </c>
      <c r="J37" s="131">
        <v>453.22363868939902</v>
      </c>
      <c r="K37" s="132">
        <v>2555.3665620250699</v>
      </c>
      <c r="L37" s="77">
        <f t="shared" si="3"/>
        <v>11759.394843632101</v>
      </c>
      <c r="M37" s="78">
        <f t="shared" si="1"/>
        <v>16295.457260141247</v>
      </c>
      <c r="N37" s="79">
        <f t="shared" si="2"/>
        <v>2024.6902794422747</v>
      </c>
      <c r="O37" s="76">
        <f t="shared" si="4"/>
        <v>75570.630637048322</v>
      </c>
      <c r="P37" s="165">
        <v>2052</v>
      </c>
    </row>
    <row r="38" spans="1:16">
      <c r="A38" s="60">
        <v>30</v>
      </c>
      <c r="B38" s="118">
        <v>2053</v>
      </c>
      <c r="C38" s="75">
        <v>0.11533080772719265</v>
      </c>
      <c r="D38" s="126">
        <v>3781.7082031250002</v>
      </c>
      <c r="E38" s="126">
        <v>639.06389550781296</v>
      </c>
      <c r="F38" s="126">
        <v>402.28627701759302</v>
      </c>
      <c r="G38" s="124">
        <f t="shared" si="0"/>
        <v>4823.0583756504066</v>
      </c>
      <c r="H38" s="129">
        <v>9133.3230323181197</v>
      </c>
      <c r="I38" s="130">
        <v>328.52022917556798</v>
      </c>
      <c r="J38" s="131">
        <v>506.16282802093002</v>
      </c>
      <c r="K38" s="132">
        <v>2892.97512595749</v>
      </c>
      <c r="L38" s="77">
        <f t="shared" si="3"/>
        <v>12860.981215472108</v>
      </c>
      <c r="M38" s="78">
        <f t="shared" si="1"/>
        <v>17684.039591122513</v>
      </c>
      <c r="N38" s="79">
        <f t="shared" si="2"/>
        <v>2039.514569923813</v>
      </c>
      <c r="O38" s="76">
        <f t="shared" si="4"/>
        <v>77610.145206972142</v>
      </c>
      <c r="P38" s="165">
        <v>2053</v>
      </c>
    </row>
    <row r="39" spans="1:16">
      <c r="A39" s="60">
        <v>31</v>
      </c>
      <c r="B39" s="119">
        <v>2054</v>
      </c>
      <c r="C39" s="75">
        <v>0.10705294546554593</v>
      </c>
      <c r="D39" s="127">
        <v>3735.32642871094</v>
      </c>
      <c r="E39" s="126">
        <v>680.35878955078101</v>
      </c>
      <c r="F39" s="127">
        <v>401.65471562385602</v>
      </c>
      <c r="G39" s="123">
        <f t="shared" si="0"/>
        <v>4817.339933885577</v>
      </c>
      <c r="H39" s="129">
        <v>9438.2972880401594</v>
      </c>
      <c r="I39" s="130">
        <v>331.758248008728</v>
      </c>
      <c r="J39" s="131">
        <v>539.78864301329804</v>
      </c>
      <c r="K39" s="132">
        <v>3081.6620018959002</v>
      </c>
      <c r="L39" s="77">
        <f t="shared" si="3"/>
        <v>13391.506180958086</v>
      </c>
      <c r="M39" s="78">
        <f t="shared" si="1"/>
        <v>18208.846114843662</v>
      </c>
      <c r="N39" s="79">
        <f t="shared" si="2"/>
        <v>1949.3106101228764</v>
      </c>
      <c r="O39" s="76">
        <f t="shared" si="4"/>
        <v>79559.455817095019</v>
      </c>
      <c r="P39" s="165">
        <v>2054</v>
      </c>
    </row>
    <row r="40" spans="1:16">
      <c r="A40" s="60">
        <v>32</v>
      </c>
      <c r="B40" s="118">
        <v>2055</v>
      </c>
      <c r="C40" s="75">
        <v>9.9369226303849423E-2</v>
      </c>
      <c r="D40" s="126">
        <v>3773.7546870117199</v>
      </c>
      <c r="E40" s="126">
        <v>679.27248754882805</v>
      </c>
      <c r="F40" s="126">
        <v>403.14601960754402</v>
      </c>
      <c r="G40" s="123">
        <f t="shared" si="0"/>
        <v>4856.1731941680919</v>
      </c>
      <c r="H40" s="129">
        <v>9554.1375592422501</v>
      </c>
      <c r="I40" s="130">
        <v>353.09571358490001</v>
      </c>
      <c r="J40" s="131">
        <v>559.80545103192298</v>
      </c>
      <c r="K40" s="132">
        <v>3187.1686236267101</v>
      </c>
      <c r="L40" s="77">
        <f t="shared" si="3"/>
        <v>13654.207347485784</v>
      </c>
      <c r="M40" s="78">
        <f t="shared" si="1"/>
        <v>18510.380541653874</v>
      </c>
      <c r="N40" s="79">
        <f t="shared" si="2"/>
        <v>1839.3621930139748</v>
      </c>
      <c r="O40" s="76">
        <f t="shared" si="4"/>
        <v>81398.818010108997</v>
      </c>
      <c r="P40" s="165">
        <v>2055</v>
      </c>
    </row>
    <row r="41" spans="1:16">
      <c r="A41" s="60">
        <v>33</v>
      </c>
      <c r="B41" s="118">
        <v>2056</v>
      </c>
      <c r="C41" s="75">
        <v>9.2237005654399115E-2</v>
      </c>
      <c r="D41" s="126">
        <v>4005.8037690429701</v>
      </c>
      <c r="E41" s="126">
        <v>757.39871075439498</v>
      </c>
      <c r="F41" s="126">
        <v>423.64592916488601</v>
      </c>
      <c r="G41" s="123">
        <f t="shared" si="0"/>
        <v>5186.8484089622516</v>
      </c>
      <c r="H41" s="129">
        <v>10133.642830848699</v>
      </c>
      <c r="I41" s="130">
        <v>347.95002436447101</v>
      </c>
      <c r="J41" s="131">
        <v>609.63524243205802</v>
      </c>
      <c r="K41" s="132">
        <v>3504.0602247982001</v>
      </c>
      <c r="L41" s="77">
        <f t="shared" si="3"/>
        <v>14595.288322443428</v>
      </c>
      <c r="M41" s="78">
        <f t="shared" si="1"/>
        <v>19782.136731405681</v>
      </c>
      <c r="N41" s="79">
        <f t="shared" si="2"/>
        <v>1824.6450575507622</v>
      </c>
      <c r="O41" s="76">
        <f t="shared" si="4"/>
        <v>83223.463067659759</v>
      </c>
      <c r="P41" s="165">
        <v>2056</v>
      </c>
    </row>
    <row r="42" spans="1:16">
      <c r="A42" s="60">
        <v>34</v>
      </c>
      <c r="B42" s="118">
        <v>2057</v>
      </c>
      <c r="C42" s="75">
        <v>8.5616699742383714E-2</v>
      </c>
      <c r="D42" s="126">
        <v>4056.1126025390599</v>
      </c>
      <c r="E42" s="126">
        <v>805.46372778320301</v>
      </c>
      <c r="F42" s="126">
        <v>425.80130389785802</v>
      </c>
      <c r="G42" s="123">
        <f t="shared" si="0"/>
        <v>5287.3776342201209</v>
      </c>
      <c r="H42" s="129">
        <v>10346.857647033699</v>
      </c>
      <c r="I42" s="130">
        <v>331.33509727668797</v>
      </c>
      <c r="J42" s="131">
        <v>640.43683285456905</v>
      </c>
      <c r="K42" s="132">
        <v>3678.23499948883</v>
      </c>
      <c r="L42" s="77">
        <f t="shared" si="3"/>
        <v>14996.864576653787</v>
      </c>
      <c r="M42" s="78">
        <f t="shared" si="1"/>
        <v>20284.242210873908</v>
      </c>
      <c r="N42" s="79">
        <f t="shared" si="2"/>
        <v>1736.669874870177</v>
      </c>
      <c r="O42" s="76">
        <f t="shared" si="4"/>
        <v>84960.132942529934</v>
      </c>
      <c r="P42" s="165">
        <v>2057</v>
      </c>
    </row>
    <row r="43" spans="1:16">
      <c r="A43" s="60">
        <v>35</v>
      </c>
      <c r="B43" s="118">
        <v>2058</v>
      </c>
      <c r="C43" s="75">
        <v>7.9471565916210796E-2</v>
      </c>
      <c r="D43" s="126">
        <v>3916.2202673339798</v>
      </c>
      <c r="E43" s="126">
        <v>882.39315203857404</v>
      </c>
      <c r="F43" s="126">
        <v>408.72742442512498</v>
      </c>
      <c r="G43" s="123">
        <f t="shared" si="0"/>
        <v>5207.3408437976786</v>
      </c>
      <c r="H43" s="129">
        <v>10422.7198588257</v>
      </c>
      <c r="I43" s="130">
        <v>334.96673187446601</v>
      </c>
      <c r="J43" s="131">
        <v>666.00325119507295</v>
      </c>
      <c r="K43" s="132">
        <v>3795.6735324411402</v>
      </c>
      <c r="L43" s="77">
        <f t="shared" si="3"/>
        <v>15219.363374336379</v>
      </c>
      <c r="M43" s="78">
        <f t="shared" si="1"/>
        <v>20426.704218134058</v>
      </c>
      <c r="N43" s="79">
        <f t="shared" si="2"/>
        <v>1623.342170722382</v>
      </c>
      <c r="O43" s="76">
        <f t="shared" si="4"/>
        <v>86583.475113252309</v>
      </c>
      <c r="P43" s="165">
        <v>2058</v>
      </c>
    </row>
    <row r="44" spans="1:16">
      <c r="A44" s="60">
        <v>36</v>
      </c>
      <c r="B44" s="118">
        <v>2059</v>
      </c>
      <c r="C44" s="75">
        <v>7.3767498726046987E-2</v>
      </c>
      <c r="D44" s="126">
        <v>3942.5245539550801</v>
      </c>
      <c r="E44" s="126">
        <v>913.09485784912101</v>
      </c>
      <c r="F44" s="126">
        <v>410.226846384287</v>
      </c>
      <c r="G44" s="123">
        <f t="shared" si="0"/>
        <v>5265.8462581884887</v>
      </c>
      <c r="H44" s="129">
        <v>10595.8043471775</v>
      </c>
      <c r="I44" s="130">
        <v>345.09907783317601</v>
      </c>
      <c r="J44" s="131">
        <v>693.29491202923703</v>
      </c>
      <c r="K44" s="132">
        <v>3960.09744739389</v>
      </c>
      <c r="L44" s="77">
        <f t="shared" si="3"/>
        <v>15594.295784433803</v>
      </c>
      <c r="M44" s="78">
        <f t="shared" si="1"/>
        <v>20860.14204262229</v>
      </c>
      <c r="N44" s="79">
        <f t="shared" si="2"/>
        <v>1538.800501554299</v>
      </c>
      <c r="O44" s="76">
        <f t="shared" si="4"/>
        <v>88122.275614806611</v>
      </c>
      <c r="P44" s="165">
        <v>2059</v>
      </c>
    </row>
    <row r="45" spans="1:16">
      <c r="A45" s="60">
        <v>37</v>
      </c>
      <c r="B45" s="118">
        <v>2060</v>
      </c>
      <c r="C45" s="75">
        <v>6.8472840638809471E-2</v>
      </c>
      <c r="D45" s="126">
        <v>3960.6596182861299</v>
      </c>
      <c r="E45" s="126">
        <v>973.63071313476598</v>
      </c>
      <c r="F45" s="126">
        <v>412.98471047377598</v>
      </c>
      <c r="G45" s="123">
        <f t="shared" si="0"/>
        <v>5347.2750418946725</v>
      </c>
      <c r="H45" s="129">
        <v>10737.423938451901</v>
      </c>
      <c r="I45" s="130">
        <v>358.48387783813502</v>
      </c>
      <c r="J45" s="131">
        <v>715.49825769802897</v>
      </c>
      <c r="K45" s="132">
        <v>4110.4925242252702</v>
      </c>
      <c r="L45" s="77">
        <f t="shared" si="3"/>
        <v>15921.898598213334</v>
      </c>
      <c r="M45" s="78">
        <f t="shared" si="1"/>
        <v>21269.173640108005</v>
      </c>
      <c r="N45" s="79">
        <f t="shared" si="2"/>
        <v>1456.3607371782825</v>
      </c>
      <c r="O45" s="76">
        <f t="shared" si="4"/>
        <v>89578.636351984896</v>
      </c>
      <c r="P45" s="165">
        <v>2060</v>
      </c>
    </row>
    <row r="46" spans="1:16">
      <c r="A46" s="60">
        <v>38</v>
      </c>
      <c r="B46" s="118">
        <v>2061</v>
      </c>
      <c r="C46" s="75">
        <v>6.3558206339078396E-2</v>
      </c>
      <c r="D46" s="126">
        <v>3930.7495468749999</v>
      </c>
      <c r="E46" s="126">
        <v>1017.37166992187</v>
      </c>
      <c r="F46" s="126">
        <v>405.28113293457</v>
      </c>
      <c r="G46" s="123">
        <f t="shared" si="0"/>
        <v>5353.4023497314392</v>
      </c>
      <c r="H46" s="129">
        <v>10820.7971021957</v>
      </c>
      <c r="I46" s="130">
        <v>362.39171459960897</v>
      </c>
      <c r="J46" s="131">
        <v>748.29397835814996</v>
      </c>
      <c r="K46" s="132">
        <v>4244.1261777763402</v>
      </c>
      <c r="L46" s="77">
        <f t="shared" si="3"/>
        <v>16175.6089729298</v>
      </c>
      <c r="M46" s="78">
        <f t="shared" si="1"/>
        <v>21529.011322661238</v>
      </c>
      <c r="N46" s="79">
        <f t="shared" si="2"/>
        <v>1368.345343922058</v>
      </c>
      <c r="O46" s="76">
        <f t="shared" si="4"/>
        <v>90946.981695906958</v>
      </c>
      <c r="P46" s="165">
        <v>2061</v>
      </c>
    </row>
    <row r="47" spans="1:16">
      <c r="A47" s="60">
        <v>39</v>
      </c>
      <c r="B47" s="118">
        <v>2062</v>
      </c>
      <c r="C47" s="75">
        <v>5.8996319640801487E-2</v>
      </c>
      <c r="D47" s="126">
        <v>3683.7844179687499</v>
      </c>
      <c r="E47" s="126">
        <v>1063.8098070068399</v>
      </c>
      <c r="F47" s="126">
        <v>375.90176440429701</v>
      </c>
      <c r="G47" s="123">
        <f t="shared" si="0"/>
        <v>5123.4959893798869</v>
      </c>
      <c r="H47" s="129">
        <v>10984.0788703871</v>
      </c>
      <c r="I47" s="130">
        <v>336.41004627990702</v>
      </c>
      <c r="J47" s="131">
        <v>782.20534994843604</v>
      </c>
      <c r="K47" s="132">
        <v>4416.4748071459398</v>
      </c>
      <c r="L47" s="77">
        <f t="shared" si="3"/>
        <v>16519.169073761383</v>
      </c>
      <c r="M47" s="78">
        <f t="shared" si="1"/>
        <v>21642.66506314127</v>
      </c>
      <c r="N47" s="79">
        <f t="shared" si="2"/>
        <v>1276.8375859438895</v>
      </c>
      <c r="O47" s="76">
        <f t="shared" si="4"/>
        <v>92223.819281850854</v>
      </c>
      <c r="P47" s="165">
        <v>2062</v>
      </c>
    </row>
    <row r="48" spans="1:16">
      <c r="A48" s="60">
        <v>40</v>
      </c>
      <c r="B48" s="118">
        <v>2063</v>
      </c>
      <c r="C48" s="75">
        <v>5.4761862104651837E-2</v>
      </c>
      <c r="D48" s="126">
        <v>4114.3222734375004</v>
      </c>
      <c r="E48" s="126">
        <v>1088.04246118164</v>
      </c>
      <c r="F48" s="126">
        <v>415.328406616211</v>
      </c>
      <c r="G48" s="123">
        <f t="shared" si="0"/>
        <v>5617.6931412353515</v>
      </c>
      <c r="H48" s="129">
        <v>11430.3208480797</v>
      </c>
      <c r="I48" s="130">
        <v>342.96382220077498</v>
      </c>
      <c r="J48" s="131">
        <v>834.31323663669798</v>
      </c>
      <c r="K48" s="132">
        <v>4741.6197635564804</v>
      </c>
      <c r="L48" s="77">
        <f t="shared" si="3"/>
        <v>17349.217670473652</v>
      </c>
      <c r="M48" s="78">
        <f t="shared" si="1"/>
        <v>22966.910811709004</v>
      </c>
      <c r="N48" s="79">
        <f t="shared" si="2"/>
        <v>1257.7108028406458</v>
      </c>
      <c r="O48" s="76">
        <f t="shared" si="4"/>
        <v>93481.530084691505</v>
      </c>
      <c r="P48" s="165">
        <v>2063</v>
      </c>
    </row>
    <row r="49" spans="1:16">
      <c r="A49" s="60">
        <v>41</v>
      </c>
      <c r="B49" s="118">
        <v>2064</v>
      </c>
      <c r="C49" s="75">
        <v>5.0831332520866419E-2</v>
      </c>
      <c r="D49" s="126">
        <v>3874.9847695312501</v>
      </c>
      <c r="E49" s="126">
        <v>1271.5867150878901</v>
      </c>
      <c r="F49" s="126">
        <v>386.75115478515602</v>
      </c>
      <c r="G49" s="123">
        <f t="shared" si="0"/>
        <v>5533.3226394042968</v>
      </c>
      <c r="H49" s="129">
        <v>11651.867905883801</v>
      </c>
      <c r="I49" s="130">
        <v>355.72721276855498</v>
      </c>
      <c r="J49" s="131">
        <v>874.21854542940901</v>
      </c>
      <c r="K49" s="132">
        <v>4979.4854126186401</v>
      </c>
      <c r="L49" s="77">
        <f t="shared" si="3"/>
        <v>17861.299076700405</v>
      </c>
      <c r="M49" s="78">
        <f t="shared" si="1"/>
        <v>23394.621716104703</v>
      </c>
      <c r="N49" s="79">
        <f t="shared" si="2"/>
        <v>1189.1797956512007</v>
      </c>
      <c r="O49" s="76">
        <f t="shared" si="4"/>
        <v>94670.709880342707</v>
      </c>
      <c r="P49" s="165">
        <v>2064</v>
      </c>
    </row>
    <row r="50" spans="1:16">
      <c r="A50" s="60">
        <v>42</v>
      </c>
      <c r="B50" s="118">
        <v>2065</v>
      </c>
      <c r="C50" s="75">
        <v>4.7182916477695978E-2</v>
      </c>
      <c r="D50" s="126">
        <v>3874.8184999999999</v>
      </c>
      <c r="E50" s="126">
        <v>1227.63798608398</v>
      </c>
      <c r="F50" s="126">
        <v>382.69626562500002</v>
      </c>
      <c r="G50" s="123">
        <f t="shared" si="0"/>
        <v>5485.1527517089798</v>
      </c>
      <c r="H50" s="129">
        <v>11786.067779048901</v>
      </c>
      <c r="I50" s="130">
        <v>356.06040668869002</v>
      </c>
      <c r="J50" s="131">
        <v>911.80002029904699</v>
      </c>
      <c r="K50" s="132">
        <v>5165.2388986606602</v>
      </c>
      <c r="L50" s="77">
        <f t="shared" si="3"/>
        <v>18219.167104697299</v>
      </c>
      <c r="M50" s="78">
        <f t="shared" si="1"/>
        <v>23704.319856406277</v>
      </c>
      <c r="N50" s="79">
        <f t="shared" si="2"/>
        <v>1118.4389439454076</v>
      </c>
      <c r="O50" s="76">
        <f t="shared" si="4"/>
        <v>95789.148824288117</v>
      </c>
      <c r="P50" s="165">
        <v>2065</v>
      </c>
    </row>
    <row r="51" spans="1:16">
      <c r="A51" s="60">
        <v>43</v>
      </c>
      <c r="B51" s="118">
        <v>2066</v>
      </c>
      <c r="C51" s="75">
        <v>4.3796365291572104E-2</v>
      </c>
      <c r="D51" s="126">
        <v>3887.8385195312499</v>
      </c>
      <c r="E51" s="126">
        <v>1283.8645911865201</v>
      </c>
      <c r="F51" s="126">
        <v>380.129670288086</v>
      </c>
      <c r="G51" s="123">
        <f t="shared" si="0"/>
        <v>5551.8327810058563</v>
      </c>
      <c r="H51" s="129">
        <v>11927.396572236999</v>
      </c>
      <c r="I51" s="130">
        <v>375.288396185875</v>
      </c>
      <c r="J51" s="131">
        <v>947.36287783299395</v>
      </c>
      <c r="K51" s="132">
        <v>5358.1088973412498</v>
      </c>
      <c r="L51" s="77">
        <f t="shared" si="3"/>
        <v>18608.156743597116</v>
      </c>
      <c r="M51" s="78">
        <f t="shared" si="1"/>
        <v>24159.98952460297</v>
      </c>
      <c r="N51" s="79">
        <f t="shared" si="2"/>
        <v>1058.119726660067</v>
      </c>
      <c r="O51" s="76">
        <f t="shared" si="4"/>
        <v>96847.268550948182</v>
      </c>
      <c r="P51" s="165">
        <v>2066</v>
      </c>
    </row>
    <row r="52" spans="1:16">
      <c r="A52" s="60">
        <v>44</v>
      </c>
      <c r="B52" s="118">
        <v>2067</v>
      </c>
      <c r="C52" s="75">
        <v>4.0652883627054819E-2</v>
      </c>
      <c r="D52" s="126">
        <v>3911.5926718750002</v>
      </c>
      <c r="E52" s="126">
        <v>1377.31116809082</v>
      </c>
      <c r="F52" s="126">
        <v>378.860564086914</v>
      </c>
      <c r="G52" s="123">
        <f t="shared" si="0"/>
        <v>5667.7644040527339</v>
      </c>
      <c r="H52" s="129">
        <v>12049.213072456399</v>
      </c>
      <c r="I52" s="130">
        <v>375.54952250671403</v>
      </c>
      <c r="J52" s="131">
        <v>986.216769065976</v>
      </c>
      <c r="K52" s="132">
        <v>5550.0957319068903</v>
      </c>
      <c r="L52" s="77">
        <f t="shared" si="3"/>
        <v>18961.075095935979</v>
      </c>
      <c r="M52" s="78">
        <f t="shared" si="1"/>
        <v>24628.839499988713</v>
      </c>
      <c r="N52" s="79">
        <f t="shared" si="2"/>
        <v>1001.2333460624521</v>
      </c>
      <c r="O52" s="76">
        <f t="shared" si="4"/>
        <v>97848.501897010632</v>
      </c>
      <c r="P52" s="165">
        <v>2067</v>
      </c>
    </row>
    <row r="53" spans="1:16">
      <c r="A53" s="60">
        <v>45</v>
      </c>
      <c r="B53" s="118">
        <v>2068</v>
      </c>
      <c r="C53" s="75">
        <v>3.7735025182852072E-2</v>
      </c>
      <c r="D53" s="126">
        <v>3945.81150390625</v>
      </c>
      <c r="E53" s="126">
        <v>1468.6140192871101</v>
      </c>
      <c r="F53" s="126">
        <v>379.03189770507799</v>
      </c>
      <c r="G53" s="123">
        <f t="shared" si="0"/>
        <v>5793.4574208984386</v>
      </c>
      <c r="H53" s="129">
        <v>12146.4877390327</v>
      </c>
      <c r="I53" s="130">
        <v>352.07317065429697</v>
      </c>
      <c r="J53" s="131">
        <v>1018.90512795591</v>
      </c>
      <c r="K53" s="132">
        <v>5737.5123409671796</v>
      </c>
      <c r="L53" s="77">
        <f t="shared" si="3"/>
        <v>19254.978378610089</v>
      </c>
      <c r="M53" s="78">
        <f t="shared" si="1"/>
        <v>25048.435799508527</v>
      </c>
      <c r="N53" s="79">
        <f t="shared" si="2"/>
        <v>945.20335568550763</v>
      </c>
      <c r="O53" s="76">
        <f t="shared" si="4"/>
        <v>98793.705252696134</v>
      </c>
      <c r="P53" s="165">
        <v>2068</v>
      </c>
    </row>
    <row r="54" spans="1:16">
      <c r="A54" s="60">
        <v>46</v>
      </c>
      <c r="B54" s="118">
        <v>2069</v>
      </c>
      <c r="C54" s="75">
        <v>3.5026595864969388E-2</v>
      </c>
      <c r="D54" s="126">
        <v>4069.3800429687499</v>
      </c>
      <c r="E54" s="126">
        <v>1526.4953557128899</v>
      </c>
      <c r="F54" s="126">
        <v>392.26866723632799</v>
      </c>
      <c r="G54" s="123">
        <f t="shared" si="0"/>
        <v>5988.144065917968</v>
      </c>
      <c r="H54" s="129">
        <v>12279.781290020001</v>
      </c>
      <c r="I54" s="130">
        <v>352.897077344894</v>
      </c>
      <c r="J54" s="131">
        <v>1064.08471603417</v>
      </c>
      <c r="K54" s="132">
        <v>5948.7280542907702</v>
      </c>
      <c r="L54" s="77">
        <f t="shared" si="3"/>
        <v>19645.491137689838</v>
      </c>
      <c r="M54" s="78">
        <f t="shared" si="1"/>
        <v>25633.635203607806</v>
      </c>
      <c r="N54" s="79">
        <f t="shared" si="2"/>
        <v>897.85898082682297</v>
      </c>
      <c r="O54" s="76">
        <f t="shared" si="4"/>
        <v>99691.564233522964</v>
      </c>
      <c r="P54" s="165">
        <v>2069</v>
      </c>
    </row>
    <row r="55" spans="1:16" ht="13.5" thickBot="1">
      <c r="A55" s="60">
        <v>47</v>
      </c>
      <c r="B55" s="120">
        <v>2070</v>
      </c>
      <c r="C55" s="166">
        <v>3.251256390960125E-2</v>
      </c>
      <c r="D55" s="128">
        <v>3952.0223632812499</v>
      </c>
      <c r="E55" s="128">
        <v>1610.37725866699</v>
      </c>
      <c r="F55" s="128">
        <v>379.50985083007799</v>
      </c>
      <c r="G55" s="125">
        <f t="shared" si="0"/>
        <v>5941.9094727783176</v>
      </c>
      <c r="H55" s="133">
        <v>12418.137814306299</v>
      </c>
      <c r="I55" s="134">
        <v>368.409821509361</v>
      </c>
      <c r="J55" s="134">
        <v>1102.7429033101801</v>
      </c>
      <c r="K55" s="135">
        <v>6166.40435456467</v>
      </c>
      <c r="L55" s="167">
        <f t="shared" si="3"/>
        <v>20055.69489369051</v>
      </c>
      <c r="M55" s="168">
        <f t="shared" si="1"/>
        <v>25997.604366468826</v>
      </c>
      <c r="N55" s="169">
        <f t="shared" si="2"/>
        <v>845.24877346134622</v>
      </c>
      <c r="O55" s="170">
        <f t="shared" si="4"/>
        <v>100536.81300698432</v>
      </c>
      <c r="P55" s="171">
        <v>2070</v>
      </c>
    </row>
  </sheetData>
  <mergeCells count="2">
    <mergeCell ref="D4:F4"/>
    <mergeCell ref="H4:K4"/>
  </mergeCells>
  <phoneticPr fontId="4" type="noConversion"/>
  <pageMargins left="0.38" right="0.18" top="1" bottom="1" header="0.5" footer="0.5"/>
  <pageSetup scale="38" orientation="landscape" r:id="rId1"/>
  <headerFooter alignWithMargins="0"/>
  <ignoredErrors>
    <ignoredError sqref="G9:G5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0"/>
  <sheetViews>
    <sheetView workbookViewId="0">
      <selection sqref="A1:A2"/>
    </sheetView>
  </sheetViews>
  <sheetFormatPr defaultRowHeight="12.75"/>
  <cols>
    <col min="1" max="1" width="11.85546875" style="2" bestFit="1" customWidth="1"/>
    <col min="2" max="2" width="13.7109375" style="2" customWidth="1"/>
    <col min="3" max="16384" width="9.140625" style="2"/>
  </cols>
  <sheetData>
    <row r="1" spans="1:2">
      <c r="A1" s="183" t="s">
        <v>83</v>
      </c>
    </row>
    <row r="2" spans="1:2">
      <c r="A2" s="183" t="s">
        <v>80</v>
      </c>
      <c r="B2" s="85" t="s">
        <v>53</v>
      </c>
    </row>
    <row r="3" spans="1:2">
      <c r="A3" s="85" t="s">
        <v>13</v>
      </c>
      <c r="B3" s="146" t="s">
        <v>54</v>
      </c>
    </row>
    <row r="4" spans="1:2">
      <c r="A4" s="85">
        <v>2024</v>
      </c>
      <c r="B4" s="98">
        <v>140469039.77881324</v>
      </c>
    </row>
    <row r="5" spans="1:2">
      <c r="A5" s="85">
        <f>A4+1</f>
        <v>2025</v>
      </c>
      <c r="B5" s="98">
        <v>141760595.45007616</v>
      </c>
    </row>
    <row r="6" spans="1:2">
      <c r="A6" s="85">
        <f t="shared" ref="A6:A50" si="0">A5+1</f>
        <v>2026</v>
      </c>
      <c r="B6" s="98">
        <v>142991001.88578919</v>
      </c>
    </row>
    <row r="7" spans="1:2">
      <c r="A7" s="85">
        <f t="shared" si="0"/>
        <v>2027</v>
      </c>
      <c r="B7" s="98">
        <v>144052949.12134701</v>
      </c>
    </row>
    <row r="8" spans="1:2">
      <c r="A8" s="85">
        <f t="shared" si="0"/>
        <v>2028</v>
      </c>
      <c r="B8" s="98">
        <v>145101074.94866121</v>
      </c>
    </row>
    <row r="9" spans="1:2">
      <c r="A9" s="85">
        <f t="shared" si="0"/>
        <v>2029</v>
      </c>
      <c r="B9" s="98">
        <v>146550779.6674794</v>
      </c>
    </row>
    <row r="10" spans="1:2">
      <c r="A10" s="85">
        <f t="shared" si="0"/>
        <v>2030</v>
      </c>
      <c r="B10" s="98">
        <v>148289967.0067271</v>
      </c>
    </row>
    <row r="11" spans="1:2">
      <c r="A11" s="85">
        <f t="shared" si="0"/>
        <v>2031</v>
      </c>
      <c r="B11" s="98">
        <v>149577661.03711218</v>
      </c>
    </row>
    <row r="12" spans="1:2">
      <c r="A12" s="85">
        <f t="shared" si="0"/>
        <v>2032</v>
      </c>
      <c r="B12" s="98">
        <v>151677427.00159541</v>
      </c>
    </row>
    <row r="13" spans="1:2">
      <c r="A13" s="85">
        <f t="shared" si="0"/>
        <v>2033</v>
      </c>
      <c r="B13" s="98">
        <v>153686054.84132862</v>
      </c>
    </row>
    <row r="14" spans="1:2">
      <c r="A14" s="85">
        <f t="shared" si="0"/>
        <v>2034</v>
      </c>
      <c r="B14" s="98">
        <v>155677526.0633994</v>
      </c>
    </row>
    <row r="15" spans="1:2">
      <c r="A15" s="85">
        <f t="shared" si="0"/>
        <v>2035</v>
      </c>
      <c r="B15" s="98">
        <v>157715250.18778408</v>
      </c>
    </row>
    <row r="16" spans="1:2">
      <c r="A16" s="85">
        <f t="shared" si="0"/>
        <v>2036</v>
      </c>
      <c r="B16" s="98">
        <v>159678552.76802424</v>
      </c>
    </row>
    <row r="17" spans="1:2">
      <c r="A17" s="85">
        <f t="shared" si="0"/>
        <v>2037</v>
      </c>
      <c r="B17" s="98">
        <v>161501513.23125178</v>
      </c>
    </row>
    <row r="18" spans="1:2">
      <c r="A18" s="85">
        <f t="shared" si="0"/>
        <v>2038</v>
      </c>
      <c r="B18" s="98">
        <v>163154117.48815659</v>
      </c>
    </row>
    <row r="19" spans="1:2">
      <c r="A19" s="85">
        <f t="shared" si="0"/>
        <v>2039</v>
      </c>
      <c r="B19" s="98">
        <v>164626973.09057534</v>
      </c>
    </row>
    <row r="20" spans="1:2">
      <c r="A20" s="85">
        <f t="shared" si="0"/>
        <v>2040</v>
      </c>
      <c r="B20" s="98">
        <v>165934759.0103645</v>
      </c>
    </row>
    <row r="21" spans="1:2">
      <c r="A21" s="85">
        <f t="shared" si="0"/>
        <v>2041</v>
      </c>
      <c r="B21" s="98">
        <v>164918528.22270811</v>
      </c>
    </row>
    <row r="22" spans="1:2">
      <c r="A22" s="85">
        <f t="shared" si="0"/>
        <v>2042</v>
      </c>
      <c r="B22" s="98">
        <v>166510767.19574466</v>
      </c>
    </row>
    <row r="23" spans="1:2">
      <c r="A23" s="85">
        <f t="shared" si="0"/>
        <v>2043</v>
      </c>
      <c r="B23" s="98">
        <v>168119102.7607415</v>
      </c>
    </row>
    <row r="24" spans="1:2">
      <c r="A24" s="85">
        <f t="shared" si="0"/>
        <v>2044</v>
      </c>
      <c r="B24" s="98">
        <v>169743699.38976341</v>
      </c>
    </row>
    <row r="25" spans="1:2">
      <c r="A25" s="85">
        <f t="shared" si="0"/>
        <v>2045</v>
      </c>
      <c r="B25" s="98">
        <v>171384723.23944247</v>
      </c>
    </row>
    <row r="26" spans="1:2">
      <c r="A26" s="85">
        <f t="shared" si="0"/>
        <v>2046</v>
      </c>
      <c r="B26" s="98">
        <v>173042342.16823125</v>
      </c>
    </row>
    <row r="27" spans="1:2">
      <c r="A27" s="85">
        <f t="shared" si="0"/>
        <v>2047</v>
      </c>
      <c r="B27" s="98">
        <v>174716725.75385049</v>
      </c>
    </row>
    <row r="28" spans="1:2">
      <c r="A28" s="85">
        <f t="shared" si="0"/>
        <v>2048</v>
      </c>
      <c r="B28" s="98">
        <v>176408045.31090355</v>
      </c>
    </row>
    <row r="29" spans="1:2">
      <c r="A29" s="85">
        <f t="shared" si="0"/>
        <v>2049</v>
      </c>
      <c r="B29" s="98">
        <v>178116473.90867817</v>
      </c>
    </row>
    <row r="30" spans="1:2">
      <c r="A30" s="85">
        <f t="shared" si="0"/>
        <v>2050</v>
      </c>
      <c r="B30" s="98">
        <v>179842186.38912725</v>
      </c>
    </row>
    <row r="31" spans="1:2">
      <c r="A31" s="85">
        <f t="shared" si="0"/>
        <v>2051</v>
      </c>
      <c r="B31" s="98">
        <v>181585359.38502946</v>
      </c>
    </row>
    <row r="32" spans="1:2">
      <c r="A32" s="85">
        <f t="shared" si="0"/>
        <v>2052</v>
      </c>
      <c r="B32" s="98">
        <v>183346171.33835286</v>
      </c>
    </row>
    <row r="33" spans="1:2">
      <c r="A33" s="85">
        <f t="shared" si="0"/>
        <v>2053</v>
      </c>
      <c r="B33" s="98">
        <v>185124802.51877928</v>
      </c>
    </row>
    <row r="34" spans="1:2">
      <c r="A34" s="85">
        <f t="shared" si="0"/>
        <v>2054</v>
      </c>
      <c r="B34" s="98">
        <v>186921435.04245102</v>
      </c>
    </row>
    <row r="35" spans="1:2">
      <c r="A35" s="85">
        <f t="shared" si="0"/>
        <v>2055</v>
      </c>
      <c r="B35" s="98">
        <v>188736252.89088118</v>
      </c>
    </row>
    <row r="36" spans="1:2">
      <c r="A36" s="85">
        <f t="shared" si="0"/>
        <v>2056</v>
      </c>
      <c r="B36" s="98">
        <v>190569441.93007272</v>
      </c>
    </row>
    <row r="37" spans="1:2">
      <c r="A37" s="85">
        <f t="shared" si="0"/>
        <v>2057</v>
      </c>
      <c r="B37" s="98">
        <v>192421189.92983162</v>
      </c>
    </row>
    <row r="38" spans="1:2">
      <c r="A38" s="85">
        <f t="shared" si="0"/>
        <v>2058</v>
      </c>
      <c r="B38" s="98">
        <v>194291686.58327684</v>
      </c>
    </row>
    <row r="39" spans="1:2">
      <c r="A39" s="85">
        <f t="shared" si="0"/>
        <v>2059</v>
      </c>
      <c r="B39" s="98">
        <v>196181123.5265471</v>
      </c>
    </row>
    <row r="40" spans="1:2">
      <c r="A40" s="85">
        <f t="shared" si="0"/>
        <v>2060</v>
      </c>
      <c r="B40" s="98">
        <v>198089694.35871768</v>
      </c>
    </row>
    <row r="41" spans="1:2">
      <c r="A41" s="85">
        <f t="shared" si="0"/>
        <v>2061</v>
      </c>
      <c r="B41" s="98">
        <v>200017594.6619105</v>
      </c>
    </row>
    <row r="42" spans="1:2">
      <c r="A42" s="85">
        <f t="shared" si="0"/>
        <v>2062</v>
      </c>
      <c r="B42" s="98">
        <v>201965022.02162123</v>
      </c>
    </row>
    <row r="43" spans="1:2">
      <c r="A43" s="85">
        <f t="shared" si="0"/>
        <v>2063</v>
      </c>
      <c r="B43" s="98">
        <v>203932176.04724571</v>
      </c>
    </row>
    <row r="44" spans="1:2">
      <c r="A44" s="85">
        <f t="shared" si="0"/>
        <v>2064</v>
      </c>
      <c r="B44" s="98">
        <v>205919258.39282292</v>
      </c>
    </row>
    <row r="45" spans="1:2">
      <c r="A45" s="85">
        <f t="shared" si="0"/>
        <v>2065</v>
      </c>
      <c r="B45" s="98">
        <v>207926472.77798826</v>
      </c>
    </row>
    <row r="46" spans="1:2">
      <c r="A46" s="85">
        <f t="shared" si="0"/>
        <v>2066</v>
      </c>
      <c r="B46" s="98">
        <v>209954025.009141</v>
      </c>
    </row>
    <row r="47" spans="1:2">
      <c r="A47" s="85">
        <f t="shared" si="0"/>
        <v>2067</v>
      </c>
      <c r="B47" s="98">
        <v>212002123.00082472</v>
      </c>
    </row>
    <row r="48" spans="1:2">
      <c r="A48" s="85">
        <f t="shared" si="0"/>
        <v>2068</v>
      </c>
      <c r="B48" s="98">
        <v>214070976.79734319</v>
      </c>
    </row>
    <row r="49" spans="1:2">
      <c r="A49" s="85">
        <f t="shared" si="0"/>
        <v>2069</v>
      </c>
      <c r="B49" s="98">
        <v>216160798.59457305</v>
      </c>
    </row>
    <row r="50" spans="1:2">
      <c r="A50" s="85">
        <f t="shared" si="0"/>
        <v>2070</v>
      </c>
      <c r="B50" s="98">
        <v>218271802.76202235</v>
      </c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tabSelected="1" workbookViewId="0">
      <selection activeCell="A2" sqref="A2"/>
    </sheetView>
  </sheetViews>
  <sheetFormatPr defaultRowHeight="12.75"/>
  <cols>
    <col min="1" max="1" width="5.7109375" customWidth="1"/>
  </cols>
  <sheetData>
    <row r="1" spans="1:2">
      <c r="A1" s="182" t="s">
        <v>84</v>
      </c>
    </row>
    <row r="2" spans="1:2">
      <c r="A2" s="182" t="s">
        <v>80</v>
      </c>
    </row>
    <row r="4" spans="1:2">
      <c r="B4" s="144" t="s">
        <v>71</v>
      </c>
    </row>
    <row r="5" spans="1:2">
      <c r="B5" s="144" t="s">
        <v>76</v>
      </c>
    </row>
    <row r="6" spans="1:2">
      <c r="B6" s="144" t="s">
        <v>72</v>
      </c>
    </row>
    <row r="7" spans="1:2">
      <c r="B7" s="144" t="s">
        <v>73</v>
      </c>
    </row>
    <row r="8" spans="1:2">
      <c r="B8" s="144" t="s">
        <v>74</v>
      </c>
    </row>
    <row r="10" spans="1:2">
      <c r="A10" s="145" t="s">
        <v>75</v>
      </c>
    </row>
  </sheetData>
  <phoneticPr fontId="4" type="noConversion"/>
  <pageMargins left="0.75" right="0.75" top="1" bottom="1" header="0.5" footer="0.5"/>
  <pageSetup scale="9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equence_x0020_Number xmlns="1BE9DD14-F38E-437E-B66C-8615BA9B37D9" xsi:nil="true"/>
    <SRCH_ObjectType xmlns="8b86ae58-4ff9-4300-8876-bb89783e485c">DRI</SRCH_ObjectType>
    <SRCH_DRSetNumber xmlns="8b86ae58-4ff9-4300-8876-bb89783e485c" xsi:nil="true"/>
    <SRCH_DocketId xmlns="8b86ae58-4ff9-4300-8876-bb89783e485c">260</SRCH_DocketId>
    <CaseType xmlns="8b86ae58-4ff9-4300-8876-bb89783e485c" xsi:nil="true"/>
    <Pgs xmlns="1BE9DD14-F38E-437E-B66C-8615BA9B37D9" xsi:nil="true"/>
    <Document_x0020_Type xmlns="c85253b9-0a55-49a1-98ad-b5b6252d7079">Question</Document_x0020_Type>
    <CasePracticeArea xmlns="8b86ae58-4ff9-4300-8876-bb89783e485c" xsi:nil="true"/>
    <MB xmlns="1BE9DD14-F38E-437E-B66C-8615BA9B37D9" xsi:nil="true"/>
    <SRCH_DrSiteId xmlns="8b86ae58-4ff9-4300-8876-bb89783e48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E9EFD402A5E54E9D51A546E616213A" ma:contentTypeVersion="" ma:contentTypeDescription="Create a new document." ma:contentTypeScope="" ma:versionID="a9f5022cabfbf7d6346a8862a9a7b55b">
  <xsd:schema xmlns:xsd="http://www.w3.org/2001/XMLSchema" xmlns:xs="http://www.w3.org/2001/XMLSchema" xmlns:p="http://schemas.microsoft.com/office/2006/metadata/properties" xmlns:ns2="c85253b9-0a55-49a1-98ad-b5b6252d7079" xmlns:ns3="1BE9DD14-F38E-437E-B66C-8615BA9B37D9" xmlns:ns4="8b86ae58-4ff9-4300-8876-bb89783e485c" xmlns:ns5="d45cdb80-29a5-403f-961d-5d96f3e310b8" targetNamespace="http://schemas.microsoft.com/office/2006/metadata/properties" ma:root="true" ma:fieldsID="769745b5dc2da6e0bdf5dd0e60ecbd2e" ns2:_="" ns3:_="" ns4:_="" ns5:_="">
    <xsd:import namespace="c85253b9-0a55-49a1-98ad-b5b6252d7079"/>
    <xsd:import namespace="1BE9DD14-F38E-437E-B66C-8615BA9B37D9"/>
    <xsd:import namespace="8b86ae58-4ff9-4300-8876-bb89783e485c"/>
    <xsd:import namespace="d45cdb80-29a5-403f-961d-5d96f3e310b8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9DD14-F38E-437E-B66C-8615BA9B37D9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cdb80-29a5-403f-961d-5d96f3e310b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7E369B-0D9B-432B-B985-404DAF80284B}">
  <ds:schemaRefs>
    <ds:schemaRef ds:uri="http://schemas.microsoft.com/office/2006/metadata/properties"/>
    <ds:schemaRef ds:uri="http://schemas.microsoft.com/office/infopath/2007/PartnerControls"/>
    <ds:schemaRef ds:uri="8b86ae58-4ff9-4300-8876-bb89783e485c"/>
    <ds:schemaRef ds:uri="c85253b9-0a55-49a1-98ad-b5b6252d7079"/>
    <ds:schemaRef ds:uri="1BE9DD14-F38E-437E-B66C-8615BA9B37D9"/>
  </ds:schemaRefs>
</ds:datastoreItem>
</file>

<file path=customXml/itemProps2.xml><?xml version="1.0" encoding="utf-8"?>
<ds:datastoreItem xmlns:ds="http://schemas.openxmlformats.org/officeDocument/2006/customXml" ds:itemID="{B56E0F05-244E-4DF4-9A72-AA44D68D03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320D75-92F3-4731-ABA5-EB08329E4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1BE9DD14-F38E-437E-B66C-8615BA9B37D9"/>
    <ds:schemaRef ds:uri="8b86ae58-4ff9-4300-8876-bb89783e485c"/>
    <ds:schemaRef ds:uri="d45cdb80-29a5-403f-961d-5d96f3e31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Level Rate -- Proposed</vt:lpstr>
      <vt:lpstr>Fixed Costs - Proposed</vt:lpstr>
      <vt:lpstr>NEL</vt:lpstr>
      <vt:lpstr>How_to_use</vt:lpstr>
    </vt:vector>
  </TitlesOfParts>
  <Company>FPL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Paresh</dc:creator>
  <cp:lastModifiedBy>Adams, Starr</cp:lastModifiedBy>
  <cp:lastPrinted>2013-11-15T20:07:33Z</cp:lastPrinted>
  <dcterms:created xsi:type="dcterms:W3CDTF">2005-05-11T13:27:26Z</dcterms:created>
  <dcterms:modified xsi:type="dcterms:W3CDTF">2024-05-09T00:24:40Z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0x01010018E9EFD402A5E54E9D51A546E616213A</vt:lpwstr>
  </property>
</Properties>
</file>