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45BC4CF5-605A-4974-840F-09089BF2745B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9 2025R" sheetId="13" r:id="rId1"/>
    <sheet name="ASDR FY2" sheetId="12" r:id="rId2"/>
    <sheet name="10803" sheetId="14" r:id="rId3"/>
    <sheet name="Instructions" sheetId="9" r:id="rId4"/>
  </sheets>
  <definedNames>
    <definedName name="_Fill" hidden="1">#REF!</definedName>
    <definedName name="_xlnm._FilterDatabase" localSheetId="0" hidden="1">'B-09 2025R'!#REF!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'B-09 2025R'!$A$1:$T$570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8" i="13" l="1"/>
  <c r="F508" i="13" l="1"/>
  <c r="T505" i="13" l="1"/>
  <c r="T504" i="13"/>
  <c r="T501" i="13"/>
  <c r="T500" i="13"/>
  <c r="T499" i="13"/>
  <c r="T493" i="13"/>
  <c r="T492" i="13"/>
  <c r="T488" i="13"/>
  <c r="T487" i="13"/>
  <c r="T486" i="13"/>
  <c r="T485" i="13"/>
  <c r="T481" i="13"/>
  <c r="T480" i="13"/>
  <c r="T479" i="13"/>
  <c r="T475" i="13"/>
  <c r="T474" i="13"/>
  <c r="T473" i="13"/>
  <c r="T472" i="13"/>
  <c r="T471" i="13"/>
  <c r="T451" i="13"/>
  <c r="T450" i="13"/>
  <c r="T449" i="13"/>
  <c r="T448" i="13"/>
  <c r="T447" i="13"/>
  <c r="T446" i="13"/>
  <c r="T445" i="13"/>
  <c r="T444" i="13"/>
  <c r="T443" i="13"/>
  <c r="T442" i="13"/>
  <c r="T441" i="13"/>
  <c r="T440" i="13"/>
  <c r="T439" i="13"/>
  <c r="T438" i="13"/>
  <c r="T437" i="13"/>
  <c r="T436" i="13"/>
  <c r="T435" i="13"/>
  <c r="T434" i="13"/>
  <c r="T433" i="13"/>
  <c r="T429" i="13"/>
  <c r="T428" i="13"/>
  <c r="T427" i="13"/>
  <c r="T426" i="13"/>
  <c r="T425" i="13"/>
  <c r="T424" i="13"/>
  <c r="T423" i="13"/>
  <c r="T422" i="13"/>
  <c r="T421" i="13"/>
  <c r="T420" i="13"/>
  <c r="T419" i="13"/>
  <c r="T418" i="13"/>
  <c r="T417" i="13"/>
  <c r="T416" i="13"/>
  <c r="T415" i="13"/>
  <c r="T394" i="13"/>
  <c r="T393" i="13"/>
  <c r="T392" i="13"/>
  <c r="T391" i="13"/>
  <c r="T390" i="13"/>
  <c r="T389" i="13"/>
  <c r="T388" i="13"/>
  <c r="T387" i="13"/>
  <c r="T386" i="13"/>
  <c r="T385" i="13"/>
  <c r="T384" i="13"/>
  <c r="T376" i="13"/>
  <c r="T375" i="13"/>
  <c r="T374" i="13"/>
  <c r="T373" i="13"/>
  <c r="T372" i="13"/>
  <c r="T371" i="13"/>
  <c r="T367" i="13"/>
  <c r="T366" i="13"/>
  <c r="T365" i="13"/>
  <c r="T364" i="13"/>
  <c r="T360" i="13"/>
  <c r="T359" i="13"/>
  <c r="T358" i="13"/>
  <c r="T357" i="13"/>
  <c r="T339" i="13"/>
  <c r="T336" i="13"/>
  <c r="T335" i="13"/>
  <c r="T334" i="13"/>
  <c r="T333" i="13"/>
  <c r="T332" i="13"/>
  <c r="T328" i="13"/>
  <c r="T327" i="13"/>
  <c r="T326" i="13"/>
  <c r="T325" i="13"/>
  <c r="T324" i="13"/>
  <c r="T320" i="13"/>
  <c r="T319" i="13"/>
  <c r="T318" i="13"/>
  <c r="T317" i="13"/>
  <c r="T316" i="13"/>
  <c r="T312" i="13"/>
  <c r="T311" i="13"/>
  <c r="T310" i="13"/>
  <c r="T309" i="13"/>
  <c r="T308" i="13"/>
  <c r="T304" i="13"/>
  <c r="T303" i="13"/>
  <c r="T302" i="13"/>
  <c r="T301" i="13"/>
  <c r="T300" i="13"/>
  <c r="T279" i="13"/>
  <c r="T278" i="13"/>
  <c r="T277" i="13"/>
  <c r="T276" i="13"/>
  <c r="T275" i="13"/>
  <c r="T271" i="13"/>
  <c r="T270" i="13"/>
  <c r="T269" i="13"/>
  <c r="T268" i="13"/>
  <c r="T267" i="13"/>
  <c r="T259" i="13"/>
  <c r="T258" i="13"/>
  <c r="T255" i="13"/>
  <c r="T254" i="13"/>
  <c r="T253" i="13"/>
  <c r="T252" i="13"/>
  <c r="T251" i="13"/>
  <c r="T247" i="13"/>
  <c r="T246" i="13"/>
  <c r="T245" i="13"/>
  <c r="T244" i="13"/>
  <c r="T243" i="13"/>
  <c r="T223" i="13"/>
  <c r="T222" i="13"/>
  <c r="T221" i="13"/>
  <c r="T220" i="13"/>
  <c r="T219" i="13"/>
  <c r="T215" i="13"/>
  <c r="T214" i="13"/>
  <c r="T213" i="13"/>
  <c r="T212" i="13"/>
  <c r="T211" i="13"/>
  <c r="T207" i="13"/>
  <c r="T206" i="13"/>
  <c r="T205" i="13"/>
  <c r="T204" i="13"/>
  <c r="T203" i="13"/>
  <c r="T199" i="13"/>
  <c r="T198" i="13"/>
  <c r="T197" i="13"/>
  <c r="T196" i="13"/>
  <c r="T195" i="13"/>
  <c r="T191" i="13"/>
  <c r="T190" i="13"/>
  <c r="T189" i="13"/>
  <c r="T188" i="13"/>
  <c r="T187" i="13"/>
  <c r="T166" i="13"/>
  <c r="T165" i="13"/>
  <c r="T164" i="13"/>
  <c r="T163" i="13"/>
  <c r="T162" i="13"/>
  <c r="T158" i="13"/>
  <c r="T157" i="13"/>
  <c r="T156" i="13"/>
  <c r="T155" i="13"/>
  <c r="T154" i="13"/>
  <c r="T150" i="13"/>
  <c r="T149" i="13"/>
  <c r="T148" i="13"/>
  <c r="T147" i="13"/>
  <c r="T146" i="13"/>
  <c r="T142" i="13"/>
  <c r="T141" i="13"/>
  <c r="T140" i="13"/>
  <c r="T139" i="13"/>
  <c r="T138" i="13"/>
  <c r="T129" i="13"/>
  <c r="T128" i="13"/>
  <c r="T110" i="13"/>
  <c r="T109" i="13"/>
  <c r="T108" i="13"/>
  <c r="T107" i="13"/>
  <c r="T103" i="13"/>
  <c r="T102" i="13"/>
  <c r="T101" i="13"/>
  <c r="T100" i="13"/>
  <c r="T96" i="13"/>
  <c r="T95" i="13"/>
  <c r="T94" i="13"/>
  <c r="T93" i="13"/>
  <c r="T89" i="13"/>
  <c r="T88" i="13"/>
  <c r="T87" i="13"/>
  <c r="T86" i="13"/>
  <c r="T82" i="13"/>
  <c r="T81" i="13"/>
  <c r="T80" i="13"/>
  <c r="T79" i="13"/>
  <c r="T75" i="13"/>
  <c r="T74" i="13"/>
  <c r="T73" i="13"/>
  <c r="T72" i="13"/>
  <c r="T53" i="13"/>
  <c r="T52" i="13"/>
  <c r="T51" i="13"/>
  <c r="T50" i="13"/>
  <c r="T49" i="13"/>
  <c r="T45" i="13"/>
  <c r="T44" i="13"/>
  <c r="T43" i="13"/>
  <c r="T42" i="13"/>
  <c r="T41" i="13"/>
  <c r="T37" i="13"/>
  <c r="T36" i="13"/>
  <c r="T35" i="13"/>
  <c r="T34" i="13"/>
  <c r="T33" i="13"/>
  <c r="T29" i="13"/>
  <c r="T28" i="13"/>
  <c r="T27" i="13"/>
  <c r="T26" i="13"/>
  <c r="T25" i="13"/>
  <c r="T21" i="13"/>
  <c r="T20" i="13"/>
  <c r="T19" i="13"/>
  <c r="T18" i="13"/>
  <c r="T17" i="13"/>
  <c r="P507" i="13"/>
  <c r="P505" i="13"/>
  <c r="P504" i="13"/>
  <c r="P501" i="13"/>
  <c r="P500" i="13"/>
  <c r="P499" i="13"/>
  <c r="P493" i="13"/>
  <c r="P492" i="13"/>
  <c r="P488" i="13"/>
  <c r="P487" i="13"/>
  <c r="P486" i="13"/>
  <c r="P485" i="13"/>
  <c r="P481" i="13"/>
  <c r="P480" i="13"/>
  <c r="P479" i="13"/>
  <c r="P475" i="13"/>
  <c r="P474" i="13"/>
  <c r="P473" i="13"/>
  <c r="P472" i="13"/>
  <c r="P471" i="13"/>
  <c r="P451" i="13"/>
  <c r="P450" i="13"/>
  <c r="P449" i="13"/>
  <c r="P448" i="13"/>
  <c r="P447" i="13"/>
  <c r="P446" i="13"/>
  <c r="P445" i="13"/>
  <c r="P444" i="13"/>
  <c r="P443" i="13"/>
  <c r="P442" i="13"/>
  <c r="P441" i="13"/>
  <c r="P440" i="13"/>
  <c r="P439" i="13"/>
  <c r="P438" i="13"/>
  <c r="P437" i="13"/>
  <c r="P436" i="13"/>
  <c r="P435" i="13"/>
  <c r="P434" i="13"/>
  <c r="P433" i="13"/>
  <c r="P429" i="13"/>
  <c r="P428" i="13"/>
  <c r="P427" i="13"/>
  <c r="P426" i="13"/>
  <c r="P425" i="13"/>
  <c r="P424" i="13"/>
  <c r="P423" i="13"/>
  <c r="P422" i="13"/>
  <c r="P421" i="13"/>
  <c r="P420" i="13"/>
  <c r="P419" i="13"/>
  <c r="P418" i="13"/>
  <c r="P417" i="13"/>
  <c r="P416" i="13"/>
  <c r="P415" i="13"/>
  <c r="P394" i="13"/>
  <c r="P393" i="13"/>
  <c r="P392" i="13"/>
  <c r="P391" i="13"/>
  <c r="P390" i="13"/>
  <c r="P389" i="13"/>
  <c r="P388" i="13"/>
  <c r="P387" i="13"/>
  <c r="P386" i="13"/>
  <c r="P385" i="13"/>
  <c r="P384" i="13"/>
  <c r="P376" i="13"/>
  <c r="P375" i="13"/>
  <c r="P374" i="13"/>
  <c r="P373" i="13"/>
  <c r="P372" i="13"/>
  <c r="P371" i="13"/>
  <c r="P367" i="13"/>
  <c r="P366" i="13"/>
  <c r="P365" i="13"/>
  <c r="P364" i="13"/>
  <c r="P360" i="13"/>
  <c r="P359" i="13"/>
  <c r="P358" i="13"/>
  <c r="P357" i="13"/>
  <c r="P339" i="13"/>
  <c r="P336" i="13"/>
  <c r="P335" i="13"/>
  <c r="P334" i="13"/>
  <c r="P333" i="13"/>
  <c r="P332" i="13"/>
  <c r="P328" i="13"/>
  <c r="P327" i="13"/>
  <c r="P326" i="13"/>
  <c r="P325" i="13"/>
  <c r="P324" i="13"/>
  <c r="P320" i="13"/>
  <c r="P319" i="13"/>
  <c r="P318" i="13"/>
  <c r="P317" i="13"/>
  <c r="P316" i="13"/>
  <c r="P312" i="13"/>
  <c r="P311" i="13"/>
  <c r="P310" i="13"/>
  <c r="P309" i="13"/>
  <c r="P308" i="13"/>
  <c r="P304" i="13"/>
  <c r="P303" i="13"/>
  <c r="P302" i="13"/>
  <c r="P301" i="13"/>
  <c r="P300" i="13"/>
  <c r="P279" i="13"/>
  <c r="P278" i="13"/>
  <c r="P277" i="13"/>
  <c r="P276" i="13"/>
  <c r="P275" i="13"/>
  <c r="P271" i="13"/>
  <c r="P270" i="13"/>
  <c r="P269" i="13"/>
  <c r="P268" i="13"/>
  <c r="P267" i="13"/>
  <c r="P259" i="13"/>
  <c r="P258" i="13"/>
  <c r="P255" i="13"/>
  <c r="P254" i="13"/>
  <c r="P253" i="13"/>
  <c r="P252" i="13"/>
  <c r="P251" i="13"/>
  <c r="P247" i="13"/>
  <c r="P246" i="13"/>
  <c r="P245" i="13"/>
  <c r="P244" i="13"/>
  <c r="P243" i="13"/>
  <c r="P223" i="13"/>
  <c r="P222" i="13"/>
  <c r="P221" i="13"/>
  <c r="P220" i="13"/>
  <c r="P219" i="13"/>
  <c r="P215" i="13"/>
  <c r="P214" i="13"/>
  <c r="P213" i="13"/>
  <c r="P212" i="13"/>
  <c r="P211" i="13"/>
  <c r="P207" i="13"/>
  <c r="P206" i="13"/>
  <c r="P205" i="13"/>
  <c r="P204" i="13"/>
  <c r="P203" i="13"/>
  <c r="P199" i="13"/>
  <c r="P198" i="13"/>
  <c r="P197" i="13"/>
  <c r="P196" i="13"/>
  <c r="P195" i="13"/>
  <c r="P191" i="13"/>
  <c r="P190" i="13"/>
  <c r="P189" i="13"/>
  <c r="P188" i="13"/>
  <c r="P187" i="13"/>
  <c r="P166" i="13"/>
  <c r="P165" i="13"/>
  <c r="P164" i="13"/>
  <c r="P163" i="13"/>
  <c r="P162" i="13"/>
  <c r="P158" i="13"/>
  <c r="P157" i="13"/>
  <c r="P156" i="13"/>
  <c r="P155" i="13"/>
  <c r="P154" i="13"/>
  <c r="P150" i="13"/>
  <c r="P149" i="13"/>
  <c r="P148" i="13"/>
  <c r="P147" i="13"/>
  <c r="P146" i="13"/>
  <c r="P142" i="13"/>
  <c r="P141" i="13"/>
  <c r="P140" i="13"/>
  <c r="P139" i="13"/>
  <c r="P138" i="13"/>
  <c r="P129" i="13"/>
  <c r="P128" i="13"/>
  <c r="P110" i="13"/>
  <c r="P109" i="13"/>
  <c r="P108" i="13"/>
  <c r="P107" i="13"/>
  <c r="P103" i="13"/>
  <c r="P102" i="13"/>
  <c r="P101" i="13"/>
  <c r="P100" i="13"/>
  <c r="P96" i="13"/>
  <c r="P95" i="13"/>
  <c r="P94" i="13"/>
  <c r="P93" i="13"/>
  <c r="P89" i="13"/>
  <c r="P88" i="13"/>
  <c r="P87" i="13"/>
  <c r="P86" i="13"/>
  <c r="P82" i="13"/>
  <c r="P81" i="13"/>
  <c r="P80" i="13"/>
  <c r="P79" i="13"/>
  <c r="P75" i="13"/>
  <c r="P74" i="13"/>
  <c r="P73" i="13"/>
  <c r="P72" i="13"/>
  <c r="P53" i="13"/>
  <c r="P52" i="13"/>
  <c r="P51" i="13"/>
  <c r="P50" i="13"/>
  <c r="P49" i="13"/>
  <c r="P45" i="13"/>
  <c r="P44" i="13"/>
  <c r="P43" i="13"/>
  <c r="P42" i="13"/>
  <c r="P41" i="13"/>
  <c r="P37" i="13"/>
  <c r="P36" i="13"/>
  <c r="P35" i="13"/>
  <c r="P34" i="13"/>
  <c r="P33" i="13"/>
  <c r="P29" i="13"/>
  <c r="P28" i="13"/>
  <c r="P27" i="13"/>
  <c r="P26" i="13"/>
  <c r="P25" i="13"/>
  <c r="P21" i="13"/>
  <c r="P20" i="13"/>
  <c r="P19" i="13"/>
  <c r="P18" i="13"/>
  <c r="P17" i="13"/>
  <c r="N507" i="13"/>
  <c r="N505" i="13"/>
  <c r="N504" i="13"/>
  <c r="N501" i="13"/>
  <c r="N500" i="13"/>
  <c r="N499" i="13"/>
  <c r="N493" i="13"/>
  <c r="N492" i="13"/>
  <c r="N488" i="13"/>
  <c r="N487" i="13"/>
  <c r="N486" i="13"/>
  <c r="N485" i="13"/>
  <c r="N481" i="13"/>
  <c r="N480" i="13"/>
  <c r="N479" i="13"/>
  <c r="N475" i="13"/>
  <c r="N474" i="13"/>
  <c r="N473" i="13"/>
  <c r="N472" i="13"/>
  <c r="N471" i="13"/>
  <c r="N451" i="13"/>
  <c r="N450" i="13"/>
  <c r="N449" i="13"/>
  <c r="N448" i="13"/>
  <c r="N447" i="13"/>
  <c r="N446" i="13"/>
  <c r="N445" i="13"/>
  <c r="N444" i="13"/>
  <c r="N443" i="13"/>
  <c r="N442" i="13"/>
  <c r="N441" i="13"/>
  <c r="N440" i="13"/>
  <c r="N439" i="13"/>
  <c r="N438" i="13"/>
  <c r="N437" i="13"/>
  <c r="N436" i="13"/>
  <c r="N435" i="13"/>
  <c r="N434" i="13"/>
  <c r="N433" i="13"/>
  <c r="N429" i="13"/>
  <c r="N428" i="13"/>
  <c r="N427" i="13"/>
  <c r="N426" i="13"/>
  <c r="N425" i="13"/>
  <c r="N424" i="13"/>
  <c r="N423" i="13"/>
  <c r="N422" i="13"/>
  <c r="N421" i="13"/>
  <c r="N420" i="13"/>
  <c r="N419" i="13"/>
  <c r="N418" i="13"/>
  <c r="N417" i="13"/>
  <c r="N416" i="13"/>
  <c r="N415" i="13"/>
  <c r="N394" i="13"/>
  <c r="N393" i="13"/>
  <c r="N392" i="13"/>
  <c r="N391" i="13"/>
  <c r="N390" i="13"/>
  <c r="N389" i="13"/>
  <c r="N388" i="13"/>
  <c r="N387" i="13"/>
  <c r="N386" i="13"/>
  <c r="N385" i="13"/>
  <c r="N384" i="13"/>
  <c r="N376" i="13"/>
  <c r="N375" i="13"/>
  <c r="N374" i="13"/>
  <c r="N373" i="13"/>
  <c r="N372" i="13"/>
  <c r="N371" i="13"/>
  <c r="N367" i="13"/>
  <c r="N366" i="13"/>
  <c r="N365" i="13"/>
  <c r="N364" i="13"/>
  <c r="N360" i="13"/>
  <c r="N359" i="13"/>
  <c r="N358" i="13"/>
  <c r="N357" i="13"/>
  <c r="N339" i="13"/>
  <c r="N336" i="13"/>
  <c r="N335" i="13"/>
  <c r="N334" i="13"/>
  <c r="N333" i="13"/>
  <c r="N332" i="13"/>
  <c r="N328" i="13"/>
  <c r="N327" i="13"/>
  <c r="N326" i="13"/>
  <c r="N325" i="13"/>
  <c r="N324" i="13"/>
  <c r="N320" i="13"/>
  <c r="N319" i="13"/>
  <c r="N318" i="13"/>
  <c r="N317" i="13"/>
  <c r="N316" i="13"/>
  <c r="N312" i="13"/>
  <c r="N311" i="13"/>
  <c r="N310" i="13"/>
  <c r="N309" i="13"/>
  <c r="N308" i="13"/>
  <c r="N304" i="13"/>
  <c r="N303" i="13"/>
  <c r="N302" i="13"/>
  <c r="N301" i="13"/>
  <c r="N300" i="13"/>
  <c r="N279" i="13"/>
  <c r="N278" i="13"/>
  <c r="N277" i="13"/>
  <c r="N276" i="13"/>
  <c r="N275" i="13"/>
  <c r="N271" i="13"/>
  <c r="N270" i="13"/>
  <c r="N269" i="13"/>
  <c r="N268" i="13"/>
  <c r="N267" i="13"/>
  <c r="N259" i="13"/>
  <c r="N258" i="13"/>
  <c r="N255" i="13"/>
  <c r="N254" i="13"/>
  <c r="N253" i="13"/>
  <c r="N252" i="13"/>
  <c r="N251" i="13"/>
  <c r="N247" i="13"/>
  <c r="N246" i="13"/>
  <c r="N245" i="13"/>
  <c r="N244" i="13"/>
  <c r="N243" i="13"/>
  <c r="N223" i="13"/>
  <c r="N222" i="13"/>
  <c r="N221" i="13"/>
  <c r="N220" i="13"/>
  <c r="N219" i="13"/>
  <c r="N215" i="13"/>
  <c r="N214" i="13"/>
  <c r="N213" i="13"/>
  <c r="N212" i="13"/>
  <c r="N211" i="13"/>
  <c r="N207" i="13"/>
  <c r="N206" i="13"/>
  <c r="N205" i="13"/>
  <c r="N204" i="13"/>
  <c r="N203" i="13"/>
  <c r="N199" i="13"/>
  <c r="N198" i="13"/>
  <c r="N197" i="13"/>
  <c r="N196" i="13"/>
  <c r="N195" i="13"/>
  <c r="N191" i="13"/>
  <c r="N190" i="13"/>
  <c r="N189" i="13"/>
  <c r="N188" i="13"/>
  <c r="N187" i="13"/>
  <c r="N166" i="13"/>
  <c r="N165" i="13"/>
  <c r="N164" i="13"/>
  <c r="N163" i="13"/>
  <c r="N162" i="13"/>
  <c r="N158" i="13"/>
  <c r="N157" i="13"/>
  <c r="N156" i="13"/>
  <c r="N155" i="13"/>
  <c r="N154" i="13"/>
  <c r="N150" i="13"/>
  <c r="N149" i="13"/>
  <c r="N148" i="13"/>
  <c r="N147" i="13"/>
  <c r="N146" i="13"/>
  <c r="N142" i="13"/>
  <c r="N141" i="13"/>
  <c r="N140" i="13"/>
  <c r="N139" i="13"/>
  <c r="N138" i="13"/>
  <c r="N129" i="13"/>
  <c r="N128" i="13"/>
  <c r="N110" i="13"/>
  <c r="N109" i="13"/>
  <c r="N108" i="13"/>
  <c r="N107" i="13"/>
  <c r="N103" i="13"/>
  <c r="N102" i="13"/>
  <c r="N101" i="13"/>
  <c r="N100" i="13"/>
  <c r="N96" i="13"/>
  <c r="N95" i="13"/>
  <c r="N94" i="13"/>
  <c r="N93" i="13"/>
  <c r="N89" i="13"/>
  <c r="N88" i="13"/>
  <c r="N87" i="13"/>
  <c r="N86" i="13"/>
  <c r="N82" i="13"/>
  <c r="N81" i="13"/>
  <c r="N80" i="13"/>
  <c r="N79" i="13"/>
  <c r="N75" i="13"/>
  <c r="N74" i="13"/>
  <c r="N73" i="13"/>
  <c r="N72" i="13"/>
  <c r="N53" i="13"/>
  <c r="N52" i="13"/>
  <c r="N51" i="13"/>
  <c r="N50" i="13"/>
  <c r="N49" i="13"/>
  <c r="N45" i="13"/>
  <c r="N44" i="13"/>
  <c r="N43" i="13"/>
  <c r="N42" i="13"/>
  <c r="N41" i="13"/>
  <c r="N37" i="13"/>
  <c r="N36" i="13"/>
  <c r="N35" i="13"/>
  <c r="N34" i="13"/>
  <c r="N33" i="13"/>
  <c r="N29" i="13"/>
  <c r="N28" i="13"/>
  <c r="N27" i="13"/>
  <c r="N26" i="13"/>
  <c r="N25" i="13"/>
  <c r="N21" i="13"/>
  <c r="N20" i="13"/>
  <c r="N19" i="13"/>
  <c r="N18" i="13"/>
  <c r="N17" i="13"/>
  <c r="L507" i="13"/>
  <c r="L505" i="13"/>
  <c r="L504" i="13"/>
  <c r="L501" i="13"/>
  <c r="L500" i="13"/>
  <c r="L499" i="13"/>
  <c r="L493" i="13"/>
  <c r="L492" i="13"/>
  <c r="L488" i="13"/>
  <c r="L487" i="13"/>
  <c r="L486" i="13"/>
  <c r="L485" i="13"/>
  <c r="L481" i="13"/>
  <c r="L480" i="13"/>
  <c r="L479" i="13"/>
  <c r="L475" i="13"/>
  <c r="L474" i="13"/>
  <c r="L473" i="13"/>
  <c r="L472" i="13"/>
  <c r="L471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394" i="13"/>
  <c r="L393" i="13"/>
  <c r="L392" i="13"/>
  <c r="L391" i="13"/>
  <c r="L390" i="13"/>
  <c r="L389" i="13"/>
  <c r="L388" i="13"/>
  <c r="L387" i="13"/>
  <c r="L386" i="13"/>
  <c r="L385" i="13"/>
  <c r="L384" i="13"/>
  <c r="L376" i="13"/>
  <c r="L375" i="13"/>
  <c r="L374" i="13"/>
  <c r="L373" i="13"/>
  <c r="L372" i="13"/>
  <c r="L371" i="13"/>
  <c r="L367" i="13"/>
  <c r="L366" i="13"/>
  <c r="L365" i="13"/>
  <c r="L364" i="13"/>
  <c r="L360" i="13"/>
  <c r="L359" i="13"/>
  <c r="L358" i="13"/>
  <c r="L357" i="13"/>
  <c r="L339" i="13"/>
  <c r="L336" i="13"/>
  <c r="L335" i="13"/>
  <c r="L334" i="13"/>
  <c r="L333" i="13"/>
  <c r="L332" i="13"/>
  <c r="L328" i="13"/>
  <c r="L327" i="13"/>
  <c r="L326" i="13"/>
  <c r="L325" i="13"/>
  <c r="L324" i="13"/>
  <c r="L320" i="13"/>
  <c r="L319" i="13"/>
  <c r="L318" i="13"/>
  <c r="L317" i="13"/>
  <c r="L316" i="13"/>
  <c r="L312" i="13"/>
  <c r="L311" i="13"/>
  <c r="L310" i="13"/>
  <c r="L309" i="13"/>
  <c r="L308" i="13"/>
  <c r="L304" i="13"/>
  <c r="L303" i="13"/>
  <c r="L302" i="13"/>
  <c r="L301" i="13"/>
  <c r="L300" i="13"/>
  <c r="L279" i="13"/>
  <c r="L278" i="13"/>
  <c r="L277" i="13"/>
  <c r="L276" i="13"/>
  <c r="L275" i="13"/>
  <c r="L271" i="13"/>
  <c r="L270" i="13"/>
  <c r="L269" i="13"/>
  <c r="L268" i="13"/>
  <c r="L267" i="13"/>
  <c r="L259" i="13"/>
  <c r="L258" i="13"/>
  <c r="L255" i="13"/>
  <c r="L254" i="13"/>
  <c r="L253" i="13"/>
  <c r="L252" i="13"/>
  <c r="L251" i="13"/>
  <c r="L247" i="13"/>
  <c r="L246" i="13"/>
  <c r="L245" i="13"/>
  <c r="L244" i="13"/>
  <c r="L243" i="13"/>
  <c r="L223" i="13"/>
  <c r="L222" i="13"/>
  <c r="L221" i="13"/>
  <c r="L220" i="13"/>
  <c r="L219" i="13"/>
  <c r="L215" i="13"/>
  <c r="L214" i="13"/>
  <c r="L213" i="13"/>
  <c r="L212" i="13"/>
  <c r="L211" i="13"/>
  <c r="L207" i="13"/>
  <c r="L206" i="13"/>
  <c r="L205" i="13"/>
  <c r="L204" i="13"/>
  <c r="L203" i="13"/>
  <c r="L199" i="13"/>
  <c r="L198" i="13"/>
  <c r="L197" i="13"/>
  <c r="L196" i="13"/>
  <c r="L195" i="13"/>
  <c r="L191" i="13"/>
  <c r="L190" i="13"/>
  <c r="L189" i="13"/>
  <c r="L188" i="13"/>
  <c r="L187" i="13"/>
  <c r="L166" i="13"/>
  <c r="L165" i="13"/>
  <c r="L164" i="13"/>
  <c r="L163" i="13"/>
  <c r="L162" i="13"/>
  <c r="L158" i="13"/>
  <c r="L157" i="13"/>
  <c r="L156" i="13"/>
  <c r="L155" i="13"/>
  <c r="L154" i="13"/>
  <c r="L150" i="13"/>
  <c r="L149" i="13"/>
  <c r="L148" i="13"/>
  <c r="L147" i="13"/>
  <c r="L146" i="13"/>
  <c r="L142" i="13"/>
  <c r="L141" i="13"/>
  <c r="L140" i="13"/>
  <c r="L139" i="13"/>
  <c r="L138" i="13"/>
  <c r="L129" i="13"/>
  <c r="L128" i="13"/>
  <c r="L110" i="13"/>
  <c r="L109" i="13"/>
  <c r="L108" i="13"/>
  <c r="L107" i="13"/>
  <c r="L103" i="13"/>
  <c r="L102" i="13"/>
  <c r="L101" i="13"/>
  <c r="L100" i="13"/>
  <c r="L96" i="13"/>
  <c r="L95" i="13"/>
  <c r="L94" i="13"/>
  <c r="L93" i="13"/>
  <c r="L89" i="13"/>
  <c r="L88" i="13"/>
  <c r="L87" i="13"/>
  <c r="L86" i="13"/>
  <c r="L82" i="13"/>
  <c r="L81" i="13"/>
  <c r="L80" i="13"/>
  <c r="L79" i="13"/>
  <c r="L75" i="13"/>
  <c r="L74" i="13"/>
  <c r="L73" i="13"/>
  <c r="L72" i="13"/>
  <c r="L53" i="13"/>
  <c r="L52" i="13"/>
  <c r="L51" i="13"/>
  <c r="L50" i="13"/>
  <c r="L49" i="13"/>
  <c r="L45" i="13"/>
  <c r="L44" i="13"/>
  <c r="L43" i="13"/>
  <c r="L42" i="13"/>
  <c r="L41" i="13"/>
  <c r="L37" i="13"/>
  <c r="L36" i="13"/>
  <c r="L35" i="13"/>
  <c r="L34" i="13"/>
  <c r="L33" i="13"/>
  <c r="L29" i="13"/>
  <c r="L28" i="13"/>
  <c r="L27" i="13"/>
  <c r="L26" i="13"/>
  <c r="L25" i="13"/>
  <c r="L21" i="13"/>
  <c r="L20" i="13"/>
  <c r="L19" i="13"/>
  <c r="L18" i="13"/>
  <c r="L17" i="13"/>
  <c r="J507" i="13"/>
  <c r="J505" i="13"/>
  <c r="J504" i="13"/>
  <c r="J501" i="13"/>
  <c r="J500" i="13"/>
  <c r="J499" i="13"/>
  <c r="J493" i="13"/>
  <c r="J492" i="13"/>
  <c r="J488" i="13"/>
  <c r="J487" i="13"/>
  <c r="J486" i="13"/>
  <c r="J485" i="13"/>
  <c r="J481" i="13"/>
  <c r="J480" i="13"/>
  <c r="J479" i="13"/>
  <c r="J475" i="13"/>
  <c r="J474" i="13"/>
  <c r="J473" i="13"/>
  <c r="J472" i="13"/>
  <c r="J471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394" i="13"/>
  <c r="J393" i="13"/>
  <c r="J392" i="13"/>
  <c r="J391" i="13"/>
  <c r="J390" i="13"/>
  <c r="J389" i="13"/>
  <c r="J388" i="13"/>
  <c r="J387" i="13"/>
  <c r="J386" i="13"/>
  <c r="J385" i="13"/>
  <c r="J384" i="13"/>
  <c r="J376" i="13"/>
  <c r="J375" i="13"/>
  <c r="J374" i="13"/>
  <c r="J373" i="13"/>
  <c r="J372" i="13"/>
  <c r="J371" i="13"/>
  <c r="J367" i="13"/>
  <c r="J366" i="13"/>
  <c r="J365" i="13"/>
  <c r="J364" i="13"/>
  <c r="J360" i="13"/>
  <c r="J359" i="13"/>
  <c r="J358" i="13"/>
  <c r="J357" i="13"/>
  <c r="J339" i="13"/>
  <c r="J336" i="13"/>
  <c r="J335" i="13"/>
  <c r="J334" i="13"/>
  <c r="J333" i="13"/>
  <c r="J332" i="13"/>
  <c r="J328" i="13"/>
  <c r="J327" i="13"/>
  <c r="J326" i="13"/>
  <c r="J325" i="13"/>
  <c r="J324" i="13"/>
  <c r="J320" i="13"/>
  <c r="J319" i="13"/>
  <c r="J318" i="13"/>
  <c r="J317" i="13"/>
  <c r="J316" i="13"/>
  <c r="J312" i="13"/>
  <c r="J311" i="13"/>
  <c r="J310" i="13"/>
  <c r="J309" i="13"/>
  <c r="J308" i="13"/>
  <c r="J304" i="13"/>
  <c r="J303" i="13"/>
  <c r="J302" i="13"/>
  <c r="J301" i="13"/>
  <c r="J300" i="13"/>
  <c r="J279" i="13"/>
  <c r="J278" i="13"/>
  <c r="J277" i="13"/>
  <c r="J276" i="13"/>
  <c r="J275" i="13"/>
  <c r="J271" i="13"/>
  <c r="J270" i="13"/>
  <c r="J269" i="13"/>
  <c r="J268" i="13"/>
  <c r="J267" i="13"/>
  <c r="J259" i="13"/>
  <c r="J258" i="13"/>
  <c r="J255" i="13"/>
  <c r="J254" i="13"/>
  <c r="J253" i="13"/>
  <c r="J252" i="13"/>
  <c r="J251" i="13"/>
  <c r="J247" i="13"/>
  <c r="J246" i="13"/>
  <c r="J245" i="13"/>
  <c r="J244" i="13"/>
  <c r="J243" i="13"/>
  <c r="J223" i="13"/>
  <c r="J222" i="13"/>
  <c r="J221" i="13"/>
  <c r="J220" i="13"/>
  <c r="J219" i="13"/>
  <c r="J215" i="13"/>
  <c r="J214" i="13"/>
  <c r="J213" i="13"/>
  <c r="J212" i="13"/>
  <c r="J211" i="13"/>
  <c r="J207" i="13"/>
  <c r="J206" i="13"/>
  <c r="J205" i="13"/>
  <c r="J204" i="13"/>
  <c r="J203" i="13"/>
  <c r="J199" i="13"/>
  <c r="J198" i="13"/>
  <c r="J197" i="13"/>
  <c r="J196" i="13"/>
  <c r="J195" i="13"/>
  <c r="J191" i="13"/>
  <c r="J190" i="13"/>
  <c r="J189" i="13"/>
  <c r="J188" i="13"/>
  <c r="J187" i="13"/>
  <c r="J166" i="13"/>
  <c r="J165" i="13"/>
  <c r="J164" i="13"/>
  <c r="J163" i="13"/>
  <c r="J162" i="13"/>
  <c r="J158" i="13"/>
  <c r="J157" i="13"/>
  <c r="J156" i="13"/>
  <c r="J155" i="13"/>
  <c r="J154" i="13"/>
  <c r="J150" i="13"/>
  <c r="J149" i="13"/>
  <c r="J148" i="13"/>
  <c r="J147" i="13"/>
  <c r="J146" i="13"/>
  <c r="J142" i="13"/>
  <c r="J141" i="13"/>
  <c r="J140" i="13"/>
  <c r="J139" i="13"/>
  <c r="J138" i="13"/>
  <c r="J129" i="13"/>
  <c r="J128" i="13"/>
  <c r="J110" i="13"/>
  <c r="J109" i="13"/>
  <c r="J108" i="13"/>
  <c r="J107" i="13"/>
  <c r="J103" i="13"/>
  <c r="J102" i="13"/>
  <c r="J101" i="13"/>
  <c r="J100" i="13"/>
  <c r="J96" i="13"/>
  <c r="J95" i="13"/>
  <c r="J94" i="13"/>
  <c r="J93" i="13"/>
  <c r="J89" i="13"/>
  <c r="J88" i="13"/>
  <c r="J87" i="13"/>
  <c r="J86" i="13"/>
  <c r="J82" i="13"/>
  <c r="J81" i="13"/>
  <c r="J80" i="13"/>
  <c r="J79" i="13"/>
  <c r="J75" i="13"/>
  <c r="J74" i="13"/>
  <c r="J73" i="13"/>
  <c r="J72" i="13"/>
  <c r="J53" i="13"/>
  <c r="J52" i="13"/>
  <c r="J51" i="13"/>
  <c r="J50" i="13"/>
  <c r="J49" i="13"/>
  <c r="J45" i="13"/>
  <c r="J44" i="13"/>
  <c r="J43" i="13"/>
  <c r="J42" i="13"/>
  <c r="J41" i="13"/>
  <c r="J37" i="13"/>
  <c r="J36" i="13"/>
  <c r="J35" i="13"/>
  <c r="J34" i="13"/>
  <c r="J33" i="13"/>
  <c r="J29" i="13"/>
  <c r="J28" i="13"/>
  <c r="J27" i="13"/>
  <c r="J26" i="13"/>
  <c r="J25" i="13"/>
  <c r="J21" i="13"/>
  <c r="J20" i="13"/>
  <c r="J19" i="13"/>
  <c r="J18" i="13"/>
  <c r="J17" i="13"/>
  <c r="H507" i="13"/>
  <c r="H505" i="13"/>
  <c r="H504" i="13"/>
  <c r="H501" i="13"/>
  <c r="H500" i="13"/>
  <c r="H499" i="13"/>
  <c r="H493" i="13"/>
  <c r="H492" i="13"/>
  <c r="H488" i="13"/>
  <c r="H487" i="13"/>
  <c r="H486" i="13"/>
  <c r="H485" i="13"/>
  <c r="H481" i="13"/>
  <c r="H480" i="13"/>
  <c r="H479" i="13"/>
  <c r="H475" i="13"/>
  <c r="H474" i="13"/>
  <c r="H473" i="13"/>
  <c r="H472" i="13"/>
  <c r="H471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394" i="13"/>
  <c r="H393" i="13"/>
  <c r="H392" i="13"/>
  <c r="H391" i="13"/>
  <c r="H390" i="13"/>
  <c r="H389" i="13"/>
  <c r="H388" i="13"/>
  <c r="H387" i="13"/>
  <c r="H386" i="13"/>
  <c r="H385" i="13"/>
  <c r="H384" i="13"/>
  <c r="H376" i="13"/>
  <c r="H375" i="13"/>
  <c r="H374" i="13"/>
  <c r="H373" i="13"/>
  <c r="H372" i="13"/>
  <c r="H371" i="13"/>
  <c r="H367" i="13"/>
  <c r="H366" i="13"/>
  <c r="H365" i="13"/>
  <c r="H364" i="13"/>
  <c r="H360" i="13"/>
  <c r="H359" i="13"/>
  <c r="H358" i="13"/>
  <c r="H357" i="13"/>
  <c r="H339" i="13"/>
  <c r="H336" i="13"/>
  <c r="H335" i="13"/>
  <c r="H334" i="13"/>
  <c r="H333" i="13"/>
  <c r="H332" i="13"/>
  <c r="H328" i="13"/>
  <c r="H327" i="13"/>
  <c r="H326" i="13"/>
  <c r="H325" i="13"/>
  <c r="H324" i="13"/>
  <c r="H320" i="13"/>
  <c r="H319" i="13"/>
  <c r="H318" i="13"/>
  <c r="H317" i="13"/>
  <c r="H316" i="13"/>
  <c r="H312" i="13"/>
  <c r="H311" i="13"/>
  <c r="H310" i="13"/>
  <c r="H309" i="13"/>
  <c r="H308" i="13"/>
  <c r="H304" i="13"/>
  <c r="H303" i="13"/>
  <c r="H302" i="13"/>
  <c r="H301" i="13"/>
  <c r="H300" i="13"/>
  <c r="H279" i="13"/>
  <c r="H278" i="13"/>
  <c r="H277" i="13"/>
  <c r="H276" i="13"/>
  <c r="H275" i="13"/>
  <c r="H271" i="13"/>
  <c r="H270" i="13"/>
  <c r="H269" i="13"/>
  <c r="H268" i="13"/>
  <c r="H267" i="13"/>
  <c r="H259" i="13"/>
  <c r="H258" i="13"/>
  <c r="H255" i="13"/>
  <c r="H254" i="13"/>
  <c r="H253" i="13"/>
  <c r="H252" i="13"/>
  <c r="H251" i="13"/>
  <c r="H247" i="13"/>
  <c r="H246" i="13"/>
  <c r="H245" i="13"/>
  <c r="H244" i="13"/>
  <c r="H243" i="13"/>
  <c r="H223" i="13"/>
  <c r="H222" i="13"/>
  <c r="H221" i="13"/>
  <c r="H220" i="13"/>
  <c r="H219" i="13"/>
  <c r="H215" i="13"/>
  <c r="H214" i="13"/>
  <c r="H213" i="13"/>
  <c r="H212" i="13"/>
  <c r="H211" i="13"/>
  <c r="H207" i="13"/>
  <c r="H206" i="13"/>
  <c r="H205" i="13"/>
  <c r="H204" i="13"/>
  <c r="H203" i="13"/>
  <c r="H199" i="13"/>
  <c r="H198" i="13"/>
  <c r="H197" i="13"/>
  <c r="H196" i="13"/>
  <c r="H195" i="13"/>
  <c r="H191" i="13"/>
  <c r="H190" i="13"/>
  <c r="H189" i="13"/>
  <c r="H188" i="13"/>
  <c r="H187" i="13"/>
  <c r="H166" i="13"/>
  <c r="H165" i="13"/>
  <c r="H164" i="13"/>
  <c r="H163" i="13"/>
  <c r="H162" i="13"/>
  <c r="H158" i="13"/>
  <c r="H157" i="13"/>
  <c r="H156" i="13"/>
  <c r="H155" i="13"/>
  <c r="H154" i="13"/>
  <c r="H150" i="13"/>
  <c r="H149" i="13"/>
  <c r="H148" i="13"/>
  <c r="H147" i="13"/>
  <c r="H146" i="13"/>
  <c r="H142" i="13"/>
  <c r="H141" i="13"/>
  <c r="H140" i="13"/>
  <c r="H139" i="13"/>
  <c r="H138" i="13"/>
  <c r="H129" i="13"/>
  <c r="H128" i="13"/>
  <c r="H110" i="13"/>
  <c r="H109" i="13"/>
  <c r="H108" i="13"/>
  <c r="H107" i="13"/>
  <c r="H103" i="13"/>
  <c r="H102" i="13"/>
  <c r="H101" i="13"/>
  <c r="H100" i="13"/>
  <c r="H96" i="13"/>
  <c r="H95" i="13"/>
  <c r="H94" i="13"/>
  <c r="H93" i="13"/>
  <c r="H89" i="13"/>
  <c r="H88" i="13"/>
  <c r="H87" i="13"/>
  <c r="H86" i="13"/>
  <c r="H82" i="13"/>
  <c r="H81" i="13"/>
  <c r="H80" i="13"/>
  <c r="H79" i="13"/>
  <c r="H75" i="13"/>
  <c r="H74" i="13"/>
  <c r="H73" i="13"/>
  <c r="H72" i="13"/>
  <c r="H53" i="13"/>
  <c r="H52" i="13"/>
  <c r="H51" i="13"/>
  <c r="H50" i="13"/>
  <c r="H49" i="13"/>
  <c r="H45" i="13"/>
  <c r="H44" i="13"/>
  <c r="H43" i="13"/>
  <c r="H42" i="13"/>
  <c r="H41" i="13"/>
  <c r="H37" i="13"/>
  <c r="H36" i="13"/>
  <c r="H35" i="13"/>
  <c r="H34" i="13"/>
  <c r="H33" i="13"/>
  <c r="H29" i="13"/>
  <c r="H28" i="13"/>
  <c r="H27" i="13"/>
  <c r="H26" i="13"/>
  <c r="H25" i="13"/>
  <c r="H21" i="13"/>
  <c r="H20" i="13"/>
  <c r="H19" i="13"/>
  <c r="H18" i="13"/>
  <c r="H17" i="13"/>
  <c r="F507" i="13"/>
  <c r="F505" i="13"/>
  <c r="F504" i="13"/>
  <c r="F501" i="13"/>
  <c r="F500" i="13"/>
  <c r="F499" i="13"/>
  <c r="F493" i="13"/>
  <c r="F492" i="13"/>
  <c r="F488" i="13"/>
  <c r="F487" i="13"/>
  <c r="F486" i="13"/>
  <c r="F485" i="13"/>
  <c r="F481" i="13"/>
  <c r="F480" i="13"/>
  <c r="F479" i="13"/>
  <c r="F475" i="13"/>
  <c r="F474" i="13"/>
  <c r="F473" i="13"/>
  <c r="F472" i="13"/>
  <c r="F471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394" i="13"/>
  <c r="F393" i="13"/>
  <c r="F392" i="13"/>
  <c r="F391" i="13"/>
  <c r="F390" i="13"/>
  <c r="F389" i="13"/>
  <c r="F388" i="13"/>
  <c r="F387" i="13"/>
  <c r="F386" i="13"/>
  <c r="F385" i="13"/>
  <c r="F384" i="13"/>
  <c r="F376" i="13"/>
  <c r="F375" i="13"/>
  <c r="F374" i="13"/>
  <c r="F373" i="13"/>
  <c r="F372" i="13"/>
  <c r="F371" i="13"/>
  <c r="F367" i="13"/>
  <c r="F366" i="13"/>
  <c r="F365" i="13"/>
  <c r="F364" i="13"/>
  <c r="F360" i="13"/>
  <c r="F359" i="13"/>
  <c r="F358" i="13"/>
  <c r="F357" i="13"/>
  <c r="F339" i="13"/>
  <c r="F336" i="13"/>
  <c r="F335" i="13"/>
  <c r="F334" i="13"/>
  <c r="F333" i="13"/>
  <c r="F332" i="13"/>
  <c r="F328" i="13"/>
  <c r="F327" i="13"/>
  <c r="F326" i="13"/>
  <c r="F325" i="13"/>
  <c r="F324" i="13"/>
  <c r="F320" i="13"/>
  <c r="F319" i="13"/>
  <c r="F318" i="13"/>
  <c r="F317" i="13"/>
  <c r="F316" i="13"/>
  <c r="F312" i="13"/>
  <c r="F311" i="13"/>
  <c r="F310" i="13"/>
  <c r="F309" i="13"/>
  <c r="F308" i="13"/>
  <c r="F304" i="13"/>
  <c r="F303" i="13"/>
  <c r="F302" i="13"/>
  <c r="F301" i="13"/>
  <c r="F300" i="13"/>
  <c r="F279" i="13"/>
  <c r="F278" i="13"/>
  <c r="F277" i="13"/>
  <c r="F276" i="13"/>
  <c r="F275" i="13"/>
  <c r="F271" i="13"/>
  <c r="F270" i="13"/>
  <c r="F269" i="13"/>
  <c r="F268" i="13"/>
  <c r="F267" i="13"/>
  <c r="F259" i="13"/>
  <c r="F258" i="13"/>
  <c r="F255" i="13"/>
  <c r="F254" i="13"/>
  <c r="F253" i="13"/>
  <c r="F252" i="13"/>
  <c r="F251" i="13"/>
  <c r="F247" i="13"/>
  <c r="F246" i="13"/>
  <c r="F245" i="13"/>
  <c r="F244" i="13"/>
  <c r="F243" i="13"/>
  <c r="F223" i="13"/>
  <c r="F222" i="13"/>
  <c r="F221" i="13"/>
  <c r="F220" i="13"/>
  <c r="F219" i="13"/>
  <c r="F215" i="13"/>
  <c r="F214" i="13"/>
  <c r="F213" i="13"/>
  <c r="F212" i="13"/>
  <c r="F211" i="13"/>
  <c r="F207" i="13"/>
  <c r="F206" i="13"/>
  <c r="F205" i="13"/>
  <c r="F204" i="13"/>
  <c r="F203" i="13"/>
  <c r="F199" i="13"/>
  <c r="F198" i="13"/>
  <c r="F197" i="13"/>
  <c r="F196" i="13"/>
  <c r="F195" i="13"/>
  <c r="F191" i="13"/>
  <c r="F190" i="13"/>
  <c r="F189" i="13"/>
  <c r="F188" i="13"/>
  <c r="F187" i="13"/>
  <c r="F166" i="13"/>
  <c r="F165" i="13"/>
  <c r="F164" i="13"/>
  <c r="F163" i="13"/>
  <c r="F162" i="13"/>
  <c r="F158" i="13"/>
  <c r="F157" i="13"/>
  <c r="F156" i="13"/>
  <c r="F155" i="13"/>
  <c r="F154" i="13"/>
  <c r="F150" i="13"/>
  <c r="F149" i="13"/>
  <c r="F148" i="13"/>
  <c r="F147" i="13"/>
  <c r="F146" i="13"/>
  <c r="F142" i="13"/>
  <c r="F141" i="13"/>
  <c r="F140" i="13"/>
  <c r="F139" i="13"/>
  <c r="F138" i="13"/>
  <c r="F129" i="13"/>
  <c r="F128" i="13"/>
  <c r="F110" i="13"/>
  <c r="F109" i="13"/>
  <c r="F108" i="13"/>
  <c r="F107" i="13"/>
  <c r="F103" i="13"/>
  <c r="F102" i="13"/>
  <c r="F101" i="13"/>
  <c r="F100" i="13"/>
  <c r="F96" i="13"/>
  <c r="F95" i="13"/>
  <c r="F94" i="13"/>
  <c r="F93" i="13"/>
  <c r="F89" i="13"/>
  <c r="F88" i="13"/>
  <c r="F87" i="13"/>
  <c r="F86" i="13"/>
  <c r="F82" i="13"/>
  <c r="F81" i="13"/>
  <c r="F80" i="13"/>
  <c r="F79" i="13"/>
  <c r="F75" i="13"/>
  <c r="F74" i="13"/>
  <c r="F73" i="13"/>
  <c r="F72" i="13"/>
  <c r="F53" i="13"/>
  <c r="F52" i="13"/>
  <c r="F51" i="13"/>
  <c r="F50" i="13"/>
  <c r="F49" i="13"/>
  <c r="F45" i="13"/>
  <c r="F44" i="13"/>
  <c r="F43" i="13"/>
  <c r="F42" i="13"/>
  <c r="F41" i="13"/>
  <c r="F37" i="13"/>
  <c r="F36" i="13"/>
  <c r="F35" i="13"/>
  <c r="F34" i="13"/>
  <c r="F33" i="13"/>
  <c r="F29" i="13"/>
  <c r="F28" i="13"/>
  <c r="F27" i="13"/>
  <c r="F26" i="13"/>
  <c r="F25" i="13"/>
  <c r="F21" i="13"/>
  <c r="F20" i="13"/>
  <c r="F19" i="13"/>
  <c r="F18" i="13"/>
  <c r="F17" i="13"/>
  <c r="R570" i="13" l="1"/>
  <c r="A570" i="13"/>
  <c r="A527" i="13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R520" i="13"/>
  <c r="H520" i="13"/>
  <c r="F520" i="13"/>
  <c r="A520" i="13"/>
  <c r="R519" i="13"/>
  <c r="R518" i="13"/>
  <c r="Q518" i="13"/>
  <c r="F518" i="13"/>
  <c r="R517" i="13"/>
  <c r="Q517" i="13"/>
  <c r="F517" i="13"/>
  <c r="A517" i="13"/>
  <c r="R516" i="13"/>
  <c r="Q516" i="13"/>
  <c r="F516" i="13"/>
  <c r="R515" i="13"/>
  <c r="F515" i="13"/>
  <c r="E515" i="13"/>
  <c r="A515" i="13"/>
  <c r="T514" i="13"/>
  <c r="F514" i="13"/>
  <c r="A514" i="13"/>
  <c r="R513" i="13"/>
  <c r="A513" i="13"/>
  <c r="A470" i="13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R463" i="13"/>
  <c r="H463" i="13"/>
  <c r="F463" i="13"/>
  <c r="A463" i="13"/>
  <c r="R462" i="13"/>
  <c r="R461" i="13"/>
  <c r="Q461" i="13"/>
  <c r="F461" i="13"/>
  <c r="R460" i="13"/>
  <c r="Q460" i="13"/>
  <c r="F460" i="13"/>
  <c r="A460" i="13"/>
  <c r="R459" i="13"/>
  <c r="Q459" i="13"/>
  <c r="F459" i="13"/>
  <c r="R458" i="13"/>
  <c r="F458" i="13"/>
  <c r="E458" i="13"/>
  <c r="A458" i="13"/>
  <c r="T457" i="13"/>
  <c r="F457" i="13"/>
  <c r="A457" i="13"/>
  <c r="R456" i="13"/>
  <c r="A456" i="13"/>
  <c r="A413" i="13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R406" i="13"/>
  <c r="H406" i="13"/>
  <c r="F406" i="13"/>
  <c r="A406" i="13"/>
  <c r="R405" i="13"/>
  <c r="R404" i="13"/>
  <c r="Q404" i="13"/>
  <c r="F404" i="13"/>
  <c r="R403" i="13"/>
  <c r="Q403" i="13"/>
  <c r="F403" i="13"/>
  <c r="A403" i="13"/>
  <c r="R402" i="13"/>
  <c r="Q402" i="13"/>
  <c r="F402" i="13"/>
  <c r="R401" i="13"/>
  <c r="F401" i="13"/>
  <c r="E401" i="13"/>
  <c r="A401" i="13"/>
  <c r="T400" i="13"/>
  <c r="F400" i="13"/>
  <c r="A400" i="13"/>
  <c r="R399" i="13"/>
  <c r="A399" i="13"/>
  <c r="A356" i="13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R349" i="13"/>
  <c r="H349" i="13"/>
  <c r="F349" i="13"/>
  <c r="A349" i="13"/>
  <c r="R348" i="13"/>
  <c r="R347" i="13"/>
  <c r="Q347" i="13"/>
  <c r="F347" i="13"/>
  <c r="R346" i="13"/>
  <c r="Q346" i="13"/>
  <c r="F346" i="13"/>
  <c r="A346" i="13"/>
  <c r="R345" i="13"/>
  <c r="Q345" i="13"/>
  <c r="F345" i="13"/>
  <c r="R344" i="13"/>
  <c r="F344" i="13"/>
  <c r="E344" i="13"/>
  <c r="A344" i="13"/>
  <c r="T343" i="13"/>
  <c r="F343" i="13"/>
  <c r="A343" i="13"/>
  <c r="R342" i="13"/>
  <c r="A342" i="13"/>
  <c r="A299" i="13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R292" i="13"/>
  <c r="H292" i="13"/>
  <c r="F292" i="13"/>
  <c r="A292" i="13"/>
  <c r="R291" i="13"/>
  <c r="R290" i="13"/>
  <c r="Q290" i="13"/>
  <c r="F290" i="13"/>
  <c r="R289" i="13"/>
  <c r="Q289" i="13"/>
  <c r="F289" i="13"/>
  <c r="A289" i="13"/>
  <c r="R288" i="13"/>
  <c r="Q288" i="13"/>
  <c r="F288" i="13"/>
  <c r="R287" i="13"/>
  <c r="F287" i="13"/>
  <c r="E287" i="13"/>
  <c r="A287" i="13"/>
  <c r="T286" i="13"/>
  <c r="F286" i="13"/>
  <c r="A286" i="13"/>
  <c r="R285" i="13"/>
  <c r="A285" i="13"/>
  <c r="A242" i="13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R235" i="13"/>
  <c r="H235" i="13"/>
  <c r="F235" i="13"/>
  <c r="A235" i="13"/>
  <c r="R234" i="13"/>
  <c r="R233" i="13"/>
  <c r="Q233" i="13"/>
  <c r="F233" i="13"/>
  <c r="R232" i="13"/>
  <c r="Q232" i="13"/>
  <c r="F232" i="13"/>
  <c r="A232" i="13"/>
  <c r="R231" i="13"/>
  <c r="Q231" i="13"/>
  <c r="F231" i="13"/>
  <c r="R230" i="13"/>
  <c r="F230" i="13"/>
  <c r="E230" i="13"/>
  <c r="A230" i="13"/>
  <c r="T229" i="13"/>
  <c r="F229" i="13"/>
  <c r="A229" i="13"/>
  <c r="R228" i="13"/>
  <c r="A228" i="13"/>
  <c r="A185" i="13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R178" i="13"/>
  <c r="H178" i="13"/>
  <c r="F178" i="13"/>
  <c r="A178" i="13"/>
  <c r="R177" i="13"/>
  <c r="R176" i="13"/>
  <c r="Q176" i="13"/>
  <c r="F176" i="13"/>
  <c r="R175" i="13"/>
  <c r="Q175" i="13"/>
  <c r="F175" i="13"/>
  <c r="A175" i="13"/>
  <c r="R174" i="13"/>
  <c r="Q174" i="13"/>
  <c r="F174" i="13"/>
  <c r="R173" i="13"/>
  <c r="F173" i="13"/>
  <c r="E173" i="13"/>
  <c r="A173" i="13"/>
  <c r="T172" i="13"/>
  <c r="F172" i="13"/>
  <c r="A172" i="13"/>
  <c r="R171" i="13"/>
  <c r="A171" i="13"/>
  <c r="A128" i="13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R121" i="13"/>
  <c r="H121" i="13"/>
  <c r="F121" i="13"/>
  <c r="A121" i="13"/>
  <c r="R120" i="13"/>
  <c r="R119" i="13"/>
  <c r="Q119" i="13"/>
  <c r="F119" i="13"/>
  <c r="R118" i="13"/>
  <c r="Q118" i="13"/>
  <c r="F118" i="13"/>
  <c r="A118" i="13"/>
  <c r="R117" i="13"/>
  <c r="Q117" i="13"/>
  <c r="F117" i="13"/>
  <c r="R116" i="13"/>
  <c r="F116" i="13"/>
  <c r="E116" i="13"/>
  <c r="A116" i="13"/>
  <c r="T115" i="13"/>
  <c r="F115" i="13"/>
  <c r="A115" i="13"/>
  <c r="R114" i="13"/>
  <c r="A114" i="13"/>
  <c r="A71" i="13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R64" i="13"/>
  <c r="H64" i="13"/>
  <c r="F64" i="13"/>
  <c r="A64" i="13"/>
  <c r="R63" i="13"/>
  <c r="R62" i="13"/>
  <c r="Q62" i="13"/>
  <c r="F62" i="13"/>
  <c r="R61" i="13"/>
  <c r="Q61" i="13"/>
  <c r="F61" i="13"/>
  <c r="A61" i="13"/>
  <c r="R60" i="13"/>
  <c r="Q60" i="13"/>
  <c r="F60" i="13"/>
  <c r="R59" i="13"/>
  <c r="F59" i="13"/>
  <c r="E59" i="13"/>
  <c r="A59" i="13"/>
  <c r="T58" i="13"/>
  <c r="F58" i="13"/>
  <c r="A58" i="13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T1" i="13"/>
  <c r="R508" i="13" l="1"/>
  <c r="T508" i="13" l="1"/>
  <c r="T507" i="13" s="1"/>
  <c r="J395" i="13"/>
  <c r="R196" i="13"/>
  <c r="P143" i="13"/>
  <c r="P272" i="13"/>
  <c r="P368" i="13"/>
  <c r="P54" i="13"/>
  <c r="H208" i="13"/>
  <c r="H452" i="13"/>
  <c r="R327" i="13"/>
  <c r="P337" i="13"/>
  <c r="N200" i="13"/>
  <c r="J200" i="13"/>
  <c r="R333" i="13"/>
  <c r="H167" i="13"/>
  <c r="R44" i="13"/>
  <c r="T208" i="13"/>
  <c r="R359" i="13"/>
  <c r="R207" i="13"/>
  <c r="R486" i="13"/>
  <c r="P216" i="13"/>
  <c r="P224" i="13"/>
  <c r="P321" i="13"/>
  <c r="J321" i="13"/>
  <c r="P192" i="13"/>
  <c r="P489" i="13"/>
  <c r="H368" i="13"/>
  <c r="P83" i="13"/>
  <c r="J368" i="13"/>
  <c r="T452" i="13"/>
  <c r="H159" i="13"/>
  <c r="T329" i="13"/>
  <c r="J248" i="13"/>
  <c r="H305" i="13"/>
  <c r="J272" i="13"/>
  <c r="P208" i="13"/>
  <c r="T368" i="13"/>
  <c r="J97" i="13"/>
  <c r="T377" i="13"/>
  <c r="H83" i="13"/>
  <c r="R420" i="13"/>
  <c r="P395" i="13"/>
  <c r="H280" i="13"/>
  <c r="P377" i="13"/>
  <c r="P305" i="13"/>
  <c r="H224" i="13"/>
  <c r="T167" i="13"/>
  <c r="J143" i="13"/>
  <c r="T272" i="13"/>
  <c r="P200" i="13"/>
  <c r="H111" i="13"/>
  <c r="L452" i="13"/>
  <c r="R223" i="13"/>
  <c r="R197" i="13"/>
  <c r="P361" i="13"/>
  <c r="P280" i="13"/>
  <c r="P159" i="13"/>
  <c r="J489" i="13"/>
  <c r="F208" i="13"/>
  <c r="L321" i="13"/>
  <c r="P248" i="13"/>
  <c r="T143" i="13"/>
  <c r="P38" i="13"/>
  <c r="R213" i="13"/>
  <c r="J377" i="13"/>
  <c r="P167" i="13"/>
  <c r="H377" i="13"/>
  <c r="N104" i="13"/>
  <c r="J208" i="13"/>
  <c r="P76" i="13"/>
  <c r="R95" i="13"/>
  <c r="H200" i="13"/>
  <c r="R108" i="13"/>
  <c r="N256" i="13"/>
  <c r="T337" i="13"/>
  <c r="F377" i="13"/>
  <c r="R271" i="13"/>
  <c r="R440" i="13"/>
  <c r="R505" i="13"/>
  <c r="F556" i="13"/>
  <c r="R37" i="13"/>
  <c r="N143" i="13"/>
  <c r="T224" i="13"/>
  <c r="J305" i="13"/>
  <c r="R334" i="13"/>
  <c r="H482" i="13"/>
  <c r="F494" i="13"/>
  <c r="R492" i="13"/>
  <c r="R493" i="13"/>
  <c r="P502" i="13"/>
  <c r="N38" i="13"/>
  <c r="H90" i="13"/>
  <c r="R103" i="13"/>
  <c r="P46" i="13"/>
  <c r="T76" i="13"/>
  <c r="L111" i="13"/>
  <c r="H38" i="13"/>
  <c r="H54" i="13"/>
  <c r="R157" i="13"/>
  <c r="R27" i="13"/>
  <c r="R43" i="13"/>
  <c r="R36" i="13"/>
  <c r="R88" i="13"/>
  <c r="L90" i="13"/>
  <c r="P104" i="13"/>
  <c r="T111" i="13"/>
  <c r="R190" i="13"/>
  <c r="T97" i="13"/>
  <c r="H248" i="13"/>
  <c r="J256" i="13"/>
  <c r="P256" i="13"/>
  <c r="R302" i="13"/>
  <c r="R312" i="13"/>
  <c r="T305" i="13"/>
  <c r="T321" i="13"/>
  <c r="R308" i="13"/>
  <c r="F313" i="13"/>
  <c r="R446" i="13"/>
  <c r="P482" i="13"/>
  <c r="T482" i="13"/>
  <c r="N502" i="13"/>
  <c r="R148" i="13"/>
  <c r="R221" i="13"/>
  <c r="R146" i="13"/>
  <c r="F151" i="13"/>
  <c r="J111" i="13"/>
  <c r="R417" i="13"/>
  <c r="F502" i="13"/>
  <c r="R499" i="13"/>
  <c r="H509" i="13"/>
  <c r="T38" i="13"/>
  <c r="T22" i="13"/>
  <c r="P22" i="13"/>
  <c r="R18" i="13"/>
  <c r="P97" i="13"/>
  <c r="T104" i="13"/>
  <c r="T159" i="13"/>
  <c r="R93" i="13"/>
  <c r="F97" i="13"/>
  <c r="H151" i="13"/>
  <c r="T256" i="13"/>
  <c r="J313" i="13"/>
  <c r="R251" i="13"/>
  <c r="N321" i="13"/>
  <c r="H313" i="13"/>
  <c r="R324" i="13"/>
  <c r="R366" i="13"/>
  <c r="F395" i="13"/>
  <c r="R384" i="13"/>
  <c r="L482" i="13"/>
  <c r="L554" i="13"/>
  <c r="H502" i="13"/>
  <c r="T200" i="13"/>
  <c r="R53" i="13"/>
  <c r="J167" i="13"/>
  <c r="R25" i="13"/>
  <c r="R41" i="13"/>
  <c r="H76" i="13"/>
  <c r="J22" i="13"/>
  <c r="J38" i="13"/>
  <c r="J54" i="13"/>
  <c r="R87" i="13"/>
  <c r="L97" i="13"/>
  <c r="P111" i="13"/>
  <c r="R166" i="13"/>
  <c r="P90" i="13"/>
  <c r="R147" i="13"/>
  <c r="R163" i="13"/>
  <c r="R211" i="13"/>
  <c r="R390" i="13"/>
  <c r="P313" i="13"/>
  <c r="R309" i="13"/>
  <c r="R481" i="13"/>
  <c r="T361" i="13"/>
  <c r="J482" i="13"/>
  <c r="T502" i="13"/>
  <c r="J556" i="13"/>
  <c r="R500" i="13"/>
  <c r="R501" i="13"/>
  <c r="F554" i="13"/>
  <c r="R504" i="13"/>
  <c r="T46" i="13"/>
  <c r="R79" i="13"/>
  <c r="R73" i="13"/>
  <c r="F143" i="13"/>
  <c r="J104" i="13"/>
  <c r="H192" i="13"/>
  <c r="R154" i="13"/>
  <c r="F159" i="13"/>
  <c r="R319" i="13"/>
  <c r="T216" i="13"/>
  <c r="T280" i="13"/>
  <c r="T430" i="13"/>
  <c r="R485" i="13"/>
  <c r="R441" i="13"/>
  <c r="R450" i="13"/>
  <c r="F509" i="13"/>
  <c r="R507" i="13"/>
  <c r="P554" i="13"/>
  <c r="P556" i="13"/>
  <c r="T554" i="13"/>
  <c r="T556" i="13"/>
  <c r="T30" i="13"/>
  <c r="R86" i="13"/>
  <c r="F90" i="13"/>
  <c r="T192" i="13"/>
  <c r="H30" i="13"/>
  <c r="H46" i="13"/>
  <c r="J76" i="13"/>
  <c r="R35" i="13"/>
  <c r="R51" i="13"/>
  <c r="R102" i="13"/>
  <c r="N76" i="13"/>
  <c r="L104" i="13"/>
  <c r="R80" i="13"/>
  <c r="N151" i="13"/>
  <c r="J83" i="13"/>
  <c r="J192" i="13"/>
  <c r="R107" i="13"/>
  <c r="F111" i="13"/>
  <c r="H104" i="13"/>
  <c r="H256" i="13"/>
  <c r="N313" i="13"/>
  <c r="R259" i="13"/>
  <c r="P329" i="13"/>
  <c r="J280" i="13"/>
  <c r="T313" i="13"/>
  <c r="R316" i="13"/>
  <c r="F321" i="13"/>
  <c r="L337" i="13"/>
  <c r="H361" i="13"/>
  <c r="R421" i="13"/>
  <c r="P494" i="13"/>
  <c r="J554" i="13"/>
  <c r="N554" i="13"/>
  <c r="N556" i="13"/>
  <c r="L509" i="13"/>
  <c r="N509" i="13"/>
  <c r="P509" i="13"/>
  <c r="R21" i="13"/>
  <c r="T54" i="13"/>
  <c r="T83" i="13"/>
  <c r="F30" i="13"/>
  <c r="R42" i="13"/>
  <c r="R96" i="13"/>
  <c r="R158" i="13"/>
  <c r="P151" i="13"/>
  <c r="N90" i="13"/>
  <c r="R187" i="13"/>
  <c r="T151" i="13"/>
  <c r="R101" i="13"/>
  <c r="H143" i="13"/>
  <c r="H216" i="13"/>
  <c r="T248" i="13"/>
  <c r="R243" i="13"/>
  <c r="R252" i="13"/>
  <c r="R318" i="13"/>
  <c r="T395" i="13"/>
  <c r="R320" i="13"/>
  <c r="H272" i="13"/>
  <c r="H321" i="13"/>
  <c r="J337" i="13"/>
  <c r="R358" i="13"/>
  <c r="R394" i="13"/>
  <c r="H554" i="13"/>
  <c r="H556" i="13"/>
  <c r="L556" i="13"/>
  <c r="J509" i="13"/>
  <c r="N494" i="13"/>
  <c r="N46" i="13"/>
  <c r="F76" i="13"/>
  <c r="R72" i="13"/>
  <c r="P30" i="13"/>
  <c r="R17" i="13"/>
  <c r="F22" i="13"/>
  <c r="R33" i="13"/>
  <c r="F38" i="13"/>
  <c r="R49" i="13"/>
  <c r="F54" i="13"/>
  <c r="R94" i="13"/>
  <c r="R74" i="13"/>
  <c r="J30" i="13"/>
  <c r="J46" i="13"/>
  <c r="L76" i="13"/>
  <c r="J151" i="13"/>
  <c r="R20" i="13"/>
  <c r="J90" i="13"/>
  <c r="F83" i="13"/>
  <c r="R189" i="13"/>
  <c r="N83" i="13"/>
  <c r="J224" i="13"/>
  <c r="T90" i="13"/>
  <c r="R139" i="13"/>
  <c r="R222" i="13"/>
  <c r="R277" i="13"/>
  <c r="F305" i="13"/>
  <c r="R317" i="13"/>
  <c r="R365" i="13"/>
  <c r="N337" i="13"/>
  <c r="R374" i="13"/>
  <c r="J361" i="13"/>
  <c r="R371" i="13"/>
  <c r="R386" i="13"/>
  <c r="R425" i="13"/>
  <c r="R388" i="13"/>
  <c r="R475" i="13"/>
  <c r="T494" i="13"/>
  <c r="H494" i="13"/>
  <c r="J494" i="13"/>
  <c r="L494" i="13"/>
  <c r="R429" i="13" l="1"/>
  <c r="R164" i="13"/>
  <c r="P476" i="13"/>
  <c r="H538" i="13"/>
  <c r="R268" i="13"/>
  <c r="L216" i="13"/>
  <c r="R206" i="13"/>
  <c r="R434" i="13"/>
  <c r="R191" i="13"/>
  <c r="L167" i="13"/>
  <c r="N558" i="13"/>
  <c r="T489" i="13"/>
  <c r="R204" i="13"/>
  <c r="N272" i="13"/>
  <c r="R255" i="13"/>
  <c r="N208" i="13"/>
  <c r="R142" i="13"/>
  <c r="N430" i="13"/>
  <c r="R325" i="13"/>
  <c r="R269" i="13"/>
  <c r="R52" i="13"/>
  <c r="J131" i="13"/>
  <c r="H552" i="13"/>
  <c r="R444" i="13"/>
  <c r="R244" i="13"/>
  <c r="F256" i="13"/>
  <c r="R75" i="13"/>
  <c r="N224" i="13"/>
  <c r="J502" i="13"/>
  <c r="R447" i="13"/>
  <c r="R129" i="13"/>
  <c r="J216" i="13"/>
  <c r="J261" i="13" s="1"/>
  <c r="P552" i="13"/>
  <c r="P430" i="13"/>
  <c r="J546" i="13"/>
  <c r="T538" i="13"/>
  <c r="P340" i="13"/>
  <c r="R321" i="13"/>
  <c r="R416" i="13"/>
  <c r="N248" i="13"/>
  <c r="T340" i="13"/>
  <c r="R360" i="13"/>
  <c r="N329" i="13"/>
  <c r="L159" i="13"/>
  <c r="J558" i="13"/>
  <c r="R427" i="13"/>
  <c r="L143" i="13"/>
  <c r="L329" i="13"/>
  <c r="R188" i="13"/>
  <c r="R19" i="13"/>
  <c r="R509" i="13"/>
  <c r="J452" i="13"/>
  <c r="R391" i="13"/>
  <c r="N22" i="13"/>
  <c r="T552" i="13"/>
  <c r="R373" i="13"/>
  <c r="R246" i="13"/>
  <c r="L46" i="13"/>
  <c r="L544" i="13"/>
  <c r="R275" i="13"/>
  <c r="F280" i="13"/>
  <c r="R97" i="13"/>
  <c r="R50" i="13"/>
  <c r="R149" i="13"/>
  <c r="N482" i="13"/>
  <c r="L280" i="13"/>
  <c r="L54" i="13"/>
  <c r="R480" i="13"/>
  <c r="R385" i="13"/>
  <c r="N280" i="13"/>
  <c r="H97" i="13"/>
  <c r="J329" i="13"/>
  <c r="L248" i="13"/>
  <c r="R375" i="13"/>
  <c r="N368" i="13"/>
  <c r="P169" i="13"/>
  <c r="R554" i="13"/>
  <c r="L305" i="13"/>
  <c r="P131" i="13"/>
  <c r="L548" i="13"/>
  <c r="T548" i="13"/>
  <c r="R479" i="13"/>
  <c r="F482" i="13"/>
  <c r="R387" i="13"/>
  <c r="R212" i="13"/>
  <c r="R205" i="13"/>
  <c r="R389" i="13"/>
  <c r="R436" i="13"/>
  <c r="R328" i="13"/>
  <c r="R270" i="13"/>
  <c r="L558" i="13"/>
  <c r="R487" i="13"/>
  <c r="R300" i="13"/>
  <c r="R219" i="13"/>
  <c r="F224" i="13"/>
  <c r="T261" i="13"/>
  <c r="H476" i="13"/>
  <c r="F558" i="13"/>
  <c r="L361" i="13"/>
  <c r="N489" i="13"/>
  <c r="L200" i="13"/>
  <c r="R443" i="13"/>
  <c r="F430" i="13"/>
  <c r="R415" i="13"/>
  <c r="R214" i="13"/>
  <c r="T131" i="13"/>
  <c r="L151" i="13"/>
  <c r="F192" i="13"/>
  <c r="R437" i="13"/>
  <c r="F167" i="13"/>
  <c r="R556" i="13"/>
  <c r="R393" i="13"/>
  <c r="N97" i="13"/>
  <c r="F216" i="13"/>
  <c r="R423" i="13"/>
  <c r="R310" i="13"/>
  <c r="F272" i="13"/>
  <c r="R267" i="13"/>
  <c r="R445" i="13"/>
  <c r="R419" i="13"/>
  <c r="R301" i="13"/>
  <c r="R424" i="13"/>
  <c r="R392" i="13"/>
  <c r="R247" i="13"/>
  <c r="R428" i="13"/>
  <c r="H169" i="13"/>
  <c r="R198" i="13"/>
  <c r="R29" i="13"/>
  <c r="R442" i="13"/>
  <c r="L256" i="13"/>
  <c r="R473" i="13"/>
  <c r="R128" i="13"/>
  <c r="R165" i="13"/>
  <c r="N111" i="13"/>
  <c r="R472" i="13"/>
  <c r="R449" i="13"/>
  <c r="R357" i="13"/>
  <c r="F361" i="13"/>
  <c r="R253" i="13"/>
  <c r="H489" i="13"/>
  <c r="R422" i="13"/>
  <c r="R34" i="13"/>
  <c r="N552" i="13"/>
  <c r="L489" i="13"/>
  <c r="P544" i="13"/>
  <c r="H22" i="13"/>
  <c r="N54" i="13"/>
  <c r="N305" i="13"/>
  <c r="R162" i="13"/>
  <c r="F200" i="13"/>
  <c r="H430" i="13"/>
  <c r="R156" i="13"/>
  <c r="P452" i="13"/>
  <c r="P546" i="13"/>
  <c r="R276" i="13"/>
  <c r="R372" i="13"/>
  <c r="R304" i="13"/>
  <c r="R339" i="13"/>
  <c r="T509" i="13"/>
  <c r="J548" i="13"/>
  <c r="N377" i="13"/>
  <c r="R245" i="13"/>
  <c r="R155" i="13"/>
  <c r="J430" i="13"/>
  <c r="F368" i="13"/>
  <c r="R364" i="13"/>
  <c r="L430" i="13"/>
  <c r="R279" i="13"/>
  <c r="F489" i="13"/>
  <c r="L377" i="13"/>
  <c r="L224" i="13"/>
  <c r="R138" i="13"/>
  <c r="R28" i="13"/>
  <c r="R140" i="13"/>
  <c r="R471" i="13"/>
  <c r="F476" i="13"/>
  <c r="R448" i="13"/>
  <c r="R451" i="13"/>
  <c r="R278" i="13"/>
  <c r="R326" i="13"/>
  <c r="R439" i="13"/>
  <c r="R332" i="13"/>
  <c r="F337" i="13"/>
  <c r="N192" i="13"/>
  <c r="J159" i="13"/>
  <c r="R254" i="13"/>
  <c r="R494" i="13"/>
  <c r="R418" i="13"/>
  <c r="R474" i="13"/>
  <c r="R110" i="13"/>
  <c r="R195" i="13"/>
  <c r="P534" i="13"/>
  <c r="R150" i="13"/>
  <c r="P261" i="13"/>
  <c r="L395" i="13"/>
  <c r="N548" i="13"/>
  <c r="J476" i="13"/>
  <c r="F552" i="13"/>
  <c r="H544" i="13"/>
  <c r="L538" i="13"/>
  <c r="L192" i="13"/>
  <c r="R26" i="13"/>
  <c r="R215" i="13"/>
  <c r="R81" i="13"/>
  <c r="F248" i="13"/>
  <c r="N361" i="13"/>
  <c r="T536" i="13"/>
  <c r="R89" i="13"/>
  <c r="R45" i="13"/>
  <c r="N476" i="13"/>
  <c r="L272" i="13"/>
  <c r="N216" i="13"/>
  <c r="R199" i="13"/>
  <c r="F46" i="13"/>
  <c r="N452" i="13"/>
  <c r="H329" i="13"/>
  <c r="L313" i="13"/>
  <c r="H558" i="13"/>
  <c r="R502" i="13"/>
  <c r="L83" i="13"/>
  <c r="L502" i="13"/>
  <c r="R376" i="13"/>
  <c r="F329" i="13"/>
  <c r="L30" i="13"/>
  <c r="R335" i="13"/>
  <c r="R488" i="13"/>
  <c r="T169" i="13"/>
  <c r="R311" i="13"/>
  <c r="L476" i="13"/>
  <c r="P548" i="13"/>
  <c r="H261" i="13"/>
  <c r="R336" i="13"/>
  <c r="R438" i="13"/>
  <c r="F534" i="13"/>
  <c r="R109" i="13"/>
  <c r="R303" i="13"/>
  <c r="R426" i="13"/>
  <c r="T534" i="13"/>
  <c r="H548" i="13"/>
  <c r="F452" i="13"/>
  <c r="R433" i="13"/>
  <c r="R22" i="13"/>
  <c r="T476" i="13"/>
  <c r="R367" i="13"/>
  <c r="R258" i="13"/>
  <c r="L38" i="13"/>
  <c r="P558" i="13"/>
  <c r="R435" i="13"/>
  <c r="R141" i="13"/>
  <c r="R100" i="13"/>
  <c r="F104" i="13"/>
  <c r="L22" i="13"/>
  <c r="N30" i="13"/>
  <c r="J544" i="13"/>
  <c r="R220" i="13"/>
  <c r="N159" i="13"/>
  <c r="H395" i="13"/>
  <c r="T544" i="13"/>
  <c r="R82" i="13"/>
  <c r="F548" i="13"/>
  <c r="L208" i="13"/>
  <c r="L368" i="13"/>
  <c r="H337" i="13"/>
  <c r="R203" i="13"/>
  <c r="N395" i="13"/>
  <c r="N167" i="13"/>
  <c r="J534" i="13"/>
  <c r="R46" i="13" l="1"/>
  <c r="R489" i="13"/>
  <c r="J340" i="13"/>
  <c r="R38" i="13"/>
  <c r="R192" i="13"/>
  <c r="N534" i="13"/>
  <c r="R452" i="13"/>
  <c r="F340" i="13"/>
  <c r="F538" i="13"/>
  <c r="N169" i="13"/>
  <c r="L542" i="13"/>
  <c r="R395" i="13"/>
  <c r="R548" i="13"/>
  <c r="R143" i="13"/>
  <c r="R167" i="13"/>
  <c r="H546" i="13"/>
  <c r="H542" i="13"/>
  <c r="P133" i="13"/>
  <c r="N542" i="13"/>
  <c r="R256" i="13"/>
  <c r="R552" i="13"/>
  <c r="L536" i="13"/>
  <c r="L546" i="13"/>
  <c r="T133" i="13"/>
  <c r="J169" i="13"/>
  <c r="J552" i="13"/>
  <c r="J536" i="13"/>
  <c r="R208" i="13"/>
  <c r="T542" i="13"/>
  <c r="N538" i="13"/>
  <c r="R90" i="13"/>
  <c r="H340" i="13"/>
  <c r="J542" i="13"/>
  <c r="N261" i="13"/>
  <c r="F542" i="13"/>
  <c r="R248" i="13"/>
  <c r="R313" i="13"/>
  <c r="R224" i="13"/>
  <c r="J538" i="13"/>
  <c r="P536" i="13"/>
  <c r="R111" i="13"/>
  <c r="R76" i="13"/>
  <c r="R377" i="13"/>
  <c r="T379" i="13"/>
  <c r="L552" i="13"/>
  <c r="L340" i="13"/>
  <c r="R200" i="13"/>
  <c r="R476" i="13"/>
  <c r="T558" i="13"/>
  <c r="P538" i="13"/>
  <c r="R361" i="13"/>
  <c r="R430" i="13"/>
  <c r="R83" i="13"/>
  <c r="R305" i="13"/>
  <c r="R482" i="13"/>
  <c r="L131" i="13"/>
  <c r="F131" i="13"/>
  <c r="F546" i="13"/>
  <c r="R368" i="13"/>
  <c r="H131" i="13"/>
  <c r="F261" i="13"/>
  <c r="F536" i="13"/>
  <c r="R280" i="13"/>
  <c r="R30" i="13"/>
  <c r="R558" i="13"/>
  <c r="N536" i="13"/>
  <c r="T546" i="13"/>
  <c r="R54" i="13"/>
  <c r="P542" i="13"/>
  <c r="F169" i="13"/>
  <c r="R329" i="13"/>
  <c r="L261" i="13"/>
  <c r="L534" i="13"/>
  <c r="H536" i="13"/>
  <c r="N544" i="13"/>
  <c r="N131" i="13"/>
  <c r="L169" i="13"/>
  <c r="J133" i="13"/>
  <c r="N340" i="13"/>
  <c r="R216" i="13"/>
  <c r="H534" i="13"/>
  <c r="R104" i="13"/>
  <c r="R151" i="13"/>
  <c r="R337" i="13"/>
  <c r="R272" i="13"/>
  <c r="N546" i="13"/>
  <c r="F544" i="13"/>
  <c r="P379" i="13"/>
  <c r="R159" i="13"/>
  <c r="R546" i="13" l="1"/>
  <c r="R131" i="13"/>
  <c r="R133" i="13" s="1"/>
  <c r="R261" i="13"/>
  <c r="J528" i="13"/>
  <c r="F133" i="13"/>
  <c r="F379" i="13"/>
  <c r="R542" i="13"/>
  <c r="J379" i="13"/>
  <c r="R536" i="13"/>
  <c r="P530" i="13"/>
  <c r="P381" i="13"/>
  <c r="N133" i="13"/>
  <c r="H133" i="13"/>
  <c r="L133" i="13"/>
  <c r="T530" i="13"/>
  <c r="T381" i="13"/>
  <c r="T528" i="13"/>
  <c r="T454" i="13"/>
  <c r="H379" i="13"/>
  <c r="L379" i="13"/>
  <c r="R169" i="13"/>
  <c r="R340" i="13"/>
  <c r="R534" i="13"/>
  <c r="R544" i="13"/>
  <c r="R538" i="13"/>
  <c r="P528" i="13"/>
  <c r="P454" i="13"/>
  <c r="N379" i="13"/>
  <c r="L530" i="13" l="1"/>
  <c r="L381" i="13"/>
  <c r="H530" i="13"/>
  <c r="H381" i="13"/>
  <c r="F530" i="13"/>
  <c r="F381" i="13"/>
  <c r="L454" i="13"/>
  <c r="L528" i="13"/>
  <c r="T496" i="13"/>
  <c r="P532" i="13"/>
  <c r="T532" i="13"/>
  <c r="H528" i="13"/>
  <c r="H454" i="13"/>
  <c r="F528" i="13"/>
  <c r="F454" i="13"/>
  <c r="J530" i="13"/>
  <c r="J381" i="13"/>
  <c r="P496" i="13"/>
  <c r="N530" i="13"/>
  <c r="N381" i="13"/>
  <c r="R379" i="13"/>
  <c r="R454" i="13" s="1"/>
  <c r="N528" i="13"/>
  <c r="N454" i="13"/>
  <c r="J454" i="13"/>
  <c r="R528" i="13"/>
  <c r="R496" i="13" l="1"/>
  <c r="J496" i="13"/>
  <c r="F532" i="13"/>
  <c r="T511" i="13"/>
  <c r="R530" i="13"/>
  <c r="R381" i="13"/>
  <c r="L496" i="13"/>
  <c r="F496" i="13"/>
  <c r="P540" i="13"/>
  <c r="P511" i="13"/>
  <c r="N496" i="13"/>
  <c r="H496" i="13"/>
  <c r="T540" i="13"/>
  <c r="J532" i="13"/>
  <c r="N532" i="13"/>
  <c r="H532" i="13"/>
  <c r="L532" i="13"/>
  <c r="R511" i="13" l="1"/>
  <c r="L540" i="13"/>
  <c r="H511" i="13"/>
  <c r="F511" i="13"/>
  <c r="N511" i="13"/>
  <c r="R532" i="13"/>
  <c r="F540" i="13"/>
  <c r="P550" i="13"/>
  <c r="H540" i="13"/>
  <c r="N540" i="13"/>
  <c r="T550" i="13"/>
  <c r="L511" i="13"/>
  <c r="J540" i="13"/>
  <c r="J511" i="13"/>
  <c r="L550" i="13" l="1"/>
  <c r="P560" i="13"/>
  <c r="P562" i="13" s="1"/>
  <c r="R540" i="13"/>
  <c r="N550" i="13"/>
  <c r="J550" i="13"/>
  <c r="H550" i="13"/>
  <c r="T560" i="13"/>
  <c r="T562" i="13" s="1"/>
  <c r="F550" i="13"/>
  <c r="T561" i="13" l="1"/>
  <c r="R550" i="13"/>
  <c r="H560" i="13"/>
  <c r="H562" i="13" s="1"/>
  <c r="P561" i="13"/>
  <c r="J560" i="13"/>
  <c r="J562" i="13" s="1"/>
  <c r="L560" i="13"/>
  <c r="L562" i="13" s="1"/>
  <c r="F560" i="13"/>
  <c r="F562" i="13" s="1"/>
  <c r="N560" i="13"/>
  <c r="N562" i="13" s="1"/>
  <c r="J561" i="13" l="1"/>
  <c r="H561" i="13"/>
  <c r="N561" i="13"/>
  <c r="R560" i="13"/>
  <c r="R562" i="13" s="1"/>
  <c r="F561" i="13"/>
  <c r="L561" i="13"/>
  <c r="R561" i="13" l="1"/>
</calcChain>
</file>

<file path=xl/sharedStrings.xml><?xml version="1.0" encoding="utf-8"?>
<sst xmlns="http://schemas.openxmlformats.org/spreadsheetml/2006/main" count="1414" uniqueCount="647">
  <si>
    <t>SCHEDULE B-09</t>
  </si>
  <si>
    <t>DEPRECIATION RESERVE BALANCES BY ACCOUNT AND SUB-ACCOUNT</t>
  </si>
  <si>
    <t>FLORIDA PUBLIC SERVICE COMMISSION</t>
  </si>
  <si>
    <t xml:space="preserve">                  EXPLANATION:</t>
  </si>
  <si>
    <t>Provide the depreciation reserve balances for each account or sub-account to which</t>
  </si>
  <si>
    <t>Type of data shown:</t>
  </si>
  <si>
    <t>an individual depreciation rate is applied. (Include Amortization/Recovery amounts).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</si>
  <si>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</si>
  <si>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</si>
  <si>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</si>
  <si>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</si>
  <si>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</si>
  <si>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</si>
  <si>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</si>
  <si>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</si>
  <si>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</si>
  <si>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</si>
  <si>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</si>
  <si>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</si>
  <si>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</si>
  <si>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</si>
  <si>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</si>
  <si>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</si>
  <si>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Account/</t>
  </si>
  <si>
    <t>Accumulated</t>
  </si>
  <si>
    <t>Total</t>
  </si>
  <si>
    <t>Line</t>
  </si>
  <si>
    <t>Sub-account</t>
  </si>
  <si>
    <t>Depreciation</t>
  </si>
  <si>
    <t>Gross</t>
  </si>
  <si>
    <t>Adjustments</t>
  </si>
  <si>
    <t>13-Month</t>
  </si>
  <si>
    <t>No.</t>
  </si>
  <si>
    <t>Number</t>
  </si>
  <si>
    <t>Title</t>
  </si>
  <si>
    <t>Beg. of Year</t>
  </si>
  <si>
    <t>Accrued</t>
  </si>
  <si>
    <t>Retirements</t>
  </si>
  <si>
    <t>COR</t>
  </si>
  <si>
    <t>Salvage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</si>
  <si>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</si>
  <si>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</si>
  <si>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</si>
  <si>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</si>
  <si>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</si>
  <si>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</si>
  <si>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</si>
  <si>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</si>
  <si>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</si>
  <si>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</si>
  <si>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</si>
  <si>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</si>
  <si>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</si>
  <si>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</si>
  <si>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</si>
  <si>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</si>
  <si>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</si>
  <si>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</si>
  <si>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</si>
  <si>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</si>
  <si>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</si>
  <si>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B-10,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</si>
  <si>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</si>
  <si>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</si>
  <si>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</si>
  <si>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</si>
  <si>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</si>
  <si>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</si>
  <si>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</si>
  <si>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</si>
  <si>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</si>
  <si>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</si>
  <si>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</si>
  <si>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</si>
  <si>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</si>
  <si>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</si>
  <si>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</si>
  <si>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</si>
  <si>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</si>
  <si>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</si>
  <si>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</si>
  <si>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</si>
  <si>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</si>
  <si>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</si>
  <si>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</si>
  <si>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</si>
  <si>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</si>
  <si>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</si>
  <si>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</si>
  <si>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</si>
  <si>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</si>
  <si>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</si>
  <si>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</si>
  <si>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</si>
  <si>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</si>
  <si>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</si>
  <si>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</si>
  <si>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</si>
  <si>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</si>
  <si>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</si>
  <si>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</si>
  <si>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</si>
  <si>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</si>
  <si>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</si>
  <si>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</si>
  <si>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</si>
  <si>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</si>
  <si>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</si>
  <si>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</si>
  <si>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</si>
  <si>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</si>
  <si>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</si>
  <si>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</si>
  <si>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</si>
  <si>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</si>
  <si>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</si>
  <si>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</si>
  <si>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</si>
  <si>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</si>
  <si>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</si>
  <si>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</si>
  <si>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</si>
  <si>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</si>
  <si>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</si>
  <si>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</si>
  <si>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</si>
  <si>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</si>
  <si>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</si>
  <si>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</si>
  <si>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</si>
  <si>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</si>
  <si>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</si>
  <si>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</si>
  <si>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</si>
  <si>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</si>
  <si>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</si>
  <si>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</si>
  <si>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</si>
  <si>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</si>
  <si>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</si>
  <si>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</si>
  <si>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</si>
  <si>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</si>
  <si>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</si>
  <si>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</si>
  <si>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</si>
  <si>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</si>
  <si>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</si>
  <si>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</si>
  <si>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</si>
  <si>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</si>
  <si>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</si>
  <si>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</si>
  <si>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</si>
  <si>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</si>
  <si>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</si>
  <si>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</si>
  <si>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</si>
  <si>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</si>
  <si>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</si>
  <si>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</si>
  <si>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</si>
  <si>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</si>
  <si>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</si>
  <si>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</si>
  <si>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</si>
  <si>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</si>
  <si>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</si>
  <si>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</si>
  <si>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</si>
  <si>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</si>
  <si>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</si>
  <si>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</si>
  <si>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</si>
  <si>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</si>
  <si>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</si>
  <si>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</si>
  <si>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</si>
  <si>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</si>
  <si>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RESERVE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</si>
  <si>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</si>
  <si>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</si>
  <si>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</si>
  <si>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</si>
  <si>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</si>
  <si>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</si>
  <si>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</si>
  <si>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</si>
  <si>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</si>
  <si>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</si>
  <si>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</si>
  <si>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</si>
  <si>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</si>
  <si>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</si>
  <si>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</si>
  <si>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</si>
  <si>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</si>
  <si>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</si>
  <si>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</si>
  <si>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</si>
  <si>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</si>
  <si>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</si>
  <si>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</si>
  <si>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</si>
  <si>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RESERVE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</si>
  <si>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</si>
  <si>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</si>
  <si>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</si>
  <si>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</si>
  <si>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</si>
  <si>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</si>
  <si>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</si>
  <si>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</si>
  <si>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</si>
  <si>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</si>
  <si>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RESERVE</t>
  </si>
  <si>
    <t>TOTAL NON-DEPRECIABLE PROPERTY</t>
  </si>
  <si>
    <t>Annual Status Report</t>
  </si>
  <si>
    <t>Annual</t>
  </si>
  <si>
    <t>B-7</t>
  </si>
  <si>
    <t>Plant</t>
  </si>
  <si>
    <t>B-9</t>
  </si>
  <si>
    <t>Reserve</t>
  </si>
  <si>
    <t>Activity</t>
  </si>
  <si>
    <t>EOP</t>
  </si>
  <si>
    <t>Depr</t>
  </si>
  <si>
    <t>Account</t>
  </si>
  <si>
    <t>PowerPlant Depr Group</t>
  </si>
  <si>
    <t>Additions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</si>
  <si>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</si>
  <si>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</si>
  <si>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</si>
  <si>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</si>
  <si>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</si>
  <si>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</si>
  <si>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</si>
  <si>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</si>
  <si>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</si>
  <si>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</si>
  <si>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Draft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</si>
  <si>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</si>
  <si>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</si>
  <si>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</si>
  <si>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</si>
  <si>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</si>
  <si>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</si>
  <si>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</si>
  <si>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</si>
  <si>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</si>
  <si>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</si>
  <si>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</si>
  <si>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</si>
  <si>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</si>
  <si>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</si>
  <si>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</si>
  <si>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</si>
  <si>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</si>
  <si>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</si>
  <si>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</si>
  <si>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</si>
  <si>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</si>
  <si>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</si>
  <si>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</si>
  <si>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</si>
  <si>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</si>
  <si>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</si>
  <si>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</si>
  <si>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</si>
  <si>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</si>
  <si>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</si>
  <si>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</si>
  <si>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</si>
  <si>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</si>
  <si>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</si>
  <si>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</si>
  <si>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</si>
  <si>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</si>
  <si>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</si>
  <si>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</si>
  <si>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</si>
  <si>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</si>
  <si>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</si>
  <si>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</si>
  <si>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</si>
  <si>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</si>
  <si>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</si>
  <si>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</si>
  <si>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</si>
  <si>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</si>
  <si>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</si>
  <si>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</si>
  <si>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</si>
  <si>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</si>
  <si>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</si>
  <si>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</si>
  <si>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</si>
  <si>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</si>
  <si>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</si>
  <si>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</si>
  <si>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</si>
  <si>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</si>
  <si>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</si>
  <si>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</si>
  <si>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</si>
  <si>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</si>
  <si>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</si>
  <si>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</si>
  <si>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</si>
  <si>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</si>
  <si>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</si>
  <si>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</si>
  <si>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</si>
  <si>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</si>
  <si>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</si>
  <si>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</si>
  <si>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</si>
  <si>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</si>
  <si>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</si>
  <si>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</si>
  <si>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</si>
  <si>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</si>
  <si>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</si>
  <si>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</si>
  <si>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</si>
  <si>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</si>
  <si>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</si>
  <si>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</si>
  <si>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</si>
  <si>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</si>
  <si>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</si>
  <si>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</si>
  <si>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</si>
  <si>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</si>
  <si>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</si>
  <si>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</si>
  <si>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</si>
  <si>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</si>
  <si>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</si>
  <si>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</si>
  <si>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</si>
  <si>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</si>
  <si>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</si>
  <si>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</si>
  <si>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</si>
  <si>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</si>
  <si>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</si>
  <si>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</si>
  <si>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</si>
  <si>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</si>
  <si>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</si>
  <si>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</si>
  <si>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</si>
  <si>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</si>
  <si>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</si>
  <si>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</si>
  <si>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</si>
  <si>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</si>
  <si>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</si>
  <si>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</si>
  <si>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</si>
  <si>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</si>
  <si>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</si>
  <si>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</si>
  <si>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</si>
  <si>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</si>
  <si>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</si>
  <si>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</si>
  <si>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</si>
  <si>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</si>
  <si>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</si>
  <si>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</si>
  <si>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</si>
  <si>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</si>
  <si>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</si>
  <si>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</si>
  <si>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</si>
  <si>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</si>
  <si>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</si>
  <si>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</si>
  <si>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</si>
  <si>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</si>
  <si>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</si>
  <si>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</si>
  <si>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</si>
  <si>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</si>
  <si>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</si>
  <si>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</si>
  <si>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</si>
  <si>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</si>
  <si>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</si>
  <si>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</si>
  <si>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</si>
  <si>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</si>
  <si>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</si>
  <si>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</si>
  <si>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</si>
  <si>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</si>
  <si>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</si>
  <si>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</si>
  <si>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</si>
  <si>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</si>
  <si>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</si>
  <si>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</si>
  <si>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</si>
  <si>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</si>
  <si>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</si>
  <si>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</si>
  <si>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</si>
  <si>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</si>
  <si>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</si>
  <si>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</si>
  <si>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</si>
  <si>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</si>
  <si>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</si>
  <si>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</si>
  <si>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</si>
  <si>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</si>
  <si>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</si>
  <si>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</si>
  <si>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</si>
  <si>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</si>
  <si>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</si>
  <si>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</si>
  <si>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</si>
  <si>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</si>
  <si>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</si>
  <si>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</si>
  <si>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</si>
  <si>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</si>
  <si>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</si>
  <si>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</si>
  <si>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</si>
  <si>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</si>
  <si>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</si>
  <si>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</si>
  <si>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</si>
  <si>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</si>
  <si>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</si>
  <si>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</si>
  <si>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</si>
  <si>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</si>
  <si>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</si>
  <si>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</si>
  <si>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</si>
  <si>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</si>
  <si>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</si>
  <si>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</si>
  <si>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</si>
  <si>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</si>
  <si>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</si>
  <si>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</si>
  <si>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</si>
  <si>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</si>
  <si>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</si>
  <si>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</si>
  <si>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</si>
  <si>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</si>
  <si>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</si>
  <si>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</si>
  <si>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</si>
  <si>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</si>
  <si>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</si>
  <si>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</si>
  <si>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</si>
  <si>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</si>
  <si>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</si>
  <si>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</si>
  <si>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</si>
  <si>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</si>
  <si>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</si>
  <si>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</si>
  <si>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</si>
  <si>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</si>
  <si>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</si>
  <si>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</si>
  <si>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</si>
  <si>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</si>
  <si>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</si>
  <si>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</si>
  <si>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</si>
  <si>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</si>
  <si>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</si>
  <si>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</si>
  <si>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</si>
  <si>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</si>
  <si>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</si>
  <si>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</si>
  <si>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</si>
  <si>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</si>
  <si>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</si>
  <si>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</si>
  <si>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</si>
  <si>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</si>
  <si>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</si>
  <si>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</si>
  <si>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</si>
  <si>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</si>
  <si>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</si>
  <si>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</si>
  <si>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</si>
  <si>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</si>
  <si>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</si>
  <si>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</si>
  <si>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</si>
  <si>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</si>
  <si>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</si>
  <si>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</si>
  <si>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</si>
  <si>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</si>
  <si>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</si>
  <si>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</si>
  <si>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</si>
  <si>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</si>
  <si>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</si>
  <si>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</si>
  <si>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</si>
  <si>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</si>
  <si>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</si>
  <si>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</si>
  <si>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</si>
  <si>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</si>
  <si>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</si>
  <si>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</si>
  <si>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</si>
  <si>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</si>
  <si>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</si>
  <si>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</si>
  <si>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</si>
  <si>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</si>
  <si>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</si>
  <si>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</si>
  <si>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</si>
  <si>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</si>
  <si>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</si>
  <si>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</si>
  <si>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</si>
  <si>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</si>
  <si>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</si>
  <si>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</si>
  <si>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</si>
  <si>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PHFFU</t>
  </si>
  <si>
    <t>Dismantlement</t>
  </si>
  <si>
    <t>114 / 115</t>
  </si>
  <si>
    <t>Acquisition Adjustments</t>
  </si>
  <si>
    <t>121 / 122</t>
  </si>
  <si>
    <t>Non-Utility</t>
  </si>
  <si>
    <t>101 / 111</t>
  </si>
  <si>
    <t>SOFTWARE - Intangibles</t>
  </si>
  <si>
    <t>101 / 108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</si>
  <si>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</si>
  <si>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</si>
  <si>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</si>
  <si>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</si>
  <si>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</si>
  <si>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</si>
  <si>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</si>
  <si>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</si>
  <si>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</si>
  <si>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</si>
  <si>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</si>
  <si>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</si>
  <si>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</si>
  <si>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</si>
  <si>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</si>
  <si>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</si>
  <si>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</si>
  <si>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Dismantlement Reserve 2023 AUG and 8+4 Forecast - Final.xlsx</t>
  </si>
  <si>
    <t>Actual</t>
  </si>
  <si>
    <t>Forecast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</si>
  <si>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</si>
  <si>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</si>
  <si>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</si>
  <si>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</si>
  <si>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</si>
  <si>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</si>
  <si>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</si>
  <si>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</si>
  <si>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</si>
  <si>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</si>
  <si>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</si>
  <si>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</si>
  <si>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13-Mth</t>
  </si>
  <si>
    <t>BALANCE COMBINED</t>
  </si>
  <si>
    <t>Bayside Common</t>
  </si>
  <si>
    <t>Bayside Unit #1 (3xGT - HSRG - ST)</t>
  </si>
  <si>
    <t>Bayside Unit #2 (4xGT - HSRG - ST)</t>
  </si>
  <si>
    <t>Bayside GT's 3-6</t>
  </si>
  <si>
    <t>Big Bend Common (Handling)</t>
  </si>
  <si>
    <t>Big Bend Unit #4</t>
  </si>
  <si>
    <t>Big Bend GT 4</t>
  </si>
  <si>
    <t>Big Bend GT's 5-6 (and Unit 1 CCST)</t>
  </si>
  <si>
    <t>Polk Common (Handling)</t>
  </si>
  <si>
    <t>Polk Unit #1 (Gasifier - GT - HRSG - ST)</t>
  </si>
  <si>
    <t>Polk 2-5 (4xGT - HRSG - ST)</t>
  </si>
  <si>
    <t>Tampa International</t>
  </si>
  <si>
    <t>Big Bend Solar</t>
  </si>
  <si>
    <t>Legoland Solar</t>
  </si>
  <si>
    <t>Balm Solar</t>
  </si>
  <si>
    <t>Bonnie Mine Solar</t>
  </si>
  <si>
    <t>Grange Hall Solar</t>
  </si>
  <si>
    <t>Lake Hancock Solar</t>
  </si>
  <si>
    <t>Lithia Solar</t>
  </si>
  <si>
    <t>Little Manatee River Solar</t>
  </si>
  <si>
    <t>Payne Creek Solar</t>
  </si>
  <si>
    <t>Peace Creek Solar</t>
  </si>
  <si>
    <t>Wimauma Solar</t>
  </si>
  <si>
    <t>Big Bend Unit #1</t>
  </si>
  <si>
    <t>CETM - when reserve balance goes positive = reserve adjust depr group 108.03 to CETM GL Account 1822211 … so balance = $0</t>
  </si>
  <si>
    <t>Big Bend Unit #2</t>
  </si>
  <si>
    <t>Big Bend Unit #3</t>
  </si>
  <si>
    <t>City of Tampa</t>
  </si>
  <si>
    <t>Phillips Station</t>
  </si>
  <si>
    <t>Gannon Power Station</t>
  </si>
  <si>
    <t>G/L 10803</t>
  </si>
  <si>
    <t>Steam Plant  Split</t>
  </si>
  <si>
    <t>Other Plant Split</t>
  </si>
  <si>
    <t>Check SOP worksht</t>
  </si>
  <si>
    <t>Depr Group 108.03</t>
  </si>
  <si>
    <t>Combined Balance</t>
  </si>
  <si>
    <t>Balance COR</t>
  </si>
  <si>
    <t>Balance SALV</t>
  </si>
  <si>
    <t>Combined Balance Steam vs Other</t>
  </si>
  <si>
    <t>Steam</t>
  </si>
  <si>
    <t>Combined Accrual</t>
  </si>
  <si>
    <t>Accrual COR</t>
  </si>
  <si>
    <t>Accrual SALV</t>
  </si>
  <si>
    <t>Combined Accrual Steam vs Other</t>
  </si>
  <si>
    <t>Combined Spend</t>
  </si>
  <si>
    <t>Spend COR</t>
  </si>
  <si>
    <t>Spend SALV</t>
  </si>
  <si>
    <t>Combined Spend Steam vs Other</t>
  </si>
  <si>
    <t>Combined CETM Xfer</t>
  </si>
  <si>
    <t>CETM Xfer COR</t>
  </si>
  <si>
    <t>CETM Xfer SALV</t>
  </si>
  <si>
    <t>Combined CETM Xfer Steam vs Other</t>
  </si>
  <si>
    <r>
      <t xml:space="preserve">Tricks and Tips … on B-09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</si>
  <si>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</si>
  <si>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Double check totals tie back to source</t>
  </si>
  <si>
    <t>10803 FOSSIL DISMANTLING - OTHER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</si>
  <si>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</si>
  <si>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</si>
  <si>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</si>
  <si>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</si>
  <si>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</si>
  <si>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Witness: C. Aldazabal / N. Allis / J. Chronister</t>
  </si>
  <si>
    <t xml:space="preserve">             / R. Latta / K. Stryker / C. Whitworth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</si>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</sst>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[$-409]mmm\-yy;@"/>
    <numFmt numFmtId="170" formatCode="0.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3" fillId="0" borderId="0"/>
  </cellStyleXfs>
  <cellXfs count="196">
    <xf numFmtId="0" fontId="0" fillId="0" borderId="0" xfId="0"/>
    <xf numFmtId="166" fontId="0" fillId="0" borderId="0" xfId="3" applyNumberFormat="1" applyFont="1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7" fillId="0" borderId="0" xfId="3" applyNumberFormat="1" applyFont="1" applyFill="1"/>
    <xf numFmtId="165" fontId="7" fillId="0" borderId="0" xfId="4" applyNumberFormat="1" applyFont="1" applyFill="1" applyProtection="1">
      <protection locked="0"/>
    </xf>
    <xf numFmtId="4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43" fontId="7" fillId="0" borderId="0" xfId="3" applyFont="1" applyFill="1" applyAlignment="1">
      <alignment horizontal="right"/>
    </xf>
    <xf numFmtId="43" fontId="7" fillId="0" borderId="0" xfId="3" applyFont="1" applyFill="1"/>
    <xf numFmtId="166" fontId="7" fillId="0" borderId="5" xfId="3" applyNumberFormat="1" applyFont="1" applyFill="1" applyBorder="1"/>
    <xf numFmtId="166" fontId="7" fillId="0" borderId="3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 applyProtection="1">
      <alignment horizontal="right"/>
      <protection locked="0"/>
    </xf>
    <xf numFmtId="41" fontId="7" fillId="0" borderId="0" xfId="3" applyNumberFormat="1" applyFont="1" applyFill="1" applyAlignment="1">
      <alignment horizontal="right"/>
    </xf>
    <xf numFmtId="41" fontId="7" fillId="0" borderId="0" xfId="4" applyNumberFormat="1" applyFont="1" applyFill="1" applyAlignment="1" applyProtection="1">
      <alignment horizontal="right"/>
      <protection locked="0"/>
    </xf>
    <xf numFmtId="0" fontId="7" fillId="0" borderId="0" xfId="3" quotePrefix="1" applyNumberFormat="1" applyFont="1" applyFill="1" applyAlignment="1" applyProtection="1">
      <alignment horizontal="left"/>
      <protection locked="0"/>
    </xf>
    <xf numFmtId="166" fontId="7" fillId="0" borderId="3" xfId="3" applyNumberFormat="1" applyFont="1" applyFill="1" applyBorder="1"/>
    <xf numFmtId="166" fontId="7" fillId="0" borderId="4" xfId="3" applyNumberFormat="1" applyFont="1" applyFill="1" applyBorder="1"/>
    <xf numFmtId="43" fontId="7" fillId="0" borderId="1" xfId="3" quotePrefix="1" applyFont="1" applyFill="1" applyBorder="1" applyAlignment="1">
      <alignment horizontal="left"/>
    </xf>
    <xf numFmtId="41" fontId="7" fillId="0" borderId="0" xfId="4" applyNumberFormat="1" applyFont="1" applyFill="1" applyAlignment="1">
      <alignment horizontal="right"/>
    </xf>
    <xf numFmtId="41" fontId="7" fillId="0" borderId="3" xfId="3" applyNumberFormat="1" applyFont="1" applyFill="1" applyBorder="1" applyAlignment="1">
      <alignment horizontal="right"/>
    </xf>
    <xf numFmtId="166" fontId="7" fillId="0" borderId="0" xfId="3" quotePrefix="1" applyNumberFormat="1" applyFont="1" applyFill="1" applyAlignment="1">
      <alignment horizontal="center"/>
    </xf>
    <xf numFmtId="43" fontId="7" fillId="0" borderId="0" xfId="4" applyNumberFormat="1" applyFont="1" applyFill="1" applyProtection="1">
      <protection locked="0"/>
    </xf>
    <xf numFmtId="43" fontId="7" fillId="0" borderId="0" xfId="3" applyFont="1" applyFill="1" applyProtection="1">
      <protection locked="0"/>
    </xf>
    <xf numFmtId="166" fontId="7" fillId="0" borderId="4" xfId="3" applyNumberFormat="1" applyFont="1" applyFill="1" applyBorder="1" applyAlignment="1"/>
    <xf numFmtId="37" fontId="7" fillId="0" borderId="0" xfId="3" applyNumberFormat="1" applyFont="1" applyFill="1" applyAlignment="1">
      <alignment horizontal="center"/>
    </xf>
    <xf numFmtId="166" fontId="7" fillId="0" borderId="4" xfId="3" applyNumberFormat="1" applyFont="1" applyFill="1" applyBorder="1" applyAlignment="1">
      <alignment horizontal="right"/>
    </xf>
    <xf numFmtId="0" fontId="7" fillId="0" borderId="0" xfId="4" quotePrefix="1" applyNumberFormat="1" applyFont="1" applyFill="1" applyAlignment="1" applyProtection="1">
      <alignment horizontal="left"/>
      <protection locked="0"/>
    </xf>
    <xf numFmtId="0" fontId="7" fillId="0" borderId="0" xfId="3" applyNumberFormat="1" applyFont="1" applyFill="1" applyProtection="1">
      <protection locked="0"/>
    </xf>
    <xf numFmtId="165" fontId="7" fillId="0" borderId="0" xfId="3" applyNumberFormat="1" applyFont="1" applyFill="1" applyProtection="1">
      <protection locked="0"/>
    </xf>
    <xf numFmtId="0" fontId="7" fillId="0" borderId="0" xfId="3" applyNumberFormat="1" applyFont="1" applyFill="1"/>
    <xf numFmtId="165" fontId="7" fillId="0" borderId="0" xfId="3" applyNumberFormat="1" applyFont="1" applyFill="1"/>
    <xf numFmtId="0" fontId="7" fillId="0" borderId="0" xfId="4" applyNumberFormat="1" applyFont="1" applyFill="1" applyProtection="1">
      <protection locked="0"/>
    </xf>
    <xf numFmtId="166" fontId="7" fillId="0" borderId="0" xfId="3" applyNumberFormat="1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166" fontId="7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5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166" fontId="7" fillId="0" borderId="0" xfId="3" quotePrefix="1" applyNumberFormat="1" applyFont="1" applyFill="1" applyAlignment="1">
      <alignment horizontal="right"/>
    </xf>
    <xf numFmtId="166" fontId="7" fillId="0" borderId="9" xfId="3" applyNumberFormat="1" applyFont="1" applyFill="1" applyBorder="1"/>
    <xf numFmtId="166" fontId="7" fillId="0" borderId="9" xfId="3" applyNumberFormat="1" applyFont="1" applyFill="1" applyBorder="1" applyAlignment="1">
      <alignment horizontal="center"/>
    </xf>
    <xf numFmtId="166" fontId="7" fillId="0" borderId="9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8" fillId="0" borderId="0" xfId="0" applyFont="1"/>
    <xf numFmtId="0" fontId="11" fillId="0" borderId="0" xfId="0" applyFont="1"/>
    <xf numFmtId="41" fontId="7" fillId="0" borderId="0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/>
    <xf numFmtId="0" fontId="12" fillId="0" borderId="0" xfId="0" applyFont="1"/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0" fontId="12" fillId="0" borderId="0" xfId="1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/>
    <xf numFmtId="166" fontId="1" fillId="7" borderId="0" xfId="3" applyNumberFormat="1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10" borderId="0" xfId="0" applyFont="1" applyFill="1" applyAlignment="1">
      <alignment horizontal="center"/>
    </xf>
    <xf numFmtId="0" fontId="14" fillId="0" borderId="0" xfId="0" applyFont="1"/>
    <xf numFmtId="17" fontId="15" fillId="0" borderId="0" xfId="0" quotePrefix="1" applyNumberFormat="1" applyFont="1" applyAlignment="1">
      <alignment horizontal="left"/>
    </xf>
    <xf numFmtId="0" fontId="15" fillId="0" borderId="0" xfId="0" quotePrefix="1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9" fontId="3" fillId="2" borderId="0" xfId="3" applyNumberFormat="1" applyFont="1" applyFill="1" applyAlignment="1">
      <alignment horizontal="center"/>
    </xf>
    <xf numFmtId="0" fontId="17" fillId="2" borderId="5" xfId="0" applyFont="1" applyFill="1" applyBorder="1"/>
    <xf numFmtId="0" fontId="18" fillId="0" borderId="5" xfId="3" applyNumberFormat="1" applyFont="1" applyBorder="1" applyAlignment="1">
      <alignment horizontal="center"/>
    </xf>
    <xf numFmtId="169" fontId="3" fillId="2" borderId="5" xfId="3" applyNumberFormat="1" applyFont="1" applyFill="1" applyBorder="1" applyAlignment="1">
      <alignment horizontal="center"/>
    </xf>
    <xf numFmtId="0" fontId="2" fillId="0" borderId="0" xfId="0" applyFont="1"/>
    <xf numFmtId="43" fontId="1" fillId="0" borderId="0" xfId="3" applyFont="1"/>
    <xf numFmtId="0" fontId="1" fillId="2" borderId="0" xfId="0" applyFont="1" applyFill="1"/>
    <xf numFmtId="0" fontId="16" fillId="0" borderId="0" xfId="0" applyFont="1"/>
    <xf numFmtId="166" fontId="3" fillId="2" borderId="0" xfId="3" applyNumberFormat="1" applyFont="1" applyFill="1"/>
    <xf numFmtId="166" fontId="10" fillId="0" borderId="0" xfId="3" applyNumberFormat="1" applyFont="1"/>
    <xf numFmtId="166" fontId="0" fillId="0" borderId="0" xfId="3" applyNumberFormat="1" applyFont="1" applyFill="1"/>
    <xf numFmtId="0" fontId="3" fillId="2" borderId="0" xfId="0" applyFont="1" applyFill="1"/>
    <xf numFmtId="0" fontId="19" fillId="9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6" fontId="16" fillId="0" borderId="9" xfId="3" applyNumberFormat="1" applyFont="1" applyBorder="1"/>
    <xf numFmtId="166" fontId="16" fillId="2" borderId="9" xfId="3" applyNumberFormat="1" applyFont="1" applyFill="1" applyBorder="1"/>
    <xf numFmtId="0" fontId="16" fillId="0" borderId="0" xfId="0" quotePrefix="1" applyFont="1" applyAlignment="1">
      <alignment horizontal="left"/>
    </xf>
    <xf numFmtId="166" fontId="0" fillId="2" borderId="0" xfId="3" applyNumberFormat="1" applyFont="1" applyFill="1"/>
    <xf numFmtId="166" fontId="1" fillId="0" borderId="0" xfId="3" applyNumberFormat="1" applyFont="1" applyBorder="1"/>
    <xf numFmtId="166" fontId="1" fillId="2" borderId="0" xfId="3" applyNumberFormat="1" applyFont="1" applyFill="1" applyBorder="1"/>
    <xf numFmtId="0" fontId="3" fillId="5" borderId="0" xfId="0" applyFont="1" applyFill="1"/>
    <xf numFmtId="43" fontId="1" fillId="5" borderId="0" xfId="3" applyFont="1" applyFill="1"/>
    <xf numFmtId="37" fontId="1" fillId="5" borderId="0" xfId="0" applyNumberFormat="1" applyFont="1" applyFill="1"/>
    <xf numFmtId="0" fontId="3" fillId="2" borderId="0" xfId="0" quotePrefix="1" applyFont="1" applyFill="1" applyAlignment="1">
      <alignment horizontal="left"/>
    </xf>
    <xf numFmtId="166" fontId="20" fillId="2" borderId="0" xfId="3" applyNumberFormat="1" applyFont="1" applyFill="1"/>
    <xf numFmtId="166" fontId="20" fillId="0" borderId="0" xfId="3" applyNumberFormat="1" applyFont="1" applyFill="1"/>
    <xf numFmtId="166" fontId="3" fillId="0" borderId="9" xfId="0" applyNumberFormat="1" applyFont="1" applyBorder="1"/>
    <xf numFmtId="166" fontId="3" fillId="0" borderId="0" xfId="0" applyNumberFormat="1" applyFont="1"/>
    <xf numFmtId="166" fontId="3" fillId="0" borderId="9" xfId="3" applyNumberFormat="1" applyFont="1" applyBorder="1"/>
    <xf numFmtId="170" fontId="3" fillId="0" borderId="0" xfId="3" applyNumberFormat="1" applyFont="1" applyAlignment="1">
      <alignment horizontal="center"/>
    </xf>
    <xf numFmtId="170" fontId="3" fillId="4" borderId="0" xfId="3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/>
    <xf numFmtId="166" fontId="3" fillId="0" borderId="0" xfId="3" applyNumberFormat="1" applyFont="1"/>
    <xf numFmtId="166" fontId="3" fillId="0" borderId="10" xfId="0" applyNumberFormat="1" applyFont="1" applyBorder="1"/>
    <xf numFmtId="0" fontId="21" fillId="2" borderId="0" xfId="0" applyFont="1" applyFill="1"/>
    <xf numFmtId="0" fontId="22" fillId="0" borderId="0" xfId="0" applyFont="1"/>
    <xf numFmtId="166" fontId="22" fillId="0" borderId="0" xfId="3" applyNumberFormat="1" applyFont="1"/>
    <xf numFmtId="166" fontId="22" fillId="0" borderId="7" xfId="3" applyNumberFormat="1" applyFont="1" applyBorder="1"/>
    <xf numFmtId="49" fontId="22" fillId="0" borderId="0" xfId="0" applyNumberFormat="1" applyFont="1"/>
    <xf numFmtId="168" fontId="22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2" fillId="0" borderId="7" xfId="0" applyFont="1" applyBorder="1"/>
    <xf numFmtId="0" fontId="7" fillId="0" borderId="1" xfId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right"/>
    </xf>
    <xf numFmtId="0" fontId="7" fillId="0" borderId="0" xfId="2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7" fillId="0" borderId="0" xfId="1" applyFont="1" applyFill="1" applyProtection="1">
      <protection locked="0"/>
    </xf>
    <xf numFmtId="167" fontId="7" fillId="0" borderId="0" xfId="1" applyNumberFormat="1" applyFont="1" applyFill="1" applyAlignment="1">
      <alignment horizontal="center"/>
    </xf>
    <xf numFmtId="5" fontId="7" fillId="0" borderId="0" xfId="1" applyNumberFormat="1" applyFont="1" applyFill="1"/>
    <xf numFmtId="2" fontId="7" fillId="0" borderId="0" xfId="1" applyNumberFormat="1" applyFont="1" applyFill="1" applyAlignment="1">
      <alignment horizontal="center"/>
    </xf>
    <xf numFmtId="0" fontId="7" fillId="0" borderId="0" xfId="2" quotePrefix="1" applyFont="1" applyFill="1" applyAlignment="1">
      <alignment horizontal="right" wrapText="1"/>
    </xf>
    <xf numFmtId="1" fontId="7" fillId="0" borderId="0" xfId="1" applyNumberFormat="1" applyFont="1" applyFill="1"/>
    <xf numFmtId="1" fontId="7" fillId="0" borderId="1" xfId="1" applyNumberFormat="1" applyFont="1" applyFill="1" applyBorder="1"/>
    <xf numFmtId="5" fontId="7" fillId="0" borderId="0" xfId="1" quotePrefix="1" applyNumberFormat="1" applyFont="1" applyFill="1" applyAlignment="1">
      <alignment horizontal="left"/>
    </xf>
    <xf numFmtId="0" fontId="7" fillId="0" borderId="0" xfId="1" quotePrefix="1" applyFont="1" applyFill="1" applyAlignment="1">
      <alignment horizontal="left"/>
    </xf>
    <xf numFmtId="14" fontId="7" fillId="0" borderId="0" xfId="1" applyNumberFormat="1" applyFont="1" applyFill="1" applyAlignment="1">
      <alignment horizontal="center"/>
    </xf>
    <xf numFmtId="0" fontId="7" fillId="0" borderId="3" xfId="1" applyFont="1" applyFill="1" applyBorder="1"/>
    <xf numFmtId="168" fontId="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43" fontId="7" fillId="0" borderId="0" xfId="1" applyNumberFormat="1" applyFont="1" applyFill="1" applyAlignment="1">
      <alignment horizontal="right"/>
    </xf>
    <xf numFmtId="14" fontId="7" fillId="0" borderId="0" xfId="1" quotePrefix="1" applyNumberFormat="1" applyFont="1" applyFill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7" fillId="0" borderId="0" xfId="10" applyFont="1" applyFill="1"/>
    <xf numFmtId="0" fontId="7" fillId="0" borderId="0" xfId="10" applyFont="1" applyFill="1" applyProtection="1">
      <protection locked="0"/>
    </xf>
    <xf numFmtId="5" fontId="7" fillId="0" borderId="0" xfId="10" applyNumberFormat="1" applyFont="1" applyFill="1"/>
    <xf numFmtId="37" fontId="7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>
      <alignment horizontal="right"/>
    </xf>
    <xf numFmtId="5" fontId="7" fillId="0" borderId="0" xfId="1" applyNumberFormat="1" applyFont="1" applyFill="1" applyAlignment="1">
      <alignment horizontal="right"/>
    </xf>
    <xf numFmtId="0" fontId="7" fillId="0" borderId="0" xfId="5" quotePrefix="1" applyFont="1" applyFill="1" applyAlignment="1">
      <alignment horizontal="left"/>
    </xf>
    <xf numFmtId="166" fontId="7" fillId="0" borderId="0" xfId="1" applyNumberFormat="1" applyFont="1" applyFill="1"/>
    <xf numFmtId="0" fontId="7" fillId="0" borderId="0" xfId="9" quotePrefix="1" applyFont="1" applyFill="1" applyAlignment="1">
      <alignment horizontal="left"/>
    </xf>
    <xf numFmtId="166" fontId="7" fillId="0" borderId="9" xfId="1" applyNumberFormat="1" applyFont="1" applyFill="1" applyBorder="1"/>
    <xf numFmtId="41" fontId="7" fillId="0" borderId="0" xfId="1" applyNumberFormat="1" applyFont="1" applyFill="1"/>
    <xf numFmtId="0" fontId="7" fillId="0" borderId="1" xfId="1" quotePrefix="1" applyFont="1" applyFill="1" applyBorder="1" applyAlignment="1">
      <alignment horizontal="left"/>
    </xf>
    <xf numFmtId="0" fontId="1" fillId="0" borderId="0" xfId="10" applyFont="1" applyFill="1"/>
    <xf numFmtId="0" fontId="7" fillId="0" borderId="0" xfId="6" quotePrefix="1" applyFont="1" applyFill="1" applyAlignment="1">
      <alignment horizontal="left"/>
    </xf>
  </cellXfs>
  <cellStyles count="11"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17" xfId="9" xr:uid="{A087D440-75AB-4E55-A69A-0ADE04F0B7A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5214DD60-2E2C-4ECB-844E-1B6E8BCEFDA2}"/>
    <cellStyle name="Normal 30" xfId="7" xr:uid="{DE622462-C9A5-40DB-9B2C-F3B0E919F436}"/>
    <cellStyle name="Normal_Sheet1 2" xfId="2" xr:uid="{35264B82-B089-4EE3-B545-5844D434D7B6}"/>
  </cellStyles>
  <dxfs count="5">
    <dxf>
      <font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4EE0251F-BA79-4291-A2B2-F43C367BCA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75003</xdr:rowOff>
    </xdr:from>
    <xdr:to>
      <xdr:col>15</xdr:col>
      <xdr:colOff>173281</xdr:colOff>
      <xdr:row>22</xdr:row>
      <xdr:rowOff>178889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5B5B9-06DF-EBF5-9594-EF8E60C9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42003"/>
          <a:ext cx="11050831" cy="1056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104E-C9DD-452E-A4BF-EE64B7B2846D}">
  <sheetPr codeName="Sheet86">
    <tabColor rgb="FF0000FF"/>
  </sheetPr>
  <dimension ref="A1:T570"/>
  <sheetViews>
    <sheetView tabSelected="1" view="pageBreakPreview" zoomScaleNormal="100" zoomScaleSheetLayoutView="100" workbookViewId="0">
      <selection activeCell="A8" sqref="A8"/>
    </sheetView>
  </sheetViews>
  <sheetFormatPr defaultColWidth="9.33203125" defaultRowHeight="13.2" x14ac:dyDescent="0.25"/>
  <cols>
    <col min="1" max="2" width="4.6640625" style="150" customWidth="1"/>
    <col min="3" max="3" width="10.5546875" style="150" customWidth="1"/>
    <col min="4" max="4" width="33.33203125" style="150" customWidth="1"/>
    <col min="5" max="5" width="1.6640625" style="150" customWidth="1"/>
    <col min="6" max="6" width="15.44140625" style="150" customWidth="1"/>
    <col min="7" max="7" width="1.6640625" style="150" customWidth="1"/>
    <col min="8" max="8" width="14.6640625" style="150" customWidth="1"/>
    <col min="9" max="9" width="1.6640625" style="150" customWidth="1"/>
    <col min="10" max="10" width="14.6640625" style="150" customWidth="1"/>
    <col min="11" max="11" width="1.6640625" style="150" customWidth="1"/>
    <col min="12" max="12" width="14.6640625" style="150" customWidth="1"/>
    <col min="13" max="13" width="1.6640625" style="150" customWidth="1"/>
    <col min="14" max="14" width="14.6640625" style="150" customWidth="1"/>
    <col min="15" max="15" width="1.6640625" style="150" customWidth="1"/>
    <col min="16" max="16" width="14.6640625" style="150" customWidth="1"/>
    <col min="17" max="17" width="1.6640625" style="150" customWidth="1"/>
    <col min="18" max="18" width="14.6640625" style="150" customWidth="1"/>
    <col min="19" max="19" width="1.6640625" style="150" customWidth="1"/>
    <col min="20" max="20" width="14.6640625" style="150" customWidth="1"/>
    <col min="21" max="16384" width="9.33203125" style="194"/>
  </cols>
  <sheetData>
    <row r="1" spans="1:20" ht="13.8" thickBot="1" x14ac:dyDescent="0.3">
      <c r="A1" s="193" t="s">
        <v>0</v>
      </c>
      <c r="B1" s="147"/>
      <c r="C1" s="147"/>
      <c r="D1" s="147"/>
      <c r="E1" s="147"/>
      <c r="F1" s="147" t="s">
        <v>1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5"/>
      <c r="R1" s="146">
        <v>30</v>
      </c>
      <c r="S1" s="147"/>
      <c r="T1" s="147" t="str">
        <f>"Page 1 of " &amp; $R$1</f>
        <v>Page 1 of 30</v>
      </c>
    </row>
    <row r="2" spans="1:20" x14ac:dyDescent="0.25">
      <c r="A2" s="150" t="s">
        <v>2</v>
      </c>
      <c r="E2" s="152" t="s">
        <v>3</v>
      </c>
      <c r="F2" s="173" t="s">
        <v>4</v>
      </c>
      <c r="J2" s="149"/>
      <c r="K2" s="149"/>
      <c r="M2" s="149"/>
      <c r="N2" s="149"/>
      <c r="O2" s="149"/>
      <c r="P2" s="149"/>
      <c r="Q2" s="148"/>
      <c r="R2" s="149" t="s">
        <v>5</v>
      </c>
      <c r="T2" s="151"/>
    </row>
    <row r="3" spans="1:20" x14ac:dyDescent="0.25">
      <c r="F3" s="150" t="s">
        <v>6</v>
      </c>
      <c r="J3" s="152"/>
      <c r="K3" s="151"/>
      <c r="N3" s="152"/>
      <c r="O3" s="152"/>
      <c r="P3" s="152"/>
      <c r="Q3" s="152" t="s">
        <v>7</v>
      </c>
      <c r="R3" s="195" t="s">
        <v>8</v>
      </c>
      <c r="T3" s="152"/>
    </row>
    <row r="4" spans="1:20" x14ac:dyDescent="0.25">
      <c r="A4" s="150" t="s">
        <v>9</v>
      </c>
      <c r="J4" s="152"/>
      <c r="K4" s="151"/>
      <c r="L4" s="152"/>
      <c r="Q4" s="152"/>
      <c r="R4" s="195" t="s">
        <v>10</v>
      </c>
      <c r="T4" s="152"/>
    </row>
    <row r="5" spans="1:20" x14ac:dyDescent="0.25">
      <c r="J5" s="152"/>
      <c r="K5" s="151"/>
      <c r="L5" s="152"/>
      <c r="Q5" s="152"/>
      <c r="R5" s="195" t="s">
        <v>11</v>
      </c>
      <c r="T5" s="152"/>
    </row>
    <row r="6" spans="1:20" x14ac:dyDescent="0.25">
      <c r="J6" s="152"/>
      <c r="K6" s="151"/>
      <c r="L6" s="152"/>
      <c r="Q6" s="152"/>
      <c r="R6" s="195" t="s">
        <v>644</v>
      </c>
      <c r="T6" s="152"/>
    </row>
    <row r="7" spans="1:20" ht="13.8" thickBot="1" x14ac:dyDescent="0.3">
      <c r="A7" s="193" t="s">
        <v>646</v>
      </c>
      <c r="B7" s="147"/>
      <c r="C7" s="147"/>
      <c r="D7" s="147"/>
      <c r="E7" s="147"/>
      <c r="F7" s="147"/>
      <c r="G7" s="147"/>
      <c r="H7" s="156" t="s">
        <v>12</v>
      </c>
      <c r="I7" s="147"/>
      <c r="J7" s="147"/>
      <c r="K7" s="147"/>
      <c r="L7" s="147"/>
      <c r="M7" s="147"/>
      <c r="N7" s="147"/>
      <c r="O7" s="147"/>
      <c r="P7" s="147"/>
      <c r="Q7" s="145"/>
      <c r="R7" s="147" t="s">
        <v>645</v>
      </c>
      <c r="S7" s="147"/>
      <c r="T7" s="147"/>
    </row>
    <row r="8" spans="1:20" x14ac:dyDescent="0.25"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4"/>
      <c r="R8" s="153"/>
      <c r="S8" s="153"/>
      <c r="T8" s="153"/>
    </row>
    <row r="9" spans="1:20" x14ac:dyDescent="0.25">
      <c r="C9" s="153" t="s">
        <v>13</v>
      </c>
      <c r="D9" s="153" t="s">
        <v>14</v>
      </c>
      <c r="E9" s="153"/>
      <c r="F9" s="153" t="s">
        <v>15</v>
      </c>
      <c r="G9" s="153"/>
      <c r="H9" s="153" t="s">
        <v>16</v>
      </c>
      <c r="I9" s="153"/>
      <c r="J9" s="155" t="s">
        <v>17</v>
      </c>
      <c r="K9" s="155"/>
      <c r="L9" s="153" t="s">
        <v>18</v>
      </c>
      <c r="M9" s="153"/>
      <c r="N9" s="153" t="s">
        <v>19</v>
      </c>
      <c r="O9" s="153"/>
      <c r="P9" s="153" t="s">
        <v>20</v>
      </c>
      <c r="Q9" s="154"/>
      <c r="R9" s="153" t="s">
        <v>21</v>
      </c>
      <c r="S9" s="153"/>
      <c r="T9" s="153" t="s">
        <v>22</v>
      </c>
    </row>
    <row r="10" spans="1:20" x14ac:dyDescent="0.25">
      <c r="C10" s="155" t="s">
        <v>23</v>
      </c>
      <c r="D10" s="155" t="s">
        <v>23</v>
      </c>
      <c r="F10" s="155" t="s">
        <v>24</v>
      </c>
      <c r="G10" s="155"/>
      <c r="H10" s="153" t="s">
        <v>25</v>
      </c>
      <c r="I10" s="155"/>
      <c r="J10" s="153"/>
      <c r="K10" s="155"/>
      <c r="L10" s="155"/>
      <c r="M10" s="155"/>
      <c r="Q10" s="152"/>
      <c r="R10" s="155" t="s">
        <v>24</v>
      </c>
      <c r="T10" s="155"/>
    </row>
    <row r="11" spans="1:20" x14ac:dyDescent="0.25">
      <c r="A11" s="155" t="s">
        <v>26</v>
      </c>
      <c r="B11" s="155"/>
      <c r="C11" s="155" t="s">
        <v>27</v>
      </c>
      <c r="D11" s="155" t="s">
        <v>27</v>
      </c>
      <c r="E11" s="153"/>
      <c r="F11" s="155" t="s">
        <v>28</v>
      </c>
      <c r="G11" s="155"/>
      <c r="H11" s="155" t="s">
        <v>28</v>
      </c>
      <c r="I11" s="155"/>
      <c r="J11" s="155"/>
      <c r="K11" s="153"/>
      <c r="L11" s="155" t="s">
        <v>29</v>
      </c>
      <c r="M11" s="151"/>
      <c r="N11" s="155" t="s">
        <v>29</v>
      </c>
      <c r="O11" s="155"/>
      <c r="P11" s="155" t="s">
        <v>30</v>
      </c>
      <c r="Q11" s="154"/>
      <c r="R11" s="153" t="s">
        <v>28</v>
      </c>
      <c r="S11" s="153"/>
      <c r="T11" s="155" t="s">
        <v>31</v>
      </c>
    </row>
    <row r="12" spans="1:20" ht="13.8" thickBot="1" x14ac:dyDescent="0.3">
      <c r="A12" s="156" t="s">
        <v>32</v>
      </c>
      <c r="B12" s="156"/>
      <c r="C12" s="156" t="s">
        <v>33</v>
      </c>
      <c r="D12" s="156" t="s">
        <v>34</v>
      </c>
      <c r="E12" s="156"/>
      <c r="F12" s="157" t="s">
        <v>35</v>
      </c>
      <c r="G12" s="157"/>
      <c r="H12" s="157" t="s">
        <v>36</v>
      </c>
      <c r="I12" s="158"/>
      <c r="J12" s="157" t="s">
        <v>37</v>
      </c>
      <c r="K12" s="158"/>
      <c r="L12" s="158" t="s">
        <v>38</v>
      </c>
      <c r="M12" s="159"/>
      <c r="N12" s="159" t="s">
        <v>39</v>
      </c>
      <c r="O12" s="159"/>
      <c r="P12" s="159" t="s">
        <v>40</v>
      </c>
      <c r="Q12" s="160"/>
      <c r="R12" s="159" t="s">
        <v>41</v>
      </c>
      <c r="S12" s="159"/>
      <c r="T12" s="159" t="s">
        <v>42</v>
      </c>
    </row>
    <row r="13" spans="1:20" x14ac:dyDescent="0.25">
      <c r="A13" s="155">
        <v>1</v>
      </c>
      <c r="B13" s="161"/>
      <c r="L13" s="162">
        <v>14</v>
      </c>
      <c r="N13" s="162">
        <v>16</v>
      </c>
      <c r="P13" s="162">
        <v>18</v>
      </c>
      <c r="Q13" s="152"/>
    </row>
    <row r="14" spans="1:20" x14ac:dyDescent="0.25">
      <c r="A14" s="155">
        <f>A13+1</f>
        <v>2</v>
      </c>
      <c r="B14" s="161"/>
      <c r="D14" s="150" t="s">
        <v>43</v>
      </c>
      <c r="F14" s="162">
        <v>11</v>
      </c>
      <c r="G14" s="163"/>
      <c r="H14" s="162">
        <v>12</v>
      </c>
      <c r="I14" s="163"/>
      <c r="J14" s="162">
        <v>13</v>
      </c>
      <c r="K14" s="163"/>
      <c r="L14" s="162">
        <v>15</v>
      </c>
      <c r="M14" s="163"/>
      <c r="N14" s="162">
        <v>17</v>
      </c>
      <c r="O14" s="162"/>
      <c r="P14" s="162">
        <v>19</v>
      </c>
      <c r="Q14" s="164"/>
      <c r="R14" s="162">
        <v>21</v>
      </c>
      <c r="S14" s="163"/>
      <c r="T14" s="162">
        <v>22</v>
      </c>
    </row>
    <row r="15" spans="1:20" x14ac:dyDescent="0.25">
      <c r="A15" s="155">
        <f t="shared" ref="A15:A56" si="0">A14+1</f>
        <v>3</v>
      </c>
      <c r="B15" s="161"/>
      <c r="D15" s="150" t="s">
        <v>44</v>
      </c>
      <c r="P15" s="162">
        <v>20</v>
      </c>
      <c r="Q15" s="152"/>
    </row>
    <row r="16" spans="1:20" x14ac:dyDescent="0.25">
      <c r="A16" s="155">
        <f t="shared" si="0"/>
        <v>4</v>
      </c>
      <c r="B16" s="161"/>
      <c r="D16" s="150" t="s">
        <v>45</v>
      </c>
      <c r="H16" s="6"/>
      <c r="I16" s="6"/>
      <c r="J16" s="5"/>
      <c r="K16" s="5"/>
      <c r="L16" s="5"/>
      <c r="M16" s="5"/>
      <c r="N16" s="5"/>
      <c r="O16" s="5"/>
      <c r="P16" s="5"/>
      <c r="Q16" s="13"/>
      <c r="R16" s="7"/>
      <c r="S16" s="7"/>
      <c r="T16" s="5"/>
    </row>
    <row r="17" spans="1:20" x14ac:dyDescent="0.25">
      <c r="A17" s="155">
        <f t="shared" si="0"/>
        <v>5</v>
      </c>
      <c r="B17" s="161"/>
      <c r="C17" s="155">
        <v>31140</v>
      </c>
      <c r="D17" s="150" t="s">
        <v>46</v>
      </c>
      <c r="F17" s="8">
        <f>VLOOKUP($C17,'ASDR FY2'!$A:$X,F$14,FALSE)/1000</f>
        <v>72424.455289999998</v>
      </c>
      <c r="G17" s="152"/>
      <c r="H17" s="8">
        <f>VLOOKUP($C17,'ASDR FY2'!$A:$X,H$14,FALSE)/1000</f>
        <v>7080.2807999999995</v>
      </c>
      <c r="I17" s="9"/>
      <c r="J17" s="8">
        <f>VLOOKUP($C17,'ASDR FY2'!$A:$X,J$14,FALSE)/1000</f>
        <v>0</v>
      </c>
      <c r="K17" s="10"/>
      <c r="L17" s="8">
        <f>VLOOKUP($C17,'ASDR FY2'!$A:$X,L$13,FALSE)/1000+VLOOKUP($C17,'ASDR FY2'!$A:$X,L$14,FALSE)/1000</f>
        <v>0</v>
      </c>
      <c r="M17" s="10"/>
      <c r="N17" s="8">
        <f>VLOOKUP($C17,'ASDR FY2'!$A:$X,N$13,FALSE)/1000+VLOOKUP($C17,'ASDR FY2'!$A:$X,N$14,FALSE)/1000</f>
        <v>0</v>
      </c>
      <c r="O17" s="8"/>
      <c r="P17" s="8">
        <f>VLOOKUP($C17,'ASDR FY2'!$A:$X,P$13,FALSE)/1000+VLOOKUP($C17,'ASDR FY2'!$A:$X,P$14,FALSE)/1000+VLOOKUP($C17,'ASDR FY2'!$A:$X,P$15,FALSE)/1000</f>
        <v>0</v>
      </c>
      <c r="Q17" s="9"/>
      <c r="R17" s="8">
        <f>SUM(F17,H17,J17,L17,N17,P17)</f>
        <v>79504.736089999991</v>
      </c>
      <c r="S17" s="10"/>
      <c r="T17" s="8">
        <f>VLOOKUP($C17,'ASDR FY2'!$A:$X,T$14,FALSE)/1000</f>
        <v>75964.595690000002</v>
      </c>
    </row>
    <row r="18" spans="1:20" x14ac:dyDescent="0.25">
      <c r="A18" s="155">
        <f t="shared" si="0"/>
        <v>6</v>
      </c>
      <c r="B18" s="161"/>
      <c r="C18" s="155">
        <v>31240</v>
      </c>
      <c r="D18" s="150" t="s">
        <v>47</v>
      </c>
      <c r="F18" s="8">
        <f>VLOOKUP($C18,'ASDR FY2'!$A:$X,F$14,FALSE)/1000</f>
        <v>50486.989935000012</v>
      </c>
      <c r="G18" s="152"/>
      <c r="H18" s="8">
        <f>VLOOKUP($C18,'ASDR FY2'!$A:$X,H$14,FALSE)/1000</f>
        <v>7595.3451100000002</v>
      </c>
      <c r="I18" s="9"/>
      <c r="J18" s="8">
        <f>VLOOKUP($C18,'ASDR FY2'!$A:$X,J$14,FALSE)/1000</f>
        <v>-1071.41309</v>
      </c>
      <c r="K18" s="10"/>
      <c r="L18" s="8">
        <f>VLOOKUP($C18,'ASDR FY2'!$A:$X,L$13,FALSE)/1000+VLOOKUP($C18,'ASDR FY2'!$A:$X,L$14,FALSE)/1000</f>
        <v>-548.24575000000004</v>
      </c>
      <c r="M18" s="10"/>
      <c r="N18" s="8">
        <f>VLOOKUP($C18,'ASDR FY2'!$A:$X,N$13,FALSE)/1000+VLOOKUP($C18,'ASDR FY2'!$A:$X,N$14,FALSE)/1000</f>
        <v>0</v>
      </c>
      <c r="O18" s="8"/>
      <c r="P18" s="8">
        <f>VLOOKUP($C18,'ASDR FY2'!$A:$X,P$13,FALSE)/1000+VLOOKUP($C18,'ASDR FY2'!$A:$X,P$14,FALSE)/1000+VLOOKUP($C18,'ASDR FY2'!$A:$X,P$15,FALSE)/1000</f>
        <v>0</v>
      </c>
      <c r="Q18" s="9"/>
      <c r="R18" s="8">
        <f>SUM(F18,H18,J18,L18,N18,P18)</f>
        <v>56462.676205000011</v>
      </c>
      <c r="S18" s="10"/>
      <c r="T18" s="8">
        <f>VLOOKUP($C18,'ASDR FY2'!$A:$X,T$14,FALSE)/1000</f>
        <v>53547.756219999996</v>
      </c>
    </row>
    <row r="19" spans="1:20" x14ac:dyDescent="0.25">
      <c r="A19" s="155">
        <f t="shared" si="0"/>
        <v>7</v>
      </c>
      <c r="B19" s="161"/>
      <c r="C19" s="155">
        <v>31440</v>
      </c>
      <c r="D19" s="150" t="s">
        <v>48</v>
      </c>
      <c r="F19" s="8">
        <f>VLOOKUP($C19,'ASDR FY2'!$A:$X,F$14,FALSE)/1000</f>
        <v>954.13038500000096</v>
      </c>
      <c r="G19" s="152"/>
      <c r="H19" s="8">
        <f>VLOOKUP($C19,'ASDR FY2'!$A:$X,H$14,FALSE)/1000</f>
        <v>1185.9906799999999</v>
      </c>
      <c r="I19" s="9"/>
      <c r="J19" s="8">
        <f>VLOOKUP($C19,'ASDR FY2'!$A:$X,J$14,FALSE)/1000</f>
        <v>-1071.41309</v>
      </c>
      <c r="K19" s="10"/>
      <c r="L19" s="8">
        <f>VLOOKUP($C19,'ASDR FY2'!$A:$X,L$13,FALSE)/1000+VLOOKUP($C19,'ASDR FY2'!$A:$X,L$14,FALSE)/1000</f>
        <v>-548.24575000000004</v>
      </c>
      <c r="M19" s="10"/>
      <c r="N19" s="8">
        <f>VLOOKUP($C19,'ASDR FY2'!$A:$X,N$13,FALSE)/1000+VLOOKUP($C19,'ASDR FY2'!$A:$X,N$14,FALSE)/1000</f>
        <v>0</v>
      </c>
      <c r="O19" s="8"/>
      <c r="P19" s="8">
        <f>VLOOKUP($C19,'ASDR FY2'!$A:$X,P$13,FALSE)/1000+VLOOKUP($C19,'ASDR FY2'!$A:$X,P$14,FALSE)/1000+VLOOKUP($C19,'ASDR FY2'!$A:$X,P$15,FALSE)/1000</f>
        <v>0</v>
      </c>
      <c r="Q19" s="9"/>
      <c r="R19" s="8">
        <f>SUM(F19,H19,J19,L19,N19,P19)</f>
        <v>520.46222500000067</v>
      </c>
      <c r="S19" s="10"/>
      <c r="T19" s="8">
        <f>VLOOKUP($C19,'ASDR FY2'!$A:$X,T$14,FALSE)/1000</f>
        <v>809.92262000000005</v>
      </c>
    </row>
    <row r="20" spans="1:20" x14ac:dyDescent="0.25">
      <c r="A20" s="155">
        <f t="shared" si="0"/>
        <v>8</v>
      </c>
      <c r="B20" s="161"/>
      <c r="C20" s="155">
        <v>31540</v>
      </c>
      <c r="D20" s="150" t="s">
        <v>49</v>
      </c>
      <c r="F20" s="8">
        <f>VLOOKUP($C20,'ASDR FY2'!$A:$X,F$14,FALSE)/1000</f>
        <v>19711.999140000029</v>
      </c>
      <c r="G20" s="152"/>
      <c r="H20" s="8">
        <f>VLOOKUP($C20,'ASDR FY2'!$A:$X,H$14,FALSE)/1000</f>
        <v>949.97004000000004</v>
      </c>
      <c r="I20" s="9"/>
      <c r="J20" s="8">
        <f>VLOOKUP($C20,'ASDR FY2'!$A:$X,J$14,FALSE)/1000</f>
        <v>0</v>
      </c>
      <c r="K20" s="10"/>
      <c r="L20" s="8">
        <f>VLOOKUP($C20,'ASDR FY2'!$A:$X,L$13,FALSE)/1000+VLOOKUP($C20,'ASDR FY2'!$A:$X,L$14,FALSE)/1000</f>
        <v>0</v>
      </c>
      <c r="M20" s="10"/>
      <c r="N20" s="8">
        <f>VLOOKUP($C20,'ASDR FY2'!$A:$X,N$13,FALSE)/1000+VLOOKUP($C20,'ASDR FY2'!$A:$X,N$14,FALSE)/1000</f>
        <v>0</v>
      </c>
      <c r="O20" s="8"/>
      <c r="P20" s="8">
        <f>VLOOKUP($C20,'ASDR FY2'!$A:$X,P$13,FALSE)/1000+VLOOKUP($C20,'ASDR FY2'!$A:$X,P$14,FALSE)/1000+VLOOKUP($C20,'ASDR FY2'!$A:$X,P$15,FALSE)/1000</f>
        <v>0</v>
      </c>
      <c r="Q20" s="9"/>
      <c r="R20" s="8">
        <f>SUM(F20,H20,J20,L20,N20,P20)</f>
        <v>20661.969180000029</v>
      </c>
      <c r="S20" s="10"/>
      <c r="T20" s="8">
        <f>VLOOKUP($C20,'ASDR FY2'!$A:$X,T$14,FALSE)/1000</f>
        <v>20186.98416</v>
      </c>
    </row>
    <row r="21" spans="1:20" x14ac:dyDescent="0.25">
      <c r="A21" s="155">
        <f t="shared" si="0"/>
        <v>9</v>
      </c>
      <c r="B21" s="161"/>
      <c r="C21" s="155">
        <v>31640</v>
      </c>
      <c r="D21" s="150" t="s">
        <v>50</v>
      </c>
      <c r="F21" s="8">
        <f>VLOOKUP($C21,'ASDR FY2'!$A:$X,F$14,FALSE)/1000</f>
        <v>11794.161239999992</v>
      </c>
      <c r="G21" s="152"/>
      <c r="H21" s="8">
        <f>VLOOKUP($C21,'ASDR FY2'!$A:$X,H$14,FALSE)/1000</f>
        <v>534.25968</v>
      </c>
      <c r="I21" s="9"/>
      <c r="J21" s="8">
        <f>VLOOKUP($C21,'ASDR FY2'!$A:$X,J$14,FALSE)/1000</f>
        <v>0</v>
      </c>
      <c r="K21" s="10"/>
      <c r="L21" s="8">
        <f>VLOOKUP($C21,'ASDR FY2'!$A:$X,L$13,FALSE)/1000+VLOOKUP($C21,'ASDR FY2'!$A:$X,L$14,FALSE)/1000</f>
        <v>0</v>
      </c>
      <c r="M21" s="10"/>
      <c r="N21" s="8">
        <f>VLOOKUP($C21,'ASDR FY2'!$A:$X,N$13,FALSE)/1000+VLOOKUP($C21,'ASDR FY2'!$A:$X,N$14,FALSE)/1000</f>
        <v>0</v>
      </c>
      <c r="O21" s="8"/>
      <c r="P21" s="8">
        <f>VLOOKUP($C21,'ASDR FY2'!$A:$X,P$13,FALSE)/1000+VLOOKUP($C21,'ASDR FY2'!$A:$X,P$14,FALSE)/1000+VLOOKUP($C21,'ASDR FY2'!$A:$X,P$15,FALSE)/1000</f>
        <v>0</v>
      </c>
      <c r="Q21" s="9"/>
      <c r="R21" s="8">
        <f>SUM(F21,H21,J21,L21,N21,P21)</f>
        <v>12328.420919999991</v>
      </c>
      <c r="S21" s="10"/>
      <c r="T21" s="8">
        <f>VLOOKUP($C21,'ASDR FY2'!$A:$X,T$14,FALSE)/1000</f>
        <v>12061.291080000001</v>
      </c>
    </row>
    <row r="22" spans="1:20" x14ac:dyDescent="0.25">
      <c r="A22" s="155">
        <f t="shared" si="0"/>
        <v>10</v>
      </c>
      <c r="B22" s="161"/>
      <c r="C22" s="155"/>
      <c r="D22" s="150" t="s">
        <v>51</v>
      </c>
      <c r="F22" s="12">
        <f>SUM(F17:F21)</f>
        <v>155371.73599000002</v>
      </c>
      <c r="H22" s="12">
        <f>SUM(H17:H21)</f>
        <v>17345.846309999997</v>
      </c>
      <c r="I22" s="13"/>
      <c r="J22" s="12">
        <f>SUM(J17:J21)</f>
        <v>-2142.82618</v>
      </c>
      <c r="K22" s="13"/>
      <c r="L22" s="12">
        <f>SUM(L17:L21)</f>
        <v>-1096.4915000000001</v>
      </c>
      <c r="M22" s="13"/>
      <c r="N22" s="12">
        <f>SUM(N17:N21)</f>
        <v>0</v>
      </c>
      <c r="O22" s="65"/>
      <c r="P22" s="12">
        <f>SUM(P17:P21)</f>
        <v>0</v>
      </c>
      <c r="Q22" s="13"/>
      <c r="R22" s="12">
        <f>SUM(R17:R21)</f>
        <v>169478.26462000003</v>
      </c>
      <c r="S22" s="13"/>
      <c r="T22" s="12">
        <f>SUM(T17:T21)</f>
        <v>162570.54976999998</v>
      </c>
    </row>
    <row r="23" spans="1:20" x14ac:dyDescent="0.25">
      <c r="A23" s="155">
        <f t="shared" si="0"/>
        <v>11</v>
      </c>
      <c r="B23" s="161"/>
      <c r="C23" s="155"/>
      <c r="H23" s="14"/>
      <c r="I23" s="14"/>
      <c r="J23" s="14"/>
      <c r="K23" s="15"/>
      <c r="L23" s="14"/>
      <c r="M23" s="15"/>
      <c r="N23" s="14"/>
      <c r="O23" s="14"/>
      <c r="P23" s="14"/>
      <c r="Q23" s="15"/>
      <c r="R23" s="14"/>
      <c r="S23" s="15"/>
      <c r="T23" s="14"/>
    </row>
    <row r="24" spans="1:20" x14ac:dyDescent="0.25">
      <c r="A24" s="155">
        <f t="shared" si="0"/>
        <v>12</v>
      </c>
      <c r="B24" s="161"/>
      <c r="C24" s="155"/>
      <c r="D24" s="150" t="s">
        <v>52</v>
      </c>
      <c r="H24" s="16"/>
      <c r="I24" s="16"/>
      <c r="J24" s="16"/>
      <c r="K24" s="15"/>
      <c r="L24" s="16"/>
      <c r="M24" s="15"/>
      <c r="N24" s="16"/>
      <c r="O24" s="16"/>
      <c r="P24" s="16"/>
      <c r="Q24" s="15"/>
      <c r="R24" s="16"/>
      <c r="S24" s="15"/>
      <c r="T24" s="16"/>
    </row>
    <row r="25" spans="1:20" x14ac:dyDescent="0.25">
      <c r="A25" s="155">
        <f t="shared" si="0"/>
        <v>13</v>
      </c>
      <c r="B25" s="161"/>
      <c r="C25" s="155">
        <v>31141</v>
      </c>
      <c r="D25" s="150" t="s">
        <v>46</v>
      </c>
      <c r="F25" s="8">
        <f>VLOOKUP($C25,'ASDR FY2'!$A:$X,F$14,FALSE)/1000</f>
        <v>0</v>
      </c>
      <c r="G25" s="152"/>
      <c r="H25" s="8">
        <f>VLOOKUP($C25,'ASDR FY2'!$A:$X,H$14,FALSE)/1000</f>
        <v>0</v>
      </c>
      <c r="I25" s="9"/>
      <c r="J25" s="8">
        <f>VLOOKUP($C25,'ASDR FY2'!$A:$X,J$14,FALSE)/1000</f>
        <v>0</v>
      </c>
      <c r="K25" s="10"/>
      <c r="L25" s="8">
        <f>VLOOKUP($C25,'ASDR FY2'!$A:$X,L$13,FALSE)/1000+VLOOKUP($C25,'ASDR FY2'!$A:$X,L$14,FALSE)/1000</f>
        <v>0</v>
      </c>
      <c r="M25" s="10"/>
      <c r="N25" s="8">
        <f>VLOOKUP($C25,'ASDR FY2'!$A:$X,N$13,FALSE)/1000+VLOOKUP($C25,'ASDR FY2'!$A:$X,N$14,FALSE)/1000</f>
        <v>0</v>
      </c>
      <c r="O25" s="8"/>
      <c r="P25" s="8">
        <f>VLOOKUP($C25,'ASDR FY2'!$A:$X,P$13,FALSE)/1000+VLOOKUP($C25,'ASDR FY2'!$A:$X,P$14,FALSE)/1000+VLOOKUP($C25,'ASDR FY2'!$A:$X,P$15,FALSE)/1000</f>
        <v>0</v>
      </c>
      <c r="Q25" s="9"/>
      <c r="R25" s="8">
        <f>SUM(F25,H25,J25,L25,N25,P25)</f>
        <v>0</v>
      </c>
      <c r="S25" s="10"/>
      <c r="T25" s="8">
        <f>VLOOKUP($C25,'ASDR FY2'!$A:$X,T$14,FALSE)/1000</f>
        <v>0</v>
      </c>
    </row>
    <row r="26" spans="1:20" x14ac:dyDescent="0.25">
      <c r="A26" s="155">
        <f t="shared" si="0"/>
        <v>14</v>
      </c>
      <c r="B26" s="161"/>
      <c r="C26" s="155">
        <v>31241</v>
      </c>
      <c r="D26" s="150" t="s">
        <v>47</v>
      </c>
      <c r="F26" s="8">
        <f>VLOOKUP($C26,'ASDR FY2'!$A:$X,F$14,FALSE)/1000</f>
        <v>0</v>
      </c>
      <c r="G26" s="152"/>
      <c r="H26" s="8">
        <f>VLOOKUP($C26,'ASDR FY2'!$A:$X,H$14,FALSE)/1000</f>
        <v>0</v>
      </c>
      <c r="I26" s="9"/>
      <c r="J26" s="8">
        <f>VLOOKUP($C26,'ASDR FY2'!$A:$X,J$14,FALSE)/1000</f>
        <v>0</v>
      </c>
      <c r="K26" s="10"/>
      <c r="L26" s="8">
        <f>VLOOKUP($C26,'ASDR FY2'!$A:$X,L$13,FALSE)/1000+VLOOKUP($C26,'ASDR FY2'!$A:$X,L$14,FALSE)/1000</f>
        <v>0</v>
      </c>
      <c r="M26" s="10"/>
      <c r="N26" s="8">
        <f>VLOOKUP($C26,'ASDR FY2'!$A:$X,N$13,FALSE)/1000+VLOOKUP($C26,'ASDR FY2'!$A:$X,N$14,FALSE)/1000</f>
        <v>0</v>
      </c>
      <c r="O26" s="8"/>
      <c r="P26" s="8">
        <f>VLOOKUP($C26,'ASDR FY2'!$A:$X,P$13,FALSE)/1000+VLOOKUP($C26,'ASDR FY2'!$A:$X,P$14,FALSE)/1000+VLOOKUP($C26,'ASDR FY2'!$A:$X,P$15,FALSE)/1000</f>
        <v>0</v>
      </c>
      <c r="Q26" s="9"/>
      <c r="R26" s="8">
        <f>SUM(F26,H26,J26,L26,N26,P26)</f>
        <v>0</v>
      </c>
      <c r="S26" s="10"/>
      <c r="T26" s="8">
        <f>VLOOKUP($C26,'ASDR FY2'!$A:$X,T$14,FALSE)/1000</f>
        <v>0</v>
      </c>
    </row>
    <row r="27" spans="1:20" x14ac:dyDescent="0.25">
      <c r="A27" s="155">
        <f t="shared" si="0"/>
        <v>15</v>
      </c>
      <c r="B27" s="161"/>
      <c r="C27" s="155">
        <v>31441</v>
      </c>
      <c r="D27" s="150" t="s">
        <v>48</v>
      </c>
      <c r="F27" s="8">
        <f>VLOOKUP($C27,'ASDR FY2'!$A:$X,F$14,FALSE)/1000</f>
        <v>0</v>
      </c>
      <c r="G27" s="152"/>
      <c r="H27" s="8">
        <f>VLOOKUP($C27,'ASDR FY2'!$A:$X,H$14,FALSE)/1000</f>
        <v>0</v>
      </c>
      <c r="I27" s="9"/>
      <c r="J27" s="8">
        <f>VLOOKUP($C27,'ASDR FY2'!$A:$X,J$14,FALSE)/1000</f>
        <v>0</v>
      </c>
      <c r="K27" s="10"/>
      <c r="L27" s="8">
        <f>VLOOKUP($C27,'ASDR FY2'!$A:$X,L$13,FALSE)/1000+VLOOKUP($C27,'ASDR FY2'!$A:$X,L$14,FALSE)/1000</f>
        <v>0</v>
      </c>
      <c r="M27" s="10"/>
      <c r="N27" s="8">
        <f>VLOOKUP($C27,'ASDR FY2'!$A:$X,N$13,FALSE)/1000+VLOOKUP($C27,'ASDR FY2'!$A:$X,N$14,FALSE)/1000</f>
        <v>0</v>
      </c>
      <c r="O27" s="8"/>
      <c r="P27" s="8">
        <f>VLOOKUP($C27,'ASDR FY2'!$A:$X,P$13,FALSE)/1000+VLOOKUP($C27,'ASDR FY2'!$A:$X,P$14,FALSE)/1000+VLOOKUP($C27,'ASDR FY2'!$A:$X,P$15,FALSE)/1000</f>
        <v>0</v>
      </c>
      <c r="Q27" s="9"/>
      <c r="R27" s="8">
        <f>SUM(F27,H27,J27,L27,N27,P27)</f>
        <v>0</v>
      </c>
      <c r="S27" s="10"/>
      <c r="T27" s="8">
        <f>VLOOKUP($C27,'ASDR FY2'!$A:$X,T$14,FALSE)/1000</f>
        <v>0</v>
      </c>
    </row>
    <row r="28" spans="1:20" x14ac:dyDescent="0.25">
      <c r="A28" s="155">
        <f t="shared" si="0"/>
        <v>16</v>
      </c>
      <c r="B28" s="161"/>
      <c r="C28" s="155">
        <v>31541</v>
      </c>
      <c r="D28" s="150" t="s">
        <v>49</v>
      </c>
      <c r="F28" s="8">
        <f>VLOOKUP($C28,'ASDR FY2'!$A:$X,F$14,FALSE)/1000</f>
        <v>0</v>
      </c>
      <c r="G28" s="152"/>
      <c r="H28" s="8">
        <f>VLOOKUP($C28,'ASDR FY2'!$A:$X,H$14,FALSE)/1000</f>
        <v>0</v>
      </c>
      <c r="I28" s="9"/>
      <c r="J28" s="8">
        <f>VLOOKUP($C28,'ASDR FY2'!$A:$X,J$14,FALSE)/1000</f>
        <v>0</v>
      </c>
      <c r="K28" s="10"/>
      <c r="L28" s="8">
        <f>VLOOKUP($C28,'ASDR FY2'!$A:$X,L$13,FALSE)/1000+VLOOKUP($C28,'ASDR FY2'!$A:$X,L$14,FALSE)/1000</f>
        <v>0</v>
      </c>
      <c r="M28" s="10"/>
      <c r="N28" s="8">
        <f>VLOOKUP($C28,'ASDR FY2'!$A:$X,N$13,FALSE)/1000+VLOOKUP($C28,'ASDR FY2'!$A:$X,N$14,FALSE)/1000</f>
        <v>0</v>
      </c>
      <c r="O28" s="8"/>
      <c r="P28" s="8">
        <f>VLOOKUP($C28,'ASDR FY2'!$A:$X,P$13,FALSE)/1000+VLOOKUP($C28,'ASDR FY2'!$A:$X,P$14,FALSE)/1000+VLOOKUP($C28,'ASDR FY2'!$A:$X,P$15,FALSE)/1000</f>
        <v>0</v>
      </c>
      <c r="Q28" s="9"/>
      <c r="R28" s="8">
        <f>SUM(F28,H28,J28,L28,N28,P28)</f>
        <v>0</v>
      </c>
      <c r="S28" s="10"/>
      <c r="T28" s="8">
        <f>VLOOKUP($C28,'ASDR FY2'!$A:$X,T$14,FALSE)/1000</f>
        <v>0</v>
      </c>
    </row>
    <row r="29" spans="1:20" x14ac:dyDescent="0.25">
      <c r="A29" s="155">
        <f t="shared" si="0"/>
        <v>17</v>
      </c>
      <c r="B29" s="161"/>
      <c r="C29" s="155">
        <v>31641</v>
      </c>
      <c r="D29" s="150" t="s">
        <v>50</v>
      </c>
      <c r="F29" s="8">
        <f>VLOOKUP($C29,'ASDR FY2'!$A:$X,F$14,FALSE)/1000</f>
        <v>0</v>
      </c>
      <c r="G29" s="152"/>
      <c r="H29" s="8">
        <f>VLOOKUP($C29,'ASDR FY2'!$A:$X,H$14,FALSE)/1000</f>
        <v>0</v>
      </c>
      <c r="I29" s="9"/>
      <c r="J29" s="8">
        <f>VLOOKUP($C29,'ASDR FY2'!$A:$X,J$14,FALSE)/1000</f>
        <v>0</v>
      </c>
      <c r="K29" s="10"/>
      <c r="L29" s="8">
        <f>VLOOKUP($C29,'ASDR FY2'!$A:$X,L$13,FALSE)/1000+VLOOKUP($C29,'ASDR FY2'!$A:$X,L$14,FALSE)/1000</f>
        <v>0</v>
      </c>
      <c r="M29" s="10"/>
      <c r="N29" s="8">
        <f>VLOOKUP($C29,'ASDR FY2'!$A:$X,N$13,FALSE)/1000+VLOOKUP($C29,'ASDR FY2'!$A:$X,N$14,FALSE)/1000</f>
        <v>0</v>
      </c>
      <c r="O29" s="8"/>
      <c r="P29" s="8">
        <f>VLOOKUP($C29,'ASDR FY2'!$A:$X,P$13,FALSE)/1000+VLOOKUP($C29,'ASDR FY2'!$A:$X,P$14,FALSE)/1000+VLOOKUP($C29,'ASDR FY2'!$A:$X,P$15,FALSE)/1000</f>
        <v>0</v>
      </c>
      <c r="Q29" s="9"/>
      <c r="R29" s="8">
        <f>SUM(F29,H29,J29,L29,N29,P29)</f>
        <v>0</v>
      </c>
      <c r="S29" s="10"/>
      <c r="T29" s="8">
        <f>VLOOKUP($C29,'ASDR FY2'!$A:$X,T$14,FALSE)/1000</f>
        <v>0</v>
      </c>
    </row>
    <row r="30" spans="1:20" x14ac:dyDescent="0.25">
      <c r="A30" s="155">
        <f t="shared" si="0"/>
        <v>18</v>
      </c>
      <c r="B30" s="161"/>
      <c r="C30" s="155"/>
      <c r="D30" s="150" t="s">
        <v>53</v>
      </c>
      <c r="F30" s="12">
        <f>SUM(F25:F29)</f>
        <v>0</v>
      </c>
      <c r="H30" s="12">
        <f>SUM(H25:H29)</f>
        <v>0</v>
      </c>
      <c r="I30" s="13"/>
      <c r="J30" s="12">
        <f>SUM(J25:J29)</f>
        <v>0</v>
      </c>
      <c r="K30" s="13"/>
      <c r="L30" s="12">
        <f>SUM(L25:L29)</f>
        <v>0</v>
      </c>
      <c r="M30" s="13"/>
      <c r="N30" s="12">
        <f>SUM(N25:N29)</f>
        <v>0</v>
      </c>
      <c r="O30" s="65"/>
      <c r="P30" s="12">
        <f>SUM(P25:P29)</f>
        <v>0</v>
      </c>
      <c r="Q30" s="13"/>
      <c r="R30" s="12">
        <f>SUM(R25:R29)</f>
        <v>0</v>
      </c>
      <c r="S30" s="13"/>
      <c r="T30" s="12">
        <f>SUM(T25:T29)</f>
        <v>0</v>
      </c>
    </row>
    <row r="31" spans="1:20" x14ac:dyDescent="0.25">
      <c r="A31" s="155">
        <f t="shared" si="0"/>
        <v>19</v>
      </c>
      <c r="B31" s="161"/>
      <c r="Q31" s="152"/>
    </row>
    <row r="32" spans="1:20" x14ac:dyDescent="0.25">
      <c r="A32" s="155">
        <f t="shared" si="0"/>
        <v>20</v>
      </c>
      <c r="B32" s="161"/>
      <c r="C32" s="155"/>
      <c r="D32" s="165" t="s">
        <v>54</v>
      </c>
      <c r="E32" s="165"/>
      <c r="F32" s="166"/>
      <c r="G32" s="165"/>
      <c r="H32" s="14"/>
      <c r="I32" s="14"/>
      <c r="J32" s="14"/>
      <c r="K32" s="15"/>
      <c r="L32" s="14"/>
      <c r="M32" s="15"/>
      <c r="N32" s="14"/>
      <c r="O32" s="14"/>
      <c r="P32" s="14"/>
      <c r="Q32" s="15"/>
      <c r="R32" s="14"/>
      <c r="S32" s="15"/>
      <c r="T32" s="14"/>
    </row>
    <row r="33" spans="1:20" x14ac:dyDescent="0.25">
      <c r="A33" s="155">
        <f t="shared" si="0"/>
        <v>21</v>
      </c>
      <c r="B33" s="161"/>
      <c r="C33" s="155">
        <v>31142</v>
      </c>
      <c r="D33" s="150" t="s">
        <v>46</v>
      </c>
      <c r="F33" s="8">
        <f>VLOOKUP($C33,'ASDR FY2'!$A:$X,F$14,FALSE)/1000</f>
        <v>0</v>
      </c>
      <c r="G33" s="152"/>
      <c r="H33" s="8">
        <f>VLOOKUP($C33,'ASDR FY2'!$A:$X,H$14,FALSE)/1000</f>
        <v>0</v>
      </c>
      <c r="I33" s="9"/>
      <c r="J33" s="8">
        <f>VLOOKUP($C33,'ASDR FY2'!$A:$X,J$14,FALSE)/1000</f>
        <v>0</v>
      </c>
      <c r="K33" s="10"/>
      <c r="L33" s="8">
        <f>VLOOKUP($C33,'ASDR FY2'!$A:$X,L$13,FALSE)/1000+VLOOKUP($C33,'ASDR FY2'!$A:$X,L$14,FALSE)/1000</f>
        <v>0</v>
      </c>
      <c r="M33" s="10"/>
      <c r="N33" s="8">
        <f>VLOOKUP($C33,'ASDR FY2'!$A:$X,N$13,FALSE)/1000+VLOOKUP($C33,'ASDR FY2'!$A:$X,N$14,FALSE)/1000</f>
        <v>0</v>
      </c>
      <c r="O33" s="8"/>
      <c r="P33" s="8">
        <f>VLOOKUP($C33,'ASDR FY2'!$A:$X,P$13,FALSE)/1000+VLOOKUP($C33,'ASDR FY2'!$A:$X,P$14,FALSE)/1000+VLOOKUP($C33,'ASDR FY2'!$A:$X,P$15,FALSE)/1000</f>
        <v>0</v>
      </c>
      <c r="Q33" s="9"/>
      <c r="R33" s="8">
        <f>SUM(F33,H33,J33,L33,N33,P33)</f>
        <v>0</v>
      </c>
      <c r="S33" s="10"/>
      <c r="T33" s="8">
        <f>VLOOKUP($C33,'ASDR FY2'!$A:$X,T$14,FALSE)/1000</f>
        <v>0</v>
      </c>
    </row>
    <row r="34" spans="1:20" x14ac:dyDescent="0.25">
      <c r="A34" s="155">
        <f t="shared" si="0"/>
        <v>22</v>
      </c>
      <c r="B34" s="161"/>
      <c r="C34" s="155">
        <v>31242</v>
      </c>
      <c r="D34" s="150" t="s">
        <v>47</v>
      </c>
      <c r="F34" s="8">
        <f>VLOOKUP($C34,'ASDR FY2'!$A:$X,F$14,FALSE)/1000</f>
        <v>0</v>
      </c>
      <c r="G34" s="152"/>
      <c r="H34" s="8">
        <f>VLOOKUP($C34,'ASDR FY2'!$A:$X,H$14,FALSE)/1000</f>
        <v>0</v>
      </c>
      <c r="I34" s="9"/>
      <c r="J34" s="8">
        <f>VLOOKUP($C34,'ASDR FY2'!$A:$X,J$14,FALSE)/1000</f>
        <v>0</v>
      </c>
      <c r="K34" s="10"/>
      <c r="L34" s="8">
        <f>VLOOKUP($C34,'ASDR FY2'!$A:$X,L$13,FALSE)/1000+VLOOKUP($C34,'ASDR FY2'!$A:$X,L$14,FALSE)/1000</f>
        <v>0</v>
      </c>
      <c r="M34" s="10"/>
      <c r="N34" s="8">
        <f>VLOOKUP($C34,'ASDR FY2'!$A:$X,N$13,FALSE)/1000+VLOOKUP($C34,'ASDR FY2'!$A:$X,N$14,FALSE)/1000</f>
        <v>0</v>
      </c>
      <c r="O34" s="8"/>
      <c r="P34" s="8">
        <f>VLOOKUP($C34,'ASDR FY2'!$A:$X,P$13,FALSE)/1000+VLOOKUP($C34,'ASDR FY2'!$A:$X,P$14,FALSE)/1000+VLOOKUP($C34,'ASDR FY2'!$A:$X,P$15,FALSE)/1000</f>
        <v>0</v>
      </c>
      <c r="Q34" s="9"/>
      <c r="R34" s="8">
        <f>SUM(F34,H34,J34,L34,N34,P34)</f>
        <v>0</v>
      </c>
      <c r="S34" s="10"/>
      <c r="T34" s="8">
        <f>VLOOKUP($C34,'ASDR FY2'!$A:$X,T$14,FALSE)/1000</f>
        <v>0</v>
      </c>
    </row>
    <row r="35" spans="1:20" x14ac:dyDescent="0.25">
      <c r="A35" s="155">
        <f t="shared" si="0"/>
        <v>23</v>
      </c>
      <c r="B35" s="161"/>
      <c r="C35" s="155">
        <v>31442</v>
      </c>
      <c r="D35" s="150" t="s">
        <v>48</v>
      </c>
      <c r="F35" s="8">
        <f>VLOOKUP($C35,'ASDR FY2'!$A:$X,F$14,FALSE)/1000</f>
        <v>0</v>
      </c>
      <c r="G35" s="152"/>
      <c r="H35" s="8">
        <f>VLOOKUP($C35,'ASDR FY2'!$A:$X,H$14,FALSE)/1000</f>
        <v>0</v>
      </c>
      <c r="I35" s="9"/>
      <c r="J35" s="8">
        <f>VLOOKUP($C35,'ASDR FY2'!$A:$X,J$14,FALSE)/1000</f>
        <v>0</v>
      </c>
      <c r="K35" s="10"/>
      <c r="L35" s="8">
        <f>VLOOKUP($C35,'ASDR FY2'!$A:$X,L$13,FALSE)/1000+VLOOKUP($C35,'ASDR FY2'!$A:$X,L$14,FALSE)/1000</f>
        <v>0</v>
      </c>
      <c r="M35" s="10"/>
      <c r="N35" s="8">
        <f>VLOOKUP($C35,'ASDR FY2'!$A:$X,N$13,FALSE)/1000+VLOOKUP($C35,'ASDR FY2'!$A:$X,N$14,FALSE)/1000</f>
        <v>0</v>
      </c>
      <c r="O35" s="8"/>
      <c r="P35" s="8">
        <f>VLOOKUP($C35,'ASDR FY2'!$A:$X,P$13,FALSE)/1000+VLOOKUP($C35,'ASDR FY2'!$A:$X,P$14,FALSE)/1000+VLOOKUP($C35,'ASDR FY2'!$A:$X,P$15,FALSE)/1000</f>
        <v>0</v>
      </c>
      <c r="Q35" s="9"/>
      <c r="R35" s="8">
        <f>SUM(F35,H35,J35,L35,N35,P35)</f>
        <v>0</v>
      </c>
      <c r="S35" s="10"/>
      <c r="T35" s="8">
        <f>VLOOKUP($C35,'ASDR FY2'!$A:$X,T$14,FALSE)/1000</f>
        <v>0</v>
      </c>
    </row>
    <row r="36" spans="1:20" x14ac:dyDescent="0.25">
      <c r="A36" s="155">
        <f t="shared" si="0"/>
        <v>24</v>
      </c>
      <c r="B36" s="161"/>
      <c r="C36" s="155">
        <v>31542</v>
      </c>
      <c r="D36" s="150" t="s">
        <v>49</v>
      </c>
      <c r="F36" s="8">
        <f>VLOOKUP($C36,'ASDR FY2'!$A:$X,F$14,FALSE)/1000</f>
        <v>0</v>
      </c>
      <c r="G36" s="152"/>
      <c r="H36" s="8">
        <f>VLOOKUP($C36,'ASDR FY2'!$A:$X,H$14,FALSE)/1000</f>
        <v>0</v>
      </c>
      <c r="I36" s="9"/>
      <c r="J36" s="8">
        <f>VLOOKUP($C36,'ASDR FY2'!$A:$X,J$14,FALSE)/1000</f>
        <v>0</v>
      </c>
      <c r="K36" s="10"/>
      <c r="L36" s="8">
        <f>VLOOKUP($C36,'ASDR FY2'!$A:$X,L$13,FALSE)/1000+VLOOKUP($C36,'ASDR FY2'!$A:$X,L$14,FALSE)/1000</f>
        <v>0</v>
      </c>
      <c r="M36" s="10"/>
      <c r="N36" s="8">
        <f>VLOOKUP($C36,'ASDR FY2'!$A:$X,N$13,FALSE)/1000+VLOOKUP($C36,'ASDR FY2'!$A:$X,N$14,FALSE)/1000</f>
        <v>0</v>
      </c>
      <c r="O36" s="8"/>
      <c r="P36" s="8">
        <f>VLOOKUP($C36,'ASDR FY2'!$A:$X,P$13,FALSE)/1000+VLOOKUP($C36,'ASDR FY2'!$A:$X,P$14,FALSE)/1000+VLOOKUP($C36,'ASDR FY2'!$A:$X,P$15,FALSE)/1000</f>
        <v>0</v>
      </c>
      <c r="Q36" s="9"/>
      <c r="R36" s="8">
        <f>SUM(F36,H36,J36,L36,N36,P36)</f>
        <v>0</v>
      </c>
      <c r="S36" s="10"/>
      <c r="T36" s="8">
        <f>VLOOKUP($C36,'ASDR FY2'!$A:$X,T$14,FALSE)/1000</f>
        <v>0</v>
      </c>
    </row>
    <row r="37" spans="1:20" x14ac:dyDescent="0.25">
      <c r="A37" s="155">
        <f t="shared" si="0"/>
        <v>25</v>
      </c>
      <c r="B37" s="161"/>
      <c r="C37" s="155">
        <v>31642</v>
      </c>
      <c r="D37" s="150" t="s">
        <v>50</v>
      </c>
      <c r="F37" s="8">
        <f>VLOOKUP($C37,'ASDR FY2'!$A:$X,F$14,FALSE)/1000</f>
        <v>0</v>
      </c>
      <c r="G37" s="152"/>
      <c r="H37" s="8">
        <f>VLOOKUP($C37,'ASDR FY2'!$A:$X,H$14,FALSE)/1000</f>
        <v>0</v>
      </c>
      <c r="I37" s="9"/>
      <c r="J37" s="8">
        <f>VLOOKUP($C37,'ASDR FY2'!$A:$X,J$14,FALSE)/1000</f>
        <v>0</v>
      </c>
      <c r="K37" s="10"/>
      <c r="L37" s="8">
        <f>VLOOKUP($C37,'ASDR FY2'!$A:$X,L$13,FALSE)/1000+VLOOKUP($C37,'ASDR FY2'!$A:$X,L$14,FALSE)/1000</f>
        <v>0</v>
      </c>
      <c r="M37" s="10"/>
      <c r="N37" s="8">
        <f>VLOOKUP($C37,'ASDR FY2'!$A:$X,N$13,FALSE)/1000+VLOOKUP($C37,'ASDR FY2'!$A:$X,N$14,FALSE)/1000</f>
        <v>0</v>
      </c>
      <c r="O37" s="8"/>
      <c r="P37" s="8">
        <f>VLOOKUP($C37,'ASDR FY2'!$A:$X,P$13,FALSE)/1000+VLOOKUP($C37,'ASDR FY2'!$A:$X,P$14,FALSE)/1000+VLOOKUP($C37,'ASDR FY2'!$A:$X,P$15,FALSE)/1000</f>
        <v>0</v>
      </c>
      <c r="Q37" s="9"/>
      <c r="R37" s="8">
        <f>SUM(F37,H37,J37,L37,N37,P37)</f>
        <v>0</v>
      </c>
      <c r="S37" s="10"/>
      <c r="T37" s="8">
        <f>VLOOKUP($C37,'ASDR FY2'!$A:$X,T$14,FALSE)/1000</f>
        <v>0</v>
      </c>
    </row>
    <row r="38" spans="1:20" x14ac:dyDescent="0.25">
      <c r="A38" s="155">
        <f t="shared" si="0"/>
        <v>26</v>
      </c>
      <c r="B38" s="161"/>
      <c r="C38" s="155"/>
      <c r="D38" s="167" t="s">
        <v>55</v>
      </c>
      <c r="E38" s="167"/>
      <c r="F38" s="12">
        <f>SUM(F33:F37)</f>
        <v>0</v>
      </c>
      <c r="H38" s="12">
        <f>SUM(H33:H37)</f>
        <v>0</v>
      </c>
      <c r="I38" s="13"/>
      <c r="J38" s="12">
        <f>SUM(J33:J37)</f>
        <v>0</v>
      </c>
      <c r="K38" s="13"/>
      <c r="L38" s="12">
        <f>SUM(L33:L37)</f>
        <v>0</v>
      </c>
      <c r="M38" s="13"/>
      <c r="N38" s="12">
        <f>SUM(N33:N37)</f>
        <v>0</v>
      </c>
      <c r="O38" s="65"/>
      <c r="P38" s="12">
        <f>SUM(P33:P37)</f>
        <v>0</v>
      </c>
      <c r="Q38" s="13"/>
      <c r="R38" s="12">
        <f>SUM(R33:R37)</f>
        <v>0</v>
      </c>
      <c r="S38" s="13"/>
      <c r="T38" s="12">
        <f>SUM(T33:T37)</f>
        <v>0</v>
      </c>
    </row>
    <row r="39" spans="1:20" x14ac:dyDescent="0.25">
      <c r="A39" s="155">
        <f t="shared" si="0"/>
        <v>27</v>
      </c>
      <c r="B39" s="161"/>
      <c r="C39" s="155"/>
      <c r="D39" s="167"/>
      <c r="E39" s="167"/>
      <c r="F39" s="166"/>
      <c r="G39" s="167"/>
      <c r="H39" s="15"/>
      <c r="I39" s="15"/>
      <c r="J39" s="15"/>
      <c r="K39" s="15"/>
      <c r="L39" s="15"/>
      <c r="M39" s="15"/>
      <c r="N39" s="15"/>
      <c r="O39" s="15"/>
      <c r="P39" s="15"/>
      <c r="Q39" s="14"/>
      <c r="R39" s="15"/>
      <c r="S39" s="14"/>
      <c r="T39" s="15"/>
    </row>
    <row r="40" spans="1:20" x14ac:dyDescent="0.25">
      <c r="A40" s="155">
        <f t="shared" si="0"/>
        <v>28</v>
      </c>
      <c r="B40" s="161"/>
      <c r="C40" s="155"/>
      <c r="D40" s="167" t="s">
        <v>56</v>
      </c>
      <c r="E40" s="167"/>
      <c r="F40" s="166"/>
      <c r="G40" s="167"/>
      <c r="H40" s="15"/>
      <c r="I40" s="15"/>
      <c r="J40" s="15"/>
      <c r="K40" s="15"/>
      <c r="L40" s="15"/>
      <c r="M40" s="15"/>
      <c r="N40" s="15"/>
      <c r="O40" s="15"/>
      <c r="P40" s="15"/>
      <c r="Q40" s="14"/>
      <c r="R40" s="15"/>
      <c r="S40" s="14"/>
      <c r="T40" s="15"/>
    </row>
    <row r="41" spans="1:20" x14ac:dyDescent="0.25">
      <c r="A41" s="155">
        <f t="shared" si="0"/>
        <v>29</v>
      </c>
      <c r="B41" s="161"/>
      <c r="C41" s="155">
        <v>31143</v>
      </c>
      <c r="D41" s="150" t="s">
        <v>46</v>
      </c>
      <c r="F41" s="8">
        <f>VLOOKUP($C41,'ASDR FY2'!$A:$X,F$14,FALSE)/1000</f>
        <v>0</v>
      </c>
      <c r="G41" s="152"/>
      <c r="H41" s="8">
        <f>VLOOKUP($C41,'ASDR FY2'!$A:$X,H$14,FALSE)/1000</f>
        <v>0</v>
      </c>
      <c r="I41" s="9"/>
      <c r="J41" s="8">
        <f>VLOOKUP($C41,'ASDR FY2'!$A:$X,J$14,FALSE)/1000</f>
        <v>0</v>
      </c>
      <c r="K41" s="10"/>
      <c r="L41" s="8">
        <f>VLOOKUP($C41,'ASDR FY2'!$A:$X,L$13,FALSE)/1000+VLOOKUP($C41,'ASDR FY2'!$A:$X,L$14,FALSE)/1000</f>
        <v>0</v>
      </c>
      <c r="M41" s="10"/>
      <c r="N41" s="8">
        <f>VLOOKUP($C41,'ASDR FY2'!$A:$X,N$13,FALSE)/1000+VLOOKUP($C41,'ASDR FY2'!$A:$X,N$14,FALSE)/1000</f>
        <v>0</v>
      </c>
      <c r="O41" s="8"/>
      <c r="P41" s="8">
        <f>VLOOKUP($C41,'ASDR FY2'!$A:$X,P$13,FALSE)/1000+VLOOKUP($C41,'ASDR FY2'!$A:$X,P$14,FALSE)/1000+VLOOKUP($C41,'ASDR FY2'!$A:$X,P$15,FALSE)/1000</f>
        <v>0</v>
      </c>
      <c r="Q41" s="9"/>
      <c r="R41" s="8">
        <f>SUM(F41,H41,J41,L41,N41,P41)</f>
        <v>0</v>
      </c>
      <c r="S41" s="10"/>
      <c r="T41" s="8">
        <f>VLOOKUP($C41,'ASDR FY2'!$A:$X,T$14,FALSE)/1000</f>
        <v>0</v>
      </c>
    </row>
    <row r="42" spans="1:20" x14ac:dyDescent="0.25">
      <c r="A42" s="155">
        <f t="shared" si="0"/>
        <v>30</v>
      </c>
      <c r="B42" s="161"/>
      <c r="C42" s="155">
        <v>31243</v>
      </c>
      <c r="D42" s="150" t="s">
        <v>47</v>
      </c>
      <c r="F42" s="8">
        <f>VLOOKUP($C42,'ASDR FY2'!$A:$X,F$14,FALSE)/1000</f>
        <v>0</v>
      </c>
      <c r="G42" s="152"/>
      <c r="H42" s="8">
        <f>VLOOKUP($C42,'ASDR FY2'!$A:$X,H$14,FALSE)/1000</f>
        <v>0</v>
      </c>
      <c r="I42" s="9"/>
      <c r="J42" s="8">
        <f>VLOOKUP($C42,'ASDR FY2'!$A:$X,J$14,FALSE)/1000</f>
        <v>0</v>
      </c>
      <c r="K42" s="10"/>
      <c r="L42" s="8">
        <f>VLOOKUP($C42,'ASDR FY2'!$A:$X,L$13,FALSE)/1000+VLOOKUP($C42,'ASDR FY2'!$A:$X,L$14,FALSE)/1000</f>
        <v>0</v>
      </c>
      <c r="M42" s="10"/>
      <c r="N42" s="8">
        <f>VLOOKUP($C42,'ASDR FY2'!$A:$X,N$13,FALSE)/1000+VLOOKUP($C42,'ASDR FY2'!$A:$X,N$14,FALSE)/1000</f>
        <v>0</v>
      </c>
      <c r="O42" s="8"/>
      <c r="P42" s="8">
        <f>VLOOKUP($C42,'ASDR FY2'!$A:$X,P$13,FALSE)/1000+VLOOKUP($C42,'ASDR FY2'!$A:$X,P$14,FALSE)/1000+VLOOKUP($C42,'ASDR FY2'!$A:$X,P$15,FALSE)/1000</f>
        <v>0</v>
      </c>
      <c r="Q42" s="9"/>
      <c r="R42" s="8">
        <f>SUM(F42,H42,J42,L42,N42,P42)</f>
        <v>0</v>
      </c>
      <c r="S42" s="10"/>
      <c r="T42" s="8">
        <f>VLOOKUP($C42,'ASDR FY2'!$A:$X,T$14,FALSE)/1000</f>
        <v>0</v>
      </c>
    </row>
    <row r="43" spans="1:20" x14ac:dyDescent="0.25">
      <c r="A43" s="155">
        <f t="shared" si="0"/>
        <v>31</v>
      </c>
      <c r="B43" s="161"/>
      <c r="C43" s="155">
        <v>31443</v>
      </c>
      <c r="D43" s="150" t="s">
        <v>48</v>
      </c>
      <c r="F43" s="8">
        <f>VLOOKUP($C43,'ASDR FY2'!$A:$X,F$14,FALSE)/1000</f>
        <v>0</v>
      </c>
      <c r="G43" s="152"/>
      <c r="H43" s="8">
        <f>VLOOKUP($C43,'ASDR FY2'!$A:$X,H$14,FALSE)/1000</f>
        <v>0</v>
      </c>
      <c r="I43" s="9"/>
      <c r="J43" s="8">
        <f>VLOOKUP($C43,'ASDR FY2'!$A:$X,J$14,FALSE)/1000</f>
        <v>0</v>
      </c>
      <c r="K43" s="10"/>
      <c r="L43" s="8">
        <f>VLOOKUP($C43,'ASDR FY2'!$A:$X,L$13,FALSE)/1000+VLOOKUP($C43,'ASDR FY2'!$A:$X,L$14,FALSE)/1000</f>
        <v>0</v>
      </c>
      <c r="M43" s="10"/>
      <c r="N43" s="8">
        <f>VLOOKUP($C43,'ASDR FY2'!$A:$X,N$13,FALSE)/1000+VLOOKUP($C43,'ASDR FY2'!$A:$X,N$14,FALSE)/1000</f>
        <v>0</v>
      </c>
      <c r="O43" s="8"/>
      <c r="P43" s="8">
        <f>VLOOKUP($C43,'ASDR FY2'!$A:$X,P$13,FALSE)/1000+VLOOKUP($C43,'ASDR FY2'!$A:$X,P$14,FALSE)/1000+VLOOKUP($C43,'ASDR FY2'!$A:$X,P$15,FALSE)/1000</f>
        <v>0</v>
      </c>
      <c r="Q43" s="9"/>
      <c r="R43" s="8">
        <f>SUM(F43,H43,J43,L43,N43,P43)</f>
        <v>0</v>
      </c>
      <c r="S43" s="10"/>
      <c r="T43" s="8">
        <f>VLOOKUP($C43,'ASDR FY2'!$A:$X,T$14,FALSE)/1000</f>
        <v>0</v>
      </c>
    </row>
    <row r="44" spans="1:20" x14ac:dyDescent="0.25">
      <c r="A44" s="155">
        <f t="shared" si="0"/>
        <v>32</v>
      </c>
      <c r="B44" s="161"/>
      <c r="C44" s="155">
        <v>31543</v>
      </c>
      <c r="D44" s="150" t="s">
        <v>49</v>
      </c>
      <c r="F44" s="8">
        <f>VLOOKUP($C44,'ASDR FY2'!$A:$X,F$14,FALSE)/1000</f>
        <v>0</v>
      </c>
      <c r="G44" s="152"/>
      <c r="H44" s="8">
        <f>VLOOKUP($C44,'ASDR FY2'!$A:$X,H$14,FALSE)/1000</f>
        <v>0</v>
      </c>
      <c r="I44" s="9"/>
      <c r="J44" s="8">
        <f>VLOOKUP($C44,'ASDR FY2'!$A:$X,J$14,FALSE)/1000</f>
        <v>0</v>
      </c>
      <c r="K44" s="10"/>
      <c r="L44" s="8">
        <f>VLOOKUP($C44,'ASDR FY2'!$A:$X,L$13,FALSE)/1000+VLOOKUP($C44,'ASDR FY2'!$A:$X,L$14,FALSE)/1000</f>
        <v>0</v>
      </c>
      <c r="M44" s="10"/>
      <c r="N44" s="8">
        <f>VLOOKUP($C44,'ASDR FY2'!$A:$X,N$13,FALSE)/1000+VLOOKUP($C44,'ASDR FY2'!$A:$X,N$14,FALSE)/1000</f>
        <v>0</v>
      </c>
      <c r="O44" s="8"/>
      <c r="P44" s="8">
        <f>VLOOKUP($C44,'ASDR FY2'!$A:$X,P$13,FALSE)/1000+VLOOKUP($C44,'ASDR FY2'!$A:$X,P$14,FALSE)/1000+VLOOKUP($C44,'ASDR FY2'!$A:$X,P$15,FALSE)/1000</f>
        <v>0</v>
      </c>
      <c r="Q44" s="9"/>
      <c r="R44" s="8">
        <f>SUM(F44,H44,J44,L44,N44,P44)</f>
        <v>0</v>
      </c>
      <c r="S44" s="10"/>
      <c r="T44" s="8">
        <f>VLOOKUP($C44,'ASDR FY2'!$A:$X,T$14,FALSE)/1000</f>
        <v>0</v>
      </c>
    </row>
    <row r="45" spans="1:20" x14ac:dyDescent="0.25">
      <c r="A45" s="155">
        <f t="shared" si="0"/>
        <v>33</v>
      </c>
      <c r="B45" s="161"/>
      <c r="C45" s="155">
        <v>31643</v>
      </c>
      <c r="D45" s="150" t="s">
        <v>50</v>
      </c>
      <c r="F45" s="8">
        <f>VLOOKUP($C45,'ASDR FY2'!$A:$X,F$14,FALSE)/1000</f>
        <v>0</v>
      </c>
      <c r="G45" s="152"/>
      <c r="H45" s="8">
        <f>VLOOKUP($C45,'ASDR FY2'!$A:$X,H$14,FALSE)/1000</f>
        <v>0</v>
      </c>
      <c r="I45" s="9"/>
      <c r="J45" s="8">
        <f>VLOOKUP($C45,'ASDR FY2'!$A:$X,J$14,FALSE)/1000</f>
        <v>0</v>
      </c>
      <c r="K45" s="10"/>
      <c r="L45" s="8">
        <f>VLOOKUP($C45,'ASDR FY2'!$A:$X,L$13,FALSE)/1000+VLOOKUP($C45,'ASDR FY2'!$A:$X,L$14,FALSE)/1000</f>
        <v>0</v>
      </c>
      <c r="M45" s="10"/>
      <c r="N45" s="8">
        <f>VLOOKUP($C45,'ASDR FY2'!$A:$X,N$13,FALSE)/1000+VLOOKUP($C45,'ASDR FY2'!$A:$X,N$14,FALSE)/1000</f>
        <v>0</v>
      </c>
      <c r="O45" s="8"/>
      <c r="P45" s="8">
        <f>VLOOKUP($C45,'ASDR FY2'!$A:$X,P$13,FALSE)/1000+VLOOKUP($C45,'ASDR FY2'!$A:$X,P$14,FALSE)/1000+VLOOKUP($C45,'ASDR FY2'!$A:$X,P$15,FALSE)/1000</f>
        <v>0</v>
      </c>
      <c r="Q45" s="9"/>
      <c r="R45" s="8">
        <f>SUM(F45,H45,J45,L45,N45,P45)</f>
        <v>0</v>
      </c>
      <c r="S45" s="10"/>
      <c r="T45" s="8">
        <f>VLOOKUP($C45,'ASDR FY2'!$A:$X,T$14,FALSE)/1000</f>
        <v>0</v>
      </c>
    </row>
    <row r="46" spans="1:20" x14ac:dyDescent="0.25">
      <c r="A46" s="155">
        <f t="shared" si="0"/>
        <v>34</v>
      </c>
      <c r="B46" s="161"/>
      <c r="C46" s="155"/>
      <c r="D46" s="167" t="s">
        <v>57</v>
      </c>
      <c r="E46" s="167"/>
      <c r="F46" s="12">
        <f>SUM(F41:F45)</f>
        <v>0</v>
      </c>
      <c r="H46" s="12">
        <f>SUM(H41:H45)</f>
        <v>0</v>
      </c>
      <c r="I46" s="13"/>
      <c r="J46" s="12">
        <f>SUM(J41:J45)</f>
        <v>0</v>
      </c>
      <c r="K46" s="13"/>
      <c r="L46" s="12">
        <f>SUM(L41:L45)</f>
        <v>0</v>
      </c>
      <c r="M46" s="13"/>
      <c r="N46" s="12">
        <f>SUM(N41:N45)</f>
        <v>0</v>
      </c>
      <c r="O46" s="65"/>
      <c r="P46" s="12">
        <f>SUM(P41:P45)</f>
        <v>0</v>
      </c>
      <c r="Q46" s="13"/>
      <c r="R46" s="12">
        <f>SUM(R41:R45)</f>
        <v>0</v>
      </c>
      <c r="S46" s="13"/>
      <c r="T46" s="12">
        <f>SUM(T41:T45)</f>
        <v>0</v>
      </c>
    </row>
    <row r="47" spans="1:20" x14ac:dyDescent="0.25">
      <c r="A47" s="155">
        <f t="shared" si="0"/>
        <v>35</v>
      </c>
      <c r="B47" s="161"/>
      <c r="Q47" s="152"/>
    </row>
    <row r="48" spans="1:20" x14ac:dyDescent="0.25">
      <c r="A48" s="155">
        <f t="shared" si="0"/>
        <v>36</v>
      </c>
      <c r="B48" s="161"/>
      <c r="C48" s="168"/>
      <c r="D48" s="167" t="s">
        <v>58</v>
      </c>
      <c r="E48" s="167"/>
      <c r="F48" s="166"/>
      <c r="G48" s="167"/>
      <c r="H48" s="15"/>
      <c r="I48" s="15"/>
      <c r="J48" s="15"/>
      <c r="K48" s="15"/>
      <c r="L48" s="15"/>
      <c r="M48" s="15"/>
      <c r="N48" s="15"/>
      <c r="O48" s="15"/>
      <c r="P48" s="15"/>
      <c r="Q48" s="14"/>
      <c r="R48" s="15"/>
      <c r="S48" s="14"/>
      <c r="T48" s="15"/>
    </row>
    <row r="49" spans="1:20" x14ac:dyDescent="0.25">
      <c r="A49" s="155">
        <f t="shared" si="0"/>
        <v>37</v>
      </c>
      <c r="B49" s="169"/>
      <c r="C49" s="155">
        <v>31144</v>
      </c>
      <c r="D49" s="150" t="s">
        <v>46</v>
      </c>
      <c r="F49" s="8">
        <f>VLOOKUP($C49,'ASDR FY2'!$A:$X,F$14,FALSE)/1000</f>
        <v>27319.473670000018</v>
      </c>
      <c r="G49" s="152"/>
      <c r="H49" s="8">
        <f>VLOOKUP($C49,'ASDR FY2'!$A:$X,H$14,FALSE)/1000</f>
        <v>1950.9880800000001</v>
      </c>
      <c r="I49" s="9"/>
      <c r="J49" s="8">
        <f>VLOOKUP($C49,'ASDR FY2'!$A:$X,J$14,FALSE)/1000</f>
        <v>0</v>
      </c>
      <c r="K49" s="10"/>
      <c r="L49" s="8">
        <f>VLOOKUP($C49,'ASDR FY2'!$A:$X,L$13,FALSE)/1000+VLOOKUP($C49,'ASDR FY2'!$A:$X,L$14,FALSE)/1000</f>
        <v>0</v>
      </c>
      <c r="M49" s="10"/>
      <c r="N49" s="8">
        <f>VLOOKUP($C49,'ASDR FY2'!$A:$X,N$13,FALSE)/1000+VLOOKUP($C49,'ASDR FY2'!$A:$X,N$14,FALSE)/1000</f>
        <v>0</v>
      </c>
      <c r="O49" s="8"/>
      <c r="P49" s="8">
        <f>VLOOKUP($C49,'ASDR FY2'!$A:$X,P$13,FALSE)/1000+VLOOKUP($C49,'ASDR FY2'!$A:$X,P$14,FALSE)/1000+VLOOKUP($C49,'ASDR FY2'!$A:$X,P$15,FALSE)/1000</f>
        <v>0</v>
      </c>
      <c r="Q49" s="9"/>
      <c r="R49" s="8">
        <f>SUM(F49,H49,J49,L49,N49,P49)</f>
        <v>29270.461750000017</v>
      </c>
      <c r="S49" s="10"/>
      <c r="T49" s="8">
        <f>VLOOKUP($C49,'ASDR FY2'!$A:$X,T$14,FALSE)/1000</f>
        <v>28294.967710000001</v>
      </c>
    </row>
    <row r="50" spans="1:20" x14ac:dyDescent="0.25">
      <c r="A50" s="155">
        <f t="shared" si="0"/>
        <v>38</v>
      </c>
      <c r="B50" s="169"/>
      <c r="C50" s="155">
        <v>31244</v>
      </c>
      <c r="D50" s="150" t="s">
        <v>47</v>
      </c>
      <c r="F50" s="8">
        <f>VLOOKUP($C50,'ASDR FY2'!$A:$X,F$14,FALSE)/1000</f>
        <v>117102.39398499999</v>
      </c>
      <c r="G50" s="152"/>
      <c r="H50" s="8">
        <f>VLOOKUP($C50,'ASDR FY2'!$A:$X,H$14,FALSE)/1000</f>
        <v>17043.066280000003</v>
      </c>
      <c r="I50" s="9"/>
      <c r="J50" s="8">
        <f>VLOOKUP($C50,'ASDR FY2'!$A:$X,J$14,FALSE)/1000</f>
        <v>-657.01185999999996</v>
      </c>
      <c r="K50" s="10"/>
      <c r="L50" s="8">
        <f>VLOOKUP($C50,'ASDR FY2'!$A:$X,L$13,FALSE)/1000+VLOOKUP($C50,'ASDR FY2'!$A:$X,L$14,FALSE)/1000</f>
        <v>-302.05063000000001</v>
      </c>
      <c r="M50" s="10"/>
      <c r="N50" s="8">
        <f>VLOOKUP($C50,'ASDR FY2'!$A:$X,N$13,FALSE)/1000+VLOOKUP($C50,'ASDR FY2'!$A:$X,N$14,FALSE)/1000</f>
        <v>0</v>
      </c>
      <c r="O50" s="8"/>
      <c r="P50" s="8">
        <f>VLOOKUP($C50,'ASDR FY2'!$A:$X,P$13,FALSE)/1000+VLOOKUP($C50,'ASDR FY2'!$A:$X,P$14,FALSE)/1000+VLOOKUP($C50,'ASDR FY2'!$A:$X,P$15,FALSE)/1000</f>
        <v>0</v>
      </c>
      <c r="Q50" s="9"/>
      <c r="R50" s="8">
        <f>SUM(F50,H50,J50,L50,N50,P50)</f>
        <v>133186.39777499999</v>
      </c>
      <c r="S50" s="10"/>
      <c r="T50" s="8">
        <f>VLOOKUP($C50,'ASDR FY2'!$A:$X,T$14,FALSE)/1000</f>
        <v>125203.50181999999</v>
      </c>
    </row>
    <row r="51" spans="1:20" x14ac:dyDescent="0.25">
      <c r="A51" s="155">
        <f t="shared" si="0"/>
        <v>39</v>
      </c>
      <c r="B51" s="169"/>
      <c r="C51" s="155">
        <v>31444</v>
      </c>
      <c r="D51" s="150" t="s">
        <v>48</v>
      </c>
      <c r="F51" s="8">
        <f>VLOOKUP($C51,'ASDR FY2'!$A:$X,F$14,FALSE)/1000</f>
        <v>53046.999285000034</v>
      </c>
      <c r="G51" s="152"/>
      <c r="H51" s="8">
        <f>VLOOKUP($C51,'ASDR FY2'!$A:$X,H$14,FALSE)/1000</f>
        <v>5643.8801900000008</v>
      </c>
      <c r="I51" s="9"/>
      <c r="J51" s="8">
        <f>VLOOKUP($C51,'ASDR FY2'!$A:$X,J$14,FALSE)/1000</f>
        <v>-657.01185999999996</v>
      </c>
      <c r="K51" s="10"/>
      <c r="L51" s="8">
        <f>VLOOKUP($C51,'ASDR FY2'!$A:$X,L$13,FALSE)/1000+VLOOKUP($C51,'ASDR FY2'!$A:$X,L$14,FALSE)/1000</f>
        <v>-302.05063000000001</v>
      </c>
      <c r="M51" s="10"/>
      <c r="N51" s="8">
        <f>VLOOKUP($C51,'ASDR FY2'!$A:$X,N$13,FALSE)/1000+VLOOKUP($C51,'ASDR FY2'!$A:$X,N$14,FALSE)/1000</f>
        <v>0</v>
      </c>
      <c r="O51" s="8"/>
      <c r="P51" s="8">
        <f>VLOOKUP($C51,'ASDR FY2'!$A:$X,P$13,FALSE)/1000+VLOOKUP($C51,'ASDR FY2'!$A:$X,P$14,FALSE)/1000+VLOOKUP($C51,'ASDR FY2'!$A:$X,P$15,FALSE)/1000</f>
        <v>0</v>
      </c>
      <c r="Q51" s="9"/>
      <c r="R51" s="8">
        <f>SUM(F51,H51,J51,L51,N51,P51)</f>
        <v>57731.816985000041</v>
      </c>
      <c r="S51" s="10"/>
      <c r="T51" s="8">
        <f>VLOOKUP($C51,'ASDR FY2'!$A:$X,T$14,FALSE)/1000</f>
        <v>55450.09173</v>
      </c>
    </row>
    <row r="52" spans="1:20" x14ac:dyDescent="0.25">
      <c r="A52" s="155">
        <f t="shared" si="0"/>
        <v>40</v>
      </c>
      <c r="B52" s="169"/>
      <c r="C52" s="155">
        <v>31544</v>
      </c>
      <c r="D52" s="150" t="s">
        <v>49</v>
      </c>
      <c r="F52" s="8">
        <f>VLOOKUP($C52,'ASDR FY2'!$A:$X,F$14,FALSE)/1000</f>
        <v>34250.240040000004</v>
      </c>
      <c r="G52" s="152"/>
      <c r="H52" s="8">
        <f>VLOOKUP($C52,'ASDR FY2'!$A:$X,H$14,FALSE)/1000</f>
        <v>1480.06584</v>
      </c>
      <c r="I52" s="9"/>
      <c r="J52" s="8">
        <f>VLOOKUP($C52,'ASDR FY2'!$A:$X,J$14,FALSE)/1000</f>
        <v>0</v>
      </c>
      <c r="K52" s="10"/>
      <c r="L52" s="8">
        <f>VLOOKUP($C52,'ASDR FY2'!$A:$X,L$13,FALSE)/1000+VLOOKUP($C52,'ASDR FY2'!$A:$X,L$14,FALSE)/1000</f>
        <v>0</v>
      </c>
      <c r="M52" s="10"/>
      <c r="N52" s="8">
        <f>VLOOKUP($C52,'ASDR FY2'!$A:$X,N$13,FALSE)/1000+VLOOKUP($C52,'ASDR FY2'!$A:$X,N$14,FALSE)/1000</f>
        <v>0</v>
      </c>
      <c r="O52" s="8"/>
      <c r="P52" s="8">
        <f>VLOOKUP($C52,'ASDR FY2'!$A:$X,P$13,FALSE)/1000+VLOOKUP($C52,'ASDR FY2'!$A:$X,P$14,FALSE)/1000+VLOOKUP($C52,'ASDR FY2'!$A:$X,P$15,FALSE)/1000</f>
        <v>0</v>
      </c>
      <c r="Q52" s="9"/>
      <c r="R52" s="8">
        <f>SUM(F52,H52,J52,L52,N52,P52)</f>
        <v>35730.305880000007</v>
      </c>
      <c r="S52" s="10"/>
      <c r="T52" s="8">
        <f>VLOOKUP($C52,'ASDR FY2'!$A:$X,T$14,FALSE)/1000</f>
        <v>34990.272960000002</v>
      </c>
    </row>
    <row r="53" spans="1:20" x14ac:dyDescent="0.25">
      <c r="A53" s="155">
        <f t="shared" si="0"/>
        <v>41</v>
      </c>
      <c r="B53" s="169"/>
      <c r="C53" s="155">
        <v>31644</v>
      </c>
      <c r="D53" s="150" t="s">
        <v>50</v>
      </c>
      <c r="F53" s="8">
        <f>VLOOKUP($C53,'ASDR FY2'!$A:$X,F$14,FALSE)/1000</f>
        <v>4399.6809099999964</v>
      </c>
      <c r="G53" s="152"/>
      <c r="H53" s="8">
        <f>VLOOKUP($C53,'ASDR FY2'!$A:$X,H$14,FALSE)/1000</f>
        <v>112.62360000000001</v>
      </c>
      <c r="I53" s="9"/>
      <c r="J53" s="8">
        <f>VLOOKUP($C53,'ASDR FY2'!$A:$X,J$14,FALSE)/1000</f>
        <v>0</v>
      </c>
      <c r="K53" s="10"/>
      <c r="L53" s="8">
        <f>VLOOKUP($C53,'ASDR FY2'!$A:$X,L$13,FALSE)/1000+VLOOKUP($C53,'ASDR FY2'!$A:$X,L$14,FALSE)/1000</f>
        <v>0</v>
      </c>
      <c r="M53" s="10"/>
      <c r="N53" s="8">
        <f>VLOOKUP($C53,'ASDR FY2'!$A:$X,N$13,FALSE)/1000+VLOOKUP($C53,'ASDR FY2'!$A:$X,N$14,FALSE)/1000</f>
        <v>0</v>
      </c>
      <c r="O53" s="8"/>
      <c r="P53" s="8">
        <f>VLOOKUP($C53,'ASDR FY2'!$A:$X,P$13,FALSE)/1000+VLOOKUP($C53,'ASDR FY2'!$A:$X,P$14,FALSE)/1000+VLOOKUP($C53,'ASDR FY2'!$A:$X,P$15,FALSE)/1000</f>
        <v>0</v>
      </c>
      <c r="Q53" s="9"/>
      <c r="R53" s="8">
        <f>SUM(F53,H53,J53,L53,N53,P53)</f>
        <v>4512.3045099999963</v>
      </c>
      <c r="S53" s="10"/>
      <c r="T53" s="8">
        <f>VLOOKUP($C53,'ASDR FY2'!$A:$X,T$14,FALSE)/1000</f>
        <v>4455.9927099999995</v>
      </c>
    </row>
    <row r="54" spans="1:20" x14ac:dyDescent="0.25">
      <c r="A54" s="155">
        <f t="shared" si="0"/>
        <v>42</v>
      </c>
      <c r="B54" s="169"/>
      <c r="D54" s="167" t="s">
        <v>59</v>
      </c>
      <c r="E54" s="167"/>
      <c r="F54" s="12">
        <f>SUM(F49:F53)</f>
        <v>236118.78789000004</v>
      </c>
      <c r="H54" s="12">
        <f>SUM(H49:H53)</f>
        <v>26230.62399</v>
      </c>
      <c r="I54" s="13"/>
      <c r="J54" s="12">
        <f>SUM(J49:J53)</f>
        <v>-1314.0237199999999</v>
      </c>
      <c r="K54" s="13"/>
      <c r="L54" s="12">
        <f>SUM(L49:L53)</f>
        <v>-604.10126000000002</v>
      </c>
      <c r="M54" s="13"/>
      <c r="N54" s="12">
        <f>SUM(N49:N53)</f>
        <v>0</v>
      </c>
      <c r="O54" s="65"/>
      <c r="P54" s="12">
        <f>SUM(P49:P53)</f>
        <v>0</v>
      </c>
      <c r="Q54" s="13"/>
      <c r="R54" s="12">
        <f>SUM(R49:R53)</f>
        <v>260431.28690000004</v>
      </c>
      <c r="S54" s="13"/>
      <c r="T54" s="12">
        <f>SUM(T49:T53)</f>
        <v>248394.82692999998</v>
      </c>
    </row>
    <row r="55" spans="1:20" x14ac:dyDescent="0.25">
      <c r="A55" s="155">
        <f t="shared" si="0"/>
        <v>43</v>
      </c>
      <c r="B55" s="169"/>
      <c r="Q55" s="152"/>
    </row>
    <row r="56" spans="1:20" ht="13.8" thickBot="1" x14ac:dyDescent="0.3">
      <c r="A56" s="156">
        <f t="shared" si="0"/>
        <v>44</v>
      </c>
      <c r="B56" s="20" t="s">
        <v>60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5"/>
      <c r="R56" s="147"/>
      <c r="S56" s="147"/>
      <c r="T56" s="147"/>
    </row>
    <row r="57" spans="1:20" x14ac:dyDescent="0.25">
      <c r="A57" s="151" t="s">
        <v>61</v>
      </c>
      <c r="Q57" s="152"/>
      <c r="R57" s="150" t="s">
        <v>62</v>
      </c>
    </row>
    <row r="58" spans="1:20" ht="13.8" thickBot="1" x14ac:dyDescent="0.3">
      <c r="A58" s="147" t="str">
        <f>$A$1</f>
        <v>SCHEDULE B-09</v>
      </c>
      <c r="B58" s="147"/>
      <c r="C58" s="147"/>
      <c r="D58" s="147"/>
      <c r="E58" s="147"/>
      <c r="F58" s="147" t="str">
        <f>$F$1</f>
        <v>DEPRECIATION RESERVE BALANCES BY ACCOUNT AND SUB-ACCOUNT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5"/>
      <c r="R58" s="147"/>
      <c r="S58" s="147"/>
      <c r="T58" s="147" t="str">
        <f>"Page 2 of " &amp; $R$1</f>
        <v>Page 2 of 30</v>
      </c>
    </row>
    <row r="59" spans="1:20" x14ac:dyDescent="0.25">
      <c r="A59" s="150" t="str">
        <f>$A$2</f>
        <v>FLORIDA PUBLIC SERVICE COMMISSION</v>
      </c>
      <c r="B59" s="170"/>
      <c r="E59" s="152" t="str">
        <f>$E$2</f>
        <v xml:space="preserve">                  EXPLANATION:</v>
      </c>
      <c r="F59" s="150" t="str">
        <f>IF($F$2="","",$F$2)</f>
        <v>Provide the depreciation reserve balances for each account or sub-account to which</v>
      </c>
      <c r="J59" s="149"/>
      <c r="K59" s="149"/>
      <c r="M59" s="149"/>
      <c r="N59" s="149"/>
      <c r="O59" s="149"/>
      <c r="P59" s="149"/>
      <c r="Q59" s="148"/>
      <c r="R59" s="150" t="str">
        <f>$R$2</f>
        <v>Type of data shown:</v>
      </c>
      <c r="T59" s="151"/>
    </row>
    <row r="60" spans="1:20" x14ac:dyDescent="0.25">
      <c r="B60" s="170"/>
      <c r="F60" s="150" t="str">
        <f>IF($F$3="","",$F$3)</f>
        <v>an individual depreciation rate is applied. (Include Amortization/Recovery amounts).</v>
      </c>
      <c r="J60" s="152"/>
      <c r="K60" s="151"/>
      <c r="N60" s="152"/>
      <c r="O60" s="152"/>
      <c r="P60" s="152"/>
      <c r="Q60" s="152" t="str">
        <f>IF($Q$3=0,"",$Q$3)</f>
        <v>XX</v>
      </c>
      <c r="R60" s="151" t="str">
        <f>$R$3</f>
        <v>Projected Test Year Ended 12/31/2025</v>
      </c>
      <c r="T60" s="152"/>
    </row>
    <row r="61" spans="1:20" x14ac:dyDescent="0.25">
      <c r="A61" s="150" t="str">
        <f>$A$4</f>
        <v>COMPANY: TAMPA ELECTRIC COMPANY</v>
      </c>
      <c r="B61" s="170"/>
      <c r="F61" s="150" t="str">
        <f>IF(+$F$4="","",$F$4)</f>
        <v/>
      </c>
      <c r="J61" s="152"/>
      <c r="K61" s="151"/>
      <c r="L61" s="152"/>
      <c r="Q61" s="152" t="str">
        <f>IF($Q$4=0,"",$Q$4)</f>
        <v/>
      </c>
      <c r="R61" s="151" t="str">
        <f>$R$4</f>
        <v>Projected Prior Year Ended 12/31/2024</v>
      </c>
      <c r="T61" s="152"/>
    </row>
    <row r="62" spans="1:20" x14ac:dyDescent="0.25">
      <c r="B62" s="170"/>
      <c r="F62" s="150" t="str">
        <f>IF(+$F$5="","",$F$5)</f>
        <v/>
      </c>
      <c r="J62" s="152"/>
      <c r="K62" s="151"/>
      <c r="L62" s="152"/>
      <c r="Q62" s="152" t="str">
        <f>IF($Q$5=0,"",$Q$5)</f>
        <v/>
      </c>
      <c r="R62" s="151" t="str">
        <f>$R$5</f>
        <v>Historical Prior Year Ended 12/31/2023</v>
      </c>
      <c r="T62" s="152"/>
    </row>
    <row r="63" spans="1:20" x14ac:dyDescent="0.25">
      <c r="B63" s="170"/>
      <c r="J63" s="152"/>
      <c r="K63" s="151"/>
      <c r="L63" s="152"/>
      <c r="Q63" s="152"/>
      <c r="R63" s="151" t="str">
        <f>$R$6</f>
        <v>Witness: C. Aldazabal / N. Allis / J. Chronister</v>
      </c>
      <c r="T63" s="152"/>
    </row>
    <row r="64" spans="1:20" ht="13.8" thickBot="1" x14ac:dyDescent="0.3">
      <c r="A64" s="147" t="str">
        <f>A$7</f>
        <v>DOCKET No. 20240026-EI</v>
      </c>
      <c r="B64" s="171"/>
      <c r="C64" s="147"/>
      <c r="D64" s="147"/>
      <c r="E64" s="147"/>
      <c r="F64" s="147" t="str">
        <f>IF(+$F$7="","",$F$7)</f>
        <v/>
      </c>
      <c r="G64" s="147"/>
      <c r="H64" s="156" t="str">
        <f>IF($H$7="","",$H$7)</f>
        <v>(Dollars in 000's)</v>
      </c>
      <c r="I64" s="147"/>
      <c r="J64" s="147"/>
      <c r="K64" s="147"/>
      <c r="L64" s="147"/>
      <c r="M64" s="147"/>
      <c r="N64" s="147"/>
      <c r="O64" s="147"/>
      <c r="P64" s="147"/>
      <c r="Q64" s="145"/>
      <c r="R64" s="147" t="str">
        <f>$R$7</f>
        <v xml:space="preserve">             / R. Latta / K. Stryker / C. Whitworth</v>
      </c>
      <c r="S64" s="147"/>
      <c r="T64" s="147"/>
    </row>
    <row r="65" spans="1:20" x14ac:dyDescent="0.25"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4"/>
      <c r="R65" s="153"/>
      <c r="S65" s="153"/>
      <c r="T65" s="153"/>
    </row>
    <row r="66" spans="1:20" x14ac:dyDescent="0.25">
      <c r="C66" s="153" t="s">
        <v>13</v>
      </c>
      <c r="D66" s="153" t="s">
        <v>14</v>
      </c>
      <c r="E66" s="153"/>
      <c r="F66" s="153" t="s">
        <v>15</v>
      </c>
      <c r="G66" s="153"/>
      <c r="H66" s="153" t="s">
        <v>16</v>
      </c>
      <c r="I66" s="153"/>
      <c r="J66" s="155" t="s">
        <v>17</v>
      </c>
      <c r="K66" s="155"/>
      <c r="L66" s="153" t="s">
        <v>18</v>
      </c>
      <c r="M66" s="153"/>
      <c r="N66" s="153" t="s">
        <v>19</v>
      </c>
      <c r="O66" s="153"/>
      <c r="P66" s="153" t="s">
        <v>20</v>
      </c>
      <c r="Q66" s="154"/>
      <c r="R66" s="153" t="s">
        <v>21</v>
      </c>
      <c r="S66" s="153"/>
      <c r="T66" s="153" t="s">
        <v>22</v>
      </c>
    </row>
    <row r="67" spans="1:20" x14ac:dyDescent="0.25">
      <c r="C67" s="155" t="s">
        <v>23</v>
      </c>
      <c r="D67" s="155" t="s">
        <v>23</v>
      </c>
      <c r="F67" s="155" t="s">
        <v>24</v>
      </c>
      <c r="G67" s="155"/>
      <c r="H67" s="153" t="s">
        <v>25</v>
      </c>
      <c r="I67" s="155"/>
      <c r="J67" s="153"/>
      <c r="K67" s="155"/>
      <c r="L67" s="155"/>
      <c r="M67" s="155"/>
      <c r="Q67" s="152"/>
      <c r="R67" s="155" t="s">
        <v>24</v>
      </c>
      <c r="T67" s="155"/>
    </row>
    <row r="68" spans="1:20" x14ac:dyDescent="0.25">
      <c r="A68" s="155" t="s">
        <v>26</v>
      </c>
      <c r="B68" s="155"/>
      <c r="C68" s="155" t="s">
        <v>27</v>
      </c>
      <c r="D68" s="155" t="s">
        <v>27</v>
      </c>
      <c r="E68" s="153"/>
      <c r="F68" s="155" t="s">
        <v>28</v>
      </c>
      <c r="G68" s="155"/>
      <c r="H68" s="155" t="s">
        <v>28</v>
      </c>
      <c r="I68" s="155"/>
      <c r="J68" s="155"/>
      <c r="K68" s="153"/>
      <c r="L68" s="155" t="s">
        <v>29</v>
      </c>
      <c r="M68" s="151"/>
      <c r="N68" s="155" t="s">
        <v>29</v>
      </c>
      <c r="O68" s="155"/>
      <c r="P68" s="155" t="s">
        <v>30</v>
      </c>
      <c r="Q68" s="154"/>
      <c r="R68" s="153" t="s">
        <v>28</v>
      </c>
      <c r="S68" s="153"/>
      <c r="T68" s="155" t="s">
        <v>31</v>
      </c>
    </row>
    <row r="69" spans="1:20" ht="13.8" thickBot="1" x14ac:dyDescent="0.3">
      <c r="A69" s="156" t="s">
        <v>32</v>
      </c>
      <c r="B69" s="156"/>
      <c r="C69" s="156" t="s">
        <v>33</v>
      </c>
      <c r="D69" s="156" t="s">
        <v>34</v>
      </c>
      <c r="E69" s="156"/>
      <c r="F69" s="157" t="s">
        <v>35</v>
      </c>
      <c r="G69" s="157"/>
      <c r="H69" s="157" t="s">
        <v>36</v>
      </c>
      <c r="I69" s="158"/>
      <c r="J69" s="157" t="s">
        <v>37</v>
      </c>
      <c r="K69" s="158"/>
      <c r="L69" s="158" t="s">
        <v>38</v>
      </c>
      <c r="M69" s="159"/>
      <c r="N69" s="159" t="s">
        <v>39</v>
      </c>
      <c r="O69" s="159"/>
      <c r="P69" s="159" t="s">
        <v>40</v>
      </c>
      <c r="Q69" s="160"/>
      <c r="R69" s="159" t="s">
        <v>41</v>
      </c>
      <c r="S69" s="159"/>
      <c r="T69" s="159" t="s">
        <v>42</v>
      </c>
    </row>
    <row r="70" spans="1:20" x14ac:dyDescent="0.25">
      <c r="A70" s="155">
        <v>1</v>
      </c>
      <c r="B70" s="155"/>
      <c r="Q70" s="152"/>
    </row>
    <row r="71" spans="1:20" x14ac:dyDescent="0.25">
      <c r="A71" s="155">
        <f>A70+1</f>
        <v>2</v>
      </c>
      <c r="B71" s="161"/>
      <c r="D71" s="172" t="s">
        <v>63</v>
      </c>
      <c r="E71" s="167"/>
      <c r="F71" s="167"/>
      <c r="G71" s="167"/>
      <c r="Q71" s="152"/>
    </row>
    <row r="72" spans="1:20" x14ac:dyDescent="0.25">
      <c r="A72" s="155">
        <f t="shared" ref="A72:A113" si="1">A71+1</f>
        <v>3</v>
      </c>
      <c r="B72" s="161"/>
      <c r="C72" s="155">
        <v>31145</v>
      </c>
      <c r="D72" s="150" t="s">
        <v>46</v>
      </c>
      <c r="F72" s="8">
        <f>VLOOKUP($C72,'ASDR FY2'!$A:$X,F$14,FALSE)/1000</f>
        <v>19373.050540000011</v>
      </c>
      <c r="G72" s="152"/>
      <c r="H72" s="8">
        <f>VLOOKUP($C72,'ASDR FY2'!$A:$X,H$14,FALSE)/1000</f>
        <v>1116.7533600000002</v>
      </c>
      <c r="I72" s="9"/>
      <c r="J72" s="8">
        <f>VLOOKUP($C72,'ASDR FY2'!$A:$X,J$14,FALSE)/1000</f>
        <v>0</v>
      </c>
      <c r="K72" s="10"/>
      <c r="L72" s="8">
        <f>VLOOKUP($C72,'ASDR FY2'!$A:$X,L$13,FALSE)/1000+VLOOKUP($C72,'ASDR FY2'!$A:$X,L$14,FALSE)/1000</f>
        <v>0</v>
      </c>
      <c r="M72" s="10"/>
      <c r="N72" s="8">
        <f>VLOOKUP($C72,'ASDR FY2'!$A:$X,N$13,FALSE)/1000+VLOOKUP($C72,'ASDR FY2'!$A:$X,N$14,FALSE)/1000</f>
        <v>0</v>
      </c>
      <c r="O72" s="8"/>
      <c r="P72" s="8">
        <f>VLOOKUP($C72,'ASDR FY2'!$A:$X,P$13,FALSE)/1000+VLOOKUP($C72,'ASDR FY2'!$A:$X,P$14,FALSE)/1000+VLOOKUP($C72,'ASDR FY2'!$A:$X,P$15,FALSE)/1000</f>
        <v>0</v>
      </c>
      <c r="Q72" s="9"/>
      <c r="R72" s="8">
        <f>SUM(F72,H72,J72,L72,N72,P72)</f>
        <v>20489.80390000001</v>
      </c>
      <c r="S72" s="10"/>
      <c r="T72" s="8">
        <f>VLOOKUP($C72,'ASDR FY2'!$A:$X,T$14,FALSE)/1000</f>
        <v>19931.427219999998</v>
      </c>
    </row>
    <row r="73" spans="1:20" x14ac:dyDescent="0.25">
      <c r="A73" s="155">
        <f t="shared" si="1"/>
        <v>4</v>
      </c>
      <c r="B73" s="161"/>
      <c r="C73" s="155">
        <v>31245</v>
      </c>
      <c r="D73" s="150" t="s">
        <v>47</v>
      </c>
      <c r="F73" s="8">
        <f>VLOOKUP($C73,'ASDR FY2'!$A:$X,F$14,FALSE)/1000</f>
        <v>80754.234110000019</v>
      </c>
      <c r="G73" s="152"/>
      <c r="H73" s="8">
        <f>VLOOKUP($C73,'ASDR FY2'!$A:$X,H$14,FALSE)/1000</f>
        <v>10612.96385</v>
      </c>
      <c r="I73" s="9"/>
      <c r="J73" s="8">
        <f>VLOOKUP($C73,'ASDR FY2'!$A:$X,J$14,FALSE)/1000</f>
        <v>-115.00058</v>
      </c>
      <c r="K73" s="10"/>
      <c r="L73" s="8">
        <f>VLOOKUP($C73,'ASDR FY2'!$A:$X,L$13,FALSE)/1000+VLOOKUP($C73,'ASDR FY2'!$A:$X,L$14,FALSE)/1000</f>
        <v>-7.8694799999999994</v>
      </c>
      <c r="M73" s="10"/>
      <c r="N73" s="8">
        <f>VLOOKUP($C73,'ASDR FY2'!$A:$X,N$13,FALSE)/1000+VLOOKUP($C73,'ASDR FY2'!$A:$X,N$14,FALSE)/1000</f>
        <v>0</v>
      </c>
      <c r="O73" s="8"/>
      <c r="P73" s="8">
        <f>VLOOKUP($C73,'ASDR FY2'!$A:$X,P$13,FALSE)/1000+VLOOKUP($C73,'ASDR FY2'!$A:$X,P$14,FALSE)/1000+VLOOKUP($C73,'ASDR FY2'!$A:$X,P$15,FALSE)/1000</f>
        <v>0</v>
      </c>
      <c r="Q73" s="9"/>
      <c r="R73" s="8">
        <f>SUM(F73,H73,J73,L73,N73,P73)</f>
        <v>91244.327900000018</v>
      </c>
      <c r="S73" s="10"/>
      <c r="T73" s="8">
        <f>VLOOKUP($C73,'ASDR FY2'!$A:$X,T$14,FALSE)/1000</f>
        <v>86017.606680000012</v>
      </c>
    </row>
    <row r="74" spans="1:20" x14ac:dyDescent="0.25">
      <c r="A74" s="155">
        <f t="shared" si="1"/>
        <v>5</v>
      </c>
      <c r="B74" s="161"/>
      <c r="C74" s="155">
        <v>31545</v>
      </c>
      <c r="D74" s="150" t="s">
        <v>49</v>
      </c>
      <c r="F74" s="8">
        <f>VLOOKUP($C74,'ASDR FY2'!$A:$X,F$14,FALSE)/1000</f>
        <v>17640.077499999999</v>
      </c>
      <c r="G74" s="152"/>
      <c r="H74" s="8">
        <f>VLOOKUP($C74,'ASDR FY2'!$A:$X,H$14,FALSE)/1000</f>
        <v>755.2165</v>
      </c>
      <c r="I74" s="9"/>
      <c r="J74" s="8">
        <f>VLOOKUP($C74,'ASDR FY2'!$A:$X,J$14,FALSE)/1000</f>
        <v>-115.00058</v>
      </c>
      <c r="K74" s="10"/>
      <c r="L74" s="8">
        <f>VLOOKUP($C74,'ASDR FY2'!$A:$X,L$13,FALSE)/1000+VLOOKUP($C74,'ASDR FY2'!$A:$X,L$14,FALSE)/1000</f>
        <v>-7.8694799999999994</v>
      </c>
      <c r="M74" s="10"/>
      <c r="N74" s="8">
        <f>VLOOKUP($C74,'ASDR FY2'!$A:$X,N$13,FALSE)/1000+VLOOKUP($C74,'ASDR FY2'!$A:$X,N$14,FALSE)/1000</f>
        <v>0</v>
      </c>
      <c r="O74" s="8"/>
      <c r="P74" s="8">
        <f>VLOOKUP($C74,'ASDR FY2'!$A:$X,P$13,FALSE)/1000+VLOOKUP($C74,'ASDR FY2'!$A:$X,P$14,FALSE)/1000+VLOOKUP($C74,'ASDR FY2'!$A:$X,P$15,FALSE)/1000</f>
        <v>0</v>
      </c>
      <c r="Q74" s="9"/>
      <c r="R74" s="8">
        <f>SUM(F74,H74,J74,L74,N74,P74)</f>
        <v>18272.423939999997</v>
      </c>
      <c r="S74" s="10"/>
      <c r="T74" s="8">
        <f>VLOOKUP($C74,'ASDR FY2'!$A:$X,T$14,FALSE)/1000</f>
        <v>17975.589019999999</v>
      </c>
    </row>
    <row r="75" spans="1:20" x14ac:dyDescent="0.25">
      <c r="A75" s="155">
        <f t="shared" si="1"/>
        <v>6</v>
      </c>
      <c r="B75" s="161"/>
      <c r="C75" s="155">
        <v>31645</v>
      </c>
      <c r="D75" s="150" t="s">
        <v>50</v>
      </c>
      <c r="F75" s="8">
        <f>VLOOKUP($C75,'ASDR FY2'!$A:$X,F$14,FALSE)/1000</f>
        <v>1278.8833199999976</v>
      </c>
      <c r="G75" s="152"/>
      <c r="H75" s="8">
        <f>VLOOKUP($C75,'ASDR FY2'!$A:$X,H$14,FALSE)/1000</f>
        <v>32.541119999999999</v>
      </c>
      <c r="I75" s="9"/>
      <c r="J75" s="8">
        <f>VLOOKUP($C75,'ASDR FY2'!$A:$X,J$14,FALSE)/1000</f>
        <v>0</v>
      </c>
      <c r="K75" s="10"/>
      <c r="L75" s="8">
        <f>VLOOKUP($C75,'ASDR FY2'!$A:$X,L$13,FALSE)/1000+VLOOKUP($C75,'ASDR FY2'!$A:$X,L$14,FALSE)/1000</f>
        <v>0</v>
      </c>
      <c r="M75" s="10"/>
      <c r="N75" s="8">
        <f>VLOOKUP($C75,'ASDR FY2'!$A:$X,N$13,FALSE)/1000+VLOOKUP($C75,'ASDR FY2'!$A:$X,N$14,FALSE)/1000</f>
        <v>0</v>
      </c>
      <c r="O75" s="8"/>
      <c r="P75" s="8">
        <f>VLOOKUP($C75,'ASDR FY2'!$A:$X,P$13,FALSE)/1000+VLOOKUP($C75,'ASDR FY2'!$A:$X,P$14,FALSE)/1000+VLOOKUP($C75,'ASDR FY2'!$A:$X,P$15,FALSE)/1000</f>
        <v>0</v>
      </c>
      <c r="Q75" s="9"/>
      <c r="R75" s="8">
        <f>SUM(F75,H75,J75,L75,N75,P75)</f>
        <v>1311.4244399999977</v>
      </c>
      <c r="S75" s="10"/>
      <c r="T75" s="8">
        <f>VLOOKUP($C75,'ASDR FY2'!$A:$X,T$14,FALSE)/1000</f>
        <v>1295.1538799999998</v>
      </c>
    </row>
    <row r="76" spans="1:20" x14ac:dyDescent="0.25">
      <c r="A76" s="155">
        <f t="shared" si="1"/>
        <v>7</v>
      </c>
      <c r="B76" s="155"/>
      <c r="C76" s="155"/>
      <c r="D76" s="172" t="s">
        <v>64</v>
      </c>
      <c r="E76" s="167"/>
      <c r="F76" s="12">
        <f>SUM(F72:F75)</f>
        <v>119046.24547000002</v>
      </c>
      <c r="H76" s="12">
        <f>SUM(H72:H75)</f>
        <v>12517.474830000001</v>
      </c>
      <c r="I76" s="13"/>
      <c r="J76" s="12">
        <f>SUM(J72:J75)</f>
        <v>-230.00116</v>
      </c>
      <c r="K76" s="13"/>
      <c r="L76" s="12">
        <f>SUM(L72:L75)</f>
        <v>-15.738959999999999</v>
      </c>
      <c r="M76" s="13"/>
      <c r="N76" s="12">
        <f>SUM(N72:N75)</f>
        <v>0</v>
      </c>
      <c r="O76" s="65"/>
      <c r="P76" s="12">
        <f>SUM(P72:P75)</f>
        <v>0</v>
      </c>
      <c r="Q76" s="13"/>
      <c r="R76" s="12">
        <f>SUM(R72:R75)</f>
        <v>131317.98018000001</v>
      </c>
      <c r="S76" s="13"/>
      <c r="T76" s="12">
        <f>SUM(T72:T75)</f>
        <v>125219.77680000001</v>
      </c>
    </row>
    <row r="77" spans="1:20" x14ac:dyDescent="0.25">
      <c r="A77" s="155">
        <f t="shared" si="1"/>
        <v>8</v>
      </c>
      <c r="B77" s="155"/>
      <c r="Q77" s="152"/>
    </row>
    <row r="78" spans="1:20" x14ac:dyDescent="0.25">
      <c r="A78" s="155">
        <f t="shared" si="1"/>
        <v>9</v>
      </c>
      <c r="B78" s="161"/>
      <c r="C78" s="155"/>
      <c r="D78" s="167" t="s">
        <v>65</v>
      </c>
      <c r="E78" s="167"/>
      <c r="F78" s="166"/>
      <c r="G78" s="16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25">
      <c r="A79" s="155">
        <f t="shared" si="1"/>
        <v>10</v>
      </c>
      <c r="B79" s="161"/>
      <c r="C79" s="155">
        <v>31146</v>
      </c>
      <c r="D79" s="150" t="s">
        <v>46</v>
      </c>
      <c r="F79" s="8">
        <f>VLOOKUP($C79,'ASDR FY2'!$A:$X,F$14,FALSE)/1000</f>
        <v>0</v>
      </c>
      <c r="G79" s="152"/>
      <c r="H79" s="8">
        <f>VLOOKUP($C79,'ASDR FY2'!$A:$X,H$14,FALSE)/1000</f>
        <v>0</v>
      </c>
      <c r="I79" s="9"/>
      <c r="J79" s="8">
        <f>VLOOKUP($C79,'ASDR FY2'!$A:$X,J$14,FALSE)/1000</f>
        <v>0</v>
      </c>
      <c r="K79" s="10"/>
      <c r="L79" s="8">
        <f>VLOOKUP($C79,'ASDR FY2'!$A:$X,L$13,FALSE)/1000+VLOOKUP($C79,'ASDR FY2'!$A:$X,L$14,FALSE)/1000</f>
        <v>0</v>
      </c>
      <c r="M79" s="10"/>
      <c r="N79" s="8">
        <f>VLOOKUP($C79,'ASDR FY2'!$A:$X,N$13,FALSE)/1000+VLOOKUP($C79,'ASDR FY2'!$A:$X,N$14,FALSE)/1000</f>
        <v>0</v>
      </c>
      <c r="O79" s="8"/>
      <c r="P79" s="8">
        <f>VLOOKUP($C79,'ASDR FY2'!$A:$X,P$13,FALSE)/1000+VLOOKUP($C79,'ASDR FY2'!$A:$X,P$14,FALSE)/1000+VLOOKUP($C79,'ASDR FY2'!$A:$X,P$15,FALSE)/1000</f>
        <v>0</v>
      </c>
      <c r="Q79" s="9"/>
      <c r="R79" s="8">
        <f>SUM(F79,H79,J79,L79,N79,P79)</f>
        <v>0</v>
      </c>
      <c r="S79" s="10"/>
      <c r="T79" s="8">
        <f>VLOOKUP($C79,'ASDR FY2'!$A:$X,T$14,FALSE)/1000</f>
        <v>0</v>
      </c>
    </row>
    <row r="80" spans="1:20" x14ac:dyDescent="0.25">
      <c r="A80" s="155">
        <f t="shared" si="1"/>
        <v>11</v>
      </c>
      <c r="B80" s="161"/>
      <c r="C80" s="155">
        <v>31246</v>
      </c>
      <c r="D80" s="150" t="s">
        <v>47</v>
      </c>
      <c r="F80" s="8">
        <f>VLOOKUP($C80,'ASDR FY2'!$A:$X,F$14,FALSE)/1000</f>
        <v>0</v>
      </c>
      <c r="G80" s="152"/>
      <c r="H80" s="8">
        <f>VLOOKUP($C80,'ASDR FY2'!$A:$X,H$14,FALSE)/1000</f>
        <v>0</v>
      </c>
      <c r="I80" s="9"/>
      <c r="J80" s="8">
        <f>VLOOKUP($C80,'ASDR FY2'!$A:$X,J$14,FALSE)/1000</f>
        <v>0</v>
      </c>
      <c r="K80" s="10"/>
      <c r="L80" s="8">
        <f>VLOOKUP($C80,'ASDR FY2'!$A:$X,L$13,FALSE)/1000+VLOOKUP($C80,'ASDR FY2'!$A:$X,L$14,FALSE)/1000</f>
        <v>0</v>
      </c>
      <c r="M80" s="10"/>
      <c r="N80" s="8">
        <f>VLOOKUP($C80,'ASDR FY2'!$A:$X,N$13,FALSE)/1000+VLOOKUP($C80,'ASDR FY2'!$A:$X,N$14,FALSE)/1000</f>
        <v>0</v>
      </c>
      <c r="O80" s="8"/>
      <c r="P80" s="8">
        <f>VLOOKUP($C80,'ASDR FY2'!$A:$X,P$13,FALSE)/1000+VLOOKUP($C80,'ASDR FY2'!$A:$X,P$14,FALSE)/1000+VLOOKUP($C80,'ASDR FY2'!$A:$X,P$15,FALSE)/1000</f>
        <v>0</v>
      </c>
      <c r="Q80" s="9"/>
      <c r="R80" s="8">
        <f>SUM(F80,H80,J80,L80,N80,P80)</f>
        <v>0</v>
      </c>
      <c r="S80" s="10"/>
      <c r="T80" s="8">
        <f>VLOOKUP($C80,'ASDR FY2'!$A:$X,T$14,FALSE)/1000</f>
        <v>0</v>
      </c>
    </row>
    <row r="81" spans="1:20" x14ac:dyDescent="0.25">
      <c r="A81" s="155">
        <f t="shared" si="1"/>
        <v>12</v>
      </c>
      <c r="B81" s="161"/>
      <c r="C81" s="155">
        <v>31546</v>
      </c>
      <c r="D81" s="150" t="s">
        <v>49</v>
      </c>
      <c r="F81" s="8">
        <f>VLOOKUP($C81,'ASDR FY2'!$A:$X,F$14,FALSE)/1000</f>
        <v>0</v>
      </c>
      <c r="G81" s="152"/>
      <c r="H81" s="8">
        <f>VLOOKUP($C81,'ASDR FY2'!$A:$X,H$14,FALSE)/1000</f>
        <v>0</v>
      </c>
      <c r="I81" s="9"/>
      <c r="J81" s="8">
        <f>VLOOKUP($C81,'ASDR FY2'!$A:$X,J$14,FALSE)/1000</f>
        <v>0</v>
      </c>
      <c r="K81" s="10"/>
      <c r="L81" s="8">
        <f>VLOOKUP($C81,'ASDR FY2'!$A:$X,L$13,FALSE)/1000+VLOOKUP($C81,'ASDR FY2'!$A:$X,L$14,FALSE)/1000</f>
        <v>0</v>
      </c>
      <c r="M81" s="10"/>
      <c r="N81" s="8">
        <f>VLOOKUP($C81,'ASDR FY2'!$A:$X,N$13,FALSE)/1000+VLOOKUP($C81,'ASDR FY2'!$A:$X,N$14,FALSE)/1000</f>
        <v>0</v>
      </c>
      <c r="O81" s="8"/>
      <c r="P81" s="8">
        <f>VLOOKUP($C81,'ASDR FY2'!$A:$X,P$13,FALSE)/1000+VLOOKUP($C81,'ASDR FY2'!$A:$X,P$14,FALSE)/1000+VLOOKUP($C81,'ASDR FY2'!$A:$X,P$15,FALSE)/1000</f>
        <v>0</v>
      </c>
      <c r="Q81" s="9"/>
      <c r="R81" s="8">
        <f>SUM(F81,H81,J81,L81,N81,P81)</f>
        <v>0</v>
      </c>
      <c r="S81" s="10"/>
      <c r="T81" s="8">
        <f>VLOOKUP($C81,'ASDR FY2'!$A:$X,T$14,FALSE)/1000</f>
        <v>0</v>
      </c>
    </row>
    <row r="82" spans="1:20" x14ac:dyDescent="0.25">
      <c r="A82" s="155">
        <f t="shared" si="1"/>
        <v>13</v>
      </c>
      <c r="B82" s="161"/>
      <c r="C82" s="155">
        <v>31646</v>
      </c>
      <c r="D82" s="150" t="s">
        <v>50</v>
      </c>
      <c r="F82" s="8">
        <f>VLOOKUP($C82,'ASDR FY2'!$A:$X,F$14,FALSE)/1000</f>
        <v>0</v>
      </c>
      <c r="G82" s="152"/>
      <c r="H82" s="8">
        <f>VLOOKUP($C82,'ASDR FY2'!$A:$X,H$14,FALSE)/1000</f>
        <v>0</v>
      </c>
      <c r="I82" s="9"/>
      <c r="J82" s="8">
        <f>VLOOKUP($C82,'ASDR FY2'!$A:$X,J$14,FALSE)/1000</f>
        <v>0</v>
      </c>
      <c r="K82" s="10"/>
      <c r="L82" s="8">
        <f>VLOOKUP($C82,'ASDR FY2'!$A:$X,L$13,FALSE)/1000+VLOOKUP($C82,'ASDR FY2'!$A:$X,L$14,FALSE)/1000</f>
        <v>0</v>
      </c>
      <c r="M82" s="10"/>
      <c r="N82" s="8">
        <f>VLOOKUP($C82,'ASDR FY2'!$A:$X,N$13,FALSE)/1000+VLOOKUP($C82,'ASDR FY2'!$A:$X,N$14,FALSE)/1000</f>
        <v>0</v>
      </c>
      <c r="O82" s="8"/>
      <c r="P82" s="8">
        <f>VLOOKUP($C82,'ASDR FY2'!$A:$X,P$13,FALSE)/1000+VLOOKUP($C82,'ASDR FY2'!$A:$X,P$14,FALSE)/1000+VLOOKUP($C82,'ASDR FY2'!$A:$X,P$15,FALSE)/1000</f>
        <v>0</v>
      </c>
      <c r="Q82" s="9"/>
      <c r="R82" s="8">
        <f>SUM(F82,H82,J82,L82,N82,P82)</f>
        <v>0</v>
      </c>
      <c r="S82" s="10"/>
      <c r="T82" s="8">
        <f>VLOOKUP($C82,'ASDR FY2'!$A:$X,T$14,FALSE)/1000</f>
        <v>0</v>
      </c>
    </row>
    <row r="83" spans="1:20" x14ac:dyDescent="0.25">
      <c r="A83" s="155">
        <f t="shared" si="1"/>
        <v>14</v>
      </c>
      <c r="B83" s="161"/>
      <c r="C83" s="155"/>
      <c r="D83" s="167" t="s">
        <v>66</v>
      </c>
      <c r="E83" s="167"/>
      <c r="F83" s="12">
        <f>SUM(F79:F82)</f>
        <v>0</v>
      </c>
      <c r="H83" s="12">
        <f>SUM(H79:H82)</f>
        <v>0</v>
      </c>
      <c r="I83" s="13"/>
      <c r="J83" s="12">
        <f>SUM(J79:J82)</f>
        <v>0</v>
      </c>
      <c r="K83" s="13"/>
      <c r="L83" s="12">
        <f>SUM(L79:L82)</f>
        <v>0</v>
      </c>
      <c r="M83" s="13"/>
      <c r="N83" s="12">
        <f>SUM(N79:N82)</f>
        <v>0</v>
      </c>
      <c r="O83" s="65"/>
      <c r="P83" s="12">
        <f>SUM(P79:P82)</f>
        <v>0</v>
      </c>
      <c r="Q83" s="13"/>
      <c r="R83" s="12">
        <f>SUM(R79:R82)</f>
        <v>0</v>
      </c>
      <c r="S83" s="13"/>
      <c r="T83" s="12">
        <f>SUM(T79:T82)</f>
        <v>0</v>
      </c>
    </row>
    <row r="84" spans="1:20" x14ac:dyDescent="0.25">
      <c r="A84" s="155">
        <f t="shared" si="1"/>
        <v>15</v>
      </c>
      <c r="B84" s="161"/>
      <c r="Q84" s="152"/>
    </row>
    <row r="85" spans="1:20" x14ac:dyDescent="0.25">
      <c r="A85" s="155">
        <f t="shared" si="1"/>
        <v>16</v>
      </c>
      <c r="B85" s="161"/>
      <c r="C85" s="154"/>
      <c r="D85" s="172" t="s">
        <v>67</v>
      </c>
      <c r="F85" s="166"/>
      <c r="H85" s="21"/>
      <c r="I85" s="15"/>
      <c r="J85" s="21"/>
      <c r="K85" s="15"/>
      <c r="L85" s="21"/>
      <c r="M85" s="15"/>
      <c r="N85" s="21"/>
      <c r="O85" s="21"/>
      <c r="P85" s="21"/>
      <c r="Q85" s="15"/>
      <c r="R85" s="21"/>
      <c r="S85" s="15"/>
      <c r="T85" s="21"/>
    </row>
    <row r="86" spans="1:20" x14ac:dyDescent="0.25">
      <c r="A86" s="155">
        <f t="shared" si="1"/>
        <v>17</v>
      </c>
      <c r="B86" s="161"/>
      <c r="C86" s="155">
        <v>31151</v>
      </c>
      <c r="D86" s="150" t="s">
        <v>46</v>
      </c>
      <c r="F86" s="8">
        <f>VLOOKUP($C86,'ASDR FY2'!$A:$X,F$14,FALSE)/1000</f>
        <v>0</v>
      </c>
      <c r="G86" s="152"/>
      <c r="H86" s="8">
        <f>VLOOKUP($C86,'ASDR FY2'!$A:$X,H$14,FALSE)/1000</f>
        <v>0</v>
      </c>
      <c r="I86" s="9"/>
      <c r="J86" s="8">
        <f>VLOOKUP($C86,'ASDR FY2'!$A:$X,J$14,FALSE)/1000</f>
        <v>0</v>
      </c>
      <c r="K86" s="10"/>
      <c r="L86" s="8">
        <f>VLOOKUP($C86,'ASDR FY2'!$A:$X,L$13,FALSE)/1000+VLOOKUP($C86,'ASDR FY2'!$A:$X,L$14,FALSE)/1000</f>
        <v>0</v>
      </c>
      <c r="M86" s="10"/>
      <c r="N86" s="8">
        <f>VLOOKUP($C86,'ASDR FY2'!$A:$X,N$13,FALSE)/1000+VLOOKUP($C86,'ASDR FY2'!$A:$X,N$14,FALSE)/1000</f>
        <v>0</v>
      </c>
      <c r="O86" s="8"/>
      <c r="P86" s="8">
        <f>VLOOKUP($C86,'ASDR FY2'!$A:$X,P$13,FALSE)/1000+VLOOKUP($C86,'ASDR FY2'!$A:$X,P$14,FALSE)/1000+VLOOKUP($C86,'ASDR FY2'!$A:$X,P$15,FALSE)/1000</f>
        <v>0</v>
      </c>
      <c r="Q86" s="9"/>
      <c r="R86" s="8">
        <f>SUM(F86,H86,J86,L86,N86,P86)</f>
        <v>0</v>
      </c>
      <c r="S86" s="10"/>
      <c r="T86" s="8">
        <f>VLOOKUP($C86,'ASDR FY2'!$A:$X,T$14,FALSE)/1000</f>
        <v>0</v>
      </c>
    </row>
    <row r="87" spans="1:20" x14ac:dyDescent="0.25">
      <c r="A87" s="155">
        <f t="shared" si="1"/>
        <v>18</v>
      </c>
      <c r="B87" s="161"/>
      <c r="C87" s="155">
        <v>31251</v>
      </c>
      <c r="D87" s="150" t="s">
        <v>47</v>
      </c>
      <c r="F87" s="8">
        <f>VLOOKUP($C87,'ASDR FY2'!$A:$X,F$14,FALSE)/1000</f>
        <v>0</v>
      </c>
      <c r="G87" s="152"/>
      <c r="H87" s="8">
        <f>VLOOKUP($C87,'ASDR FY2'!$A:$X,H$14,FALSE)/1000</f>
        <v>0</v>
      </c>
      <c r="I87" s="9"/>
      <c r="J87" s="8">
        <f>VLOOKUP($C87,'ASDR FY2'!$A:$X,J$14,FALSE)/1000</f>
        <v>0</v>
      </c>
      <c r="K87" s="10"/>
      <c r="L87" s="8">
        <f>VLOOKUP($C87,'ASDR FY2'!$A:$X,L$13,FALSE)/1000+VLOOKUP($C87,'ASDR FY2'!$A:$X,L$14,FALSE)/1000</f>
        <v>0</v>
      </c>
      <c r="M87" s="10"/>
      <c r="N87" s="8">
        <f>VLOOKUP($C87,'ASDR FY2'!$A:$X,N$13,FALSE)/1000+VLOOKUP($C87,'ASDR FY2'!$A:$X,N$14,FALSE)/1000</f>
        <v>0</v>
      </c>
      <c r="O87" s="8"/>
      <c r="P87" s="8">
        <f>VLOOKUP($C87,'ASDR FY2'!$A:$X,P$13,FALSE)/1000+VLOOKUP($C87,'ASDR FY2'!$A:$X,P$14,FALSE)/1000+VLOOKUP($C87,'ASDR FY2'!$A:$X,P$15,FALSE)/1000</f>
        <v>0</v>
      </c>
      <c r="Q87" s="9"/>
      <c r="R87" s="8">
        <f>SUM(F87,H87,J87,L87,N87,P87)</f>
        <v>0</v>
      </c>
      <c r="S87" s="10"/>
      <c r="T87" s="8">
        <f>VLOOKUP($C87,'ASDR FY2'!$A:$X,T$14,FALSE)/1000</f>
        <v>0</v>
      </c>
    </row>
    <row r="88" spans="1:20" x14ac:dyDescent="0.25">
      <c r="A88" s="155">
        <f t="shared" si="1"/>
        <v>19</v>
      </c>
      <c r="B88" s="161"/>
      <c r="C88" s="155">
        <v>31551</v>
      </c>
      <c r="D88" s="150" t="s">
        <v>49</v>
      </c>
      <c r="F88" s="8">
        <f>VLOOKUP($C88,'ASDR FY2'!$A:$X,F$14,FALSE)/1000</f>
        <v>0</v>
      </c>
      <c r="G88" s="152"/>
      <c r="H88" s="8">
        <f>VLOOKUP($C88,'ASDR FY2'!$A:$X,H$14,FALSE)/1000</f>
        <v>0</v>
      </c>
      <c r="I88" s="9"/>
      <c r="J88" s="8">
        <f>VLOOKUP($C88,'ASDR FY2'!$A:$X,J$14,FALSE)/1000</f>
        <v>0</v>
      </c>
      <c r="K88" s="10"/>
      <c r="L88" s="8">
        <f>VLOOKUP($C88,'ASDR FY2'!$A:$X,L$13,FALSE)/1000+VLOOKUP($C88,'ASDR FY2'!$A:$X,L$14,FALSE)/1000</f>
        <v>0</v>
      </c>
      <c r="M88" s="10"/>
      <c r="N88" s="8">
        <f>VLOOKUP($C88,'ASDR FY2'!$A:$X,N$13,FALSE)/1000+VLOOKUP($C88,'ASDR FY2'!$A:$X,N$14,FALSE)/1000</f>
        <v>0</v>
      </c>
      <c r="O88" s="8"/>
      <c r="P88" s="8">
        <f>VLOOKUP($C88,'ASDR FY2'!$A:$X,P$13,FALSE)/1000+VLOOKUP($C88,'ASDR FY2'!$A:$X,P$14,FALSE)/1000+VLOOKUP($C88,'ASDR FY2'!$A:$X,P$15,FALSE)/1000</f>
        <v>0</v>
      </c>
      <c r="Q88" s="9"/>
      <c r="R88" s="8">
        <f>SUM(F88,H88,J88,L88,N88,P88)</f>
        <v>0</v>
      </c>
      <c r="S88" s="10"/>
      <c r="T88" s="8">
        <f>VLOOKUP($C88,'ASDR FY2'!$A:$X,T$14,FALSE)/1000</f>
        <v>0</v>
      </c>
    </row>
    <row r="89" spans="1:20" x14ac:dyDescent="0.25">
      <c r="A89" s="155">
        <f t="shared" si="1"/>
        <v>20</v>
      </c>
      <c r="B89" s="161"/>
      <c r="C89" s="155">
        <v>31651</v>
      </c>
      <c r="D89" s="150" t="s">
        <v>68</v>
      </c>
      <c r="F89" s="8">
        <f>VLOOKUP($C89,'ASDR FY2'!$A:$X,F$14,FALSE)/1000</f>
        <v>0</v>
      </c>
      <c r="G89" s="152"/>
      <c r="H89" s="8">
        <f>VLOOKUP($C89,'ASDR FY2'!$A:$X,H$14,FALSE)/1000</f>
        <v>0</v>
      </c>
      <c r="I89" s="9"/>
      <c r="J89" s="8">
        <f>VLOOKUP($C89,'ASDR FY2'!$A:$X,J$14,FALSE)/1000</f>
        <v>0</v>
      </c>
      <c r="K89" s="10"/>
      <c r="L89" s="8">
        <f>VLOOKUP($C89,'ASDR FY2'!$A:$X,L$13,FALSE)/1000+VLOOKUP($C89,'ASDR FY2'!$A:$X,L$14,FALSE)/1000</f>
        <v>0</v>
      </c>
      <c r="M89" s="10"/>
      <c r="N89" s="8">
        <f>VLOOKUP($C89,'ASDR FY2'!$A:$X,N$13,FALSE)/1000+VLOOKUP($C89,'ASDR FY2'!$A:$X,N$14,FALSE)/1000</f>
        <v>0</v>
      </c>
      <c r="O89" s="8"/>
      <c r="P89" s="8">
        <f>VLOOKUP($C89,'ASDR FY2'!$A:$X,P$13,FALSE)/1000+VLOOKUP($C89,'ASDR FY2'!$A:$X,P$14,FALSE)/1000+VLOOKUP($C89,'ASDR FY2'!$A:$X,P$15,FALSE)/1000</f>
        <v>0</v>
      </c>
      <c r="Q89" s="9"/>
      <c r="R89" s="8">
        <f>SUM(F89,H89,J89,L89,N89,P89)</f>
        <v>0</v>
      </c>
      <c r="S89" s="10"/>
      <c r="T89" s="8">
        <f>VLOOKUP($C89,'ASDR FY2'!$A:$X,T$14,FALSE)/1000</f>
        <v>0</v>
      </c>
    </row>
    <row r="90" spans="1:20" x14ac:dyDescent="0.25">
      <c r="A90" s="155">
        <f t="shared" si="1"/>
        <v>21</v>
      </c>
      <c r="B90" s="161"/>
      <c r="C90" s="155"/>
      <c r="D90" s="173" t="s">
        <v>69</v>
      </c>
      <c r="F90" s="12">
        <f>SUM(F86:F89)</f>
        <v>0</v>
      </c>
      <c r="H90" s="12">
        <f>SUM(H86:H89)</f>
        <v>0</v>
      </c>
      <c r="I90" s="13"/>
      <c r="J90" s="12">
        <f>SUM(J86:J89)</f>
        <v>0</v>
      </c>
      <c r="K90" s="13"/>
      <c r="L90" s="12">
        <f>SUM(L86:L89)</f>
        <v>0</v>
      </c>
      <c r="M90" s="13"/>
      <c r="N90" s="12">
        <f>SUM(N86:N89)</f>
        <v>0</v>
      </c>
      <c r="O90" s="65"/>
      <c r="P90" s="12">
        <f>SUM(P86:P89)</f>
        <v>0</v>
      </c>
      <c r="Q90" s="13"/>
      <c r="R90" s="12">
        <f>SUM(R86:R89)</f>
        <v>0</v>
      </c>
      <c r="S90" s="13"/>
      <c r="T90" s="12">
        <f>SUM(T86:T89)</f>
        <v>0</v>
      </c>
    </row>
    <row r="91" spans="1:20" x14ac:dyDescent="0.25">
      <c r="A91" s="155">
        <f t="shared" si="1"/>
        <v>22</v>
      </c>
      <c r="B91" s="161"/>
      <c r="Q91" s="152"/>
    </row>
    <row r="92" spans="1:20" x14ac:dyDescent="0.25">
      <c r="A92" s="155">
        <f t="shared" si="1"/>
        <v>23</v>
      </c>
      <c r="B92" s="161"/>
      <c r="C92" s="154"/>
      <c r="D92" s="172" t="s">
        <v>70</v>
      </c>
      <c r="E92" s="167"/>
      <c r="F92" s="166"/>
      <c r="G92" s="167"/>
      <c r="H92" s="15"/>
      <c r="I92" s="15"/>
      <c r="J92" s="15"/>
      <c r="K92" s="15"/>
      <c r="L92" s="15"/>
      <c r="M92" s="15"/>
      <c r="N92" s="14"/>
      <c r="O92" s="14"/>
      <c r="P92" s="14"/>
      <c r="Q92" s="14"/>
      <c r="R92" s="14"/>
      <c r="S92" s="14"/>
      <c r="T92" s="15"/>
    </row>
    <row r="93" spans="1:20" x14ac:dyDescent="0.25">
      <c r="A93" s="155">
        <f t="shared" si="1"/>
        <v>24</v>
      </c>
      <c r="B93" s="161"/>
      <c r="C93" s="155">
        <v>31152</v>
      </c>
      <c r="D93" s="150" t="s">
        <v>46</v>
      </c>
      <c r="F93" s="8">
        <f>VLOOKUP($C93,'ASDR FY2'!$A:$X,F$14,FALSE)/1000</f>
        <v>0</v>
      </c>
      <c r="G93" s="152"/>
      <c r="H93" s="8">
        <f>VLOOKUP($C93,'ASDR FY2'!$A:$X,H$14,FALSE)/1000</f>
        <v>0</v>
      </c>
      <c r="I93" s="9"/>
      <c r="J93" s="8">
        <f>VLOOKUP($C93,'ASDR FY2'!$A:$X,J$14,FALSE)/1000</f>
        <v>0</v>
      </c>
      <c r="K93" s="10"/>
      <c r="L93" s="8">
        <f>VLOOKUP($C93,'ASDR FY2'!$A:$X,L$13,FALSE)/1000+VLOOKUP($C93,'ASDR FY2'!$A:$X,L$14,FALSE)/1000</f>
        <v>0</v>
      </c>
      <c r="M93" s="10"/>
      <c r="N93" s="8">
        <f>VLOOKUP($C93,'ASDR FY2'!$A:$X,N$13,FALSE)/1000+VLOOKUP($C93,'ASDR FY2'!$A:$X,N$14,FALSE)/1000</f>
        <v>0</v>
      </c>
      <c r="O93" s="8"/>
      <c r="P93" s="8">
        <f>VLOOKUP($C93,'ASDR FY2'!$A:$X,P$13,FALSE)/1000+VLOOKUP($C93,'ASDR FY2'!$A:$X,P$14,FALSE)/1000+VLOOKUP($C93,'ASDR FY2'!$A:$X,P$15,FALSE)/1000</f>
        <v>0</v>
      </c>
      <c r="Q93" s="9"/>
      <c r="R93" s="8">
        <f>SUM(F93,H93,J93,L93,N93,P93)</f>
        <v>0</v>
      </c>
      <c r="S93" s="10"/>
      <c r="T93" s="8">
        <f>VLOOKUP($C93,'ASDR FY2'!$A:$X,T$14,FALSE)/1000</f>
        <v>0</v>
      </c>
    </row>
    <row r="94" spans="1:20" x14ac:dyDescent="0.25">
      <c r="A94" s="155">
        <f t="shared" si="1"/>
        <v>25</v>
      </c>
      <c r="B94" s="161"/>
      <c r="C94" s="155">
        <v>31252</v>
      </c>
      <c r="D94" s="150" t="s">
        <v>47</v>
      </c>
      <c r="F94" s="8">
        <f>VLOOKUP($C94,'ASDR FY2'!$A:$X,F$14,FALSE)/1000</f>
        <v>0</v>
      </c>
      <c r="G94" s="152"/>
      <c r="H94" s="8">
        <f>VLOOKUP($C94,'ASDR FY2'!$A:$X,H$14,FALSE)/1000</f>
        <v>0</v>
      </c>
      <c r="I94" s="9"/>
      <c r="J94" s="8">
        <f>VLOOKUP($C94,'ASDR FY2'!$A:$X,J$14,FALSE)/1000</f>
        <v>0</v>
      </c>
      <c r="K94" s="10"/>
      <c r="L94" s="8">
        <f>VLOOKUP($C94,'ASDR FY2'!$A:$X,L$13,FALSE)/1000+VLOOKUP($C94,'ASDR FY2'!$A:$X,L$14,FALSE)/1000</f>
        <v>0</v>
      </c>
      <c r="M94" s="10"/>
      <c r="N94" s="8">
        <f>VLOOKUP($C94,'ASDR FY2'!$A:$X,N$13,FALSE)/1000+VLOOKUP($C94,'ASDR FY2'!$A:$X,N$14,FALSE)/1000</f>
        <v>0</v>
      </c>
      <c r="O94" s="8"/>
      <c r="P94" s="8">
        <f>VLOOKUP($C94,'ASDR FY2'!$A:$X,P$13,FALSE)/1000+VLOOKUP($C94,'ASDR FY2'!$A:$X,P$14,FALSE)/1000+VLOOKUP($C94,'ASDR FY2'!$A:$X,P$15,FALSE)/1000</f>
        <v>0</v>
      </c>
      <c r="Q94" s="9"/>
      <c r="R94" s="8">
        <f>SUM(F94,H94,J94,L94,N94,P94)</f>
        <v>0</v>
      </c>
      <c r="S94" s="10"/>
      <c r="T94" s="8">
        <f>VLOOKUP($C94,'ASDR FY2'!$A:$X,T$14,FALSE)/1000</f>
        <v>0</v>
      </c>
    </row>
    <row r="95" spans="1:20" x14ac:dyDescent="0.25">
      <c r="A95" s="155">
        <f t="shared" si="1"/>
        <v>26</v>
      </c>
      <c r="B95" s="161"/>
      <c r="C95" s="155">
        <v>31552</v>
      </c>
      <c r="D95" s="150" t="s">
        <v>49</v>
      </c>
      <c r="F95" s="8">
        <f>VLOOKUP($C95,'ASDR FY2'!$A:$X,F$14,FALSE)/1000</f>
        <v>0</v>
      </c>
      <c r="G95" s="152"/>
      <c r="H95" s="8">
        <f>VLOOKUP($C95,'ASDR FY2'!$A:$X,H$14,FALSE)/1000</f>
        <v>0</v>
      </c>
      <c r="I95" s="9"/>
      <c r="J95" s="8">
        <f>VLOOKUP($C95,'ASDR FY2'!$A:$X,J$14,FALSE)/1000</f>
        <v>0</v>
      </c>
      <c r="K95" s="10"/>
      <c r="L95" s="8">
        <f>VLOOKUP($C95,'ASDR FY2'!$A:$X,L$13,FALSE)/1000+VLOOKUP($C95,'ASDR FY2'!$A:$X,L$14,FALSE)/1000</f>
        <v>0</v>
      </c>
      <c r="M95" s="10"/>
      <c r="N95" s="8">
        <f>VLOOKUP($C95,'ASDR FY2'!$A:$X,N$13,FALSE)/1000+VLOOKUP($C95,'ASDR FY2'!$A:$X,N$14,FALSE)/1000</f>
        <v>0</v>
      </c>
      <c r="O95" s="8"/>
      <c r="P95" s="8">
        <f>VLOOKUP($C95,'ASDR FY2'!$A:$X,P$13,FALSE)/1000+VLOOKUP($C95,'ASDR FY2'!$A:$X,P$14,FALSE)/1000+VLOOKUP($C95,'ASDR FY2'!$A:$X,P$15,FALSE)/1000</f>
        <v>0</v>
      </c>
      <c r="Q95" s="9"/>
      <c r="R95" s="8">
        <f>SUM(F95,H95,J95,L95,N95,P95)</f>
        <v>0</v>
      </c>
      <c r="S95" s="10"/>
      <c r="T95" s="8">
        <f>VLOOKUP($C95,'ASDR FY2'!$A:$X,T$14,FALSE)/1000</f>
        <v>0</v>
      </c>
    </row>
    <row r="96" spans="1:20" x14ac:dyDescent="0.25">
      <c r="A96" s="155">
        <f t="shared" si="1"/>
        <v>27</v>
      </c>
      <c r="B96" s="161"/>
      <c r="C96" s="155">
        <v>31652</v>
      </c>
      <c r="D96" s="150" t="s">
        <v>50</v>
      </c>
      <c r="F96" s="8">
        <f>VLOOKUP($C96,'ASDR FY2'!$A:$X,F$14,FALSE)/1000</f>
        <v>0</v>
      </c>
      <c r="G96" s="152"/>
      <c r="H96" s="8">
        <f>VLOOKUP($C96,'ASDR FY2'!$A:$X,H$14,FALSE)/1000</f>
        <v>0</v>
      </c>
      <c r="I96" s="9"/>
      <c r="J96" s="8">
        <f>VLOOKUP($C96,'ASDR FY2'!$A:$X,J$14,FALSE)/1000</f>
        <v>0</v>
      </c>
      <c r="K96" s="10"/>
      <c r="L96" s="8">
        <f>VLOOKUP($C96,'ASDR FY2'!$A:$X,L$13,FALSE)/1000+VLOOKUP($C96,'ASDR FY2'!$A:$X,L$14,FALSE)/1000</f>
        <v>0</v>
      </c>
      <c r="M96" s="10"/>
      <c r="N96" s="8">
        <f>VLOOKUP($C96,'ASDR FY2'!$A:$X,N$13,FALSE)/1000+VLOOKUP($C96,'ASDR FY2'!$A:$X,N$14,FALSE)/1000</f>
        <v>0</v>
      </c>
      <c r="O96" s="8"/>
      <c r="P96" s="8">
        <f>VLOOKUP($C96,'ASDR FY2'!$A:$X,P$13,FALSE)/1000+VLOOKUP($C96,'ASDR FY2'!$A:$X,P$14,FALSE)/1000+VLOOKUP($C96,'ASDR FY2'!$A:$X,P$15,FALSE)/1000</f>
        <v>0</v>
      </c>
      <c r="Q96" s="9"/>
      <c r="R96" s="8">
        <f>SUM(F96,H96,J96,L96,N96,P96)</f>
        <v>0</v>
      </c>
      <c r="S96" s="10"/>
      <c r="T96" s="8">
        <f>VLOOKUP($C96,'ASDR FY2'!$A:$X,T$14,FALSE)/1000</f>
        <v>0</v>
      </c>
    </row>
    <row r="97" spans="1:20" x14ac:dyDescent="0.25">
      <c r="A97" s="155">
        <f t="shared" si="1"/>
        <v>28</v>
      </c>
      <c r="B97" s="161"/>
      <c r="D97" s="172" t="s">
        <v>71</v>
      </c>
      <c r="E97" s="167"/>
      <c r="F97" s="12">
        <f>SUM(F93:F96)</f>
        <v>0</v>
      </c>
      <c r="H97" s="12">
        <f>SUM(H93:H96)</f>
        <v>0</v>
      </c>
      <c r="I97" s="13"/>
      <c r="J97" s="12">
        <f>SUM(J93:J96)</f>
        <v>0</v>
      </c>
      <c r="K97" s="13"/>
      <c r="L97" s="12">
        <f>SUM(L93:L96)</f>
        <v>0</v>
      </c>
      <c r="M97" s="13"/>
      <c r="N97" s="12">
        <f>SUM(N93:N96)</f>
        <v>0</v>
      </c>
      <c r="O97" s="65"/>
      <c r="P97" s="12">
        <f>SUM(P93:P96)</f>
        <v>0</v>
      </c>
      <c r="Q97" s="13"/>
      <c r="R97" s="12">
        <f>SUM(R93:R96)</f>
        <v>0</v>
      </c>
      <c r="S97" s="13"/>
      <c r="T97" s="12">
        <f>SUM(T93:T96)</f>
        <v>0</v>
      </c>
    </row>
    <row r="98" spans="1:20" x14ac:dyDescent="0.25">
      <c r="A98" s="155">
        <f t="shared" si="1"/>
        <v>29</v>
      </c>
      <c r="B98" s="161"/>
      <c r="Q98" s="152"/>
    </row>
    <row r="99" spans="1:20" x14ac:dyDescent="0.25">
      <c r="A99" s="155">
        <f t="shared" si="1"/>
        <v>30</v>
      </c>
      <c r="B99" s="161"/>
      <c r="C99" s="154"/>
      <c r="D99" s="172" t="s">
        <v>72</v>
      </c>
      <c r="E99" s="167"/>
      <c r="F99" s="167"/>
      <c r="G99" s="167"/>
      <c r="Q99" s="152"/>
    </row>
    <row r="100" spans="1:20" x14ac:dyDescent="0.25">
      <c r="A100" s="155">
        <f t="shared" si="1"/>
        <v>31</v>
      </c>
      <c r="B100" s="161"/>
      <c r="C100" s="155">
        <v>31153</v>
      </c>
      <c r="D100" s="150" t="s">
        <v>46</v>
      </c>
      <c r="F100" s="8">
        <f>VLOOKUP($C100,'ASDR FY2'!$A:$X,F$14,FALSE)/1000</f>
        <v>0</v>
      </c>
      <c r="G100" s="152"/>
      <c r="H100" s="8">
        <f>VLOOKUP($C100,'ASDR FY2'!$A:$X,H$14,FALSE)/1000</f>
        <v>0</v>
      </c>
      <c r="I100" s="9"/>
      <c r="J100" s="8">
        <f>VLOOKUP($C100,'ASDR FY2'!$A:$X,J$14,FALSE)/1000</f>
        <v>0</v>
      </c>
      <c r="K100" s="10"/>
      <c r="L100" s="8">
        <f>VLOOKUP($C100,'ASDR FY2'!$A:$X,L$13,FALSE)/1000+VLOOKUP($C100,'ASDR FY2'!$A:$X,L$14,FALSE)/1000</f>
        <v>0</v>
      </c>
      <c r="M100" s="10"/>
      <c r="N100" s="8">
        <f>VLOOKUP($C100,'ASDR FY2'!$A:$X,N$13,FALSE)/1000+VLOOKUP($C100,'ASDR FY2'!$A:$X,N$14,FALSE)/1000</f>
        <v>0</v>
      </c>
      <c r="O100" s="8"/>
      <c r="P100" s="8">
        <f>VLOOKUP($C100,'ASDR FY2'!$A:$X,P$13,FALSE)/1000+VLOOKUP($C100,'ASDR FY2'!$A:$X,P$14,FALSE)/1000+VLOOKUP($C100,'ASDR FY2'!$A:$X,P$15,FALSE)/1000</f>
        <v>0</v>
      </c>
      <c r="Q100" s="9"/>
      <c r="R100" s="8">
        <f>SUM(F100,H100,J100,L100,N100,P100)</f>
        <v>0</v>
      </c>
      <c r="S100" s="10"/>
      <c r="T100" s="8">
        <f>VLOOKUP($C100,'ASDR FY2'!$A:$X,T$14,FALSE)/1000</f>
        <v>0</v>
      </c>
    </row>
    <row r="101" spans="1:20" x14ac:dyDescent="0.25">
      <c r="A101" s="155">
        <f t="shared" si="1"/>
        <v>32</v>
      </c>
      <c r="B101" s="161"/>
      <c r="C101" s="155">
        <v>31253</v>
      </c>
      <c r="D101" s="150" t="s">
        <v>47</v>
      </c>
      <c r="F101" s="8">
        <f>VLOOKUP($C101,'ASDR FY2'!$A:$X,F$14,FALSE)/1000</f>
        <v>0</v>
      </c>
      <c r="G101" s="152"/>
      <c r="H101" s="8">
        <f>VLOOKUP($C101,'ASDR FY2'!$A:$X,H$14,FALSE)/1000</f>
        <v>0</v>
      </c>
      <c r="I101" s="9"/>
      <c r="J101" s="8">
        <f>VLOOKUP($C101,'ASDR FY2'!$A:$X,J$14,FALSE)/1000</f>
        <v>0</v>
      </c>
      <c r="K101" s="10"/>
      <c r="L101" s="8">
        <f>VLOOKUP($C101,'ASDR FY2'!$A:$X,L$13,FALSE)/1000+VLOOKUP($C101,'ASDR FY2'!$A:$X,L$14,FALSE)/1000</f>
        <v>0</v>
      </c>
      <c r="M101" s="10"/>
      <c r="N101" s="8">
        <f>VLOOKUP($C101,'ASDR FY2'!$A:$X,N$13,FALSE)/1000+VLOOKUP($C101,'ASDR FY2'!$A:$X,N$14,FALSE)/1000</f>
        <v>0</v>
      </c>
      <c r="O101" s="8"/>
      <c r="P101" s="8">
        <f>VLOOKUP($C101,'ASDR FY2'!$A:$X,P$13,FALSE)/1000+VLOOKUP($C101,'ASDR FY2'!$A:$X,P$14,FALSE)/1000+VLOOKUP($C101,'ASDR FY2'!$A:$X,P$15,FALSE)/1000</f>
        <v>0</v>
      </c>
      <c r="Q101" s="9"/>
      <c r="R101" s="8">
        <f>SUM(F101,H101,J101,L101,N101,P101)</f>
        <v>0</v>
      </c>
      <c r="S101" s="10"/>
      <c r="T101" s="8">
        <f>VLOOKUP($C101,'ASDR FY2'!$A:$X,T$14,FALSE)/1000</f>
        <v>0</v>
      </c>
    </row>
    <row r="102" spans="1:20" x14ac:dyDescent="0.25">
      <c r="A102" s="155">
        <f t="shared" si="1"/>
        <v>33</v>
      </c>
      <c r="B102" s="161"/>
      <c r="C102" s="155">
        <v>31553</v>
      </c>
      <c r="D102" s="150" t="s">
        <v>49</v>
      </c>
      <c r="F102" s="8">
        <f>VLOOKUP($C102,'ASDR FY2'!$A:$X,F$14,FALSE)/1000</f>
        <v>0</v>
      </c>
      <c r="G102" s="152"/>
      <c r="H102" s="8">
        <f>VLOOKUP($C102,'ASDR FY2'!$A:$X,H$14,FALSE)/1000</f>
        <v>0</v>
      </c>
      <c r="I102" s="9"/>
      <c r="J102" s="8">
        <f>VLOOKUP($C102,'ASDR FY2'!$A:$X,J$14,FALSE)/1000</f>
        <v>0</v>
      </c>
      <c r="K102" s="10"/>
      <c r="L102" s="8">
        <f>VLOOKUP($C102,'ASDR FY2'!$A:$X,L$13,FALSE)/1000+VLOOKUP($C102,'ASDR FY2'!$A:$X,L$14,FALSE)/1000</f>
        <v>0</v>
      </c>
      <c r="M102" s="10"/>
      <c r="N102" s="8">
        <f>VLOOKUP($C102,'ASDR FY2'!$A:$X,N$13,FALSE)/1000+VLOOKUP($C102,'ASDR FY2'!$A:$X,N$14,FALSE)/1000</f>
        <v>0</v>
      </c>
      <c r="O102" s="8"/>
      <c r="P102" s="8">
        <f>VLOOKUP($C102,'ASDR FY2'!$A:$X,P$13,FALSE)/1000+VLOOKUP($C102,'ASDR FY2'!$A:$X,P$14,FALSE)/1000+VLOOKUP($C102,'ASDR FY2'!$A:$X,P$15,FALSE)/1000</f>
        <v>0</v>
      </c>
      <c r="Q102" s="9"/>
      <c r="R102" s="8">
        <f>SUM(F102,H102,J102,L102,N102,P102)</f>
        <v>0</v>
      </c>
      <c r="S102" s="10"/>
      <c r="T102" s="8">
        <f>VLOOKUP($C102,'ASDR FY2'!$A:$X,T$14,FALSE)/1000</f>
        <v>0</v>
      </c>
    </row>
    <row r="103" spans="1:20" x14ac:dyDescent="0.25">
      <c r="A103" s="155">
        <f t="shared" si="1"/>
        <v>34</v>
      </c>
      <c r="B103" s="161"/>
      <c r="C103" s="155">
        <v>31653</v>
      </c>
      <c r="D103" s="150" t="s">
        <v>50</v>
      </c>
      <c r="F103" s="8">
        <f>VLOOKUP($C103,'ASDR FY2'!$A:$X,F$14,FALSE)/1000</f>
        <v>0</v>
      </c>
      <c r="G103" s="152"/>
      <c r="H103" s="8">
        <f>VLOOKUP($C103,'ASDR FY2'!$A:$X,H$14,FALSE)/1000</f>
        <v>0</v>
      </c>
      <c r="I103" s="9"/>
      <c r="J103" s="8">
        <f>VLOOKUP($C103,'ASDR FY2'!$A:$X,J$14,FALSE)/1000</f>
        <v>0</v>
      </c>
      <c r="K103" s="10"/>
      <c r="L103" s="8">
        <f>VLOOKUP($C103,'ASDR FY2'!$A:$X,L$13,FALSE)/1000+VLOOKUP($C103,'ASDR FY2'!$A:$X,L$14,FALSE)/1000</f>
        <v>0</v>
      </c>
      <c r="M103" s="10"/>
      <c r="N103" s="8">
        <f>VLOOKUP($C103,'ASDR FY2'!$A:$X,N$13,FALSE)/1000+VLOOKUP($C103,'ASDR FY2'!$A:$X,N$14,FALSE)/1000</f>
        <v>0</v>
      </c>
      <c r="O103" s="8"/>
      <c r="P103" s="8">
        <f>VLOOKUP($C103,'ASDR FY2'!$A:$X,P$13,FALSE)/1000+VLOOKUP($C103,'ASDR FY2'!$A:$X,P$14,FALSE)/1000+VLOOKUP($C103,'ASDR FY2'!$A:$X,P$15,FALSE)/1000</f>
        <v>0</v>
      </c>
      <c r="Q103" s="9"/>
      <c r="R103" s="8">
        <f>SUM(F103,H103,J103,L103,N103,P103)</f>
        <v>0</v>
      </c>
      <c r="S103" s="10"/>
      <c r="T103" s="8">
        <f>VLOOKUP($C103,'ASDR FY2'!$A:$X,T$14,FALSE)/1000</f>
        <v>0</v>
      </c>
    </row>
    <row r="104" spans="1:20" x14ac:dyDescent="0.25">
      <c r="A104" s="155">
        <f t="shared" si="1"/>
        <v>35</v>
      </c>
      <c r="B104" s="161"/>
      <c r="C104" s="155"/>
      <c r="D104" s="172" t="s">
        <v>73</v>
      </c>
      <c r="E104" s="167"/>
      <c r="F104" s="12">
        <f>SUM(F100:F103)</f>
        <v>0</v>
      </c>
      <c r="H104" s="12">
        <f>SUM(H100:H103)</f>
        <v>0</v>
      </c>
      <c r="I104" s="13"/>
      <c r="J104" s="12">
        <f>SUM(J100:J103)</f>
        <v>0</v>
      </c>
      <c r="K104" s="13"/>
      <c r="L104" s="12">
        <f>SUM(L100:L103)</f>
        <v>0</v>
      </c>
      <c r="M104" s="13"/>
      <c r="N104" s="12">
        <f>SUM(N100:N103)</f>
        <v>0</v>
      </c>
      <c r="O104" s="65"/>
      <c r="P104" s="12">
        <f>SUM(P100:P103)</f>
        <v>0</v>
      </c>
      <c r="Q104" s="13"/>
      <c r="R104" s="12">
        <f>SUM(R100:R103)</f>
        <v>0</v>
      </c>
      <c r="S104" s="13"/>
      <c r="T104" s="12">
        <f>SUM(T100:T103)</f>
        <v>0</v>
      </c>
    </row>
    <row r="105" spans="1:20" x14ac:dyDescent="0.25">
      <c r="A105" s="155">
        <f t="shared" si="1"/>
        <v>36</v>
      </c>
      <c r="B105" s="161"/>
      <c r="Q105" s="152"/>
    </row>
    <row r="106" spans="1:20" x14ac:dyDescent="0.25">
      <c r="A106" s="155">
        <f t="shared" si="1"/>
        <v>37</v>
      </c>
      <c r="B106" s="161"/>
      <c r="C106" s="154"/>
      <c r="D106" s="172" t="s">
        <v>74</v>
      </c>
      <c r="E106" s="167"/>
      <c r="F106" s="166"/>
      <c r="G106" s="16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x14ac:dyDescent="0.25">
      <c r="A107" s="155">
        <f t="shared" si="1"/>
        <v>38</v>
      </c>
      <c r="B107" s="161"/>
      <c r="C107" s="155">
        <v>31154</v>
      </c>
      <c r="D107" s="150" t="s">
        <v>46</v>
      </c>
      <c r="F107" s="8">
        <f>VLOOKUP($C107,'ASDR FY2'!$A:$X,F$14,FALSE)/1000</f>
        <v>7340.80375</v>
      </c>
      <c r="G107" s="152"/>
      <c r="H107" s="8">
        <f>VLOOKUP($C107,'ASDR FY2'!$A:$X,H$14,FALSE)/1000</f>
        <v>593.1404399999999</v>
      </c>
      <c r="I107" s="9"/>
      <c r="J107" s="8">
        <f>VLOOKUP($C107,'ASDR FY2'!$A:$X,J$14,FALSE)/1000</f>
        <v>0</v>
      </c>
      <c r="K107" s="10"/>
      <c r="L107" s="8">
        <f>VLOOKUP($C107,'ASDR FY2'!$A:$X,L$13,FALSE)/1000+VLOOKUP($C107,'ASDR FY2'!$A:$X,L$14,FALSE)/1000</f>
        <v>0</v>
      </c>
      <c r="M107" s="10"/>
      <c r="N107" s="8">
        <f>VLOOKUP($C107,'ASDR FY2'!$A:$X,N$13,FALSE)/1000+VLOOKUP($C107,'ASDR FY2'!$A:$X,N$14,FALSE)/1000</f>
        <v>0</v>
      </c>
      <c r="O107" s="8"/>
      <c r="P107" s="8">
        <f>VLOOKUP($C107,'ASDR FY2'!$A:$X,P$13,FALSE)/1000+VLOOKUP($C107,'ASDR FY2'!$A:$X,P$14,FALSE)/1000+VLOOKUP($C107,'ASDR FY2'!$A:$X,P$15,FALSE)/1000</f>
        <v>0</v>
      </c>
      <c r="Q107" s="9"/>
      <c r="R107" s="8">
        <f>SUM(F107,H107,J107,L107,N107,P107)</f>
        <v>7933.9441900000002</v>
      </c>
      <c r="S107" s="10"/>
      <c r="T107" s="8">
        <f>VLOOKUP($C107,'ASDR FY2'!$A:$X,T$14,FALSE)/1000</f>
        <v>7637.3739699999996</v>
      </c>
    </row>
    <row r="108" spans="1:20" x14ac:dyDescent="0.25">
      <c r="A108" s="155">
        <f t="shared" si="1"/>
        <v>39</v>
      </c>
      <c r="B108" s="161"/>
      <c r="C108" s="155">
        <v>31254</v>
      </c>
      <c r="D108" s="150" t="s">
        <v>47</v>
      </c>
      <c r="F108" s="8">
        <f>VLOOKUP($C108,'ASDR FY2'!$A:$X,F$14,FALSE)/1000</f>
        <v>16146.175740000012</v>
      </c>
      <c r="G108" s="152"/>
      <c r="H108" s="8">
        <f>VLOOKUP($C108,'ASDR FY2'!$A:$X,H$14,FALSE)/1000</f>
        <v>2166.39696</v>
      </c>
      <c r="I108" s="9"/>
      <c r="J108" s="8">
        <f>VLOOKUP($C108,'ASDR FY2'!$A:$X,J$14,FALSE)/1000</f>
        <v>0</v>
      </c>
      <c r="K108" s="10"/>
      <c r="L108" s="8">
        <f>VLOOKUP($C108,'ASDR FY2'!$A:$X,L$13,FALSE)/1000+VLOOKUP($C108,'ASDR FY2'!$A:$X,L$14,FALSE)/1000</f>
        <v>0</v>
      </c>
      <c r="M108" s="10"/>
      <c r="N108" s="8">
        <f>VLOOKUP($C108,'ASDR FY2'!$A:$X,N$13,FALSE)/1000+VLOOKUP($C108,'ASDR FY2'!$A:$X,N$14,FALSE)/1000</f>
        <v>0</v>
      </c>
      <c r="O108" s="8"/>
      <c r="P108" s="8">
        <f>VLOOKUP($C108,'ASDR FY2'!$A:$X,P$13,FALSE)/1000+VLOOKUP($C108,'ASDR FY2'!$A:$X,P$14,FALSE)/1000+VLOOKUP($C108,'ASDR FY2'!$A:$X,P$15,FALSE)/1000</f>
        <v>0</v>
      </c>
      <c r="Q108" s="9"/>
      <c r="R108" s="8">
        <f>SUM(F108,H108,J108,L108,N108,P108)</f>
        <v>18312.572700000012</v>
      </c>
      <c r="S108" s="10"/>
      <c r="T108" s="8">
        <f>VLOOKUP($C108,'ASDR FY2'!$A:$X,T$14,FALSE)/1000</f>
        <v>17229.374219999998</v>
      </c>
    </row>
    <row r="109" spans="1:20" x14ac:dyDescent="0.25">
      <c r="A109" s="155">
        <f t="shared" si="1"/>
        <v>40</v>
      </c>
      <c r="B109" s="161"/>
      <c r="C109" s="155">
        <v>31554</v>
      </c>
      <c r="D109" s="150" t="s">
        <v>49</v>
      </c>
      <c r="F109" s="8">
        <f>VLOOKUP($C109,'ASDR FY2'!$A:$X,F$14,FALSE)/1000</f>
        <v>10029.918600000015</v>
      </c>
      <c r="G109" s="152"/>
      <c r="H109" s="8">
        <f>VLOOKUP($C109,'ASDR FY2'!$A:$X,H$14,FALSE)/1000</f>
        <v>433.87584000000004</v>
      </c>
      <c r="I109" s="9"/>
      <c r="J109" s="8">
        <f>VLOOKUP($C109,'ASDR FY2'!$A:$X,J$14,FALSE)/1000</f>
        <v>0</v>
      </c>
      <c r="K109" s="10"/>
      <c r="L109" s="8">
        <f>VLOOKUP($C109,'ASDR FY2'!$A:$X,L$13,FALSE)/1000+VLOOKUP($C109,'ASDR FY2'!$A:$X,L$14,FALSE)/1000</f>
        <v>0</v>
      </c>
      <c r="M109" s="10"/>
      <c r="N109" s="8">
        <f>VLOOKUP($C109,'ASDR FY2'!$A:$X,N$13,FALSE)/1000+VLOOKUP($C109,'ASDR FY2'!$A:$X,N$14,FALSE)/1000</f>
        <v>0</v>
      </c>
      <c r="O109" s="8"/>
      <c r="P109" s="8">
        <f>VLOOKUP($C109,'ASDR FY2'!$A:$X,P$13,FALSE)/1000+VLOOKUP($C109,'ASDR FY2'!$A:$X,P$14,FALSE)/1000+VLOOKUP($C109,'ASDR FY2'!$A:$X,P$15,FALSE)/1000</f>
        <v>0</v>
      </c>
      <c r="Q109" s="9"/>
      <c r="R109" s="8">
        <f>SUM(F109,H109,J109,L109,N109,P109)</f>
        <v>10463.794440000016</v>
      </c>
      <c r="S109" s="10"/>
      <c r="T109" s="8">
        <f>VLOOKUP($C109,'ASDR FY2'!$A:$X,T$14,FALSE)/1000</f>
        <v>10246.856519999999</v>
      </c>
    </row>
    <row r="110" spans="1:20" x14ac:dyDescent="0.25">
      <c r="A110" s="155">
        <f t="shared" si="1"/>
        <v>41</v>
      </c>
      <c r="B110" s="161"/>
      <c r="C110" s="155">
        <v>31654</v>
      </c>
      <c r="D110" s="150" t="s">
        <v>50</v>
      </c>
      <c r="F110" s="8">
        <f>VLOOKUP($C110,'ASDR FY2'!$A:$X,F$14,FALSE)/1000</f>
        <v>377.52843999999982</v>
      </c>
      <c r="G110" s="152"/>
      <c r="H110" s="8">
        <f>VLOOKUP($C110,'ASDR FY2'!$A:$X,H$14,FALSE)/1000</f>
        <v>13.20828</v>
      </c>
      <c r="I110" s="9"/>
      <c r="J110" s="8">
        <f>VLOOKUP($C110,'ASDR FY2'!$A:$X,J$14,FALSE)/1000</f>
        <v>0</v>
      </c>
      <c r="K110" s="10"/>
      <c r="L110" s="8">
        <f>VLOOKUP($C110,'ASDR FY2'!$A:$X,L$13,FALSE)/1000+VLOOKUP($C110,'ASDR FY2'!$A:$X,L$14,FALSE)/1000</f>
        <v>0</v>
      </c>
      <c r="M110" s="10"/>
      <c r="N110" s="8">
        <f>VLOOKUP($C110,'ASDR FY2'!$A:$X,N$13,FALSE)/1000+VLOOKUP($C110,'ASDR FY2'!$A:$X,N$14,FALSE)/1000</f>
        <v>0</v>
      </c>
      <c r="O110" s="8"/>
      <c r="P110" s="8">
        <f>VLOOKUP($C110,'ASDR FY2'!$A:$X,P$13,FALSE)/1000+VLOOKUP($C110,'ASDR FY2'!$A:$X,P$14,FALSE)/1000+VLOOKUP($C110,'ASDR FY2'!$A:$X,P$15,FALSE)/1000</f>
        <v>0</v>
      </c>
      <c r="Q110" s="9"/>
      <c r="R110" s="8">
        <f>SUM(F110,H110,J110,L110,N110,P110)</f>
        <v>390.73671999999982</v>
      </c>
      <c r="S110" s="10"/>
      <c r="T110" s="8">
        <f>VLOOKUP($C110,'ASDR FY2'!$A:$X,T$14,FALSE)/1000</f>
        <v>384.13258000000002</v>
      </c>
    </row>
    <row r="111" spans="1:20" x14ac:dyDescent="0.25">
      <c r="A111" s="155">
        <f t="shared" si="1"/>
        <v>42</v>
      </c>
      <c r="B111" s="161"/>
      <c r="C111" s="155"/>
      <c r="D111" s="172" t="s">
        <v>75</v>
      </c>
      <c r="E111" s="167"/>
      <c r="F111" s="12">
        <f>SUM(F107:F110)</f>
        <v>33894.426530000033</v>
      </c>
      <c r="H111" s="12">
        <f>SUM(H107:H110)</f>
        <v>3206.6215200000001</v>
      </c>
      <c r="I111" s="13"/>
      <c r="J111" s="12">
        <f>SUM(J107:J110)</f>
        <v>0</v>
      </c>
      <c r="K111" s="13"/>
      <c r="L111" s="12">
        <f>SUM(L107:L110)</f>
        <v>0</v>
      </c>
      <c r="M111" s="13"/>
      <c r="N111" s="12">
        <f>SUM(N107:N110)</f>
        <v>0</v>
      </c>
      <c r="O111" s="65"/>
      <c r="P111" s="12">
        <f>SUM(P107:P110)</f>
        <v>0</v>
      </c>
      <c r="Q111" s="13"/>
      <c r="R111" s="12">
        <f>SUM(R107:R110)</f>
        <v>37101.048050000027</v>
      </c>
      <c r="S111" s="13"/>
      <c r="T111" s="12">
        <f>SUM(T107:T110)</f>
        <v>35497.737289999997</v>
      </c>
    </row>
    <row r="112" spans="1:20" x14ac:dyDescent="0.25">
      <c r="A112" s="155">
        <f t="shared" si="1"/>
        <v>43</v>
      </c>
      <c r="B112" s="161"/>
      <c r="Q112" s="152"/>
    </row>
    <row r="113" spans="1:20" ht="13.8" thickBot="1" x14ac:dyDescent="0.3">
      <c r="A113" s="156">
        <f t="shared" si="1"/>
        <v>44</v>
      </c>
      <c r="B113" s="20" t="s">
        <v>60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5"/>
      <c r="R113" s="147"/>
      <c r="S113" s="147"/>
      <c r="T113" s="147"/>
    </row>
    <row r="114" spans="1:20" x14ac:dyDescent="0.25">
      <c r="A114" s="150" t="str">
        <f>+$A$57</f>
        <v>Supporting Schedules:  B-10, B-11</v>
      </c>
      <c r="Q114" s="152"/>
      <c r="R114" s="150" t="str">
        <f>+$R$57</f>
        <v>Recap Schedules:  B-03, B-06</v>
      </c>
    </row>
    <row r="115" spans="1:20" ht="13.8" thickBot="1" x14ac:dyDescent="0.3">
      <c r="A115" s="147" t="str">
        <f>$A$1</f>
        <v>SCHEDULE B-09</v>
      </c>
      <c r="B115" s="147"/>
      <c r="C115" s="147"/>
      <c r="D115" s="147"/>
      <c r="E115" s="147"/>
      <c r="F115" s="147" t="str">
        <f>$F$1</f>
        <v>DEPRECIATION RESERVE BALANCES BY ACCOUNT AND SUB-ACCOUNT</v>
      </c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5"/>
      <c r="R115" s="147"/>
      <c r="S115" s="147"/>
      <c r="T115" s="147" t="str">
        <f>"Page 3 of " &amp; $R$1</f>
        <v>Page 3 of 30</v>
      </c>
    </row>
    <row r="116" spans="1:20" x14ac:dyDescent="0.25">
      <c r="A116" s="150" t="str">
        <f>$A$2</f>
        <v>FLORIDA PUBLIC SERVICE COMMISSION</v>
      </c>
      <c r="B116" s="170"/>
      <c r="E116" s="152" t="str">
        <f>$E$2</f>
        <v xml:space="preserve">                  EXPLANATION:</v>
      </c>
      <c r="F116" s="150" t="str">
        <f>IF($F$2="","",$F$2)</f>
        <v>Provide the depreciation reserve balances for each account or sub-account to which</v>
      </c>
      <c r="J116" s="149"/>
      <c r="K116" s="149"/>
      <c r="M116" s="149"/>
      <c r="N116" s="149"/>
      <c r="O116" s="149"/>
      <c r="P116" s="149"/>
      <c r="Q116" s="148"/>
      <c r="R116" s="150" t="str">
        <f>$R$2</f>
        <v>Type of data shown:</v>
      </c>
      <c r="T116" s="151"/>
    </row>
    <row r="117" spans="1:20" x14ac:dyDescent="0.25">
      <c r="B117" s="170"/>
      <c r="F117" s="150" t="str">
        <f>IF($F$3="","",$F$3)</f>
        <v>an individual depreciation rate is applied. (Include Amortization/Recovery amounts).</v>
      </c>
      <c r="J117" s="152"/>
      <c r="K117" s="151"/>
      <c r="N117" s="152"/>
      <c r="O117" s="152"/>
      <c r="P117" s="152"/>
      <c r="Q117" s="152" t="str">
        <f>IF($Q$3=0,"",$Q$3)</f>
        <v>XX</v>
      </c>
      <c r="R117" s="151" t="str">
        <f>$R$3</f>
        <v>Projected Test Year Ended 12/31/2025</v>
      </c>
      <c r="T117" s="152"/>
    </row>
    <row r="118" spans="1:20" x14ac:dyDescent="0.25">
      <c r="A118" s="150" t="str">
        <f>$A$4</f>
        <v>COMPANY: TAMPA ELECTRIC COMPANY</v>
      </c>
      <c r="B118" s="170"/>
      <c r="F118" s="150" t="str">
        <f>IF(+$F$4="","",$F$4)</f>
        <v/>
      </c>
      <c r="J118" s="152"/>
      <c r="K118" s="151"/>
      <c r="L118" s="152"/>
      <c r="Q118" s="152" t="str">
        <f>IF($Q$4=0,"",$Q$4)</f>
        <v/>
      </c>
      <c r="R118" s="151" t="str">
        <f>$R$4</f>
        <v>Projected Prior Year Ended 12/31/2024</v>
      </c>
      <c r="T118" s="152"/>
    </row>
    <row r="119" spans="1:20" x14ac:dyDescent="0.25">
      <c r="B119" s="170"/>
      <c r="F119" s="150" t="str">
        <f>IF(+$F$5="","",$F$5)</f>
        <v/>
      </c>
      <c r="J119" s="152"/>
      <c r="K119" s="151"/>
      <c r="L119" s="152"/>
      <c r="Q119" s="152" t="str">
        <f>IF($Q$5=0,"",$Q$5)</f>
        <v/>
      </c>
      <c r="R119" s="151" t="str">
        <f>$R$5</f>
        <v>Historical Prior Year Ended 12/31/2023</v>
      </c>
      <c r="T119" s="152"/>
    </row>
    <row r="120" spans="1:20" x14ac:dyDescent="0.25">
      <c r="B120" s="170"/>
      <c r="J120" s="152"/>
      <c r="K120" s="151"/>
      <c r="L120" s="152"/>
      <c r="Q120" s="152"/>
      <c r="R120" s="151" t="str">
        <f>$R$6</f>
        <v>Witness: C. Aldazabal / N. Allis / J. Chronister</v>
      </c>
      <c r="T120" s="152"/>
    </row>
    <row r="121" spans="1:20" ht="13.8" thickBot="1" x14ac:dyDescent="0.3">
      <c r="A121" s="147" t="str">
        <f>A$7</f>
        <v>DOCKET No. 20240026-EI</v>
      </c>
      <c r="B121" s="171"/>
      <c r="C121" s="147"/>
      <c r="D121" s="147"/>
      <c r="E121" s="147"/>
      <c r="F121" s="147" t="str">
        <f>IF(+$F$7="","",$F$7)</f>
        <v/>
      </c>
      <c r="G121" s="147"/>
      <c r="H121" s="156" t="str">
        <f>IF($H$7="","",$H$7)</f>
        <v>(Dollars in 000's)</v>
      </c>
      <c r="I121" s="147"/>
      <c r="J121" s="147"/>
      <c r="K121" s="147"/>
      <c r="L121" s="147"/>
      <c r="M121" s="147"/>
      <c r="N121" s="147"/>
      <c r="O121" s="147"/>
      <c r="P121" s="147"/>
      <c r="Q121" s="145"/>
      <c r="R121" s="147" t="str">
        <f>$R$7</f>
        <v xml:space="preserve">             / R. Latta / K. Stryker / C. Whitworth</v>
      </c>
      <c r="S121" s="147"/>
      <c r="T121" s="147"/>
    </row>
    <row r="122" spans="1:20" x14ac:dyDescent="0.25"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4"/>
      <c r="R122" s="153"/>
      <c r="S122" s="153"/>
      <c r="T122" s="153"/>
    </row>
    <row r="123" spans="1:20" x14ac:dyDescent="0.25">
      <c r="C123" s="153" t="s">
        <v>13</v>
      </c>
      <c r="D123" s="153" t="s">
        <v>14</v>
      </c>
      <c r="E123" s="153"/>
      <c r="F123" s="153" t="s">
        <v>15</v>
      </c>
      <c r="G123" s="153"/>
      <c r="H123" s="153" t="s">
        <v>16</v>
      </c>
      <c r="I123" s="153"/>
      <c r="J123" s="155" t="s">
        <v>17</v>
      </c>
      <c r="K123" s="155"/>
      <c r="L123" s="153" t="s">
        <v>18</v>
      </c>
      <c r="M123" s="153"/>
      <c r="N123" s="153" t="s">
        <v>19</v>
      </c>
      <c r="O123" s="153"/>
      <c r="P123" s="153" t="s">
        <v>20</v>
      </c>
      <c r="Q123" s="154"/>
      <c r="R123" s="153" t="s">
        <v>21</v>
      </c>
      <c r="S123" s="153"/>
      <c r="T123" s="153" t="s">
        <v>22</v>
      </c>
    </row>
    <row r="124" spans="1:20" x14ac:dyDescent="0.25">
      <c r="C124" s="155" t="s">
        <v>23</v>
      </c>
      <c r="D124" s="155" t="s">
        <v>23</v>
      </c>
      <c r="F124" s="155" t="s">
        <v>24</v>
      </c>
      <c r="G124" s="155"/>
      <c r="H124" s="153" t="s">
        <v>25</v>
      </c>
      <c r="I124" s="155"/>
      <c r="J124" s="153"/>
      <c r="K124" s="155"/>
      <c r="L124" s="155"/>
      <c r="M124" s="155"/>
      <c r="Q124" s="152"/>
      <c r="R124" s="155" t="s">
        <v>24</v>
      </c>
      <c r="T124" s="155"/>
    </row>
    <row r="125" spans="1:20" x14ac:dyDescent="0.25">
      <c r="A125" s="155" t="s">
        <v>26</v>
      </c>
      <c r="B125" s="155"/>
      <c r="C125" s="155" t="s">
        <v>27</v>
      </c>
      <c r="D125" s="155" t="s">
        <v>27</v>
      </c>
      <c r="E125" s="153"/>
      <c r="F125" s="155" t="s">
        <v>28</v>
      </c>
      <c r="G125" s="155"/>
      <c r="H125" s="155" t="s">
        <v>28</v>
      </c>
      <c r="I125" s="155"/>
      <c r="J125" s="155"/>
      <c r="K125" s="153"/>
      <c r="L125" s="155" t="s">
        <v>29</v>
      </c>
      <c r="M125" s="151"/>
      <c r="N125" s="155" t="s">
        <v>29</v>
      </c>
      <c r="O125" s="155"/>
      <c r="P125" s="155" t="s">
        <v>30</v>
      </c>
      <c r="Q125" s="154"/>
      <c r="R125" s="153" t="s">
        <v>28</v>
      </c>
      <c r="S125" s="153"/>
      <c r="T125" s="155" t="s">
        <v>31</v>
      </c>
    </row>
    <row r="126" spans="1:20" ht="13.8" thickBot="1" x14ac:dyDescent="0.3">
      <c r="A126" s="156" t="s">
        <v>32</v>
      </c>
      <c r="B126" s="156"/>
      <c r="C126" s="156" t="s">
        <v>33</v>
      </c>
      <c r="D126" s="156" t="s">
        <v>34</v>
      </c>
      <c r="E126" s="156"/>
      <c r="F126" s="157" t="s">
        <v>35</v>
      </c>
      <c r="G126" s="157"/>
      <c r="H126" s="157" t="s">
        <v>36</v>
      </c>
      <c r="I126" s="158"/>
      <c r="J126" s="157" t="s">
        <v>37</v>
      </c>
      <c r="K126" s="158"/>
      <c r="L126" s="158" t="s">
        <v>38</v>
      </c>
      <c r="M126" s="159"/>
      <c r="N126" s="159" t="s">
        <v>39</v>
      </c>
      <c r="O126" s="159"/>
      <c r="P126" s="159" t="s">
        <v>40</v>
      </c>
      <c r="Q126" s="160"/>
      <c r="R126" s="159" t="s">
        <v>41</v>
      </c>
      <c r="S126" s="159"/>
      <c r="T126" s="159" t="s">
        <v>42</v>
      </c>
    </row>
    <row r="127" spans="1:20" x14ac:dyDescent="0.25">
      <c r="A127" s="155">
        <v>1</v>
      </c>
      <c r="B127" s="155"/>
      <c r="Q127" s="152"/>
    </row>
    <row r="128" spans="1:20" x14ac:dyDescent="0.25">
      <c r="A128" s="155">
        <f>A127+1</f>
        <v>2</v>
      </c>
      <c r="B128" s="161"/>
      <c r="C128" s="155">
        <v>31247</v>
      </c>
      <c r="D128" s="150" t="s">
        <v>76</v>
      </c>
      <c r="F128" s="8">
        <f>VLOOKUP($C128,'ASDR FY2'!$A:$X,F$14,FALSE)/1000</f>
        <v>10187.109649999999</v>
      </c>
      <c r="G128" s="152"/>
      <c r="H128" s="8">
        <f>VLOOKUP($C128,'ASDR FY2'!$A:$X,H$14,FALSE)/1000</f>
        <v>0</v>
      </c>
      <c r="I128" s="9"/>
      <c r="J128" s="8">
        <f>VLOOKUP($C128,'ASDR FY2'!$A:$X,J$14,FALSE)/1000</f>
        <v>0</v>
      </c>
      <c r="K128" s="10"/>
      <c r="L128" s="8">
        <f>VLOOKUP($C128,'ASDR FY2'!$A:$X,L$13,FALSE)/1000+VLOOKUP($C128,'ASDR FY2'!$A:$X,L$14,FALSE)/1000</f>
        <v>0</v>
      </c>
      <c r="M128" s="10"/>
      <c r="N128" s="8">
        <f>VLOOKUP($C128,'ASDR FY2'!$A:$X,N$13,FALSE)/1000+VLOOKUP($C128,'ASDR FY2'!$A:$X,N$14,FALSE)/1000</f>
        <v>0</v>
      </c>
      <c r="O128" s="8"/>
      <c r="P128" s="8">
        <f>VLOOKUP($C128,'ASDR FY2'!$A:$X,P$13,FALSE)/1000+VLOOKUP($C128,'ASDR FY2'!$A:$X,P$14,FALSE)/1000+VLOOKUP($C128,'ASDR FY2'!$A:$X,P$15,FALSE)/1000</f>
        <v>0</v>
      </c>
      <c r="Q128" s="9"/>
      <c r="R128" s="8">
        <f>SUM(F128,H128,J128,L128,N128,P128)</f>
        <v>10187.109649999999</v>
      </c>
      <c r="S128" s="10"/>
      <c r="T128" s="8">
        <f>VLOOKUP($C128,'ASDR FY2'!$A:$X,T$14,FALSE)/1000</f>
        <v>10187.10965</v>
      </c>
    </row>
    <row r="129" spans="1:20" x14ac:dyDescent="0.25">
      <c r="A129" s="155">
        <f t="shared" ref="A129:A170" si="2">A128+1</f>
        <v>3</v>
      </c>
      <c r="B129" s="161"/>
      <c r="C129" s="153">
        <v>31647</v>
      </c>
      <c r="D129" s="150" t="s">
        <v>77</v>
      </c>
      <c r="F129" s="8">
        <f>VLOOKUP($C129,'ASDR FY2'!$A:$X,F$14,FALSE)/1000</f>
        <v>312.57224000000002</v>
      </c>
      <c r="G129" s="152"/>
      <c r="H129" s="8">
        <f>VLOOKUP($C129,'ASDR FY2'!$A:$X,H$14,FALSE)/1000</f>
        <v>105.36611000000001</v>
      </c>
      <c r="I129" s="9"/>
      <c r="J129" s="8">
        <f>VLOOKUP($C129,'ASDR FY2'!$A:$X,J$14,FALSE)/1000</f>
        <v>-37.591320000000003</v>
      </c>
      <c r="K129" s="10"/>
      <c r="L129" s="8">
        <f>VLOOKUP($C129,'ASDR FY2'!$A:$X,L$13,FALSE)/1000+VLOOKUP($C129,'ASDR FY2'!$A:$X,L$14,FALSE)/1000</f>
        <v>0</v>
      </c>
      <c r="M129" s="10"/>
      <c r="N129" s="8">
        <f>VLOOKUP($C129,'ASDR FY2'!$A:$X,N$13,FALSE)/1000+VLOOKUP($C129,'ASDR FY2'!$A:$X,N$14,FALSE)/1000</f>
        <v>0</v>
      </c>
      <c r="O129" s="8"/>
      <c r="P129" s="8">
        <f>VLOOKUP($C129,'ASDR FY2'!$A:$X,P$13,FALSE)/1000+VLOOKUP($C129,'ASDR FY2'!$A:$X,P$14,FALSE)/1000+VLOOKUP($C129,'ASDR FY2'!$A:$X,P$15,FALSE)/1000</f>
        <v>0</v>
      </c>
      <c r="Q129" s="9"/>
      <c r="R129" s="8">
        <f>SUM(F129,H129,J129,L129,N129,P129)</f>
        <v>380.34703000000002</v>
      </c>
      <c r="S129" s="10"/>
      <c r="T129" s="8">
        <f>VLOOKUP($C129,'ASDR FY2'!$A:$X,T$14,FALSE)/1000</f>
        <v>336.33982000000003</v>
      </c>
    </row>
    <row r="130" spans="1:20" x14ac:dyDescent="0.25">
      <c r="A130" s="155">
        <f t="shared" si="2"/>
        <v>4</v>
      </c>
      <c r="B130" s="161"/>
      <c r="C130" s="155"/>
      <c r="F130" s="22"/>
      <c r="H130" s="22"/>
      <c r="I130" s="15"/>
      <c r="J130" s="22"/>
      <c r="K130" s="15"/>
      <c r="L130" s="22"/>
      <c r="M130" s="15"/>
      <c r="N130" s="22"/>
      <c r="O130" s="68"/>
      <c r="P130" s="22"/>
      <c r="Q130" s="15"/>
      <c r="R130" s="22"/>
      <c r="S130" s="15"/>
      <c r="T130" s="22"/>
    </row>
    <row r="131" spans="1:20" ht="13.8" thickBot="1" x14ac:dyDescent="0.3">
      <c r="A131" s="155">
        <f t="shared" si="2"/>
        <v>5</v>
      </c>
      <c r="B131" s="161"/>
      <c r="C131" s="155"/>
      <c r="D131" s="173" t="s">
        <v>78</v>
      </c>
      <c r="F131" s="19">
        <f>SUM(F22,F30,F38,F46,F54,F76,F83,F90,F97,F104,F111,F128,F129)</f>
        <v>554930.87777000014</v>
      </c>
      <c r="G131" s="152"/>
      <c r="H131" s="19">
        <f>SUM(H22,H30,H38,H46,H54,H76,H83,H90,H97,H104,H111,H128,H129)</f>
        <v>59405.932760000003</v>
      </c>
      <c r="I131" s="15"/>
      <c r="J131" s="19">
        <f>SUM(J22,J30,J38,J46,J54,J76,J83,J90,J97,J104,J111,J128,J129)</f>
        <v>-3724.44238</v>
      </c>
      <c r="K131" s="15"/>
      <c r="L131" s="19">
        <f>SUM(L22,L30,L38,L46,L54,L76,L83,L90,L97,L104,L111,L128,L129)</f>
        <v>-1716.3317199999999</v>
      </c>
      <c r="M131" s="15"/>
      <c r="N131" s="19">
        <f>SUM(N22,N30,N38,N46,N54,N76,N83,N90,N97,N104,N111,N128,N129)</f>
        <v>0</v>
      </c>
      <c r="O131" s="37"/>
      <c r="P131" s="19">
        <f>SUM(P22,P30,P38,P46,P54,P76,P83,P90,P97,P104,P111,P128,P129)</f>
        <v>0</v>
      </c>
      <c r="Q131" s="15"/>
      <c r="R131" s="19">
        <f>SUM(R22,R30,R38,R46,R54,R76,R83,R90,R97,R104,R111,R128,R129)</f>
        <v>608896.03643000009</v>
      </c>
      <c r="S131" s="15"/>
      <c r="T131" s="19">
        <f>SUM(T22,T30,T38,T46,T54,T76,T83,T90,T97,T104,T111,T128,T129)</f>
        <v>582206.34025999997</v>
      </c>
    </row>
    <row r="132" spans="1:20" ht="13.8" thickTop="1" x14ac:dyDescent="0.25">
      <c r="A132" s="155">
        <f t="shared" si="2"/>
        <v>6</v>
      </c>
      <c r="B132" s="161"/>
      <c r="C132" s="155"/>
      <c r="Q132" s="152"/>
    </row>
    <row r="133" spans="1:20" ht="13.8" thickBot="1" x14ac:dyDescent="0.3">
      <c r="A133" s="155">
        <f t="shared" si="2"/>
        <v>7</v>
      </c>
      <c r="B133" s="155"/>
      <c r="C133" s="155"/>
      <c r="D133" s="150" t="s">
        <v>79</v>
      </c>
      <c r="F133" s="19">
        <f>F131</f>
        <v>554930.87777000014</v>
      </c>
      <c r="G133" s="152"/>
      <c r="H133" s="19">
        <f>H131</f>
        <v>59405.932760000003</v>
      </c>
      <c r="I133" s="15"/>
      <c r="J133" s="19">
        <f>J131</f>
        <v>-3724.44238</v>
      </c>
      <c r="K133" s="15"/>
      <c r="L133" s="19">
        <f>L131</f>
        <v>-1716.3317199999999</v>
      </c>
      <c r="M133" s="15"/>
      <c r="N133" s="19">
        <f>N131</f>
        <v>0</v>
      </c>
      <c r="O133" s="37"/>
      <c r="P133" s="19">
        <f>P131</f>
        <v>0</v>
      </c>
      <c r="Q133" s="15"/>
      <c r="R133" s="19">
        <f>R131</f>
        <v>608896.03643000009</v>
      </c>
      <c r="S133" s="15"/>
      <c r="T133" s="19">
        <f>T131</f>
        <v>582206.34025999997</v>
      </c>
    </row>
    <row r="134" spans="1:20" ht="13.8" thickTop="1" x14ac:dyDescent="0.25">
      <c r="A134" s="155">
        <f t="shared" si="2"/>
        <v>8</v>
      </c>
      <c r="B134" s="155"/>
      <c r="Q134" s="152"/>
    </row>
    <row r="135" spans="1:20" x14ac:dyDescent="0.25">
      <c r="A135" s="155">
        <f t="shared" si="2"/>
        <v>9</v>
      </c>
      <c r="B135" s="161"/>
      <c r="D135" s="150" t="s">
        <v>80</v>
      </c>
      <c r="Q135" s="152"/>
    </row>
    <row r="136" spans="1:20" x14ac:dyDescent="0.25">
      <c r="A136" s="155">
        <f t="shared" si="2"/>
        <v>10</v>
      </c>
      <c r="B136" s="161"/>
      <c r="D136" s="150" t="s">
        <v>44</v>
      </c>
      <c r="Q136" s="152"/>
    </row>
    <row r="137" spans="1:20" x14ac:dyDescent="0.25">
      <c r="A137" s="155">
        <f t="shared" si="2"/>
        <v>11</v>
      </c>
      <c r="B137" s="161"/>
      <c r="D137" s="150" t="s">
        <v>81</v>
      </c>
      <c r="E137" s="155"/>
      <c r="F137" s="174"/>
      <c r="G137" s="174"/>
      <c r="H137" s="8"/>
      <c r="I137" s="23"/>
      <c r="J137" s="8"/>
      <c r="K137" s="23"/>
      <c r="L137" s="23"/>
      <c r="M137" s="23"/>
      <c r="N137" s="23"/>
      <c r="O137" s="23"/>
      <c r="P137" s="23"/>
      <c r="Q137" s="61"/>
      <c r="R137" s="23"/>
      <c r="S137" s="23"/>
      <c r="T137" s="23"/>
    </row>
    <row r="138" spans="1:20" x14ac:dyDescent="0.25">
      <c r="A138" s="155">
        <f t="shared" si="2"/>
        <v>12</v>
      </c>
      <c r="B138" s="161"/>
      <c r="C138" s="153">
        <v>34144</v>
      </c>
      <c r="D138" s="150" t="s">
        <v>46</v>
      </c>
      <c r="E138" s="155"/>
      <c r="F138" s="8">
        <f>VLOOKUP($C138,'ASDR FY2'!$A:$X,F$14,FALSE)/1000</f>
        <v>1049.6972600000001</v>
      </c>
      <c r="G138" s="152"/>
      <c r="H138" s="8">
        <f>VLOOKUP($C138,'ASDR FY2'!$A:$X,H$14,FALSE)/1000</f>
        <v>112.75283999999999</v>
      </c>
      <c r="I138" s="9"/>
      <c r="J138" s="8">
        <f>VLOOKUP($C138,'ASDR FY2'!$A:$X,J$14,FALSE)/1000</f>
        <v>0</v>
      </c>
      <c r="K138" s="10"/>
      <c r="L138" s="8">
        <f>VLOOKUP($C138,'ASDR FY2'!$A:$X,L$13,FALSE)/1000+VLOOKUP($C138,'ASDR FY2'!$A:$X,L$14,FALSE)/1000</f>
        <v>0</v>
      </c>
      <c r="M138" s="10"/>
      <c r="N138" s="8">
        <f>VLOOKUP($C138,'ASDR FY2'!$A:$X,N$13,FALSE)/1000+VLOOKUP($C138,'ASDR FY2'!$A:$X,N$14,FALSE)/1000</f>
        <v>0</v>
      </c>
      <c r="O138" s="8"/>
      <c r="P138" s="8">
        <f>VLOOKUP($C138,'ASDR FY2'!$A:$X,P$13,FALSE)/1000+VLOOKUP($C138,'ASDR FY2'!$A:$X,P$14,FALSE)/1000+VLOOKUP($C138,'ASDR FY2'!$A:$X,P$15,FALSE)/1000</f>
        <v>0</v>
      </c>
      <c r="Q138" s="9"/>
      <c r="R138" s="8">
        <f>SUM(F138,H138,J138,L138,N138,P138)</f>
        <v>1162.4501</v>
      </c>
      <c r="S138" s="10"/>
      <c r="T138" s="8">
        <f>VLOOKUP($C138,'ASDR FY2'!$A:$X,T$14,FALSE)/1000</f>
        <v>1106.07368</v>
      </c>
    </row>
    <row r="139" spans="1:20" x14ac:dyDescent="0.25">
      <c r="A139" s="155">
        <f t="shared" si="2"/>
        <v>13</v>
      </c>
      <c r="B139" s="161"/>
      <c r="C139" s="153">
        <v>34244</v>
      </c>
      <c r="D139" s="150" t="s">
        <v>82</v>
      </c>
      <c r="E139" s="155"/>
      <c r="F139" s="8">
        <f>VLOOKUP($C139,'ASDR FY2'!$A:$X,F$14,FALSE)/1000</f>
        <v>669.54561000000047</v>
      </c>
      <c r="G139" s="152"/>
      <c r="H139" s="8">
        <f>VLOOKUP($C139,'ASDR FY2'!$A:$X,H$14,FALSE)/1000</f>
        <v>165.66204000000002</v>
      </c>
      <c r="I139" s="9"/>
      <c r="J139" s="8">
        <f>VLOOKUP($C139,'ASDR FY2'!$A:$X,J$14,FALSE)/1000</f>
        <v>0</v>
      </c>
      <c r="K139" s="10"/>
      <c r="L139" s="8">
        <f>VLOOKUP($C139,'ASDR FY2'!$A:$X,L$13,FALSE)/1000+VLOOKUP($C139,'ASDR FY2'!$A:$X,L$14,FALSE)/1000</f>
        <v>0</v>
      </c>
      <c r="M139" s="10"/>
      <c r="N139" s="8">
        <f>VLOOKUP($C139,'ASDR FY2'!$A:$X,N$13,FALSE)/1000+VLOOKUP($C139,'ASDR FY2'!$A:$X,N$14,FALSE)/1000</f>
        <v>0</v>
      </c>
      <c r="O139" s="8"/>
      <c r="P139" s="8">
        <f>VLOOKUP($C139,'ASDR FY2'!$A:$X,P$13,FALSE)/1000+VLOOKUP($C139,'ASDR FY2'!$A:$X,P$14,FALSE)/1000+VLOOKUP($C139,'ASDR FY2'!$A:$X,P$15,FALSE)/1000</f>
        <v>0</v>
      </c>
      <c r="Q139" s="9"/>
      <c r="R139" s="8">
        <f>SUM(F139,H139,J139,L139,N139,P139)</f>
        <v>835.20765000000051</v>
      </c>
      <c r="S139" s="10"/>
      <c r="T139" s="8">
        <f>VLOOKUP($C139,'ASDR FY2'!$A:$X,T$14,FALSE)/1000</f>
        <v>752.37662999999998</v>
      </c>
    </row>
    <row r="140" spans="1:20" x14ac:dyDescent="0.25">
      <c r="A140" s="155">
        <f t="shared" si="2"/>
        <v>14</v>
      </c>
      <c r="B140" s="161"/>
      <c r="C140" s="153">
        <v>34344</v>
      </c>
      <c r="D140" s="150" t="s">
        <v>83</v>
      </c>
      <c r="E140" s="155"/>
      <c r="F140" s="8">
        <f>VLOOKUP($C140,'ASDR FY2'!$A:$X,F$14,FALSE)/1000</f>
        <v>11147.576739999995</v>
      </c>
      <c r="G140" s="152"/>
      <c r="H140" s="8">
        <f>VLOOKUP($C140,'ASDR FY2'!$A:$X,H$14,FALSE)/1000</f>
        <v>590.51927999999998</v>
      </c>
      <c r="I140" s="9"/>
      <c r="J140" s="8">
        <f>VLOOKUP($C140,'ASDR FY2'!$A:$X,J$14,FALSE)/1000</f>
        <v>0</v>
      </c>
      <c r="K140" s="10"/>
      <c r="L140" s="8">
        <f>VLOOKUP($C140,'ASDR FY2'!$A:$X,L$13,FALSE)/1000+VLOOKUP($C140,'ASDR FY2'!$A:$X,L$14,FALSE)/1000</f>
        <v>0</v>
      </c>
      <c r="M140" s="10"/>
      <c r="N140" s="8">
        <f>VLOOKUP($C140,'ASDR FY2'!$A:$X,N$13,FALSE)/1000+VLOOKUP($C140,'ASDR FY2'!$A:$X,N$14,FALSE)/1000</f>
        <v>0</v>
      </c>
      <c r="O140" s="8"/>
      <c r="P140" s="8">
        <f>VLOOKUP($C140,'ASDR FY2'!$A:$X,P$13,FALSE)/1000+VLOOKUP($C140,'ASDR FY2'!$A:$X,P$14,FALSE)/1000+VLOOKUP($C140,'ASDR FY2'!$A:$X,P$15,FALSE)/1000</f>
        <v>0</v>
      </c>
      <c r="Q140" s="9"/>
      <c r="R140" s="8">
        <f>SUM(F140,H140,J140,L140,N140,P140)</f>
        <v>11738.096019999995</v>
      </c>
      <c r="S140" s="10"/>
      <c r="T140" s="8">
        <f>VLOOKUP($C140,'ASDR FY2'!$A:$X,T$14,FALSE)/1000</f>
        <v>11442.836380000001</v>
      </c>
    </row>
    <row r="141" spans="1:20" x14ac:dyDescent="0.25">
      <c r="A141" s="155">
        <f t="shared" si="2"/>
        <v>15</v>
      </c>
      <c r="B141" s="161"/>
      <c r="C141" s="153">
        <v>34544</v>
      </c>
      <c r="D141" s="150" t="s">
        <v>49</v>
      </c>
      <c r="E141" s="155"/>
      <c r="F141" s="8">
        <f>VLOOKUP($C141,'ASDR FY2'!$A:$X,F$14,FALSE)/1000</f>
        <v>7561.7694300000039</v>
      </c>
      <c r="G141" s="13"/>
      <c r="H141" s="8">
        <f>VLOOKUP($C141,'ASDR FY2'!$A:$X,H$14,FALSE)/1000</f>
        <v>395.15484000000004</v>
      </c>
      <c r="I141" s="13"/>
      <c r="J141" s="8">
        <f>VLOOKUP($C141,'ASDR FY2'!$A:$X,J$14,FALSE)/1000</f>
        <v>0</v>
      </c>
      <c r="K141" s="5"/>
      <c r="L141" s="8">
        <f>VLOOKUP($C141,'ASDR FY2'!$A:$X,L$13,FALSE)/1000+VLOOKUP($C141,'ASDR FY2'!$A:$X,L$14,FALSE)/1000</f>
        <v>0</v>
      </c>
      <c r="M141" s="5"/>
      <c r="N141" s="8">
        <f>VLOOKUP($C141,'ASDR FY2'!$A:$X,N$13,FALSE)/1000+VLOOKUP($C141,'ASDR FY2'!$A:$X,N$14,FALSE)/1000</f>
        <v>0</v>
      </c>
      <c r="O141" s="8"/>
      <c r="P141" s="8">
        <f>VLOOKUP($C141,'ASDR FY2'!$A:$X,P$13,FALSE)/1000+VLOOKUP($C141,'ASDR FY2'!$A:$X,P$14,FALSE)/1000+VLOOKUP($C141,'ASDR FY2'!$A:$X,P$15,FALSE)/1000</f>
        <v>0</v>
      </c>
      <c r="Q141" s="13"/>
      <c r="R141" s="8">
        <f>SUM(F141,H141,J141,L141,N141,P141)</f>
        <v>7956.9242700000041</v>
      </c>
      <c r="S141" s="10"/>
      <c r="T141" s="8">
        <f>VLOOKUP($C141,'ASDR FY2'!$A:$X,T$14,FALSE)/1000</f>
        <v>7759.3468499999999</v>
      </c>
    </row>
    <row r="142" spans="1:20" x14ac:dyDescent="0.25">
      <c r="A142" s="155">
        <f t="shared" si="2"/>
        <v>16</v>
      </c>
      <c r="B142" s="161"/>
      <c r="C142" s="153">
        <v>34644</v>
      </c>
      <c r="D142" s="150" t="s">
        <v>50</v>
      </c>
      <c r="F142" s="8">
        <f>VLOOKUP($C142,'ASDR FY2'!$A:$X,F$14,FALSE)/1000</f>
        <v>252.98653999999999</v>
      </c>
      <c r="G142" s="152"/>
      <c r="H142" s="8">
        <f>VLOOKUP($C142,'ASDR FY2'!$A:$X,H$14,FALSE)/1000</f>
        <v>15.98376</v>
      </c>
      <c r="I142" s="9"/>
      <c r="J142" s="8">
        <f>VLOOKUP($C142,'ASDR FY2'!$A:$X,J$14,FALSE)/1000</f>
        <v>0</v>
      </c>
      <c r="K142" s="10"/>
      <c r="L142" s="8">
        <f>VLOOKUP($C142,'ASDR FY2'!$A:$X,L$13,FALSE)/1000+VLOOKUP($C142,'ASDR FY2'!$A:$X,L$14,FALSE)/1000</f>
        <v>0</v>
      </c>
      <c r="M142" s="10"/>
      <c r="N142" s="8">
        <f>VLOOKUP($C142,'ASDR FY2'!$A:$X,N$13,FALSE)/1000+VLOOKUP($C142,'ASDR FY2'!$A:$X,N$14,FALSE)/1000</f>
        <v>0</v>
      </c>
      <c r="O142" s="8"/>
      <c r="P142" s="8">
        <f>VLOOKUP($C142,'ASDR FY2'!$A:$X,P$13,FALSE)/1000+VLOOKUP($C142,'ASDR FY2'!$A:$X,P$14,FALSE)/1000+VLOOKUP($C142,'ASDR FY2'!$A:$X,P$15,FALSE)/1000</f>
        <v>0</v>
      </c>
      <c r="Q142" s="9"/>
      <c r="R142" s="8">
        <f>SUM(F142,H142,J142,L142,N142,P142)</f>
        <v>268.97030000000001</v>
      </c>
      <c r="S142" s="10"/>
      <c r="T142" s="8">
        <f>VLOOKUP($C142,'ASDR FY2'!$A:$X,T$14,FALSE)/1000</f>
        <v>260.97842000000003</v>
      </c>
    </row>
    <row r="143" spans="1:20" x14ac:dyDescent="0.25">
      <c r="A143" s="155">
        <f t="shared" si="2"/>
        <v>17</v>
      </c>
      <c r="B143" s="161"/>
      <c r="C143" s="153"/>
      <c r="D143" s="173" t="s">
        <v>84</v>
      </c>
      <c r="E143" s="155"/>
      <c r="F143" s="12">
        <f>SUM(F138:F142)</f>
        <v>20681.575580000001</v>
      </c>
      <c r="H143" s="12">
        <f>SUM(H138:H142)</f>
        <v>1280.07276</v>
      </c>
      <c r="I143" s="13"/>
      <c r="J143" s="12">
        <f>SUM(J138:J142)</f>
        <v>0</v>
      </c>
      <c r="K143" s="13"/>
      <c r="L143" s="12">
        <f>SUM(L138:L142)</f>
        <v>0</v>
      </c>
      <c r="M143" s="13"/>
      <c r="N143" s="12">
        <f>SUM(N138:N142)</f>
        <v>0</v>
      </c>
      <c r="O143" s="65"/>
      <c r="P143" s="12">
        <f>SUM(P138:P142)</f>
        <v>0</v>
      </c>
      <c r="Q143" s="13"/>
      <c r="R143" s="12">
        <f>SUM(R138:R142)</f>
        <v>21961.64834</v>
      </c>
      <c r="S143" s="13"/>
      <c r="T143" s="12">
        <f>SUM(T138:T142)</f>
        <v>21321.611960000002</v>
      </c>
    </row>
    <row r="144" spans="1:20" x14ac:dyDescent="0.25">
      <c r="A144" s="155">
        <f t="shared" si="2"/>
        <v>18</v>
      </c>
      <c r="B144" s="161"/>
      <c r="Q144" s="152"/>
    </row>
    <row r="145" spans="1:20" x14ac:dyDescent="0.25">
      <c r="A145" s="155">
        <f t="shared" si="2"/>
        <v>19</v>
      </c>
      <c r="B145" s="161"/>
      <c r="C145" s="153"/>
      <c r="D145" s="150" t="s">
        <v>85</v>
      </c>
      <c r="Q145" s="152"/>
    </row>
    <row r="146" spans="1:20" x14ac:dyDescent="0.25">
      <c r="A146" s="155">
        <f t="shared" si="2"/>
        <v>20</v>
      </c>
      <c r="B146" s="161"/>
      <c r="C146" s="153">
        <v>34145</v>
      </c>
      <c r="D146" s="150" t="s">
        <v>46</v>
      </c>
      <c r="F146" s="8">
        <f>VLOOKUP($C146,'ASDR FY2'!$A:$X,F$14,FALSE)/1000</f>
        <v>0</v>
      </c>
      <c r="G146" s="152"/>
      <c r="H146" s="8">
        <f>VLOOKUP($C146,'ASDR FY2'!$A:$X,H$14,FALSE)/1000</f>
        <v>0</v>
      </c>
      <c r="I146" s="9"/>
      <c r="J146" s="8">
        <f>VLOOKUP($C146,'ASDR FY2'!$A:$X,J$14,FALSE)/1000</f>
        <v>0</v>
      </c>
      <c r="K146" s="10"/>
      <c r="L146" s="8">
        <f>VLOOKUP($C146,'ASDR FY2'!$A:$X,L$13,FALSE)/1000+VLOOKUP($C146,'ASDR FY2'!$A:$X,L$14,FALSE)/1000</f>
        <v>0</v>
      </c>
      <c r="M146" s="10"/>
      <c r="N146" s="8">
        <f>VLOOKUP($C146,'ASDR FY2'!$A:$X,N$13,FALSE)/1000+VLOOKUP($C146,'ASDR FY2'!$A:$X,N$14,FALSE)/1000</f>
        <v>0</v>
      </c>
      <c r="O146" s="8"/>
      <c r="P146" s="8">
        <f>VLOOKUP($C146,'ASDR FY2'!$A:$X,P$13,FALSE)/1000+VLOOKUP($C146,'ASDR FY2'!$A:$X,P$14,FALSE)/1000+VLOOKUP($C146,'ASDR FY2'!$A:$X,P$15,FALSE)/1000</f>
        <v>0</v>
      </c>
      <c r="Q146" s="9"/>
      <c r="R146" s="8">
        <f>SUM(F146,H146,J146,L146,N146,P146)</f>
        <v>0</v>
      </c>
      <c r="S146" s="10"/>
      <c r="T146" s="8">
        <f>VLOOKUP($C146,'ASDR FY2'!$A:$X,T$14,FALSE)/1000</f>
        <v>0</v>
      </c>
    </row>
    <row r="147" spans="1:20" x14ac:dyDescent="0.25">
      <c r="A147" s="155">
        <f t="shared" si="2"/>
        <v>21</v>
      </c>
      <c r="B147" s="161"/>
      <c r="C147" s="153">
        <v>34245</v>
      </c>
      <c r="D147" s="150" t="s">
        <v>82</v>
      </c>
      <c r="F147" s="8">
        <f>VLOOKUP($C147,'ASDR FY2'!$A:$X,F$14,FALSE)/1000</f>
        <v>-15.387880000000001</v>
      </c>
      <c r="G147" s="152"/>
      <c r="H147" s="8">
        <f>VLOOKUP($C147,'ASDR FY2'!$A:$X,H$14,FALSE)/1000</f>
        <v>14.44065</v>
      </c>
      <c r="I147" s="9"/>
      <c r="J147" s="8">
        <f>VLOOKUP($C147,'ASDR FY2'!$A:$X,J$14,FALSE)/1000</f>
        <v>0</v>
      </c>
      <c r="K147" s="10"/>
      <c r="L147" s="8">
        <f>VLOOKUP($C147,'ASDR FY2'!$A:$X,L$13,FALSE)/1000+VLOOKUP($C147,'ASDR FY2'!$A:$X,L$14,FALSE)/1000</f>
        <v>-20</v>
      </c>
      <c r="M147" s="10"/>
      <c r="N147" s="8">
        <f>VLOOKUP($C147,'ASDR FY2'!$A:$X,N$13,FALSE)/1000+VLOOKUP($C147,'ASDR FY2'!$A:$X,N$14,FALSE)/1000</f>
        <v>0</v>
      </c>
      <c r="O147" s="8"/>
      <c r="P147" s="8">
        <f>VLOOKUP($C147,'ASDR FY2'!$A:$X,P$13,FALSE)/1000+VLOOKUP($C147,'ASDR FY2'!$A:$X,P$14,FALSE)/1000+VLOOKUP($C147,'ASDR FY2'!$A:$X,P$15,FALSE)/1000</f>
        <v>0</v>
      </c>
      <c r="Q147" s="9"/>
      <c r="R147" s="8">
        <f>SUM(F147,H147,J147,L147,N147,P147)</f>
        <v>-20.947230000000001</v>
      </c>
      <c r="S147" s="10"/>
      <c r="T147" s="8">
        <f>VLOOKUP($C147,'ASDR FY2'!$A:$X,T$14,FALSE)/1000</f>
        <v>-18.885390000000001</v>
      </c>
    </row>
    <row r="148" spans="1:20" x14ac:dyDescent="0.25">
      <c r="A148" s="155">
        <f t="shared" si="2"/>
        <v>22</v>
      </c>
      <c r="B148" s="161"/>
      <c r="C148" s="153">
        <v>34345</v>
      </c>
      <c r="D148" s="150" t="s">
        <v>83</v>
      </c>
      <c r="F148" s="8">
        <f>VLOOKUP($C148,'ASDR FY2'!$A:$X,F$14,FALSE)/1000</f>
        <v>14396.000979999999</v>
      </c>
      <c r="G148" s="152"/>
      <c r="H148" s="8">
        <f>VLOOKUP($C148,'ASDR FY2'!$A:$X,H$14,FALSE)/1000</f>
        <v>6191.51343</v>
      </c>
      <c r="I148" s="9"/>
      <c r="J148" s="8">
        <f>VLOOKUP($C148,'ASDR FY2'!$A:$X,J$14,FALSE)/1000</f>
        <v>0</v>
      </c>
      <c r="K148" s="10"/>
      <c r="L148" s="8">
        <f>VLOOKUP($C148,'ASDR FY2'!$A:$X,L$13,FALSE)/1000+VLOOKUP($C148,'ASDR FY2'!$A:$X,L$14,FALSE)/1000</f>
        <v>-20</v>
      </c>
      <c r="M148" s="10"/>
      <c r="N148" s="8">
        <f>VLOOKUP($C148,'ASDR FY2'!$A:$X,N$13,FALSE)/1000+VLOOKUP($C148,'ASDR FY2'!$A:$X,N$14,FALSE)/1000</f>
        <v>0</v>
      </c>
      <c r="O148" s="8"/>
      <c r="P148" s="8">
        <f>VLOOKUP($C148,'ASDR FY2'!$A:$X,P$13,FALSE)/1000+VLOOKUP($C148,'ASDR FY2'!$A:$X,P$14,FALSE)/1000+VLOOKUP($C148,'ASDR FY2'!$A:$X,P$15,FALSE)/1000</f>
        <v>0</v>
      </c>
      <c r="Q148" s="9"/>
      <c r="R148" s="8">
        <f>SUM(F148,H148,J148,L148,N148,P148)</f>
        <v>20567.51441</v>
      </c>
      <c r="S148" s="10"/>
      <c r="T148" s="8">
        <f>VLOOKUP($C148,'ASDR FY2'!$A:$X,T$14,FALSE)/1000</f>
        <v>17481.09302</v>
      </c>
    </row>
    <row r="149" spans="1:20" x14ac:dyDescent="0.25">
      <c r="A149" s="155">
        <f t="shared" si="2"/>
        <v>23</v>
      </c>
      <c r="B149" s="161"/>
      <c r="C149" s="153">
        <v>34545</v>
      </c>
      <c r="D149" s="150" t="s">
        <v>49</v>
      </c>
      <c r="F149" s="8">
        <f>VLOOKUP($C149,'ASDR FY2'!$A:$X,F$14,FALSE)/1000</f>
        <v>1.7043599999999999</v>
      </c>
      <c r="G149" s="152"/>
      <c r="H149" s="8">
        <f>VLOOKUP($C149,'ASDR FY2'!$A:$X,H$14,FALSE)/1000</f>
        <v>1.1107199999999999</v>
      </c>
      <c r="I149" s="9"/>
      <c r="J149" s="8">
        <f>VLOOKUP($C149,'ASDR FY2'!$A:$X,J$14,FALSE)/1000</f>
        <v>0</v>
      </c>
      <c r="K149" s="10"/>
      <c r="L149" s="8">
        <f>VLOOKUP($C149,'ASDR FY2'!$A:$X,L$13,FALSE)/1000+VLOOKUP($C149,'ASDR FY2'!$A:$X,L$14,FALSE)/1000</f>
        <v>0</v>
      </c>
      <c r="M149" s="10"/>
      <c r="N149" s="8">
        <f>VLOOKUP($C149,'ASDR FY2'!$A:$X,N$13,FALSE)/1000+VLOOKUP($C149,'ASDR FY2'!$A:$X,N$14,FALSE)/1000</f>
        <v>0</v>
      </c>
      <c r="O149" s="8"/>
      <c r="P149" s="8">
        <f>VLOOKUP($C149,'ASDR FY2'!$A:$X,P$13,FALSE)/1000+VLOOKUP($C149,'ASDR FY2'!$A:$X,P$14,FALSE)/1000+VLOOKUP($C149,'ASDR FY2'!$A:$X,P$15,FALSE)/1000</f>
        <v>0</v>
      </c>
      <c r="Q149" s="9"/>
      <c r="R149" s="8">
        <f>SUM(F149,H149,J149,L149,N149,P149)</f>
        <v>2.81508</v>
      </c>
      <c r="S149" s="10"/>
      <c r="T149" s="8">
        <f>VLOOKUP($C149,'ASDR FY2'!$A:$X,T$14,FALSE)/1000</f>
        <v>2.2597199999999997</v>
      </c>
    </row>
    <row r="150" spans="1:20" x14ac:dyDescent="0.25">
      <c r="A150" s="155">
        <f t="shared" si="2"/>
        <v>24</v>
      </c>
      <c r="B150" s="161"/>
      <c r="C150" s="153">
        <v>34645</v>
      </c>
      <c r="D150" s="150" t="s">
        <v>50</v>
      </c>
      <c r="F150" s="8">
        <f>VLOOKUP($C150,'ASDR FY2'!$A:$X,F$14,FALSE)/1000</f>
        <v>0</v>
      </c>
      <c r="G150" s="152"/>
      <c r="H150" s="8">
        <f>VLOOKUP($C150,'ASDR FY2'!$A:$X,H$14,FALSE)/1000</f>
        <v>0</v>
      </c>
      <c r="I150" s="9"/>
      <c r="J150" s="8">
        <f>VLOOKUP($C150,'ASDR FY2'!$A:$X,J$14,FALSE)/1000</f>
        <v>0</v>
      </c>
      <c r="K150" s="10"/>
      <c r="L150" s="8">
        <f>VLOOKUP($C150,'ASDR FY2'!$A:$X,L$13,FALSE)/1000+VLOOKUP($C150,'ASDR FY2'!$A:$X,L$14,FALSE)/1000</f>
        <v>0</v>
      </c>
      <c r="M150" s="10"/>
      <c r="N150" s="8">
        <f>VLOOKUP($C150,'ASDR FY2'!$A:$X,N$13,FALSE)/1000+VLOOKUP($C150,'ASDR FY2'!$A:$X,N$14,FALSE)/1000</f>
        <v>0</v>
      </c>
      <c r="O150" s="8"/>
      <c r="P150" s="8">
        <f>VLOOKUP($C150,'ASDR FY2'!$A:$X,P$13,FALSE)/1000+VLOOKUP($C150,'ASDR FY2'!$A:$X,P$14,FALSE)/1000+VLOOKUP($C150,'ASDR FY2'!$A:$X,P$15,FALSE)/1000</f>
        <v>0</v>
      </c>
      <c r="Q150" s="9"/>
      <c r="R150" s="8">
        <f>SUM(F150,H150,J150,L150,N150,P150)</f>
        <v>0</v>
      </c>
      <c r="S150" s="10"/>
      <c r="T150" s="8">
        <f>VLOOKUP($C150,'ASDR FY2'!$A:$X,T$14,FALSE)/1000</f>
        <v>0</v>
      </c>
    </row>
    <row r="151" spans="1:20" x14ac:dyDescent="0.25">
      <c r="A151" s="155">
        <f t="shared" si="2"/>
        <v>25</v>
      </c>
      <c r="B151" s="161"/>
      <c r="C151" s="153"/>
      <c r="D151" s="173" t="s">
        <v>86</v>
      </c>
      <c r="F151" s="12">
        <f>SUM(F146:F150)</f>
        <v>14382.317459999998</v>
      </c>
      <c r="H151" s="12">
        <f>SUM(H146:H150)</f>
        <v>6207.0647999999992</v>
      </c>
      <c r="I151" s="13"/>
      <c r="J151" s="12">
        <f>SUM(J146:J150)</f>
        <v>0</v>
      </c>
      <c r="K151" s="13"/>
      <c r="L151" s="12">
        <f>SUM(L146:L150)</f>
        <v>-40</v>
      </c>
      <c r="M151" s="13"/>
      <c r="N151" s="12">
        <f>SUM(N146:N150)</f>
        <v>0</v>
      </c>
      <c r="O151" s="65"/>
      <c r="P151" s="12">
        <f>SUM(P146:P150)</f>
        <v>0</v>
      </c>
      <c r="Q151" s="13"/>
      <c r="R151" s="12">
        <f>SUM(R146:R150)</f>
        <v>20549.382259999998</v>
      </c>
      <c r="S151" s="13"/>
      <c r="T151" s="12">
        <f>SUM(T146:T150)</f>
        <v>17464.467349999999</v>
      </c>
    </row>
    <row r="152" spans="1:20" x14ac:dyDescent="0.25">
      <c r="A152" s="155">
        <f t="shared" si="2"/>
        <v>26</v>
      </c>
      <c r="B152" s="161"/>
      <c r="C152" s="155"/>
      <c r="D152" s="155"/>
      <c r="E152" s="155"/>
      <c r="F152" s="174"/>
      <c r="G152" s="174"/>
      <c r="H152" s="8"/>
      <c r="I152" s="13"/>
      <c r="J152" s="8"/>
      <c r="K152" s="13"/>
      <c r="L152" s="8"/>
      <c r="M152" s="13"/>
      <c r="N152" s="8"/>
      <c r="O152" s="8"/>
      <c r="P152" s="8"/>
      <c r="Q152" s="13"/>
      <c r="R152" s="8"/>
      <c r="S152" s="13"/>
      <c r="T152" s="8"/>
    </row>
    <row r="153" spans="1:20" x14ac:dyDescent="0.25">
      <c r="A153" s="155">
        <f t="shared" si="2"/>
        <v>27</v>
      </c>
      <c r="B153" s="161"/>
      <c r="C153" s="153"/>
      <c r="D153" s="150" t="s">
        <v>87</v>
      </c>
      <c r="Q153" s="152"/>
    </row>
    <row r="154" spans="1:20" x14ac:dyDescent="0.25">
      <c r="A154" s="155">
        <f t="shared" si="2"/>
        <v>28</v>
      </c>
      <c r="B154" s="161"/>
      <c r="C154" s="153">
        <v>34146</v>
      </c>
      <c r="D154" s="150" t="s">
        <v>46</v>
      </c>
      <c r="F154" s="8">
        <f>VLOOKUP($C154,'ASDR FY2'!$A:$X,F$14,FALSE)/1000</f>
        <v>0</v>
      </c>
      <c r="G154" s="152"/>
      <c r="H154" s="8">
        <f>VLOOKUP($C154,'ASDR FY2'!$A:$X,H$14,FALSE)/1000</f>
        <v>0</v>
      </c>
      <c r="I154" s="9"/>
      <c r="J154" s="8">
        <f>VLOOKUP($C154,'ASDR FY2'!$A:$X,J$14,FALSE)/1000</f>
        <v>0</v>
      </c>
      <c r="K154" s="10"/>
      <c r="L154" s="8">
        <f>VLOOKUP($C154,'ASDR FY2'!$A:$X,L$13,FALSE)/1000+VLOOKUP($C154,'ASDR FY2'!$A:$X,L$14,FALSE)/1000</f>
        <v>0</v>
      </c>
      <c r="M154" s="10"/>
      <c r="N154" s="8">
        <f>VLOOKUP($C154,'ASDR FY2'!$A:$X,N$13,FALSE)/1000+VLOOKUP($C154,'ASDR FY2'!$A:$X,N$14,FALSE)/1000</f>
        <v>0</v>
      </c>
      <c r="O154" s="8"/>
      <c r="P154" s="8">
        <f>VLOOKUP($C154,'ASDR FY2'!$A:$X,P$13,FALSE)/1000+VLOOKUP($C154,'ASDR FY2'!$A:$X,P$14,FALSE)/1000+VLOOKUP($C154,'ASDR FY2'!$A:$X,P$15,FALSE)/1000</f>
        <v>0</v>
      </c>
      <c r="Q154" s="9"/>
      <c r="R154" s="8">
        <f>SUM(F154,H154,J154,L154,N154,P154)</f>
        <v>0</v>
      </c>
      <c r="S154" s="10"/>
      <c r="T154" s="8">
        <f>VLOOKUP($C154,'ASDR FY2'!$A:$X,T$14,FALSE)/1000</f>
        <v>0</v>
      </c>
    </row>
    <row r="155" spans="1:20" x14ac:dyDescent="0.25">
      <c r="A155" s="155">
        <f t="shared" si="2"/>
        <v>29</v>
      </c>
      <c r="B155" s="161"/>
      <c r="C155" s="153">
        <v>34246</v>
      </c>
      <c r="D155" s="150" t="s">
        <v>82</v>
      </c>
      <c r="F155" s="8">
        <f>VLOOKUP($C155,'ASDR FY2'!$A:$X,F$14,FALSE)/1000</f>
        <v>-15.044130000000001</v>
      </c>
      <c r="G155" s="152"/>
      <c r="H155" s="8">
        <f>VLOOKUP($C155,'ASDR FY2'!$A:$X,H$14,FALSE)/1000</f>
        <v>14.166120000000001</v>
      </c>
      <c r="I155" s="9"/>
      <c r="J155" s="8">
        <f>VLOOKUP($C155,'ASDR FY2'!$A:$X,J$14,FALSE)/1000</f>
        <v>0</v>
      </c>
      <c r="K155" s="10"/>
      <c r="L155" s="8">
        <f>VLOOKUP($C155,'ASDR FY2'!$A:$X,L$13,FALSE)/1000+VLOOKUP($C155,'ASDR FY2'!$A:$X,L$14,FALSE)/1000</f>
        <v>0</v>
      </c>
      <c r="M155" s="10"/>
      <c r="N155" s="8">
        <f>VLOOKUP($C155,'ASDR FY2'!$A:$X,N$13,FALSE)/1000+VLOOKUP($C155,'ASDR FY2'!$A:$X,N$14,FALSE)/1000</f>
        <v>0</v>
      </c>
      <c r="O155" s="8"/>
      <c r="P155" s="8">
        <f>VLOOKUP($C155,'ASDR FY2'!$A:$X,P$13,FALSE)/1000+VLOOKUP($C155,'ASDR FY2'!$A:$X,P$14,FALSE)/1000+VLOOKUP($C155,'ASDR FY2'!$A:$X,P$15,FALSE)/1000</f>
        <v>0</v>
      </c>
      <c r="Q155" s="9"/>
      <c r="R155" s="8">
        <f>SUM(F155,H155,J155,L155,N155,P155)</f>
        <v>-0.87800999999999974</v>
      </c>
      <c r="S155" s="10"/>
      <c r="T155" s="8">
        <f>VLOOKUP($C155,'ASDR FY2'!$A:$X,T$14,FALSE)/1000</f>
        <v>-7.9610699999999994</v>
      </c>
    </row>
    <row r="156" spans="1:20" x14ac:dyDescent="0.25">
      <c r="A156" s="155">
        <f t="shared" si="2"/>
        <v>30</v>
      </c>
      <c r="B156" s="161"/>
      <c r="C156" s="153">
        <v>34346</v>
      </c>
      <c r="D156" s="150" t="s">
        <v>83</v>
      </c>
      <c r="F156" s="8">
        <f>VLOOKUP($C156,'ASDR FY2'!$A:$X,F$14,FALSE)/1000</f>
        <v>14305.937169999997</v>
      </c>
      <c r="G156" s="152"/>
      <c r="H156" s="8">
        <f>VLOOKUP($C156,'ASDR FY2'!$A:$X,H$14,FALSE)/1000</f>
        <v>6147.2751600000001</v>
      </c>
      <c r="I156" s="9"/>
      <c r="J156" s="8">
        <f>VLOOKUP($C156,'ASDR FY2'!$A:$X,J$14,FALSE)/1000</f>
        <v>0</v>
      </c>
      <c r="K156" s="10"/>
      <c r="L156" s="8">
        <f>VLOOKUP($C156,'ASDR FY2'!$A:$X,L$13,FALSE)/1000+VLOOKUP($C156,'ASDR FY2'!$A:$X,L$14,FALSE)/1000</f>
        <v>0</v>
      </c>
      <c r="M156" s="10"/>
      <c r="N156" s="8">
        <f>VLOOKUP($C156,'ASDR FY2'!$A:$X,N$13,FALSE)/1000+VLOOKUP($C156,'ASDR FY2'!$A:$X,N$14,FALSE)/1000</f>
        <v>0</v>
      </c>
      <c r="O156" s="8"/>
      <c r="P156" s="8">
        <f>VLOOKUP($C156,'ASDR FY2'!$A:$X,P$13,FALSE)/1000+VLOOKUP($C156,'ASDR FY2'!$A:$X,P$14,FALSE)/1000+VLOOKUP($C156,'ASDR FY2'!$A:$X,P$15,FALSE)/1000</f>
        <v>0</v>
      </c>
      <c r="Q156" s="9"/>
      <c r="R156" s="8">
        <f>SUM(F156,H156,J156,L156,N156,P156)</f>
        <v>20453.212329999998</v>
      </c>
      <c r="S156" s="10"/>
      <c r="T156" s="8">
        <f>VLOOKUP($C156,'ASDR FY2'!$A:$X,T$14,FALSE)/1000</f>
        <v>17379.57475</v>
      </c>
    </row>
    <row r="157" spans="1:20" x14ac:dyDescent="0.25">
      <c r="A157" s="155">
        <f t="shared" si="2"/>
        <v>31</v>
      </c>
      <c r="B157" s="161"/>
      <c r="C157" s="153">
        <v>34546</v>
      </c>
      <c r="D157" s="150" t="s">
        <v>49</v>
      </c>
      <c r="F157" s="8">
        <f>VLOOKUP($C157,'ASDR FY2'!$A:$X,F$14,FALSE)/1000</f>
        <v>0.68647000000000002</v>
      </c>
      <c r="G157" s="152"/>
      <c r="H157" s="8">
        <f>VLOOKUP($C157,'ASDR FY2'!$A:$X,H$14,FALSE)/1000</f>
        <v>0.36275999999999997</v>
      </c>
      <c r="I157" s="9"/>
      <c r="J157" s="8">
        <f>VLOOKUP($C157,'ASDR FY2'!$A:$X,J$14,FALSE)/1000</f>
        <v>0</v>
      </c>
      <c r="K157" s="10"/>
      <c r="L157" s="8">
        <f>VLOOKUP($C157,'ASDR FY2'!$A:$X,L$13,FALSE)/1000+VLOOKUP($C157,'ASDR FY2'!$A:$X,L$14,FALSE)/1000</f>
        <v>0</v>
      </c>
      <c r="M157" s="10"/>
      <c r="N157" s="8">
        <f>VLOOKUP($C157,'ASDR FY2'!$A:$X,N$13,FALSE)/1000+VLOOKUP($C157,'ASDR FY2'!$A:$X,N$14,FALSE)/1000</f>
        <v>0</v>
      </c>
      <c r="O157" s="8"/>
      <c r="P157" s="8">
        <f>VLOOKUP($C157,'ASDR FY2'!$A:$X,P$13,FALSE)/1000+VLOOKUP($C157,'ASDR FY2'!$A:$X,P$14,FALSE)/1000+VLOOKUP($C157,'ASDR FY2'!$A:$X,P$15,FALSE)/1000</f>
        <v>0</v>
      </c>
      <c r="Q157" s="9"/>
      <c r="R157" s="8">
        <f>SUM(F157,H157,J157,L157,N157,P157)</f>
        <v>1.0492300000000001</v>
      </c>
      <c r="S157" s="10"/>
      <c r="T157" s="8">
        <f>VLOOKUP($C157,'ASDR FY2'!$A:$X,T$14,FALSE)/1000</f>
        <v>0.86785000000000001</v>
      </c>
    </row>
    <row r="158" spans="1:20" x14ac:dyDescent="0.25">
      <c r="A158" s="155">
        <f t="shared" si="2"/>
        <v>32</v>
      </c>
      <c r="B158" s="161"/>
      <c r="C158" s="153">
        <v>34646</v>
      </c>
      <c r="D158" s="150" t="s">
        <v>50</v>
      </c>
      <c r="F158" s="8">
        <f>VLOOKUP($C158,'ASDR FY2'!$A:$X,F$14,FALSE)/1000</f>
        <v>0</v>
      </c>
      <c r="G158" s="152"/>
      <c r="H158" s="8">
        <f>VLOOKUP($C158,'ASDR FY2'!$A:$X,H$14,FALSE)/1000</f>
        <v>0</v>
      </c>
      <c r="I158" s="9"/>
      <c r="J158" s="8">
        <f>VLOOKUP($C158,'ASDR FY2'!$A:$X,J$14,FALSE)/1000</f>
        <v>0</v>
      </c>
      <c r="K158" s="10"/>
      <c r="L158" s="8">
        <f>VLOOKUP($C158,'ASDR FY2'!$A:$X,L$13,FALSE)/1000+VLOOKUP($C158,'ASDR FY2'!$A:$X,L$14,FALSE)/1000</f>
        <v>0</v>
      </c>
      <c r="M158" s="10"/>
      <c r="N158" s="8">
        <f>VLOOKUP($C158,'ASDR FY2'!$A:$X,N$13,FALSE)/1000+VLOOKUP($C158,'ASDR FY2'!$A:$X,N$14,FALSE)/1000</f>
        <v>0</v>
      </c>
      <c r="O158" s="8"/>
      <c r="P158" s="8">
        <f>VLOOKUP($C158,'ASDR FY2'!$A:$X,P$13,FALSE)/1000+VLOOKUP($C158,'ASDR FY2'!$A:$X,P$14,FALSE)/1000+VLOOKUP($C158,'ASDR FY2'!$A:$X,P$15,FALSE)/1000</f>
        <v>0</v>
      </c>
      <c r="Q158" s="9"/>
      <c r="R158" s="8">
        <f>SUM(F158,H158,J158,L158,N158,P158)</f>
        <v>0</v>
      </c>
      <c r="S158" s="10"/>
      <c r="T158" s="8">
        <f>VLOOKUP($C158,'ASDR FY2'!$A:$X,T$14,FALSE)/1000</f>
        <v>0</v>
      </c>
    </row>
    <row r="159" spans="1:20" x14ac:dyDescent="0.25">
      <c r="A159" s="155">
        <f t="shared" si="2"/>
        <v>33</v>
      </c>
      <c r="B159" s="161"/>
      <c r="D159" s="173" t="s">
        <v>88</v>
      </c>
      <c r="F159" s="12">
        <f>SUM(F154:F158)</f>
        <v>14291.579509999998</v>
      </c>
      <c r="H159" s="12">
        <f>SUM(H154:H158)</f>
        <v>6161.80404</v>
      </c>
      <c r="I159" s="13"/>
      <c r="J159" s="12">
        <f>SUM(J154:J158)</f>
        <v>0</v>
      </c>
      <c r="K159" s="13"/>
      <c r="L159" s="12">
        <f>SUM(L154:L158)</f>
        <v>0</v>
      </c>
      <c r="M159" s="13"/>
      <c r="N159" s="12">
        <f>SUM(N154:N158)</f>
        <v>0</v>
      </c>
      <c r="O159" s="65"/>
      <c r="P159" s="12">
        <f>SUM(P154:P158)</f>
        <v>0</v>
      </c>
      <c r="Q159" s="13"/>
      <c r="R159" s="12">
        <f>SUM(R154:R158)</f>
        <v>20453.383549999999</v>
      </c>
      <c r="S159" s="13"/>
      <c r="T159" s="12">
        <f>SUM(T154:T158)</f>
        <v>17372.481529999997</v>
      </c>
    </row>
    <row r="160" spans="1:20" x14ac:dyDescent="0.25">
      <c r="A160" s="155">
        <f t="shared" si="2"/>
        <v>34</v>
      </c>
      <c r="B160" s="161"/>
      <c r="Q160" s="152"/>
      <c r="S160" s="10"/>
    </row>
    <row r="161" spans="1:20" x14ac:dyDescent="0.25">
      <c r="A161" s="155">
        <f t="shared" si="2"/>
        <v>35</v>
      </c>
      <c r="B161" s="161"/>
      <c r="C161" s="153"/>
      <c r="D161" s="150" t="s">
        <v>89</v>
      </c>
      <c r="Q161" s="152"/>
      <c r="S161" s="13"/>
    </row>
    <row r="162" spans="1:20" x14ac:dyDescent="0.25">
      <c r="A162" s="155">
        <f t="shared" si="2"/>
        <v>36</v>
      </c>
      <c r="B162" s="161"/>
      <c r="C162" s="153">
        <v>34143</v>
      </c>
      <c r="D162" s="150" t="s">
        <v>46</v>
      </c>
      <c r="F162" s="8">
        <f>VLOOKUP($C162,'ASDR FY2'!$A:$X,F$14,FALSE)/1000</f>
        <v>1537.8361399999992</v>
      </c>
      <c r="G162" s="152"/>
      <c r="H162" s="8">
        <f>VLOOKUP($C162,'ASDR FY2'!$A:$X,H$14,FALSE)/1000</f>
        <v>78.565799999999996</v>
      </c>
      <c r="I162" s="9"/>
      <c r="J162" s="8">
        <f>VLOOKUP($C162,'ASDR FY2'!$A:$X,J$14,FALSE)/1000</f>
        <v>0</v>
      </c>
      <c r="K162" s="10"/>
      <c r="L162" s="8">
        <f>VLOOKUP($C162,'ASDR FY2'!$A:$X,L$13,FALSE)/1000+VLOOKUP($C162,'ASDR FY2'!$A:$X,L$14,FALSE)/1000</f>
        <v>0</v>
      </c>
      <c r="M162" s="10"/>
      <c r="N162" s="8">
        <f>VLOOKUP($C162,'ASDR FY2'!$A:$X,N$13,FALSE)/1000+VLOOKUP($C162,'ASDR FY2'!$A:$X,N$14,FALSE)/1000</f>
        <v>0</v>
      </c>
      <c r="O162" s="8"/>
      <c r="P162" s="8">
        <f>VLOOKUP($C162,'ASDR FY2'!$A:$X,P$13,FALSE)/1000+VLOOKUP($C162,'ASDR FY2'!$A:$X,P$14,FALSE)/1000+VLOOKUP($C162,'ASDR FY2'!$A:$X,P$15,FALSE)/1000</f>
        <v>0</v>
      </c>
      <c r="Q162" s="9"/>
      <c r="R162" s="8">
        <f>SUM(F162,H162,J162,L162,N162,P162)</f>
        <v>1616.4019399999993</v>
      </c>
      <c r="S162" s="10"/>
      <c r="T162" s="8">
        <f>VLOOKUP($C162,'ASDR FY2'!$A:$X,T$14,FALSE)/1000</f>
        <v>1577.11904</v>
      </c>
    </row>
    <row r="163" spans="1:20" x14ac:dyDescent="0.25">
      <c r="A163" s="155">
        <f t="shared" si="2"/>
        <v>37</v>
      </c>
      <c r="B163" s="161"/>
      <c r="C163" s="153">
        <v>34243</v>
      </c>
      <c r="D163" s="150" t="s">
        <v>82</v>
      </c>
      <c r="F163" s="8">
        <f>VLOOKUP($C163,'ASDR FY2'!$A:$X,F$14,FALSE)/1000</f>
        <v>1581.1370800000002</v>
      </c>
      <c r="G163" s="152"/>
      <c r="H163" s="8">
        <f>VLOOKUP($C163,'ASDR FY2'!$A:$X,H$14,FALSE)/1000</f>
        <v>79.690559999999991</v>
      </c>
      <c r="I163" s="9"/>
      <c r="J163" s="8">
        <f>VLOOKUP($C163,'ASDR FY2'!$A:$X,J$14,FALSE)/1000</f>
        <v>0</v>
      </c>
      <c r="K163" s="10"/>
      <c r="L163" s="8">
        <f>VLOOKUP($C163,'ASDR FY2'!$A:$X,L$13,FALSE)/1000+VLOOKUP($C163,'ASDR FY2'!$A:$X,L$14,FALSE)/1000</f>
        <v>-269.9502</v>
      </c>
      <c r="M163" s="10"/>
      <c r="N163" s="8">
        <f>VLOOKUP($C163,'ASDR FY2'!$A:$X,N$13,FALSE)/1000+VLOOKUP($C163,'ASDR FY2'!$A:$X,N$14,FALSE)/1000</f>
        <v>0</v>
      </c>
      <c r="O163" s="8"/>
      <c r="P163" s="8">
        <f>VLOOKUP($C163,'ASDR FY2'!$A:$X,P$13,FALSE)/1000+VLOOKUP($C163,'ASDR FY2'!$A:$X,P$14,FALSE)/1000+VLOOKUP($C163,'ASDR FY2'!$A:$X,P$15,FALSE)/1000</f>
        <v>0</v>
      </c>
      <c r="Q163" s="9"/>
      <c r="R163" s="8">
        <f>SUM(F163,H163,J163,L163,N163,P163)</f>
        <v>1390.8774400000002</v>
      </c>
      <c r="S163" s="10"/>
      <c r="T163" s="8">
        <f>VLOOKUP($C163,'ASDR FY2'!$A:$X,T$14,FALSE)/1000</f>
        <v>1485.94919</v>
      </c>
    </row>
    <row r="164" spans="1:20" x14ac:dyDescent="0.25">
      <c r="A164" s="155">
        <f t="shared" si="2"/>
        <v>38</v>
      </c>
      <c r="B164" s="161"/>
      <c r="C164" s="153">
        <v>34343</v>
      </c>
      <c r="D164" s="150" t="s">
        <v>83</v>
      </c>
      <c r="F164" s="8">
        <f>VLOOKUP($C164,'ASDR FY2'!$A:$X,F$14,FALSE)/1000</f>
        <v>19813.608059999999</v>
      </c>
      <c r="G164" s="152"/>
      <c r="H164" s="8">
        <f>VLOOKUP($C164,'ASDR FY2'!$A:$X,H$14,FALSE)/1000</f>
        <v>16716.581099999999</v>
      </c>
      <c r="I164" s="9"/>
      <c r="J164" s="8">
        <f>VLOOKUP($C164,'ASDR FY2'!$A:$X,J$14,FALSE)/1000</f>
        <v>0</v>
      </c>
      <c r="K164" s="10"/>
      <c r="L164" s="8">
        <f>VLOOKUP($C164,'ASDR FY2'!$A:$X,L$13,FALSE)/1000+VLOOKUP($C164,'ASDR FY2'!$A:$X,L$14,FALSE)/1000</f>
        <v>-269.9502</v>
      </c>
      <c r="M164" s="10"/>
      <c r="N164" s="8">
        <f>VLOOKUP($C164,'ASDR FY2'!$A:$X,N$13,FALSE)/1000+VLOOKUP($C164,'ASDR FY2'!$A:$X,N$14,FALSE)/1000</f>
        <v>0</v>
      </c>
      <c r="O164" s="8"/>
      <c r="P164" s="8">
        <f>VLOOKUP($C164,'ASDR FY2'!$A:$X,P$13,FALSE)/1000+VLOOKUP($C164,'ASDR FY2'!$A:$X,P$14,FALSE)/1000+VLOOKUP($C164,'ASDR FY2'!$A:$X,P$15,FALSE)/1000</f>
        <v>0</v>
      </c>
      <c r="Q164" s="9"/>
      <c r="R164" s="8">
        <f>SUM(F164,H164,J164,L164,N164,P164)</f>
        <v>36260.238959999995</v>
      </c>
      <c r="S164" s="10"/>
      <c r="T164" s="8">
        <f>VLOOKUP($C164,'ASDR FY2'!$A:$X,T$14,FALSE)/1000</f>
        <v>28036.828289999998</v>
      </c>
    </row>
    <row r="165" spans="1:20" x14ac:dyDescent="0.25">
      <c r="A165" s="155">
        <f t="shared" si="2"/>
        <v>39</v>
      </c>
      <c r="B165" s="161"/>
      <c r="C165" s="153">
        <v>34543</v>
      </c>
      <c r="D165" s="150" t="s">
        <v>49</v>
      </c>
      <c r="F165" s="8">
        <f>VLOOKUP($C165,'ASDR FY2'!$A:$X,F$14,FALSE)/1000</f>
        <v>95.984730000000042</v>
      </c>
      <c r="G165" s="152"/>
      <c r="H165" s="8">
        <f>VLOOKUP($C165,'ASDR FY2'!$A:$X,H$14,FALSE)/1000</f>
        <v>20.459759999999999</v>
      </c>
      <c r="I165" s="9"/>
      <c r="J165" s="8">
        <f>VLOOKUP($C165,'ASDR FY2'!$A:$X,J$14,FALSE)/1000</f>
        <v>0</v>
      </c>
      <c r="K165" s="10"/>
      <c r="L165" s="8">
        <f>VLOOKUP($C165,'ASDR FY2'!$A:$X,L$13,FALSE)/1000+VLOOKUP($C165,'ASDR FY2'!$A:$X,L$14,FALSE)/1000</f>
        <v>0</v>
      </c>
      <c r="M165" s="10"/>
      <c r="N165" s="8">
        <f>VLOOKUP($C165,'ASDR FY2'!$A:$X,N$13,FALSE)/1000+VLOOKUP($C165,'ASDR FY2'!$A:$X,N$14,FALSE)/1000</f>
        <v>0</v>
      </c>
      <c r="O165" s="8"/>
      <c r="P165" s="8">
        <f>VLOOKUP($C165,'ASDR FY2'!$A:$X,P$13,FALSE)/1000+VLOOKUP($C165,'ASDR FY2'!$A:$X,P$14,FALSE)/1000+VLOOKUP($C165,'ASDR FY2'!$A:$X,P$15,FALSE)/1000</f>
        <v>0</v>
      </c>
      <c r="Q165" s="9"/>
      <c r="R165" s="8">
        <f>SUM(F165,H165,J165,L165,N165,P165)</f>
        <v>116.44449000000004</v>
      </c>
      <c r="S165" s="10"/>
      <c r="T165" s="8">
        <f>VLOOKUP($C165,'ASDR FY2'!$A:$X,T$14,FALSE)/1000</f>
        <v>106.21461000000001</v>
      </c>
    </row>
    <row r="166" spans="1:20" x14ac:dyDescent="0.25">
      <c r="A166" s="155">
        <f t="shared" si="2"/>
        <v>40</v>
      </c>
      <c r="B166" s="161"/>
      <c r="C166" s="153">
        <v>34643</v>
      </c>
      <c r="D166" s="150" t="s">
        <v>50</v>
      </c>
      <c r="F166" s="8">
        <f>VLOOKUP($C166,'ASDR FY2'!$A:$X,F$14,FALSE)/1000</f>
        <v>245.23220000000012</v>
      </c>
      <c r="G166" s="152"/>
      <c r="H166" s="8">
        <f>VLOOKUP($C166,'ASDR FY2'!$A:$X,H$14,FALSE)/1000</f>
        <v>8.2067999999999994</v>
      </c>
      <c r="I166" s="9"/>
      <c r="J166" s="8">
        <f>VLOOKUP($C166,'ASDR FY2'!$A:$X,J$14,FALSE)/1000</f>
        <v>0</v>
      </c>
      <c r="K166" s="10"/>
      <c r="L166" s="8">
        <f>VLOOKUP($C166,'ASDR FY2'!$A:$X,L$13,FALSE)/1000+VLOOKUP($C166,'ASDR FY2'!$A:$X,L$14,FALSE)/1000</f>
        <v>0</v>
      </c>
      <c r="M166" s="10"/>
      <c r="N166" s="8">
        <f>VLOOKUP($C166,'ASDR FY2'!$A:$X,N$13,FALSE)/1000+VLOOKUP($C166,'ASDR FY2'!$A:$X,N$14,FALSE)/1000</f>
        <v>0</v>
      </c>
      <c r="O166" s="8"/>
      <c r="P166" s="8">
        <f>VLOOKUP($C166,'ASDR FY2'!$A:$X,P$13,FALSE)/1000+VLOOKUP($C166,'ASDR FY2'!$A:$X,P$14,FALSE)/1000+VLOOKUP($C166,'ASDR FY2'!$A:$X,P$15,FALSE)/1000</f>
        <v>0</v>
      </c>
      <c r="Q166" s="9"/>
      <c r="R166" s="8">
        <f>SUM(F166,H166,J166,L166,N166,P166)</f>
        <v>253.43900000000011</v>
      </c>
      <c r="S166" s="10"/>
      <c r="T166" s="8">
        <f>VLOOKUP($C166,'ASDR FY2'!$A:$X,T$14,FALSE)/1000</f>
        <v>249.3356</v>
      </c>
    </row>
    <row r="167" spans="1:20" x14ac:dyDescent="0.25">
      <c r="A167" s="155">
        <f t="shared" si="2"/>
        <v>41</v>
      </c>
      <c r="B167" s="161"/>
      <c r="D167" s="173" t="s">
        <v>90</v>
      </c>
      <c r="F167" s="12">
        <f>SUM(F162:F166)</f>
        <v>23273.798209999997</v>
      </c>
      <c r="H167" s="12">
        <f>SUM(H162:H166)</f>
        <v>16903.50402</v>
      </c>
      <c r="I167" s="13"/>
      <c r="J167" s="12">
        <f>SUM(J162:J166)</f>
        <v>0</v>
      </c>
      <c r="K167" s="13"/>
      <c r="L167" s="12">
        <f>SUM(L162:L166)</f>
        <v>-539.90039999999999</v>
      </c>
      <c r="M167" s="13"/>
      <c r="N167" s="12">
        <f>SUM(N162:N166)</f>
        <v>0</v>
      </c>
      <c r="O167" s="65"/>
      <c r="P167" s="12">
        <f>SUM(P162:P166)</f>
        <v>0</v>
      </c>
      <c r="Q167" s="13"/>
      <c r="R167" s="12">
        <f>SUM(R162:R166)</f>
        <v>39637.401829999995</v>
      </c>
      <c r="S167" s="13"/>
      <c r="T167" s="12">
        <f>SUM(T162:T166)</f>
        <v>31455.446729999996</v>
      </c>
    </row>
    <row r="168" spans="1:20" x14ac:dyDescent="0.25">
      <c r="A168" s="155">
        <f t="shared" si="2"/>
        <v>42</v>
      </c>
      <c r="B168" s="161"/>
      <c r="F168" s="175"/>
      <c r="H168" s="175"/>
      <c r="J168" s="175"/>
      <c r="L168" s="175"/>
      <c r="N168" s="175"/>
      <c r="P168" s="175"/>
      <c r="Q168" s="152"/>
      <c r="R168" s="175"/>
      <c r="T168" s="175"/>
    </row>
    <row r="169" spans="1:20" ht="13.8" thickBot="1" x14ac:dyDescent="0.3">
      <c r="A169" s="155">
        <f t="shared" si="2"/>
        <v>43</v>
      </c>
      <c r="B169" s="161"/>
      <c r="D169" s="173" t="s">
        <v>78</v>
      </c>
      <c r="F169" s="19">
        <f>SUM(F143,F151,F159,F167)</f>
        <v>72629.270759999985</v>
      </c>
      <c r="G169" s="176"/>
      <c r="H169" s="19">
        <f>SUM(H143,H151,H159,H167)</f>
        <v>30552.445619999999</v>
      </c>
      <c r="I169" s="13"/>
      <c r="J169" s="19">
        <f>SUM(J143,J151,J159,J167)</f>
        <v>0</v>
      </c>
      <c r="K169" s="13"/>
      <c r="L169" s="19">
        <f>SUM(L143,L151,L159,L167)</f>
        <v>-579.90039999999999</v>
      </c>
      <c r="M169" s="13"/>
      <c r="N169" s="19">
        <f>SUM(N143,N151,N159,N167)</f>
        <v>0</v>
      </c>
      <c r="O169" s="37"/>
      <c r="P169" s="19">
        <f>SUM(P143,P151,P159,P167)</f>
        <v>0</v>
      </c>
      <c r="Q169" s="13"/>
      <c r="R169" s="19">
        <f>SUM(R143,R151,R159,R167)</f>
        <v>102601.81597999998</v>
      </c>
      <c r="S169" s="13"/>
      <c r="T169" s="19">
        <f>SUM(T143,T151,T159,T167)</f>
        <v>87614.007569999987</v>
      </c>
    </row>
    <row r="170" spans="1:20" ht="14.4" thickTop="1" thickBot="1" x14ac:dyDescent="0.3">
      <c r="A170" s="156">
        <f t="shared" si="2"/>
        <v>44</v>
      </c>
      <c r="B170" s="20" t="s">
        <v>60</v>
      </c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5"/>
      <c r="R170" s="147"/>
      <c r="S170" s="147"/>
      <c r="T170" s="147"/>
    </row>
    <row r="171" spans="1:20" x14ac:dyDescent="0.25">
      <c r="A171" s="150" t="str">
        <f>+$A$57</f>
        <v>Supporting Schedules:  B-10, B-11</v>
      </c>
      <c r="Q171" s="152"/>
      <c r="R171" s="150" t="str">
        <f>+$R$57</f>
        <v>Recap Schedules:  B-03, B-06</v>
      </c>
    </row>
    <row r="172" spans="1:20" ht="13.8" thickBot="1" x14ac:dyDescent="0.3">
      <c r="A172" s="147" t="str">
        <f>$A$1</f>
        <v>SCHEDULE B-09</v>
      </c>
      <c r="B172" s="147"/>
      <c r="C172" s="147"/>
      <c r="D172" s="147"/>
      <c r="E172" s="147"/>
      <c r="F172" s="147" t="str">
        <f>$F$1</f>
        <v>DEPRECIATION RESERVE BALANCES BY ACCOUNT AND SUB-ACCOUNT</v>
      </c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5"/>
      <c r="R172" s="147"/>
      <c r="S172" s="147"/>
      <c r="T172" s="147" t="str">
        <f>"Page 4 of " &amp; $R$1</f>
        <v>Page 4 of 30</v>
      </c>
    </row>
    <row r="173" spans="1:20" x14ac:dyDescent="0.25">
      <c r="A173" s="150" t="str">
        <f>$A$2</f>
        <v>FLORIDA PUBLIC SERVICE COMMISSION</v>
      </c>
      <c r="B173" s="170"/>
      <c r="E173" s="152" t="str">
        <f>$E$2</f>
        <v xml:space="preserve">                  EXPLANATION:</v>
      </c>
      <c r="F173" s="150" t="str">
        <f>IF($F$2="","",$F$2)</f>
        <v>Provide the depreciation reserve balances for each account or sub-account to which</v>
      </c>
      <c r="J173" s="149"/>
      <c r="K173" s="149"/>
      <c r="M173" s="149"/>
      <c r="N173" s="149"/>
      <c r="O173" s="149"/>
      <c r="P173" s="149"/>
      <c r="Q173" s="148"/>
      <c r="R173" s="150" t="str">
        <f>$R$2</f>
        <v>Type of data shown:</v>
      </c>
      <c r="T173" s="151"/>
    </row>
    <row r="174" spans="1:20" x14ac:dyDescent="0.25">
      <c r="B174" s="170"/>
      <c r="F174" s="150" t="str">
        <f>IF($F$3="","",$F$3)</f>
        <v>an individual depreciation rate is applied. (Include Amortization/Recovery amounts).</v>
      </c>
      <c r="J174" s="152"/>
      <c r="K174" s="151"/>
      <c r="N174" s="152"/>
      <c r="O174" s="152"/>
      <c r="P174" s="152"/>
      <c r="Q174" s="152" t="str">
        <f>IF($Q$3=0,"",$Q$3)</f>
        <v>XX</v>
      </c>
      <c r="R174" s="151" t="str">
        <f>$R$3</f>
        <v>Projected Test Year Ended 12/31/2025</v>
      </c>
      <c r="T174" s="152"/>
    </row>
    <row r="175" spans="1:20" x14ac:dyDescent="0.25">
      <c r="A175" s="150" t="str">
        <f>$A$4</f>
        <v>COMPANY: TAMPA ELECTRIC COMPANY</v>
      </c>
      <c r="B175" s="170"/>
      <c r="F175" s="150" t="str">
        <f>IF(+$F$4="","",$F$4)</f>
        <v/>
      </c>
      <c r="J175" s="152"/>
      <c r="K175" s="151"/>
      <c r="L175" s="152"/>
      <c r="Q175" s="152" t="str">
        <f>IF($Q$4=0,"",$Q$4)</f>
        <v/>
      </c>
      <c r="R175" s="151" t="str">
        <f>$R$4</f>
        <v>Projected Prior Year Ended 12/31/2024</v>
      </c>
      <c r="T175" s="152"/>
    </row>
    <row r="176" spans="1:20" x14ac:dyDescent="0.25">
      <c r="B176" s="170"/>
      <c r="F176" s="150" t="str">
        <f>IF(+$F$5="","",$F$5)</f>
        <v/>
      </c>
      <c r="J176" s="152"/>
      <c r="K176" s="151"/>
      <c r="L176" s="152"/>
      <c r="Q176" s="152" t="str">
        <f>IF($Q$5=0,"",$Q$5)</f>
        <v/>
      </c>
      <c r="R176" s="151" t="str">
        <f>$R$5</f>
        <v>Historical Prior Year Ended 12/31/2023</v>
      </c>
      <c r="T176" s="152"/>
    </row>
    <row r="177" spans="1:20" x14ac:dyDescent="0.25">
      <c r="B177" s="170"/>
      <c r="J177" s="152"/>
      <c r="K177" s="151"/>
      <c r="L177" s="152"/>
      <c r="Q177" s="152"/>
      <c r="R177" s="151" t="str">
        <f>$R$6</f>
        <v>Witness: C. Aldazabal / N. Allis / J. Chronister</v>
      </c>
      <c r="T177" s="152"/>
    </row>
    <row r="178" spans="1:20" ht="13.8" thickBot="1" x14ac:dyDescent="0.3">
      <c r="A178" s="147" t="str">
        <f>A$7</f>
        <v>DOCKET No. 20240026-EI</v>
      </c>
      <c r="B178" s="171"/>
      <c r="C178" s="147"/>
      <c r="D178" s="147"/>
      <c r="E178" s="147"/>
      <c r="F178" s="147" t="str">
        <f>IF(+$F$7="","",$F$7)</f>
        <v/>
      </c>
      <c r="G178" s="147"/>
      <c r="H178" s="156" t="str">
        <f>IF($H$7="","",$H$7)</f>
        <v>(Dollars in 000's)</v>
      </c>
      <c r="I178" s="147"/>
      <c r="J178" s="147"/>
      <c r="K178" s="147"/>
      <c r="L178" s="147"/>
      <c r="M178" s="147"/>
      <c r="N178" s="147"/>
      <c r="O178" s="147"/>
      <c r="P178" s="147"/>
      <c r="Q178" s="145"/>
      <c r="R178" s="147" t="str">
        <f>$R$7</f>
        <v xml:space="preserve">             / R. Latta / K. Stryker / C. Whitworth</v>
      </c>
      <c r="S178" s="147"/>
      <c r="T178" s="147"/>
    </row>
    <row r="179" spans="1:20" x14ac:dyDescent="0.25"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4"/>
      <c r="R179" s="153"/>
      <c r="S179" s="153"/>
      <c r="T179" s="153"/>
    </row>
    <row r="180" spans="1:20" x14ac:dyDescent="0.25">
      <c r="C180" s="153" t="s">
        <v>13</v>
      </c>
      <c r="D180" s="153" t="s">
        <v>14</v>
      </c>
      <c r="E180" s="153"/>
      <c r="F180" s="153" t="s">
        <v>15</v>
      </c>
      <c r="G180" s="153"/>
      <c r="H180" s="153" t="s">
        <v>16</v>
      </c>
      <c r="I180" s="153"/>
      <c r="J180" s="155" t="s">
        <v>17</v>
      </c>
      <c r="K180" s="155"/>
      <c r="L180" s="153" t="s">
        <v>18</v>
      </c>
      <c r="M180" s="153"/>
      <c r="N180" s="153" t="s">
        <v>19</v>
      </c>
      <c r="O180" s="153"/>
      <c r="P180" s="153" t="s">
        <v>20</v>
      </c>
      <c r="Q180" s="154"/>
      <c r="R180" s="153" t="s">
        <v>21</v>
      </c>
      <c r="S180" s="153"/>
      <c r="T180" s="153" t="s">
        <v>22</v>
      </c>
    </row>
    <row r="181" spans="1:20" x14ac:dyDescent="0.25">
      <c r="C181" s="155" t="s">
        <v>23</v>
      </c>
      <c r="D181" s="155" t="s">
        <v>23</v>
      </c>
      <c r="F181" s="155" t="s">
        <v>24</v>
      </c>
      <c r="G181" s="155"/>
      <c r="H181" s="153" t="s">
        <v>25</v>
      </c>
      <c r="I181" s="155"/>
      <c r="J181" s="153"/>
      <c r="K181" s="155"/>
      <c r="L181" s="155"/>
      <c r="M181" s="155"/>
      <c r="Q181" s="152"/>
      <c r="R181" s="155" t="s">
        <v>24</v>
      </c>
      <c r="T181" s="155"/>
    </row>
    <row r="182" spans="1:20" x14ac:dyDescent="0.25">
      <c r="A182" s="155" t="s">
        <v>26</v>
      </c>
      <c r="B182" s="155"/>
      <c r="C182" s="155" t="s">
        <v>27</v>
      </c>
      <c r="D182" s="155" t="s">
        <v>27</v>
      </c>
      <c r="E182" s="153"/>
      <c r="F182" s="155" t="s">
        <v>28</v>
      </c>
      <c r="G182" s="155"/>
      <c r="H182" s="155" t="s">
        <v>28</v>
      </c>
      <c r="I182" s="155"/>
      <c r="J182" s="155"/>
      <c r="K182" s="153"/>
      <c r="L182" s="155" t="s">
        <v>29</v>
      </c>
      <c r="M182" s="151"/>
      <c r="N182" s="155" t="s">
        <v>29</v>
      </c>
      <c r="O182" s="155"/>
      <c r="P182" s="155" t="s">
        <v>30</v>
      </c>
      <c r="Q182" s="154"/>
      <c r="R182" s="153" t="s">
        <v>28</v>
      </c>
      <c r="S182" s="153"/>
      <c r="T182" s="155" t="s">
        <v>31</v>
      </c>
    </row>
    <row r="183" spans="1:20" ht="13.8" thickBot="1" x14ac:dyDescent="0.3">
      <c r="A183" s="156" t="s">
        <v>32</v>
      </c>
      <c r="B183" s="156"/>
      <c r="C183" s="156" t="s">
        <v>33</v>
      </c>
      <c r="D183" s="156" t="s">
        <v>34</v>
      </c>
      <c r="E183" s="156"/>
      <c r="F183" s="157" t="s">
        <v>35</v>
      </c>
      <c r="G183" s="157"/>
      <c r="H183" s="157" t="s">
        <v>36</v>
      </c>
      <c r="I183" s="158"/>
      <c r="J183" s="157" t="s">
        <v>37</v>
      </c>
      <c r="K183" s="158"/>
      <c r="L183" s="158" t="s">
        <v>38</v>
      </c>
      <c r="M183" s="159"/>
      <c r="N183" s="159" t="s">
        <v>39</v>
      </c>
      <c r="O183" s="159"/>
      <c r="P183" s="159" t="s">
        <v>40</v>
      </c>
      <c r="Q183" s="160"/>
      <c r="R183" s="159" t="s">
        <v>41</v>
      </c>
      <c r="S183" s="159"/>
      <c r="T183" s="159" t="s">
        <v>42</v>
      </c>
    </row>
    <row r="184" spans="1:20" x14ac:dyDescent="0.25">
      <c r="A184" s="155">
        <v>1</v>
      </c>
      <c r="B184" s="155"/>
      <c r="Q184" s="152"/>
    </row>
    <row r="185" spans="1:20" x14ac:dyDescent="0.25">
      <c r="A185" s="155">
        <f>A184+1</f>
        <v>2</v>
      </c>
      <c r="B185" s="155"/>
      <c r="D185" s="150" t="s">
        <v>91</v>
      </c>
      <c r="I185" s="9"/>
      <c r="K185" s="9"/>
      <c r="M185" s="9"/>
      <c r="Q185" s="9"/>
      <c r="S185" s="9"/>
    </row>
    <row r="186" spans="1:20" x14ac:dyDescent="0.25">
      <c r="A186" s="155">
        <f t="shared" ref="A186:A227" si="3">A185+1</f>
        <v>3</v>
      </c>
      <c r="B186" s="155"/>
      <c r="C186" s="155"/>
      <c r="D186" s="173" t="s">
        <v>92</v>
      </c>
      <c r="F186" s="166"/>
      <c r="G186" s="176"/>
      <c r="H186" s="15"/>
      <c r="I186" s="9"/>
      <c r="J186" s="177"/>
      <c r="K186" s="9"/>
      <c r="L186" s="177"/>
      <c r="M186" s="9"/>
      <c r="N186" s="177"/>
      <c r="O186" s="177"/>
      <c r="P186" s="177"/>
      <c r="Q186" s="9"/>
      <c r="R186" s="177"/>
      <c r="S186" s="9"/>
      <c r="T186" s="177"/>
    </row>
    <row r="187" spans="1:20" x14ac:dyDescent="0.25">
      <c r="A187" s="155">
        <f t="shared" si="3"/>
        <v>4</v>
      </c>
      <c r="B187" s="155"/>
      <c r="C187" s="153">
        <v>34180</v>
      </c>
      <c r="D187" s="150" t="s">
        <v>46</v>
      </c>
      <c r="F187" s="8">
        <f>VLOOKUP($C187,'ASDR FY2'!$A:$X,F$14,FALSE)/1000</f>
        <v>67242.114899999986</v>
      </c>
      <c r="G187" s="152"/>
      <c r="H187" s="8">
        <f>VLOOKUP($C187,'ASDR FY2'!$A:$X,H$14,FALSE)/1000</f>
        <v>5752.2605999999996</v>
      </c>
      <c r="I187" s="9"/>
      <c r="J187" s="8">
        <f>VLOOKUP($C187,'ASDR FY2'!$A:$X,J$14,FALSE)/1000</f>
        <v>0</v>
      </c>
      <c r="K187" s="10"/>
      <c r="L187" s="8">
        <f>VLOOKUP($C187,'ASDR FY2'!$A:$X,L$13,FALSE)/1000+VLOOKUP($C187,'ASDR FY2'!$A:$X,L$14,FALSE)/1000</f>
        <v>0</v>
      </c>
      <c r="M187" s="10"/>
      <c r="N187" s="8">
        <f>VLOOKUP($C187,'ASDR FY2'!$A:$X,N$13,FALSE)/1000+VLOOKUP($C187,'ASDR FY2'!$A:$X,N$14,FALSE)/1000</f>
        <v>0</v>
      </c>
      <c r="O187" s="8"/>
      <c r="P187" s="8">
        <f>VLOOKUP($C187,'ASDR FY2'!$A:$X,P$13,FALSE)/1000+VLOOKUP($C187,'ASDR FY2'!$A:$X,P$14,FALSE)/1000+VLOOKUP($C187,'ASDR FY2'!$A:$X,P$15,FALSE)/1000</f>
        <v>0</v>
      </c>
      <c r="Q187" s="9"/>
      <c r="R187" s="8">
        <f>SUM(F187,H187,J187,L187,N187,P187)</f>
        <v>72994.37549999998</v>
      </c>
      <c r="S187" s="10"/>
      <c r="T187" s="8">
        <f>VLOOKUP($C187,'ASDR FY2'!$A:$X,T$14,FALSE)/1000</f>
        <v>70118.245200000005</v>
      </c>
    </row>
    <row r="188" spans="1:20" x14ac:dyDescent="0.25">
      <c r="A188" s="155">
        <f t="shared" si="3"/>
        <v>5</v>
      </c>
      <c r="B188" s="155"/>
      <c r="C188" s="153">
        <v>34280</v>
      </c>
      <c r="D188" s="150" t="s">
        <v>82</v>
      </c>
      <c r="F188" s="8">
        <f>VLOOKUP($C188,'ASDR FY2'!$A:$X,F$14,FALSE)/1000</f>
        <v>3981.1072900000004</v>
      </c>
      <c r="G188" s="152"/>
      <c r="H188" s="8">
        <f>VLOOKUP($C188,'ASDR FY2'!$A:$X,H$14,FALSE)/1000</f>
        <v>413.67430000000002</v>
      </c>
      <c r="I188" s="9"/>
      <c r="J188" s="8">
        <f>VLOOKUP($C188,'ASDR FY2'!$A:$X,J$14,FALSE)/1000</f>
        <v>-618.96858999999995</v>
      </c>
      <c r="K188" s="10"/>
      <c r="L188" s="8">
        <f>VLOOKUP($C188,'ASDR FY2'!$A:$X,L$13,FALSE)/1000+VLOOKUP($C188,'ASDR FY2'!$A:$X,L$14,FALSE)/1000</f>
        <v>-238.33333999999999</v>
      </c>
      <c r="M188" s="10"/>
      <c r="N188" s="8">
        <f>VLOOKUP($C188,'ASDR FY2'!$A:$X,N$13,FALSE)/1000+VLOOKUP($C188,'ASDR FY2'!$A:$X,N$14,FALSE)/1000</f>
        <v>0</v>
      </c>
      <c r="O188" s="8"/>
      <c r="P188" s="8">
        <f>VLOOKUP($C188,'ASDR FY2'!$A:$X,P$13,FALSE)/1000+VLOOKUP($C188,'ASDR FY2'!$A:$X,P$14,FALSE)/1000+VLOOKUP($C188,'ASDR FY2'!$A:$X,P$15,FALSE)/1000</f>
        <v>0</v>
      </c>
      <c r="Q188" s="9"/>
      <c r="R188" s="8">
        <f>SUM(F188,H188,J188,L188,N188,P188)</f>
        <v>3537.4796600000004</v>
      </c>
      <c r="S188" s="10"/>
      <c r="T188" s="8">
        <f>VLOOKUP($C188,'ASDR FY2'!$A:$X,T$14,FALSE)/1000</f>
        <v>3898.10662</v>
      </c>
    </row>
    <row r="189" spans="1:20" x14ac:dyDescent="0.25">
      <c r="A189" s="155">
        <f t="shared" si="3"/>
        <v>6</v>
      </c>
      <c r="B189" s="155"/>
      <c r="C189" s="153">
        <v>34380</v>
      </c>
      <c r="D189" s="150" t="s">
        <v>83</v>
      </c>
      <c r="F189" s="8">
        <f>VLOOKUP($C189,'ASDR FY2'!$A:$X,F$14,FALSE)/1000</f>
        <v>2663.1501200000016</v>
      </c>
      <c r="G189" s="152"/>
      <c r="H189" s="8">
        <f>VLOOKUP($C189,'ASDR FY2'!$A:$X,H$14,FALSE)/1000</f>
        <v>526.15556000000004</v>
      </c>
      <c r="I189" s="9"/>
      <c r="J189" s="8">
        <f>VLOOKUP($C189,'ASDR FY2'!$A:$X,J$14,FALSE)/1000</f>
        <v>-618.96858999999995</v>
      </c>
      <c r="K189" s="10"/>
      <c r="L189" s="8">
        <f>VLOOKUP($C189,'ASDR FY2'!$A:$X,L$13,FALSE)/1000+VLOOKUP($C189,'ASDR FY2'!$A:$X,L$14,FALSE)/1000</f>
        <v>-238.33333999999999</v>
      </c>
      <c r="M189" s="10"/>
      <c r="N189" s="8">
        <f>VLOOKUP($C189,'ASDR FY2'!$A:$X,N$13,FALSE)/1000+VLOOKUP($C189,'ASDR FY2'!$A:$X,N$14,FALSE)/1000</f>
        <v>0</v>
      </c>
      <c r="O189" s="8"/>
      <c r="P189" s="8">
        <f>VLOOKUP($C189,'ASDR FY2'!$A:$X,P$13,FALSE)/1000+VLOOKUP($C189,'ASDR FY2'!$A:$X,P$14,FALSE)/1000+VLOOKUP($C189,'ASDR FY2'!$A:$X,P$15,FALSE)/1000</f>
        <v>0</v>
      </c>
      <c r="Q189" s="9"/>
      <c r="R189" s="8">
        <f>SUM(F189,H189,J189,L189,N189,P189)</f>
        <v>2332.0037500000017</v>
      </c>
      <c r="S189" s="10"/>
      <c r="T189" s="8">
        <f>VLOOKUP($C189,'ASDR FY2'!$A:$X,T$14,FALSE)/1000</f>
        <v>2635.8072599999996</v>
      </c>
    </row>
    <row r="190" spans="1:20" x14ac:dyDescent="0.25">
      <c r="A190" s="155">
        <f t="shared" si="3"/>
        <v>7</v>
      </c>
      <c r="B190" s="155"/>
      <c r="C190" s="153">
        <v>34580</v>
      </c>
      <c r="D190" s="150" t="s">
        <v>49</v>
      </c>
      <c r="F190" s="8">
        <f>VLOOKUP($C190,'ASDR FY2'!$A:$X,F$14,FALSE)/1000</f>
        <v>4502.4756200000002</v>
      </c>
      <c r="G190" s="152"/>
      <c r="H190" s="8">
        <f>VLOOKUP($C190,'ASDR FY2'!$A:$X,H$14,FALSE)/1000</f>
        <v>411.81695999999999</v>
      </c>
      <c r="I190" s="9"/>
      <c r="J190" s="8">
        <f>VLOOKUP($C190,'ASDR FY2'!$A:$X,J$14,FALSE)/1000</f>
        <v>0</v>
      </c>
      <c r="K190" s="10"/>
      <c r="L190" s="8">
        <f>VLOOKUP($C190,'ASDR FY2'!$A:$X,L$13,FALSE)/1000+VLOOKUP($C190,'ASDR FY2'!$A:$X,L$14,FALSE)/1000</f>
        <v>0</v>
      </c>
      <c r="M190" s="10"/>
      <c r="N190" s="8">
        <f>VLOOKUP($C190,'ASDR FY2'!$A:$X,N$13,FALSE)/1000+VLOOKUP($C190,'ASDR FY2'!$A:$X,N$14,FALSE)/1000</f>
        <v>0</v>
      </c>
      <c r="O190" s="8"/>
      <c r="P190" s="8">
        <f>VLOOKUP($C190,'ASDR FY2'!$A:$X,P$13,FALSE)/1000+VLOOKUP($C190,'ASDR FY2'!$A:$X,P$14,FALSE)/1000+VLOOKUP($C190,'ASDR FY2'!$A:$X,P$15,FALSE)/1000</f>
        <v>0</v>
      </c>
      <c r="Q190" s="9"/>
      <c r="R190" s="8">
        <f>SUM(F190,H190,J190,L190,N190,P190)</f>
        <v>4914.2925800000003</v>
      </c>
      <c r="S190" s="10"/>
      <c r="T190" s="8">
        <f>VLOOKUP($C190,'ASDR FY2'!$A:$X,T$14,FALSE)/1000</f>
        <v>4708.3840999999993</v>
      </c>
    </row>
    <row r="191" spans="1:20" x14ac:dyDescent="0.25">
      <c r="A191" s="155">
        <f t="shared" si="3"/>
        <v>8</v>
      </c>
      <c r="B191" s="155"/>
      <c r="C191" s="153">
        <v>34680</v>
      </c>
      <c r="D191" s="150" t="s">
        <v>50</v>
      </c>
      <c r="F191" s="8">
        <f>VLOOKUP($C191,'ASDR FY2'!$A:$X,F$14,FALSE)/1000</f>
        <v>68.357699999999966</v>
      </c>
      <c r="G191" s="152"/>
      <c r="H191" s="8">
        <f>VLOOKUP($C191,'ASDR FY2'!$A:$X,H$14,FALSE)/1000</f>
        <v>58.818959999999997</v>
      </c>
      <c r="I191" s="9"/>
      <c r="J191" s="8">
        <f>VLOOKUP($C191,'ASDR FY2'!$A:$X,J$14,FALSE)/1000</f>
        <v>0</v>
      </c>
      <c r="K191" s="10"/>
      <c r="L191" s="8">
        <f>VLOOKUP($C191,'ASDR FY2'!$A:$X,L$13,FALSE)/1000+VLOOKUP($C191,'ASDR FY2'!$A:$X,L$14,FALSE)/1000</f>
        <v>0</v>
      </c>
      <c r="M191" s="10"/>
      <c r="N191" s="8">
        <f>VLOOKUP($C191,'ASDR FY2'!$A:$X,N$13,FALSE)/1000+VLOOKUP($C191,'ASDR FY2'!$A:$X,N$14,FALSE)/1000</f>
        <v>0</v>
      </c>
      <c r="O191" s="8"/>
      <c r="P191" s="8">
        <f>VLOOKUP($C191,'ASDR FY2'!$A:$X,P$13,FALSE)/1000+VLOOKUP($C191,'ASDR FY2'!$A:$X,P$14,FALSE)/1000+VLOOKUP($C191,'ASDR FY2'!$A:$X,P$15,FALSE)/1000</f>
        <v>0</v>
      </c>
      <c r="Q191" s="9"/>
      <c r="R191" s="8">
        <f>SUM(F191,H191,J191,L191,N191,P191)</f>
        <v>127.17665999999997</v>
      </c>
      <c r="S191" s="10"/>
      <c r="T191" s="8">
        <f>VLOOKUP($C191,'ASDR FY2'!$A:$X,T$14,FALSE)/1000</f>
        <v>97.767179999999996</v>
      </c>
    </row>
    <row r="192" spans="1:20" x14ac:dyDescent="0.25">
      <c r="A192" s="155">
        <f t="shared" si="3"/>
        <v>9</v>
      </c>
      <c r="B192" s="161"/>
      <c r="C192" s="155"/>
      <c r="D192" s="150" t="s">
        <v>93</v>
      </c>
      <c r="F192" s="12">
        <f>SUM(F187:F191)</f>
        <v>78457.205629999982</v>
      </c>
      <c r="H192" s="12">
        <f>SUM(H187:H191)</f>
        <v>7162.7263799999992</v>
      </c>
      <c r="I192" s="13"/>
      <c r="J192" s="12">
        <f>SUM(J187:J191)</f>
        <v>-1237.9371799999999</v>
      </c>
      <c r="K192" s="13"/>
      <c r="L192" s="12">
        <f>SUM(L187:L191)</f>
        <v>-476.66667999999999</v>
      </c>
      <c r="M192" s="13"/>
      <c r="N192" s="12">
        <f>SUM(N187:N191)</f>
        <v>0</v>
      </c>
      <c r="O192" s="65"/>
      <c r="P192" s="12">
        <f>SUM(P187:P191)</f>
        <v>0</v>
      </c>
      <c r="Q192" s="13"/>
      <c r="R192" s="12">
        <f>SUM(R187:R191)</f>
        <v>83905.328149999972</v>
      </c>
      <c r="S192" s="13"/>
      <c r="T192" s="12">
        <f>SUM(T187:T191)</f>
        <v>81458.310360000003</v>
      </c>
    </row>
    <row r="193" spans="1:20" x14ac:dyDescent="0.25">
      <c r="A193" s="155">
        <f t="shared" si="3"/>
        <v>10</v>
      </c>
      <c r="B193" s="161"/>
      <c r="Q193" s="152"/>
    </row>
    <row r="194" spans="1:20" x14ac:dyDescent="0.25">
      <c r="A194" s="155">
        <f t="shared" si="3"/>
        <v>11</v>
      </c>
      <c r="B194" s="161"/>
      <c r="D194" s="150" t="s">
        <v>94</v>
      </c>
      <c r="F194" s="166"/>
      <c r="G194" s="176"/>
      <c r="H194" s="14"/>
      <c r="I194" s="9"/>
      <c r="J194" s="14"/>
      <c r="K194" s="9"/>
      <c r="L194" s="15"/>
      <c r="M194" s="9"/>
      <c r="N194" s="15"/>
      <c r="O194" s="15"/>
      <c r="P194" s="15"/>
      <c r="Q194" s="9"/>
      <c r="R194" s="15"/>
      <c r="S194" s="9"/>
      <c r="T194" s="15"/>
    </row>
    <row r="195" spans="1:20" x14ac:dyDescent="0.25">
      <c r="A195" s="155">
        <f t="shared" si="3"/>
        <v>12</v>
      </c>
      <c r="B195" s="161"/>
      <c r="C195" s="153">
        <v>34181</v>
      </c>
      <c r="D195" s="150" t="s">
        <v>46</v>
      </c>
      <c r="F195" s="8">
        <f>VLOOKUP($C195,'ASDR FY2'!$A:$X,F$14,FALSE)/1000</f>
        <v>28571.969029999975</v>
      </c>
      <c r="G195" s="152"/>
      <c r="H195" s="8">
        <f>VLOOKUP($C195,'ASDR FY2'!$A:$X,H$14,FALSE)/1000</f>
        <v>2601.96252</v>
      </c>
      <c r="I195" s="9"/>
      <c r="J195" s="8">
        <f>VLOOKUP($C195,'ASDR FY2'!$A:$X,J$14,FALSE)/1000</f>
        <v>0</v>
      </c>
      <c r="K195" s="10"/>
      <c r="L195" s="8">
        <f>VLOOKUP($C195,'ASDR FY2'!$A:$X,L$13,FALSE)/1000+VLOOKUP($C195,'ASDR FY2'!$A:$X,L$14,FALSE)/1000</f>
        <v>0</v>
      </c>
      <c r="M195" s="10"/>
      <c r="N195" s="8">
        <f>VLOOKUP($C195,'ASDR FY2'!$A:$X,N$13,FALSE)/1000+VLOOKUP($C195,'ASDR FY2'!$A:$X,N$14,FALSE)/1000</f>
        <v>0</v>
      </c>
      <c r="O195" s="8"/>
      <c r="P195" s="8">
        <f>VLOOKUP($C195,'ASDR FY2'!$A:$X,P$13,FALSE)/1000+VLOOKUP($C195,'ASDR FY2'!$A:$X,P$14,FALSE)/1000+VLOOKUP($C195,'ASDR FY2'!$A:$X,P$15,FALSE)/1000</f>
        <v>0</v>
      </c>
      <c r="Q195" s="9"/>
      <c r="R195" s="8">
        <f>SUM(F195,H195,J195,L195,N195,P195)</f>
        <v>31173.931549999976</v>
      </c>
      <c r="S195" s="10"/>
      <c r="T195" s="8">
        <f>VLOOKUP($C195,'ASDR FY2'!$A:$X,T$14,FALSE)/1000</f>
        <v>29872.950290000001</v>
      </c>
    </row>
    <row r="196" spans="1:20" x14ac:dyDescent="0.25">
      <c r="A196" s="155">
        <f t="shared" si="3"/>
        <v>13</v>
      </c>
      <c r="B196" s="161"/>
      <c r="C196" s="153">
        <v>34281</v>
      </c>
      <c r="D196" s="150" t="s">
        <v>82</v>
      </c>
      <c r="F196" s="8">
        <f>VLOOKUP($C196,'ASDR FY2'!$A:$X,F$14,FALSE)/1000</f>
        <v>153401.05144999994</v>
      </c>
      <c r="G196" s="152"/>
      <c r="H196" s="8">
        <f>VLOOKUP($C196,'ASDR FY2'!$A:$X,H$14,FALSE)/1000</f>
        <v>10176.76894</v>
      </c>
      <c r="I196" s="9"/>
      <c r="J196" s="8">
        <f>VLOOKUP($C196,'ASDR FY2'!$A:$X,J$14,FALSE)/1000</f>
        <v>-282.92578000000003</v>
      </c>
      <c r="K196" s="10"/>
      <c r="L196" s="8">
        <f>VLOOKUP($C196,'ASDR FY2'!$A:$X,L$13,FALSE)/1000+VLOOKUP($C196,'ASDR FY2'!$A:$X,L$14,FALSE)/1000</f>
        <v>-98.33323</v>
      </c>
      <c r="M196" s="10"/>
      <c r="N196" s="8">
        <f>VLOOKUP($C196,'ASDR FY2'!$A:$X,N$13,FALSE)/1000+VLOOKUP($C196,'ASDR FY2'!$A:$X,N$14,FALSE)/1000</f>
        <v>0</v>
      </c>
      <c r="O196" s="8"/>
      <c r="P196" s="8">
        <f>VLOOKUP($C196,'ASDR FY2'!$A:$X,P$13,FALSE)/1000+VLOOKUP($C196,'ASDR FY2'!$A:$X,P$14,FALSE)/1000+VLOOKUP($C196,'ASDR FY2'!$A:$X,P$15,FALSE)/1000</f>
        <v>0</v>
      </c>
      <c r="Q196" s="9"/>
      <c r="R196" s="8">
        <f>SUM(F196,H196,J196,L196,N196,P196)</f>
        <v>163196.56137999997</v>
      </c>
      <c r="S196" s="10"/>
      <c r="T196" s="8">
        <f>VLOOKUP($C196,'ASDR FY2'!$A:$X,T$14,FALSE)/1000</f>
        <v>158218.00162</v>
      </c>
    </row>
    <row r="197" spans="1:20" x14ac:dyDescent="0.25">
      <c r="A197" s="155">
        <f t="shared" si="3"/>
        <v>14</v>
      </c>
      <c r="B197" s="161"/>
      <c r="C197" s="153">
        <v>34381</v>
      </c>
      <c r="D197" s="150" t="s">
        <v>83</v>
      </c>
      <c r="F197" s="8">
        <f>VLOOKUP($C197,'ASDR FY2'!$A:$X,F$14,FALSE)/1000</f>
        <v>91770.284029999981</v>
      </c>
      <c r="G197" s="152"/>
      <c r="H197" s="8">
        <f>VLOOKUP($C197,'ASDR FY2'!$A:$X,H$14,FALSE)/1000</f>
        <v>8032.0286799999994</v>
      </c>
      <c r="I197" s="9"/>
      <c r="J197" s="8">
        <f>VLOOKUP($C197,'ASDR FY2'!$A:$X,J$14,FALSE)/1000</f>
        <v>-282.92578000000003</v>
      </c>
      <c r="K197" s="10"/>
      <c r="L197" s="8">
        <f>VLOOKUP($C197,'ASDR FY2'!$A:$X,L$13,FALSE)/1000+VLOOKUP($C197,'ASDR FY2'!$A:$X,L$14,FALSE)/1000</f>
        <v>-98.33323</v>
      </c>
      <c r="M197" s="10"/>
      <c r="N197" s="8">
        <f>VLOOKUP($C197,'ASDR FY2'!$A:$X,N$13,FALSE)/1000+VLOOKUP($C197,'ASDR FY2'!$A:$X,N$14,FALSE)/1000</f>
        <v>0</v>
      </c>
      <c r="O197" s="8"/>
      <c r="P197" s="8">
        <f>VLOOKUP($C197,'ASDR FY2'!$A:$X,P$13,FALSE)/1000+VLOOKUP($C197,'ASDR FY2'!$A:$X,P$14,FALSE)/1000+VLOOKUP($C197,'ASDR FY2'!$A:$X,P$15,FALSE)/1000</f>
        <v>0</v>
      </c>
      <c r="Q197" s="9"/>
      <c r="R197" s="8">
        <f>SUM(F197,H197,J197,L197,N197,P197)</f>
        <v>99421.053699999975</v>
      </c>
      <c r="S197" s="10"/>
      <c r="T197" s="8">
        <f>VLOOKUP($C197,'ASDR FY2'!$A:$X,T$14,FALSE)/1000</f>
        <v>95489.877970000001</v>
      </c>
    </row>
    <row r="198" spans="1:20" x14ac:dyDescent="0.25">
      <c r="A198" s="155">
        <f t="shared" si="3"/>
        <v>15</v>
      </c>
      <c r="B198" s="161"/>
      <c r="C198" s="153">
        <v>34581</v>
      </c>
      <c r="D198" s="150" t="s">
        <v>49</v>
      </c>
      <c r="F198" s="8">
        <f>VLOOKUP($C198,'ASDR FY2'!$A:$X,F$14,FALSE)/1000</f>
        <v>45601.24563999995</v>
      </c>
      <c r="G198" s="152"/>
      <c r="H198" s="8">
        <f>VLOOKUP($C198,'ASDR FY2'!$A:$X,H$14,FALSE)/1000</f>
        <v>1536.7662</v>
      </c>
      <c r="I198" s="9"/>
      <c r="J198" s="8">
        <f>VLOOKUP($C198,'ASDR FY2'!$A:$X,J$14,FALSE)/1000</f>
        <v>0</v>
      </c>
      <c r="K198" s="10"/>
      <c r="L198" s="8">
        <f>VLOOKUP($C198,'ASDR FY2'!$A:$X,L$13,FALSE)/1000+VLOOKUP($C198,'ASDR FY2'!$A:$X,L$14,FALSE)/1000</f>
        <v>0</v>
      </c>
      <c r="M198" s="10"/>
      <c r="N198" s="8">
        <f>VLOOKUP($C198,'ASDR FY2'!$A:$X,N$13,FALSE)/1000+VLOOKUP($C198,'ASDR FY2'!$A:$X,N$14,FALSE)/1000</f>
        <v>0</v>
      </c>
      <c r="O198" s="8"/>
      <c r="P198" s="8">
        <f>VLOOKUP($C198,'ASDR FY2'!$A:$X,P$13,FALSE)/1000+VLOOKUP($C198,'ASDR FY2'!$A:$X,P$14,FALSE)/1000+VLOOKUP($C198,'ASDR FY2'!$A:$X,P$15,FALSE)/1000</f>
        <v>0</v>
      </c>
      <c r="Q198" s="9"/>
      <c r="R198" s="8">
        <f>SUM(F198,H198,J198,L198,N198,P198)</f>
        <v>47138.011839999948</v>
      </c>
      <c r="S198" s="10"/>
      <c r="T198" s="8">
        <f>VLOOKUP($C198,'ASDR FY2'!$A:$X,T$14,FALSE)/1000</f>
        <v>46369.62874</v>
      </c>
    </row>
    <row r="199" spans="1:20" x14ac:dyDescent="0.25">
      <c r="A199" s="155">
        <f t="shared" si="3"/>
        <v>16</v>
      </c>
      <c r="B199" s="161"/>
      <c r="C199" s="153">
        <v>34681</v>
      </c>
      <c r="D199" s="150" t="s">
        <v>50</v>
      </c>
      <c r="F199" s="8">
        <f>VLOOKUP($C199,'ASDR FY2'!$A:$X,F$14,FALSE)/1000</f>
        <v>2936.5326700000001</v>
      </c>
      <c r="G199" s="152"/>
      <c r="H199" s="8">
        <f>VLOOKUP($C199,'ASDR FY2'!$A:$X,H$14,FALSE)/1000</f>
        <v>354.66084000000001</v>
      </c>
      <c r="I199" s="9"/>
      <c r="J199" s="8">
        <f>VLOOKUP($C199,'ASDR FY2'!$A:$X,J$14,FALSE)/1000</f>
        <v>0</v>
      </c>
      <c r="K199" s="10"/>
      <c r="L199" s="8">
        <f>VLOOKUP($C199,'ASDR FY2'!$A:$X,L$13,FALSE)/1000+VLOOKUP($C199,'ASDR FY2'!$A:$X,L$14,FALSE)/1000</f>
        <v>0</v>
      </c>
      <c r="M199" s="10"/>
      <c r="N199" s="8">
        <f>VLOOKUP($C199,'ASDR FY2'!$A:$X,N$13,FALSE)/1000+VLOOKUP($C199,'ASDR FY2'!$A:$X,N$14,FALSE)/1000</f>
        <v>0</v>
      </c>
      <c r="O199" s="8"/>
      <c r="P199" s="8">
        <f>VLOOKUP($C199,'ASDR FY2'!$A:$X,P$13,FALSE)/1000+VLOOKUP($C199,'ASDR FY2'!$A:$X,P$14,FALSE)/1000+VLOOKUP($C199,'ASDR FY2'!$A:$X,P$15,FALSE)/1000</f>
        <v>0</v>
      </c>
      <c r="Q199" s="9"/>
      <c r="R199" s="8">
        <f>SUM(F199,H199,J199,L199,N199,P199)</f>
        <v>3291.1935100000001</v>
      </c>
      <c r="S199" s="10"/>
      <c r="T199" s="8">
        <f>VLOOKUP($C199,'ASDR FY2'!$A:$X,T$14,FALSE)/1000</f>
        <v>3113.8630899999998</v>
      </c>
    </row>
    <row r="200" spans="1:20" x14ac:dyDescent="0.25">
      <c r="A200" s="155">
        <f t="shared" si="3"/>
        <v>17</v>
      </c>
      <c r="B200" s="161"/>
      <c r="C200" s="153"/>
      <c r="D200" s="173" t="s">
        <v>95</v>
      </c>
      <c r="F200" s="12">
        <f>SUM(F195:F199)</f>
        <v>322281.08281999989</v>
      </c>
      <c r="H200" s="12">
        <f>SUM(H195:H199)</f>
        <v>22702.187179999997</v>
      </c>
      <c r="I200" s="13"/>
      <c r="J200" s="12">
        <f>SUM(J195:J199)</f>
        <v>-565.85156000000006</v>
      </c>
      <c r="K200" s="13"/>
      <c r="L200" s="12">
        <f>SUM(L195:L199)</f>
        <v>-196.66646</v>
      </c>
      <c r="M200" s="13"/>
      <c r="N200" s="12">
        <f>SUM(N195:N199)</f>
        <v>0</v>
      </c>
      <c r="O200" s="65"/>
      <c r="P200" s="12">
        <f>SUM(P195:P199)</f>
        <v>0</v>
      </c>
      <c r="Q200" s="13"/>
      <c r="R200" s="12">
        <f>SUM(R195:R199)</f>
        <v>344220.75197999988</v>
      </c>
      <c r="S200" s="13"/>
      <c r="T200" s="12">
        <f>SUM(T195:T199)</f>
        <v>333064.32170999999</v>
      </c>
    </row>
    <row r="201" spans="1:20" x14ac:dyDescent="0.25">
      <c r="A201" s="155">
        <f t="shared" si="3"/>
        <v>18</v>
      </c>
      <c r="B201" s="161"/>
      <c r="Q201" s="152"/>
    </row>
    <row r="202" spans="1:20" x14ac:dyDescent="0.25">
      <c r="A202" s="155">
        <f t="shared" si="3"/>
        <v>19</v>
      </c>
      <c r="B202" s="161"/>
      <c r="C202" s="155"/>
      <c r="D202" s="173" t="s">
        <v>96</v>
      </c>
      <c r="H202" s="24"/>
      <c r="I202" s="9"/>
      <c r="J202" s="178"/>
      <c r="K202" s="9"/>
      <c r="L202" s="178"/>
      <c r="M202" s="9"/>
      <c r="N202" s="178"/>
      <c r="O202" s="178"/>
      <c r="P202" s="178"/>
      <c r="Q202" s="9"/>
      <c r="R202" s="178"/>
      <c r="S202" s="9"/>
      <c r="T202" s="178"/>
    </row>
    <row r="203" spans="1:20" x14ac:dyDescent="0.25">
      <c r="A203" s="155">
        <f t="shared" si="3"/>
        <v>20</v>
      </c>
      <c r="B203" s="161"/>
      <c r="C203" s="153">
        <v>34182</v>
      </c>
      <c r="D203" s="150" t="s">
        <v>46</v>
      </c>
      <c r="F203" s="8">
        <f>VLOOKUP($C203,'ASDR FY2'!$A:$X,F$14,FALSE)/1000</f>
        <v>1331.5105799999985</v>
      </c>
      <c r="G203" s="152"/>
      <c r="H203" s="8">
        <f>VLOOKUP($C203,'ASDR FY2'!$A:$X,H$14,FALSE)/1000</f>
        <v>52.932720000000003</v>
      </c>
      <c r="I203" s="9"/>
      <c r="J203" s="8">
        <f>VLOOKUP($C203,'ASDR FY2'!$A:$X,J$14,FALSE)/1000</f>
        <v>0</v>
      </c>
      <c r="K203" s="10"/>
      <c r="L203" s="8">
        <f>VLOOKUP($C203,'ASDR FY2'!$A:$X,L$13,FALSE)/1000+VLOOKUP($C203,'ASDR FY2'!$A:$X,L$14,FALSE)/1000</f>
        <v>0</v>
      </c>
      <c r="M203" s="10"/>
      <c r="N203" s="8">
        <f>VLOOKUP($C203,'ASDR FY2'!$A:$X,N$13,FALSE)/1000+VLOOKUP($C203,'ASDR FY2'!$A:$X,N$14,FALSE)/1000</f>
        <v>0</v>
      </c>
      <c r="O203" s="8"/>
      <c r="P203" s="8">
        <f>VLOOKUP($C203,'ASDR FY2'!$A:$X,P$13,FALSE)/1000+VLOOKUP($C203,'ASDR FY2'!$A:$X,P$14,FALSE)/1000+VLOOKUP($C203,'ASDR FY2'!$A:$X,P$15,FALSE)/1000</f>
        <v>0</v>
      </c>
      <c r="Q203" s="9"/>
      <c r="R203" s="8">
        <f>SUM(F203,H203,J203,L203,N203,P203)</f>
        <v>1384.4432999999985</v>
      </c>
      <c r="S203" s="10"/>
      <c r="T203" s="8">
        <f>VLOOKUP($C203,'ASDR FY2'!$A:$X,T$14,FALSE)/1000</f>
        <v>1357.97694</v>
      </c>
    </row>
    <row r="204" spans="1:20" x14ac:dyDescent="0.25">
      <c r="A204" s="155">
        <f t="shared" si="3"/>
        <v>21</v>
      </c>
      <c r="B204" s="161"/>
      <c r="C204" s="153">
        <v>34282</v>
      </c>
      <c r="D204" s="150" t="s">
        <v>82</v>
      </c>
      <c r="F204" s="8">
        <f>VLOOKUP($C204,'ASDR FY2'!$A:$X,F$14,FALSE)/1000</f>
        <v>454.51410999999962</v>
      </c>
      <c r="G204" s="152"/>
      <c r="H204" s="8">
        <f>VLOOKUP($C204,'ASDR FY2'!$A:$X,H$14,FALSE)/1000</f>
        <v>121.34278999999999</v>
      </c>
      <c r="I204" s="9"/>
      <c r="J204" s="8">
        <f>VLOOKUP($C204,'ASDR FY2'!$A:$X,J$14,FALSE)/1000</f>
        <v>-1024.4861899999999</v>
      </c>
      <c r="K204" s="10"/>
      <c r="L204" s="8">
        <f>VLOOKUP($C204,'ASDR FY2'!$A:$X,L$13,FALSE)/1000+VLOOKUP($C204,'ASDR FY2'!$A:$X,L$14,FALSE)/1000</f>
        <v>-52.133400000000002</v>
      </c>
      <c r="M204" s="10"/>
      <c r="N204" s="8">
        <f>VLOOKUP($C204,'ASDR FY2'!$A:$X,N$13,FALSE)/1000+VLOOKUP($C204,'ASDR FY2'!$A:$X,N$14,FALSE)/1000</f>
        <v>0</v>
      </c>
      <c r="O204" s="8"/>
      <c r="P204" s="8">
        <f>VLOOKUP($C204,'ASDR FY2'!$A:$X,P$13,FALSE)/1000+VLOOKUP($C204,'ASDR FY2'!$A:$X,P$14,FALSE)/1000+VLOOKUP($C204,'ASDR FY2'!$A:$X,P$15,FALSE)/1000</f>
        <v>0</v>
      </c>
      <c r="Q204" s="9"/>
      <c r="R204" s="8">
        <f>SUM(F204,H204,J204,L204,N204,P204)</f>
        <v>-500.76269000000019</v>
      </c>
      <c r="S204" s="10"/>
      <c r="T204" s="8">
        <f>VLOOKUP($C204,'ASDR FY2'!$A:$X,T$14,FALSE)/1000</f>
        <v>357.82540999999998</v>
      </c>
    </row>
    <row r="205" spans="1:20" x14ac:dyDescent="0.25">
      <c r="A205" s="155">
        <f t="shared" si="3"/>
        <v>22</v>
      </c>
      <c r="B205" s="161"/>
      <c r="C205" s="153">
        <v>34382</v>
      </c>
      <c r="D205" s="150" t="s">
        <v>83</v>
      </c>
      <c r="F205" s="8">
        <f>VLOOKUP($C205,'ASDR FY2'!$A:$X,F$14,FALSE)/1000</f>
        <v>10409.071580000005</v>
      </c>
      <c r="G205" s="152"/>
      <c r="H205" s="8">
        <f>VLOOKUP($C205,'ASDR FY2'!$A:$X,H$14,FALSE)/1000</f>
        <v>1477.28295</v>
      </c>
      <c r="I205" s="9"/>
      <c r="J205" s="8">
        <f>VLOOKUP($C205,'ASDR FY2'!$A:$X,J$14,FALSE)/1000</f>
        <v>-1024.4861899999999</v>
      </c>
      <c r="K205" s="10"/>
      <c r="L205" s="8">
        <f>VLOOKUP($C205,'ASDR FY2'!$A:$X,L$13,FALSE)/1000+VLOOKUP($C205,'ASDR FY2'!$A:$X,L$14,FALSE)/1000</f>
        <v>-52.133400000000002</v>
      </c>
      <c r="M205" s="10"/>
      <c r="N205" s="8">
        <f>VLOOKUP($C205,'ASDR FY2'!$A:$X,N$13,FALSE)/1000+VLOOKUP($C205,'ASDR FY2'!$A:$X,N$14,FALSE)/1000</f>
        <v>0</v>
      </c>
      <c r="O205" s="8"/>
      <c r="P205" s="8">
        <f>VLOOKUP($C205,'ASDR FY2'!$A:$X,P$13,FALSE)/1000+VLOOKUP($C205,'ASDR FY2'!$A:$X,P$14,FALSE)/1000+VLOOKUP($C205,'ASDR FY2'!$A:$X,P$15,FALSE)/1000</f>
        <v>0</v>
      </c>
      <c r="Q205" s="9"/>
      <c r="R205" s="8">
        <f>SUM(F205,H205,J205,L205,N205,P205)</f>
        <v>10809.734940000006</v>
      </c>
      <c r="S205" s="10"/>
      <c r="T205" s="8">
        <f>VLOOKUP($C205,'ASDR FY2'!$A:$X,T$14,FALSE)/1000</f>
        <v>10989.78767</v>
      </c>
    </row>
    <row r="206" spans="1:20" x14ac:dyDescent="0.25">
      <c r="A206" s="155">
        <f t="shared" si="3"/>
        <v>23</v>
      </c>
      <c r="B206" s="161"/>
      <c r="C206" s="153">
        <v>34582</v>
      </c>
      <c r="D206" s="150" t="s">
        <v>49</v>
      </c>
      <c r="F206" s="8">
        <f>VLOOKUP($C206,'ASDR FY2'!$A:$X,F$14,FALSE)/1000</f>
        <v>11226.851109999991</v>
      </c>
      <c r="G206" s="152"/>
      <c r="H206" s="8">
        <f>VLOOKUP($C206,'ASDR FY2'!$A:$X,H$14,FALSE)/1000</f>
        <v>370.90931999999998</v>
      </c>
      <c r="I206" s="9"/>
      <c r="J206" s="8">
        <f>VLOOKUP($C206,'ASDR FY2'!$A:$X,J$14,FALSE)/1000</f>
        <v>0</v>
      </c>
      <c r="K206" s="10"/>
      <c r="L206" s="8">
        <f>VLOOKUP($C206,'ASDR FY2'!$A:$X,L$13,FALSE)/1000+VLOOKUP($C206,'ASDR FY2'!$A:$X,L$14,FALSE)/1000</f>
        <v>0</v>
      </c>
      <c r="M206" s="10"/>
      <c r="N206" s="8">
        <f>VLOOKUP($C206,'ASDR FY2'!$A:$X,N$13,FALSE)/1000+VLOOKUP($C206,'ASDR FY2'!$A:$X,N$14,FALSE)/1000</f>
        <v>0</v>
      </c>
      <c r="O206" s="8"/>
      <c r="P206" s="8">
        <f>VLOOKUP($C206,'ASDR FY2'!$A:$X,P$13,FALSE)/1000+VLOOKUP($C206,'ASDR FY2'!$A:$X,P$14,FALSE)/1000+VLOOKUP($C206,'ASDR FY2'!$A:$X,P$15,FALSE)/1000</f>
        <v>0</v>
      </c>
      <c r="Q206" s="9"/>
      <c r="R206" s="8">
        <f>SUM(F206,H206,J206,L206,N206,P206)</f>
        <v>11597.760429999991</v>
      </c>
      <c r="S206" s="10"/>
      <c r="T206" s="8">
        <f>VLOOKUP($C206,'ASDR FY2'!$A:$X,T$14,FALSE)/1000</f>
        <v>11412.305769999999</v>
      </c>
    </row>
    <row r="207" spans="1:20" x14ac:dyDescent="0.25">
      <c r="A207" s="155">
        <f t="shared" si="3"/>
        <v>24</v>
      </c>
      <c r="B207" s="161"/>
      <c r="C207" s="153">
        <v>34682</v>
      </c>
      <c r="D207" s="150" t="s">
        <v>50</v>
      </c>
      <c r="F207" s="8">
        <f>VLOOKUP($C207,'ASDR FY2'!$A:$X,F$14,FALSE)/1000</f>
        <v>139.89727000000016</v>
      </c>
      <c r="G207" s="152"/>
      <c r="H207" s="8">
        <f>VLOOKUP($C207,'ASDR FY2'!$A:$X,H$14,FALSE)/1000</f>
        <v>2.5981199999999998</v>
      </c>
      <c r="I207" s="9"/>
      <c r="J207" s="8">
        <f>VLOOKUP($C207,'ASDR FY2'!$A:$X,J$14,FALSE)/1000</f>
        <v>0</v>
      </c>
      <c r="K207" s="10"/>
      <c r="L207" s="8">
        <f>VLOOKUP($C207,'ASDR FY2'!$A:$X,L$13,FALSE)/1000+VLOOKUP($C207,'ASDR FY2'!$A:$X,L$14,FALSE)/1000</f>
        <v>0</v>
      </c>
      <c r="M207" s="10"/>
      <c r="N207" s="8">
        <f>VLOOKUP($C207,'ASDR FY2'!$A:$X,N$13,FALSE)/1000+VLOOKUP($C207,'ASDR FY2'!$A:$X,N$14,FALSE)/1000</f>
        <v>0</v>
      </c>
      <c r="O207" s="8"/>
      <c r="P207" s="8">
        <f>VLOOKUP($C207,'ASDR FY2'!$A:$X,P$13,FALSE)/1000+VLOOKUP($C207,'ASDR FY2'!$A:$X,P$14,FALSE)/1000+VLOOKUP($C207,'ASDR FY2'!$A:$X,P$15,FALSE)/1000</f>
        <v>0</v>
      </c>
      <c r="Q207" s="9"/>
      <c r="R207" s="8">
        <f>SUM(F207,H207,J207,L207,N207,P207)</f>
        <v>142.49539000000016</v>
      </c>
      <c r="S207" s="10"/>
      <c r="T207" s="8">
        <f>VLOOKUP($C207,'ASDR FY2'!$A:$X,T$14,FALSE)/1000</f>
        <v>141.19632999999999</v>
      </c>
    </row>
    <row r="208" spans="1:20" x14ac:dyDescent="0.25">
      <c r="A208" s="155">
        <f t="shared" si="3"/>
        <v>25</v>
      </c>
      <c r="B208" s="161"/>
      <c r="C208" s="155"/>
      <c r="D208" s="173" t="s">
        <v>97</v>
      </c>
      <c r="F208" s="12">
        <f>SUM(F203:F207)</f>
        <v>23561.844649999995</v>
      </c>
      <c r="H208" s="12">
        <f>SUM(H203:H207)</f>
        <v>2025.0659000000001</v>
      </c>
      <c r="I208" s="13"/>
      <c r="J208" s="12">
        <f>SUM(J203:J207)</f>
        <v>-2048.9723799999997</v>
      </c>
      <c r="K208" s="13"/>
      <c r="L208" s="12">
        <f>SUM(L203:L207)</f>
        <v>-104.2668</v>
      </c>
      <c r="M208" s="13"/>
      <c r="N208" s="12">
        <f>SUM(N203:N207)</f>
        <v>0</v>
      </c>
      <c r="O208" s="65"/>
      <c r="P208" s="12">
        <f>SUM(P203:P207)</f>
        <v>0</v>
      </c>
      <c r="Q208" s="13"/>
      <c r="R208" s="12">
        <f>SUM(R203:R207)</f>
        <v>23433.671369999993</v>
      </c>
      <c r="S208" s="13"/>
      <c r="T208" s="12">
        <f>SUM(T203:T207)</f>
        <v>24259.092119999998</v>
      </c>
    </row>
    <row r="209" spans="1:20" x14ac:dyDescent="0.25">
      <c r="A209" s="155">
        <f t="shared" si="3"/>
        <v>26</v>
      </c>
      <c r="B209" s="161"/>
      <c r="Q209" s="152"/>
    </row>
    <row r="210" spans="1:20" x14ac:dyDescent="0.25">
      <c r="A210" s="155">
        <f t="shared" si="3"/>
        <v>27</v>
      </c>
      <c r="B210" s="161"/>
      <c r="C210" s="168"/>
      <c r="D210" s="173" t="s">
        <v>98</v>
      </c>
      <c r="F210" s="16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x14ac:dyDescent="0.25">
      <c r="A211" s="155">
        <f t="shared" si="3"/>
        <v>28</v>
      </c>
      <c r="B211" s="161"/>
      <c r="C211" s="153">
        <v>34183</v>
      </c>
      <c r="D211" s="150" t="s">
        <v>46</v>
      </c>
      <c r="F211" s="8">
        <f>VLOOKUP($C211,'ASDR FY2'!$A:$X,F$14,FALSE)/1000</f>
        <v>6000.9603099999995</v>
      </c>
      <c r="G211" s="152"/>
      <c r="H211" s="8">
        <f>VLOOKUP($C211,'ASDR FY2'!$A:$X,H$14,FALSE)/1000</f>
        <v>243.08699999999999</v>
      </c>
      <c r="I211" s="9"/>
      <c r="J211" s="8">
        <f>VLOOKUP($C211,'ASDR FY2'!$A:$X,J$14,FALSE)/1000</f>
        <v>0</v>
      </c>
      <c r="K211" s="10"/>
      <c r="L211" s="8">
        <f>VLOOKUP($C211,'ASDR FY2'!$A:$X,L$13,FALSE)/1000+VLOOKUP($C211,'ASDR FY2'!$A:$X,L$14,FALSE)/1000</f>
        <v>0</v>
      </c>
      <c r="M211" s="10"/>
      <c r="N211" s="8">
        <f>VLOOKUP($C211,'ASDR FY2'!$A:$X,N$13,FALSE)/1000+VLOOKUP($C211,'ASDR FY2'!$A:$X,N$14,FALSE)/1000</f>
        <v>0</v>
      </c>
      <c r="O211" s="8"/>
      <c r="P211" s="8">
        <f>VLOOKUP($C211,'ASDR FY2'!$A:$X,P$13,FALSE)/1000+VLOOKUP($C211,'ASDR FY2'!$A:$X,P$14,FALSE)/1000+VLOOKUP($C211,'ASDR FY2'!$A:$X,P$15,FALSE)/1000</f>
        <v>0</v>
      </c>
      <c r="Q211" s="9"/>
      <c r="R211" s="8">
        <f>SUM(F211,H211,J211,L211,N211,P211)</f>
        <v>6244.0473099999999</v>
      </c>
      <c r="S211" s="10"/>
      <c r="T211" s="8">
        <f>VLOOKUP($C211,'ASDR FY2'!$A:$X,T$14,FALSE)/1000</f>
        <v>6122.5038099999992</v>
      </c>
    </row>
    <row r="212" spans="1:20" x14ac:dyDescent="0.25">
      <c r="A212" s="155">
        <f t="shared" si="3"/>
        <v>29</v>
      </c>
      <c r="B212" s="161"/>
      <c r="C212" s="153">
        <v>34283</v>
      </c>
      <c r="D212" s="150" t="s">
        <v>82</v>
      </c>
      <c r="F212" s="8">
        <f>VLOOKUP($C212,'ASDR FY2'!$A:$X,F$14,FALSE)/1000</f>
        <v>563.16631999999947</v>
      </c>
      <c r="G212" s="152"/>
      <c r="H212" s="8">
        <f>VLOOKUP($C212,'ASDR FY2'!$A:$X,H$14,FALSE)/1000</f>
        <v>47.285519999999998</v>
      </c>
      <c r="I212" s="9"/>
      <c r="J212" s="8">
        <f>VLOOKUP($C212,'ASDR FY2'!$A:$X,J$14,FALSE)/1000</f>
        <v>-389.96034999999995</v>
      </c>
      <c r="K212" s="10"/>
      <c r="L212" s="8">
        <f>VLOOKUP($C212,'ASDR FY2'!$A:$X,L$13,FALSE)/1000+VLOOKUP($C212,'ASDR FY2'!$A:$X,L$14,FALSE)/1000</f>
        <v>0</v>
      </c>
      <c r="M212" s="10"/>
      <c r="N212" s="8">
        <f>VLOOKUP($C212,'ASDR FY2'!$A:$X,N$13,FALSE)/1000+VLOOKUP($C212,'ASDR FY2'!$A:$X,N$14,FALSE)/1000</f>
        <v>0</v>
      </c>
      <c r="O212" s="8"/>
      <c r="P212" s="8">
        <f>VLOOKUP($C212,'ASDR FY2'!$A:$X,P$13,FALSE)/1000+VLOOKUP($C212,'ASDR FY2'!$A:$X,P$14,FALSE)/1000+VLOOKUP($C212,'ASDR FY2'!$A:$X,P$15,FALSE)/1000</f>
        <v>0</v>
      </c>
      <c r="Q212" s="9"/>
      <c r="R212" s="8">
        <f>SUM(F212,H212,J212,L212,N212,P212)</f>
        <v>220.49148999999954</v>
      </c>
      <c r="S212" s="10"/>
      <c r="T212" s="8">
        <f>VLOOKUP($C212,'ASDR FY2'!$A:$X,T$14,FALSE)/1000</f>
        <v>556.81213000000002</v>
      </c>
    </row>
    <row r="213" spans="1:20" x14ac:dyDescent="0.25">
      <c r="A213" s="155">
        <f t="shared" si="3"/>
        <v>30</v>
      </c>
      <c r="B213" s="161"/>
      <c r="C213" s="153">
        <v>34383</v>
      </c>
      <c r="D213" s="150" t="s">
        <v>83</v>
      </c>
      <c r="F213" s="8">
        <f>VLOOKUP($C213,'ASDR FY2'!$A:$X,F$14,FALSE)/1000</f>
        <v>23362.826240000024</v>
      </c>
      <c r="G213" s="152"/>
      <c r="H213" s="8">
        <f>VLOOKUP($C213,'ASDR FY2'!$A:$X,H$14,FALSE)/1000</f>
        <v>874.88052000000005</v>
      </c>
      <c r="I213" s="9"/>
      <c r="J213" s="8">
        <f>VLOOKUP($C213,'ASDR FY2'!$A:$X,J$14,FALSE)/1000</f>
        <v>-389.96034999999995</v>
      </c>
      <c r="K213" s="10"/>
      <c r="L213" s="8">
        <f>VLOOKUP($C213,'ASDR FY2'!$A:$X,L$13,FALSE)/1000+VLOOKUP($C213,'ASDR FY2'!$A:$X,L$14,FALSE)/1000</f>
        <v>0</v>
      </c>
      <c r="M213" s="10"/>
      <c r="N213" s="8">
        <f>VLOOKUP($C213,'ASDR FY2'!$A:$X,N$13,FALSE)/1000+VLOOKUP($C213,'ASDR FY2'!$A:$X,N$14,FALSE)/1000</f>
        <v>0</v>
      </c>
      <c r="O213" s="8"/>
      <c r="P213" s="8">
        <f>VLOOKUP($C213,'ASDR FY2'!$A:$X,P$13,FALSE)/1000+VLOOKUP($C213,'ASDR FY2'!$A:$X,P$14,FALSE)/1000+VLOOKUP($C213,'ASDR FY2'!$A:$X,P$15,FALSE)/1000</f>
        <v>0</v>
      </c>
      <c r="Q213" s="9"/>
      <c r="R213" s="8">
        <f>SUM(F213,H213,J213,L213,N213,P213)</f>
        <v>23847.746410000022</v>
      </c>
      <c r="S213" s="10"/>
      <c r="T213" s="8">
        <f>VLOOKUP($C213,'ASDR FY2'!$A:$X,T$14,FALSE)/1000</f>
        <v>23770.269550000001</v>
      </c>
    </row>
    <row r="214" spans="1:20" x14ac:dyDescent="0.25">
      <c r="A214" s="155">
        <f t="shared" si="3"/>
        <v>31</v>
      </c>
      <c r="C214" s="153">
        <v>34583</v>
      </c>
      <c r="D214" s="150" t="s">
        <v>49</v>
      </c>
      <c r="F214" s="8">
        <f>VLOOKUP($C214,'ASDR FY2'!$A:$X,F$14,FALSE)/1000</f>
        <v>5946.0889699999871</v>
      </c>
      <c r="G214" s="152"/>
      <c r="H214" s="8">
        <f>VLOOKUP($C214,'ASDR FY2'!$A:$X,H$14,FALSE)/1000</f>
        <v>151.83504000000002</v>
      </c>
      <c r="I214" s="9"/>
      <c r="J214" s="8">
        <f>VLOOKUP($C214,'ASDR FY2'!$A:$X,J$14,FALSE)/1000</f>
        <v>0</v>
      </c>
      <c r="K214" s="10"/>
      <c r="L214" s="8">
        <f>VLOOKUP($C214,'ASDR FY2'!$A:$X,L$13,FALSE)/1000+VLOOKUP($C214,'ASDR FY2'!$A:$X,L$14,FALSE)/1000</f>
        <v>0</v>
      </c>
      <c r="M214" s="10"/>
      <c r="N214" s="8">
        <f>VLOOKUP($C214,'ASDR FY2'!$A:$X,N$13,FALSE)/1000+VLOOKUP($C214,'ASDR FY2'!$A:$X,N$14,FALSE)/1000</f>
        <v>0</v>
      </c>
      <c r="O214" s="8"/>
      <c r="P214" s="8">
        <f>VLOOKUP($C214,'ASDR FY2'!$A:$X,P$13,FALSE)/1000+VLOOKUP($C214,'ASDR FY2'!$A:$X,P$14,FALSE)/1000+VLOOKUP($C214,'ASDR FY2'!$A:$X,P$15,FALSE)/1000</f>
        <v>0</v>
      </c>
      <c r="Q214" s="9"/>
      <c r="R214" s="8">
        <f>SUM(F214,H214,J214,L214,N214,P214)</f>
        <v>6097.924009999987</v>
      </c>
      <c r="S214" s="10"/>
      <c r="T214" s="8">
        <f>VLOOKUP($C214,'ASDR FY2'!$A:$X,T$14,FALSE)/1000</f>
        <v>6022.0064900000007</v>
      </c>
    </row>
    <row r="215" spans="1:20" x14ac:dyDescent="0.25">
      <c r="A215" s="155">
        <f t="shared" si="3"/>
        <v>32</v>
      </c>
      <c r="C215" s="153">
        <v>34683</v>
      </c>
      <c r="D215" s="150" t="s">
        <v>50</v>
      </c>
      <c r="F215" s="8">
        <f>VLOOKUP($C215,'ASDR FY2'!$A:$X,F$14,FALSE)/1000</f>
        <v>283.69663999999966</v>
      </c>
      <c r="G215" s="152"/>
      <c r="H215" s="8">
        <f>VLOOKUP($C215,'ASDR FY2'!$A:$X,H$14,FALSE)/1000</f>
        <v>10.563000000000001</v>
      </c>
      <c r="I215" s="9"/>
      <c r="J215" s="8">
        <f>VLOOKUP($C215,'ASDR FY2'!$A:$X,J$14,FALSE)/1000</f>
        <v>0</v>
      </c>
      <c r="K215" s="10"/>
      <c r="L215" s="8">
        <f>VLOOKUP($C215,'ASDR FY2'!$A:$X,L$13,FALSE)/1000+VLOOKUP($C215,'ASDR FY2'!$A:$X,L$14,FALSE)/1000</f>
        <v>0</v>
      </c>
      <c r="M215" s="10"/>
      <c r="N215" s="8">
        <f>VLOOKUP($C215,'ASDR FY2'!$A:$X,N$13,FALSE)/1000+VLOOKUP($C215,'ASDR FY2'!$A:$X,N$14,FALSE)/1000</f>
        <v>0</v>
      </c>
      <c r="O215" s="8"/>
      <c r="P215" s="8">
        <f>VLOOKUP($C215,'ASDR FY2'!$A:$X,P$13,FALSE)/1000+VLOOKUP($C215,'ASDR FY2'!$A:$X,P$14,FALSE)/1000+VLOOKUP($C215,'ASDR FY2'!$A:$X,P$15,FALSE)/1000</f>
        <v>0</v>
      </c>
      <c r="Q215" s="9"/>
      <c r="R215" s="8">
        <f>SUM(F215,H215,J215,L215,N215,P215)</f>
        <v>294.25963999999965</v>
      </c>
      <c r="S215" s="10"/>
      <c r="T215" s="8">
        <f>VLOOKUP($C215,'ASDR FY2'!$A:$X,T$14,FALSE)/1000</f>
        <v>288.97814</v>
      </c>
    </row>
    <row r="216" spans="1:20" x14ac:dyDescent="0.25">
      <c r="A216" s="155">
        <f t="shared" si="3"/>
        <v>33</v>
      </c>
      <c r="D216" s="173" t="s">
        <v>99</v>
      </c>
      <c r="F216" s="12">
        <f>SUM(F211:F215)</f>
        <v>36156.738480000015</v>
      </c>
      <c r="H216" s="12">
        <f>SUM(H211:H215)</f>
        <v>1327.6510800000001</v>
      </c>
      <c r="I216" s="13"/>
      <c r="J216" s="12">
        <f>SUM(J211:J215)</f>
        <v>-779.9206999999999</v>
      </c>
      <c r="K216" s="13"/>
      <c r="L216" s="12">
        <f>SUM(L211:L215)</f>
        <v>0</v>
      </c>
      <c r="M216" s="13"/>
      <c r="N216" s="12">
        <f>SUM(N211:N215)</f>
        <v>0</v>
      </c>
      <c r="O216" s="65"/>
      <c r="P216" s="12">
        <f>SUM(P211:P215)</f>
        <v>0</v>
      </c>
      <c r="Q216" s="13"/>
      <c r="R216" s="12">
        <f>SUM(R211:R215)</f>
        <v>36704.468860000001</v>
      </c>
      <c r="S216" s="13"/>
      <c r="T216" s="12">
        <f>SUM(T211:T215)</f>
        <v>36760.570120000004</v>
      </c>
    </row>
    <row r="217" spans="1:20" x14ac:dyDescent="0.25">
      <c r="A217" s="155">
        <f t="shared" si="3"/>
        <v>34</v>
      </c>
      <c r="I217" s="15"/>
      <c r="K217" s="15"/>
      <c r="M217" s="15"/>
      <c r="Q217" s="15"/>
      <c r="S217" s="15"/>
    </row>
    <row r="218" spans="1:20" x14ac:dyDescent="0.25">
      <c r="A218" s="155">
        <f t="shared" si="3"/>
        <v>35</v>
      </c>
      <c r="C218" s="155"/>
      <c r="D218" s="173" t="s">
        <v>100</v>
      </c>
      <c r="F218" s="16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x14ac:dyDescent="0.25">
      <c r="A219" s="155">
        <f t="shared" si="3"/>
        <v>36</v>
      </c>
      <c r="C219" s="153">
        <v>34184</v>
      </c>
      <c r="D219" s="150" t="s">
        <v>46</v>
      </c>
      <c r="F219" s="8">
        <f>VLOOKUP($C219,'ASDR FY2'!$A:$X,F$14,FALSE)/1000</f>
        <v>2397.4933800000035</v>
      </c>
      <c r="G219" s="152"/>
      <c r="H219" s="8">
        <f>VLOOKUP($C219,'ASDR FY2'!$A:$X,H$14,FALSE)/1000</f>
        <v>159.25056000000001</v>
      </c>
      <c r="I219" s="9"/>
      <c r="J219" s="8">
        <f>VLOOKUP($C219,'ASDR FY2'!$A:$X,J$14,FALSE)/1000</f>
        <v>0</v>
      </c>
      <c r="K219" s="10"/>
      <c r="L219" s="8">
        <f>VLOOKUP($C219,'ASDR FY2'!$A:$X,L$13,FALSE)/1000+VLOOKUP($C219,'ASDR FY2'!$A:$X,L$14,FALSE)/1000</f>
        <v>0</v>
      </c>
      <c r="M219" s="10"/>
      <c r="N219" s="8">
        <f>VLOOKUP($C219,'ASDR FY2'!$A:$X,N$13,FALSE)/1000+VLOOKUP($C219,'ASDR FY2'!$A:$X,N$14,FALSE)/1000</f>
        <v>0</v>
      </c>
      <c r="O219" s="8"/>
      <c r="P219" s="8">
        <f>VLOOKUP($C219,'ASDR FY2'!$A:$X,P$13,FALSE)/1000+VLOOKUP($C219,'ASDR FY2'!$A:$X,P$14,FALSE)/1000+VLOOKUP($C219,'ASDR FY2'!$A:$X,P$15,FALSE)/1000</f>
        <v>0</v>
      </c>
      <c r="Q219" s="9"/>
      <c r="R219" s="8">
        <f>SUM(F219,H219,J219,L219,N219,P219)</f>
        <v>2556.7439400000035</v>
      </c>
      <c r="S219" s="10"/>
      <c r="T219" s="8">
        <f>VLOOKUP($C219,'ASDR FY2'!$A:$X,T$14,FALSE)/1000</f>
        <v>2477.1186600000001</v>
      </c>
    </row>
    <row r="220" spans="1:20" x14ac:dyDescent="0.25">
      <c r="A220" s="155">
        <f t="shared" si="3"/>
        <v>37</v>
      </c>
      <c r="C220" s="153">
        <v>34284</v>
      </c>
      <c r="D220" s="150" t="s">
        <v>82</v>
      </c>
      <c r="F220" s="8">
        <f>VLOOKUP($C220,'ASDR FY2'!$A:$X,F$14,FALSE)/1000</f>
        <v>289.98677000000026</v>
      </c>
      <c r="G220" s="152"/>
      <c r="H220" s="8">
        <f>VLOOKUP($C220,'ASDR FY2'!$A:$X,H$14,FALSE)/1000</f>
        <v>105.17388000000001</v>
      </c>
      <c r="I220" s="9"/>
      <c r="J220" s="8">
        <f>VLOOKUP($C220,'ASDR FY2'!$A:$X,J$14,FALSE)/1000</f>
        <v>-641.38212999999996</v>
      </c>
      <c r="K220" s="10"/>
      <c r="L220" s="8">
        <f>VLOOKUP($C220,'ASDR FY2'!$A:$X,L$13,FALSE)/1000+VLOOKUP($C220,'ASDR FY2'!$A:$X,L$14,FALSE)/1000</f>
        <v>0</v>
      </c>
      <c r="M220" s="10"/>
      <c r="N220" s="8">
        <f>VLOOKUP($C220,'ASDR FY2'!$A:$X,N$13,FALSE)/1000+VLOOKUP($C220,'ASDR FY2'!$A:$X,N$14,FALSE)/1000</f>
        <v>0</v>
      </c>
      <c r="O220" s="8"/>
      <c r="P220" s="8">
        <f>VLOOKUP($C220,'ASDR FY2'!$A:$X,P$13,FALSE)/1000+VLOOKUP($C220,'ASDR FY2'!$A:$X,P$14,FALSE)/1000+VLOOKUP($C220,'ASDR FY2'!$A:$X,P$15,FALSE)/1000</f>
        <v>0</v>
      </c>
      <c r="Q220" s="9"/>
      <c r="R220" s="8">
        <f>SUM(F220,H220,J220,L220,N220,P220)</f>
        <v>-246.2214799999997</v>
      </c>
      <c r="S220" s="10"/>
      <c r="T220" s="8">
        <f>VLOOKUP($C220,'ASDR FY2'!$A:$X,T$14,FALSE)/1000</f>
        <v>293.23662000000002</v>
      </c>
    </row>
    <row r="221" spans="1:20" x14ac:dyDescent="0.25">
      <c r="A221" s="155">
        <f t="shared" si="3"/>
        <v>38</v>
      </c>
      <c r="C221" s="153">
        <v>34384</v>
      </c>
      <c r="D221" s="150" t="s">
        <v>83</v>
      </c>
      <c r="F221" s="8">
        <f>VLOOKUP($C221,'ASDR FY2'!$A:$X,F$14,FALSE)/1000</f>
        <v>8371.4806000000026</v>
      </c>
      <c r="G221" s="152"/>
      <c r="H221" s="8">
        <f>VLOOKUP($C221,'ASDR FY2'!$A:$X,H$14,FALSE)/1000</f>
        <v>1172.1927599999999</v>
      </c>
      <c r="I221" s="9"/>
      <c r="J221" s="8">
        <f>VLOOKUP($C221,'ASDR FY2'!$A:$X,J$14,FALSE)/1000</f>
        <v>-641.38212999999996</v>
      </c>
      <c r="K221" s="10"/>
      <c r="L221" s="8">
        <f>VLOOKUP($C221,'ASDR FY2'!$A:$X,L$13,FALSE)/1000+VLOOKUP($C221,'ASDR FY2'!$A:$X,L$14,FALSE)/1000</f>
        <v>0</v>
      </c>
      <c r="M221" s="10"/>
      <c r="N221" s="8">
        <f>VLOOKUP($C221,'ASDR FY2'!$A:$X,N$13,FALSE)/1000+VLOOKUP($C221,'ASDR FY2'!$A:$X,N$14,FALSE)/1000</f>
        <v>0</v>
      </c>
      <c r="O221" s="8"/>
      <c r="P221" s="8">
        <f>VLOOKUP($C221,'ASDR FY2'!$A:$X,P$13,FALSE)/1000+VLOOKUP($C221,'ASDR FY2'!$A:$X,P$14,FALSE)/1000+VLOOKUP($C221,'ASDR FY2'!$A:$X,P$15,FALSE)/1000</f>
        <v>0</v>
      </c>
      <c r="Q221" s="9"/>
      <c r="R221" s="8">
        <f>SUM(F221,H221,J221,L221,N221,P221)</f>
        <v>8902.2912300000025</v>
      </c>
      <c r="S221" s="10"/>
      <c r="T221" s="8">
        <f>VLOOKUP($C221,'ASDR FY2'!$A:$X,T$14,FALSE)/1000</f>
        <v>8908.2398900000007</v>
      </c>
    </row>
    <row r="222" spans="1:20" x14ac:dyDescent="0.25">
      <c r="A222" s="155">
        <f t="shared" si="3"/>
        <v>39</v>
      </c>
      <c r="C222" s="153">
        <v>34584</v>
      </c>
      <c r="D222" s="150" t="s">
        <v>49</v>
      </c>
      <c r="F222" s="8">
        <f>VLOOKUP($C222,'ASDR FY2'!$A:$X,F$14,FALSE)/1000</f>
        <v>3437.914849999996</v>
      </c>
      <c r="G222" s="152"/>
      <c r="H222" s="8">
        <f>VLOOKUP($C222,'ASDR FY2'!$A:$X,H$14,FALSE)/1000</f>
        <v>97.768079999999998</v>
      </c>
      <c r="I222" s="9"/>
      <c r="J222" s="8">
        <f>VLOOKUP($C222,'ASDR FY2'!$A:$X,J$14,FALSE)/1000</f>
        <v>0</v>
      </c>
      <c r="K222" s="10"/>
      <c r="L222" s="8">
        <f>VLOOKUP($C222,'ASDR FY2'!$A:$X,L$13,FALSE)/1000+VLOOKUP($C222,'ASDR FY2'!$A:$X,L$14,FALSE)/1000</f>
        <v>0</v>
      </c>
      <c r="M222" s="10"/>
      <c r="N222" s="8">
        <f>VLOOKUP($C222,'ASDR FY2'!$A:$X,N$13,FALSE)/1000+VLOOKUP($C222,'ASDR FY2'!$A:$X,N$14,FALSE)/1000</f>
        <v>0</v>
      </c>
      <c r="O222" s="8"/>
      <c r="P222" s="8">
        <f>VLOOKUP($C222,'ASDR FY2'!$A:$X,P$13,FALSE)/1000+VLOOKUP($C222,'ASDR FY2'!$A:$X,P$14,FALSE)/1000+VLOOKUP($C222,'ASDR FY2'!$A:$X,P$15,FALSE)/1000</f>
        <v>0</v>
      </c>
      <c r="Q222" s="9"/>
      <c r="R222" s="8">
        <f>SUM(F222,H222,J222,L222,N222,P222)</f>
        <v>3535.6829299999958</v>
      </c>
      <c r="S222" s="10"/>
      <c r="T222" s="8">
        <f>VLOOKUP($C222,'ASDR FY2'!$A:$X,T$14,FALSE)/1000</f>
        <v>3486.79889</v>
      </c>
    </row>
    <row r="223" spans="1:20" x14ac:dyDescent="0.25">
      <c r="A223" s="155">
        <f t="shared" si="3"/>
        <v>40</v>
      </c>
      <c r="C223" s="153">
        <v>34684</v>
      </c>
      <c r="D223" s="150" t="s">
        <v>50</v>
      </c>
      <c r="F223" s="8">
        <f>VLOOKUP($C223,'ASDR FY2'!$A:$X,F$14,FALSE)/1000</f>
        <v>0</v>
      </c>
      <c r="G223" s="152"/>
      <c r="H223" s="8">
        <f>VLOOKUP($C223,'ASDR FY2'!$A:$X,H$14,FALSE)/1000</f>
        <v>0</v>
      </c>
      <c r="I223" s="9"/>
      <c r="J223" s="8">
        <f>VLOOKUP($C223,'ASDR FY2'!$A:$X,J$14,FALSE)/1000</f>
        <v>0</v>
      </c>
      <c r="K223" s="10"/>
      <c r="L223" s="8">
        <f>VLOOKUP($C223,'ASDR FY2'!$A:$X,L$13,FALSE)/1000+VLOOKUP($C223,'ASDR FY2'!$A:$X,L$14,FALSE)/1000</f>
        <v>0</v>
      </c>
      <c r="M223" s="10"/>
      <c r="N223" s="8">
        <f>VLOOKUP($C223,'ASDR FY2'!$A:$X,N$13,FALSE)/1000+VLOOKUP($C223,'ASDR FY2'!$A:$X,N$14,FALSE)/1000</f>
        <v>0</v>
      </c>
      <c r="O223" s="8"/>
      <c r="P223" s="8">
        <f>VLOOKUP($C223,'ASDR FY2'!$A:$X,P$13,FALSE)/1000+VLOOKUP($C223,'ASDR FY2'!$A:$X,P$14,FALSE)/1000+VLOOKUP($C223,'ASDR FY2'!$A:$X,P$15,FALSE)/1000</f>
        <v>0</v>
      </c>
      <c r="Q223" s="9"/>
      <c r="R223" s="8">
        <f>SUM(F223,H223,J223,L223,N223,P223)</f>
        <v>0</v>
      </c>
      <c r="S223" s="10"/>
      <c r="T223" s="8">
        <f>VLOOKUP($C223,'ASDR FY2'!$A:$X,T$14,FALSE)/1000</f>
        <v>0</v>
      </c>
    </row>
    <row r="224" spans="1:20" x14ac:dyDescent="0.25">
      <c r="A224" s="155">
        <f t="shared" si="3"/>
        <v>41</v>
      </c>
      <c r="C224" s="155"/>
      <c r="D224" s="173" t="s">
        <v>101</v>
      </c>
      <c r="F224" s="12">
        <f>SUM(F219:F223)</f>
        <v>14496.875600000001</v>
      </c>
      <c r="H224" s="12">
        <f>SUM(H219:H223)</f>
        <v>1534.38528</v>
      </c>
      <c r="I224" s="13"/>
      <c r="J224" s="12">
        <f>SUM(J219:J223)</f>
        <v>-1282.7642599999999</v>
      </c>
      <c r="K224" s="13"/>
      <c r="L224" s="12">
        <f>SUM(L219:L223)</f>
        <v>0</v>
      </c>
      <c r="M224" s="13"/>
      <c r="N224" s="12">
        <f>SUM(N219:N223)</f>
        <v>0</v>
      </c>
      <c r="O224" s="65"/>
      <c r="P224" s="12">
        <f>SUM(P219:P223)</f>
        <v>0</v>
      </c>
      <c r="Q224" s="13"/>
      <c r="R224" s="12">
        <f>SUM(R219:R223)</f>
        <v>14748.496620000002</v>
      </c>
      <c r="S224" s="13"/>
      <c r="T224" s="12">
        <f>SUM(T219:T223)</f>
        <v>15165.394060000001</v>
      </c>
    </row>
    <row r="225" spans="1:20" x14ac:dyDescent="0.25">
      <c r="A225" s="155">
        <f t="shared" si="3"/>
        <v>42</v>
      </c>
      <c r="Q225" s="152"/>
    </row>
    <row r="226" spans="1:20" x14ac:dyDescent="0.25">
      <c r="A226" s="155">
        <f t="shared" si="3"/>
        <v>43</v>
      </c>
      <c r="Q226" s="152"/>
    </row>
    <row r="227" spans="1:20" ht="13.8" thickBot="1" x14ac:dyDescent="0.3">
      <c r="A227" s="156">
        <f t="shared" si="3"/>
        <v>44</v>
      </c>
      <c r="B227" s="20" t="s">
        <v>60</v>
      </c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5"/>
      <c r="R227" s="147"/>
      <c r="S227" s="147"/>
      <c r="T227" s="147"/>
    </row>
    <row r="228" spans="1:20" x14ac:dyDescent="0.25">
      <c r="A228" s="150" t="str">
        <f>+$A$57</f>
        <v>Supporting Schedules:  B-10, B-11</v>
      </c>
      <c r="Q228" s="152"/>
      <c r="R228" s="150" t="str">
        <f>+$R$57</f>
        <v>Recap Schedules:  B-03, B-06</v>
      </c>
    </row>
    <row r="229" spans="1:20" ht="13.8" thickBot="1" x14ac:dyDescent="0.3">
      <c r="A229" s="147" t="str">
        <f>$A$1</f>
        <v>SCHEDULE B-09</v>
      </c>
      <c r="B229" s="147"/>
      <c r="C229" s="147"/>
      <c r="D229" s="147"/>
      <c r="E229" s="147"/>
      <c r="F229" s="147" t="str">
        <f>$F$1</f>
        <v>DEPRECIATION RESERVE BALANCES BY ACCOUNT AND SUB-ACCOUNT</v>
      </c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5"/>
      <c r="R229" s="147"/>
      <c r="S229" s="147"/>
      <c r="T229" s="147" t="str">
        <f>"Page 5 of " &amp; $R$1</f>
        <v>Page 5 of 30</v>
      </c>
    </row>
    <row r="230" spans="1:20" x14ac:dyDescent="0.25">
      <c r="A230" s="150" t="str">
        <f>$A$2</f>
        <v>FLORIDA PUBLIC SERVICE COMMISSION</v>
      </c>
      <c r="B230" s="170"/>
      <c r="E230" s="152" t="str">
        <f>$E$2</f>
        <v xml:space="preserve">                  EXPLANATION:</v>
      </c>
      <c r="F230" s="150" t="str">
        <f>IF($F$2="","",$F$2)</f>
        <v>Provide the depreciation reserve balances for each account or sub-account to which</v>
      </c>
      <c r="J230" s="149"/>
      <c r="K230" s="149"/>
      <c r="M230" s="149"/>
      <c r="N230" s="149"/>
      <c r="O230" s="149"/>
      <c r="P230" s="149"/>
      <c r="Q230" s="148"/>
      <c r="R230" s="150" t="str">
        <f>$R$2</f>
        <v>Type of data shown:</v>
      </c>
      <c r="T230" s="151"/>
    </row>
    <row r="231" spans="1:20" x14ac:dyDescent="0.25">
      <c r="B231" s="170"/>
      <c r="F231" s="150" t="str">
        <f>IF($F$3="","",$F$3)</f>
        <v>an individual depreciation rate is applied. (Include Amortization/Recovery amounts).</v>
      </c>
      <c r="J231" s="152"/>
      <c r="K231" s="151"/>
      <c r="N231" s="152"/>
      <c r="O231" s="152"/>
      <c r="P231" s="152"/>
      <c r="Q231" s="152" t="str">
        <f>IF($Q$3=0,"",$Q$3)</f>
        <v>XX</v>
      </c>
      <c r="R231" s="151" t="str">
        <f>$R$3</f>
        <v>Projected Test Year Ended 12/31/2025</v>
      </c>
      <c r="T231" s="152"/>
    </row>
    <row r="232" spans="1:20" x14ac:dyDescent="0.25">
      <c r="A232" s="150" t="str">
        <f>$A$4</f>
        <v>COMPANY: TAMPA ELECTRIC COMPANY</v>
      </c>
      <c r="B232" s="170"/>
      <c r="F232" s="150" t="str">
        <f>IF(+$F$4="","",$F$4)</f>
        <v/>
      </c>
      <c r="J232" s="152"/>
      <c r="K232" s="151"/>
      <c r="L232" s="152"/>
      <c r="Q232" s="152" t="str">
        <f>IF($Q$4=0,"",$Q$4)</f>
        <v/>
      </c>
      <c r="R232" s="151" t="str">
        <f>$R$4</f>
        <v>Projected Prior Year Ended 12/31/2024</v>
      </c>
      <c r="T232" s="152"/>
    </row>
    <row r="233" spans="1:20" x14ac:dyDescent="0.25">
      <c r="B233" s="170"/>
      <c r="F233" s="150" t="str">
        <f>IF(+$F$5="","",$F$5)</f>
        <v/>
      </c>
      <c r="J233" s="152"/>
      <c r="K233" s="151"/>
      <c r="L233" s="152"/>
      <c r="Q233" s="152" t="str">
        <f>IF($Q$5=0,"",$Q$5)</f>
        <v/>
      </c>
      <c r="R233" s="151" t="str">
        <f>$R$5</f>
        <v>Historical Prior Year Ended 12/31/2023</v>
      </c>
      <c r="T233" s="152"/>
    </row>
    <row r="234" spans="1:20" x14ac:dyDescent="0.25">
      <c r="B234" s="170"/>
      <c r="J234" s="152"/>
      <c r="K234" s="151"/>
      <c r="L234" s="152"/>
      <c r="Q234" s="152"/>
      <c r="R234" s="151" t="str">
        <f>$R$6</f>
        <v>Witness: C. Aldazabal / N. Allis / J. Chronister</v>
      </c>
      <c r="T234" s="152"/>
    </row>
    <row r="235" spans="1:20" ht="13.8" thickBot="1" x14ac:dyDescent="0.3">
      <c r="A235" s="147" t="str">
        <f>A$7</f>
        <v>DOCKET No. 20240026-EI</v>
      </c>
      <c r="B235" s="171"/>
      <c r="C235" s="147"/>
      <c r="D235" s="147"/>
      <c r="E235" s="147"/>
      <c r="F235" s="147" t="str">
        <f>IF(+$F$7="","",$F$7)</f>
        <v/>
      </c>
      <c r="G235" s="147"/>
      <c r="H235" s="156" t="str">
        <f>IF($H$7="","",$H$7)</f>
        <v>(Dollars in 000's)</v>
      </c>
      <c r="I235" s="147"/>
      <c r="J235" s="147"/>
      <c r="K235" s="147"/>
      <c r="L235" s="147"/>
      <c r="M235" s="147"/>
      <c r="N235" s="147"/>
      <c r="O235" s="147"/>
      <c r="P235" s="147"/>
      <c r="Q235" s="145"/>
      <c r="R235" s="147" t="str">
        <f>$R$7</f>
        <v xml:space="preserve">             / R. Latta / K. Stryker / C. Whitworth</v>
      </c>
      <c r="S235" s="147"/>
      <c r="T235" s="147"/>
    </row>
    <row r="236" spans="1:20" x14ac:dyDescent="0.25"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53"/>
      <c r="S236" s="153"/>
      <c r="T236" s="153"/>
    </row>
    <row r="237" spans="1:20" x14ac:dyDescent="0.25">
      <c r="C237" s="153" t="s">
        <v>13</v>
      </c>
      <c r="D237" s="153" t="s">
        <v>14</v>
      </c>
      <c r="E237" s="153"/>
      <c r="F237" s="153" t="s">
        <v>15</v>
      </c>
      <c r="G237" s="153"/>
      <c r="H237" s="153" t="s">
        <v>16</v>
      </c>
      <c r="I237" s="153"/>
      <c r="J237" s="155" t="s">
        <v>17</v>
      </c>
      <c r="K237" s="155"/>
      <c r="L237" s="153" t="s">
        <v>18</v>
      </c>
      <c r="M237" s="153"/>
      <c r="N237" s="153" t="s">
        <v>19</v>
      </c>
      <c r="O237" s="153"/>
      <c r="P237" s="153" t="s">
        <v>20</v>
      </c>
      <c r="Q237" s="154"/>
      <c r="R237" s="153" t="s">
        <v>21</v>
      </c>
      <c r="S237" s="153"/>
      <c r="T237" s="153" t="s">
        <v>22</v>
      </c>
    </row>
    <row r="238" spans="1:20" x14ac:dyDescent="0.25">
      <c r="C238" s="155" t="s">
        <v>23</v>
      </c>
      <c r="D238" s="155" t="s">
        <v>23</v>
      </c>
      <c r="F238" s="155" t="s">
        <v>24</v>
      </c>
      <c r="G238" s="155"/>
      <c r="H238" s="153" t="s">
        <v>25</v>
      </c>
      <c r="I238" s="155"/>
      <c r="J238" s="153"/>
      <c r="K238" s="155"/>
      <c r="L238" s="155"/>
      <c r="M238" s="155"/>
      <c r="Q238" s="152"/>
      <c r="R238" s="155" t="s">
        <v>24</v>
      </c>
      <c r="T238" s="155"/>
    </row>
    <row r="239" spans="1:20" x14ac:dyDescent="0.25">
      <c r="A239" s="155" t="s">
        <v>26</v>
      </c>
      <c r="B239" s="155"/>
      <c r="C239" s="155" t="s">
        <v>27</v>
      </c>
      <c r="D239" s="155" t="s">
        <v>27</v>
      </c>
      <c r="E239" s="153"/>
      <c r="F239" s="155" t="s">
        <v>28</v>
      </c>
      <c r="G239" s="155"/>
      <c r="H239" s="155" t="s">
        <v>28</v>
      </c>
      <c r="I239" s="155"/>
      <c r="J239" s="155"/>
      <c r="K239" s="153"/>
      <c r="L239" s="155" t="s">
        <v>29</v>
      </c>
      <c r="M239" s="151"/>
      <c r="N239" s="155" t="s">
        <v>29</v>
      </c>
      <c r="O239" s="155"/>
      <c r="P239" s="155" t="s">
        <v>30</v>
      </c>
      <c r="Q239" s="154"/>
      <c r="R239" s="153" t="s">
        <v>28</v>
      </c>
      <c r="S239" s="153"/>
      <c r="T239" s="155" t="s">
        <v>31</v>
      </c>
    </row>
    <row r="240" spans="1:20" ht="13.8" thickBot="1" x14ac:dyDescent="0.3">
      <c r="A240" s="156" t="s">
        <v>32</v>
      </c>
      <c r="B240" s="156"/>
      <c r="C240" s="156" t="s">
        <v>33</v>
      </c>
      <c r="D240" s="156" t="s">
        <v>34</v>
      </c>
      <c r="E240" s="156"/>
      <c r="F240" s="157" t="s">
        <v>35</v>
      </c>
      <c r="G240" s="157"/>
      <c r="H240" s="157" t="s">
        <v>36</v>
      </c>
      <c r="I240" s="158"/>
      <c r="J240" s="157" t="s">
        <v>37</v>
      </c>
      <c r="K240" s="158"/>
      <c r="L240" s="158" t="s">
        <v>38</v>
      </c>
      <c r="M240" s="159"/>
      <c r="N240" s="159" t="s">
        <v>39</v>
      </c>
      <c r="O240" s="159"/>
      <c r="P240" s="159" t="s">
        <v>40</v>
      </c>
      <c r="Q240" s="160"/>
      <c r="R240" s="159" t="s">
        <v>41</v>
      </c>
      <c r="S240" s="159"/>
      <c r="T240" s="159" t="s">
        <v>42</v>
      </c>
    </row>
    <row r="241" spans="1:20" x14ac:dyDescent="0.25">
      <c r="A241" s="155">
        <v>1</v>
      </c>
      <c r="B241" s="155"/>
      <c r="Q241" s="152"/>
    </row>
    <row r="242" spans="1:20" x14ac:dyDescent="0.25">
      <c r="A242" s="155">
        <f>A241+1</f>
        <v>2</v>
      </c>
      <c r="B242" s="161"/>
      <c r="C242" s="155"/>
      <c r="D242" s="173" t="s">
        <v>102</v>
      </c>
      <c r="F242" s="16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 x14ac:dyDescent="0.25">
      <c r="A243" s="155">
        <f t="shared" ref="A243:A284" si="4">A242+1</f>
        <v>3</v>
      </c>
      <c r="B243" s="161"/>
      <c r="C243" s="153">
        <v>34185</v>
      </c>
      <c r="D243" s="150" t="s">
        <v>46</v>
      </c>
      <c r="F243" s="8">
        <f>VLOOKUP($C243,'ASDR FY2'!$A:$X,F$14,FALSE)/1000</f>
        <v>2424.2666999999988</v>
      </c>
      <c r="G243" s="152"/>
      <c r="H243" s="8">
        <f>VLOOKUP($C243,'ASDR FY2'!$A:$X,H$14,FALSE)/1000</f>
        <v>156.30696</v>
      </c>
      <c r="I243" s="9"/>
      <c r="J243" s="8">
        <f>VLOOKUP($C243,'ASDR FY2'!$A:$X,J$14,FALSE)/1000</f>
        <v>0</v>
      </c>
      <c r="K243" s="10"/>
      <c r="L243" s="8">
        <f>VLOOKUP($C243,'ASDR FY2'!$A:$X,L$13,FALSE)/1000+VLOOKUP($C243,'ASDR FY2'!$A:$X,L$14,FALSE)/1000</f>
        <v>0</v>
      </c>
      <c r="M243" s="10"/>
      <c r="N243" s="8">
        <f>VLOOKUP($C243,'ASDR FY2'!$A:$X,N$13,FALSE)/1000+VLOOKUP($C243,'ASDR FY2'!$A:$X,N$14,FALSE)/1000</f>
        <v>0</v>
      </c>
      <c r="O243" s="8"/>
      <c r="P243" s="8">
        <f>VLOOKUP($C243,'ASDR FY2'!$A:$X,P$13,FALSE)/1000+VLOOKUP($C243,'ASDR FY2'!$A:$X,P$14,FALSE)/1000+VLOOKUP($C243,'ASDR FY2'!$A:$X,P$15,FALSE)/1000</f>
        <v>0</v>
      </c>
      <c r="Q243" s="9"/>
      <c r="R243" s="8">
        <f>SUM(F243,H243,J243,L243,N243,P243)</f>
        <v>2580.5736599999987</v>
      </c>
      <c r="S243" s="10"/>
      <c r="T243" s="8">
        <f>VLOOKUP($C243,'ASDR FY2'!$A:$X,T$14,FALSE)/1000</f>
        <v>2502.4201800000001</v>
      </c>
    </row>
    <row r="244" spans="1:20" x14ac:dyDescent="0.25">
      <c r="A244" s="155">
        <f t="shared" si="4"/>
        <v>4</v>
      </c>
      <c r="B244" s="161"/>
      <c r="C244" s="153">
        <v>34285</v>
      </c>
      <c r="D244" s="150" t="s">
        <v>82</v>
      </c>
      <c r="F244" s="8">
        <f>VLOOKUP($C244,'ASDR FY2'!$A:$X,F$14,FALSE)/1000</f>
        <v>821.50138999999922</v>
      </c>
      <c r="G244" s="152"/>
      <c r="H244" s="8">
        <f>VLOOKUP($C244,'ASDR FY2'!$A:$X,H$14,FALSE)/1000</f>
        <v>101.11482000000001</v>
      </c>
      <c r="I244" s="9"/>
      <c r="J244" s="8">
        <f>VLOOKUP($C244,'ASDR FY2'!$A:$X,J$14,FALSE)/1000</f>
        <v>-708.61291000000006</v>
      </c>
      <c r="K244" s="10"/>
      <c r="L244" s="8">
        <f>VLOOKUP($C244,'ASDR FY2'!$A:$X,L$13,FALSE)/1000+VLOOKUP($C244,'ASDR FY2'!$A:$X,L$14,FALSE)/1000</f>
        <v>0</v>
      </c>
      <c r="M244" s="10"/>
      <c r="N244" s="8">
        <f>VLOOKUP($C244,'ASDR FY2'!$A:$X,N$13,FALSE)/1000+VLOOKUP($C244,'ASDR FY2'!$A:$X,N$14,FALSE)/1000</f>
        <v>0</v>
      </c>
      <c r="O244" s="8"/>
      <c r="P244" s="8">
        <f>VLOOKUP($C244,'ASDR FY2'!$A:$X,P$13,FALSE)/1000+VLOOKUP($C244,'ASDR FY2'!$A:$X,P$14,FALSE)/1000+VLOOKUP($C244,'ASDR FY2'!$A:$X,P$15,FALSE)/1000</f>
        <v>0</v>
      </c>
      <c r="Q244" s="9"/>
      <c r="R244" s="8">
        <f>SUM(F244,H244,J244,L244,N244,P244)</f>
        <v>214.00329999999917</v>
      </c>
      <c r="S244" s="10"/>
      <c r="T244" s="8">
        <f>VLOOKUP($C244,'ASDR FY2'!$A:$X,T$14,FALSE)/1000</f>
        <v>783.49810000000002</v>
      </c>
    </row>
    <row r="245" spans="1:20" x14ac:dyDescent="0.25">
      <c r="A245" s="155">
        <f t="shared" si="4"/>
        <v>5</v>
      </c>
      <c r="B245" s="161"/>
      <c r="C245" s="153">
        <v>34385</v>
      </c>
      <c r="D245" s="150" t="s">
        <v>83</v>
      </c>
      <c r="F245" s="8">
        <f>VLOOKUP($C245,'ASDR FY2'!$A:$X,F$14,FALSE)/1000</f>
        <v>6881.8610700000017</v>
      </c>
      <c r="G245" s="152"/>
      <c r="H245" s="8">
        <f>VLOOKUP($C245,'ASDR FY2'!$A:$X,H$14,FALSE)/1000</f>
        <v>1073.30475</v>
      </c>
      <c r="I245" s="9"/>
      <c r="J245" s="8">
        <f>VLOOKUP($C245,'ASDR FY2'!$A:$X,J$14,FALSE)/1000</f>
        <v>-708.61291000000006</v>
      </c>
      <c r="K245" s="10"/>
      <c r="L245" s="8">
        <f>VLOOKUP($C245,'ASDR FY2'!$A:$X,L$13,FALSE)/1000+VLOOKUP($C245,'ASDR FY2'!$A:$X,L$14,FALSE)/1000</f>
        <v>0</v>
      </c>
      <c r="M245" s="10"/>
      <c r="N245" s="8">
        <f>VLOOKUP($C245,'ASDR FY2'!$A:$X,N$13,FALSE)/1000+VLOOKUP($C245,'ASDR FY2'!$A:$X,N$14,FALSE)/1000</f>
        <v>0</v>
      </c>
      <c r="O245" s="8"/>
      <c r="P245" s="8">
        <f>VLOOKUP($C245,'ASDR FY2'!$A:$X,P$13,FALSE)/1000+VLOOKUP($C245,'ASDR FY2'!$A:$X,P$14,FALSE)/1000+VLOOKUP($C245,'ASDR FY2'!$A:$X,P$15,FALSE)/1000</f>
        <v>0</v>
      </c>
      <c r="Q245" s="9"/>
      <c r="R245" s="8">
        <f>SUM(F245,H245,J245,L245,N245,P245)</f>
        <v>7246.5529100000022</v>
      </c>
      <c r="S245" s="10"/>
      <c r="T245" s="8">
        <f>VLOOKUP($C245,'ASDR FY2'!$A:$X,T$14,FALSE)/1000</f>
        <v>7329.3328099999999</v>
      </c>
    </row>
    <row r="246" spans="1:20" x14ac:dyDescent="0.25">
      <c r="A246" s="155">
        <f t="shared" si="4"/>
        <v>6</v>
      </c>
      <c r="B246" s="161"/>
      <c r="C246" s="153">
        <v>34585</v>
      </c>
      <c r="D246" s="150" t="s">
        <v>49</v>
      </c>
      <c r="F246" s="8">
        <f>VLOOKUP($C246,'ASDR FY2'!$A:$X,F$14,FALSE)/1000</f>
        <v>3413.5520199999974</v>
      </c>
      <c r="G246" s="152"/>
      <c r="H246" s="8">
        <f>VLOOKUP($C246,'ASDR FY2'!$A:$X,H$14,FALSE)/1000</f>
        <v>93.866520000000008</v>
      </c>
      <c r="I246" s="9"/>
      <c r="J246" s="8">
        <f>VLOOKUP($C246,'ASDR FY2'!$A:$X,J$14,FALSE)/1000</f>
        <v>0</v>
      </c>
      <c r="K246" s="10"/>
      <c r="L246" s="8">
        <f>VLOOKUP($C246,'ASDR FY2'!$A:$X,L$13,FALSE)/1000+VLOOKUP($C246,'ASDR FY2'!$A:$X,L$14,FALSE)/1000</f>
        <v>0</v>
      </c>
      <c r="M246" s="10"/>
      <c r="N246" s="8">
        <f>VLOOKUP($C246,'ASDR FY2'!$A:$X,N$13,FALSE)/1000+VLOOKUP($C246,'ASDR FY2'!$A:$X,N$14,FALSE)/1000</f>
        <v>0</v>
      </c>
      <c r="O246" s="8"/>
      <c r="P246" s="8">
        <f>VLOOKUP($C246,'ASDR FY2'!$A:$X,P$13,FALSE)/1000+VLOOKUP($C246,'ASDR FY2'!$A:$X,P$14,FALSE)/1000+VLOOKUP($C246,'ASDR FY2'!$A:$X,P$15,FALSE)/1000</f>
        <v>0</v>
      </c>
      <c r="Q246" s="9"/>
      <c r="R246" s="8">
        <f>SUM(F246,H246,J246,L246,N246,P246)</f>
        <v>3507.4185399999974</v>
      </c>
      <c r="S246" s="10"/>
      <c r="T246" s="8">
        <f>VLOOKUP($C246,'ASDR FY2'!$A:$X,T$14,FALSE)/1000</f>
        <v>3460.4852799999999</v>
      </c>
    </row>
    <row r="247" spans="1:20" x14ac:dyDescent="0.25">
      <c r="A247" s="155">
        <f t="shared" si="4"/>
        <v>7</v>
      </c>
      <c r="B247" s="155"/>
      <c r="C247" s="153">
        <v>34685</v>
      </c>
      <c r="D247" s="150" t="s">
        <v>50</v>
      </c>
      <c r="F247" s="8">
        <f>VLOOKUP($C247,'ASDR FY2'!$A:$X,F$14,FALSE)/1000</f>
        <v>0</v>
      </c>
      <c r="G247" s="152"/>
      <c r="H247" s="8">
        <f>VLOOKUP($C247,'ASDR FY2'!$A:$X,H$14,FALSE)/1000</f>
        <v>0</v>
      </c>
      <c r="I247" s="9"/>
      <c r="J247" s="8">
        <f>VLOOKUP($C247,'ASDR FY2'!$A:$X,J$14,FALSE)/1000</f>
        <v>0</v>
      </c>
      <c r="K247" s="10"/>
      <c r="L247" s="8">
        <f>VLOOKUP($C247,'ASDR FY2'!$A:$X,L$13,FALSE)/1000+VLOOKUP($C247,'ASDR FY2'!$A:$X,L$14,FALSE)/1000</f>
        <v>0</v>
      </c>
      <c r="M247" s="10"/>
      <c r="N247" s="8">
        <f>VLOOKUP($C247,'ASDR FY2'!$A:$X,N$13,FALSE)/1000+VLOOKUP($C247,'ASDR FY2'!$A:$X,N$14,FALSE)/1000</f>
        <v>0</v>
      </c>
      <c r="O247" s="8"/>
      <c r="P247" s="8">
        <f>VLOOKUP($C247,'ASDR FY2'!$A:$X,P$13,FALSE)/1000+VLOOKUP($C247,'ASDR FY2'!$A:$X,P$14,FALSE)/1000+VLOOKUP($C247,'ASDR FY2'!$A:$X,P$15,FALSE)/1000</f>
        <v>0</v>
      </c>
      <c r="Q247" s="9"/>
      <c r="R247" s="8">
        <f>SUM(F247,H247,J247,L247,N247,P247)</f>
        <v>0</v>
      </c>
      <c r="S247" s="10"/>
      <c r="T247" s="8">
        <f>VLOOKUP($C247,'ASDR FY2'!$A:$X,T$14,FALSE)/1000</f>
        <v>0</v>
      </c>
    </row>
    <row r="248" spans="1:20" x14ac:dyDescent="0.25">
      <c r="A248" s="155">
        <f t="shared" si="4"/>
        <v>8</v>
      </c>
      <c r="B248" s="155"/>
      <c r="C248" s="155"/>
      <c r="D248" s="173" t="s">
        <v>103</v>
      </c>
      <c r="F248" s="12">
        <f>SUM(F243:F247)</f>
        <v>13541.181179999998</v>
      </c>
      <c r="H248" s="12">
        <f>SUM(H243:H247)</f>
        <v>1424.5930499999999</v>
      </c>
      <c r="I248" s="13"/>
      <c r="J248" s="12">
        <f>SUM(J243:J247)</f>
        <v>-1417.2258200000001</v>
      </c>
      <c r="K248" s="13"/>
      <c r="L248" s="12">
        <f>SUM(L243:L247)</f>
        <v>0</v>
      </c>
      <c r="M248" s="13"/>
      <c r="N248" s="12">
        <f>SUM(N243:N247)</f>
        <v>0</v>
      </c>
      <c r="O248" s="65"/>
      <c r="P248" s="12">
        <f>SUM(P243:P247)</f>
        <v>0</v>
      </c>
      <c r="Q248" s="13"/>
      <c r="R248" s="12">
        <f>SUM(R243:R247)</f>
        <v>13548.548409999998</v>
      </c>
      <c r="S248" s="13"/>
      <c r="T248" s="12">
        <f>SUM(T243:T247)</f>
        <v>14075.736369999999</v>
      </c>
    </row>
    <row r="249" spans="1:20" x14ac:dyDescent="0.25">
      <c r="A249" s="155">
        <f t="shared" si="4"/>
        <v>9</v>
      </c>
      <c r="B249" s="155"/>
      <c r="Q249" s="152"/>
    </row>
    <row r="250" spans="1:20" x14ac:dyDescent="0.25">
      <c r="A250" s="155">
        <f t="shared" si="4"/>
        <v>10</v>
      </c>
      <c r="B250" s="155"/>
      <c r="C250" s="155"/>
      <c r="D250" s="173" t="s">
        <v>104</v>
      </c>
      <c r="F250" s="16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x14ac:dyDescent="0.25">
      <c r="A251" s="155">
        <f t="shared" si="4"/>
        <v>11</v>
      </c>
      <c r="B251" s="155"/>
      <c r="C251" s="153">
        <v>34186</v>
      </c>
      <c r="D251" s="150" t="s">
        <v>46</v>
      </c>
      <c r="F251" s="8">
        <f>VLOOKUP($C251,'ASDR FY2'!$A:$X,F$14,FALSE)/1000</f>
        <v>4266.5818700000063</v>
      </c>
      <c r="G251" s="152"/>
      <c r="H251" s="8">
        <f>VLOOKUP($C251,'ASDR FY2'!$A:$X,H$14,FALSE)/1000</f>
        <v>396.28784999999999</v>
      </c>
      <c r="I251" s="9"/>
      <c r="J251" s="8">
        <f>VLOOKUP($C251,'ASDR FY2'!$A:$X,J$14,FALSE)/1000</f>
        <v>-258.22221999999999</v>
      </c>
      <c r="K251" s="10"/>
      <c r="L251" s="8">
        <f>VLOOKUP($C251,'ASDR FY2'!$A:$X,L$13,FALSE)/1000+VLOOKUP($C251,'ASDR FY2'!$A:$X,L$14,FALSE)/1000</f>
        <v>-108.88889999999999</v>
      </c>
      <c r="M251" s="10"/>
      <c r="N251" s="8">
        <f>VLOOKUP($C251,'ASDR FY2'!$A:$X,N$13,FALSE)/1000+VLOOKUP($C251,'ASDR FY2'!$A:$X,N$14,FALSE)/1000</f>
        <v>0</v>
      </c>
      <c r="O251" s="8"/>
      <c r="P251" s="8">
        <f>VLOOKUP($C251,'ASDR FY2'!$A:$X,P$13,FALSE)/1000+VLOOKUP($C251,'ASDR FY2'!$A:$X,P$14,FALSE)/1000+VLOOKUP($C251,'ASDR FY2'!$A:$X,P$15,FALSE)/1000</f>
        <v>0</v>
      </c>
      <c r="Q251" s="9"/>
      <c r="R251" s="8">
        <f>SUM(F251,H251,J251,L251,N251,P251)</f>
        <v>4295.7586000000065</v>
      </c>
      <c r="S251" s="10"/>
      <c r="T251" s="8">
        <f>VLOOKUP($C251,'ASDR FY2'!$A:$X,T$14,FALSE)/1000</f>
        <v>4353.9518799999996</v>
      </c>
    </row>
    <row r="252" spans="1:20" x14ac:dyDescent="0.25">
      <c r="A252" s="155">
        <f t="shared" si="4"/>
        <v>12</v>
      </c>
      <c r="B252" s="161"/>
      <c r="C252" s="153">
        <v>34286</v>
      </c>
      <c r="D252" s="150" t="s">
        <v>82</v>
      </c>
      <c r="F252" s="8">
        <f>VLOOKUP($C252,'ASDR FY2'!$A:$X,F$14,FALSE)/1000</f>
        <v>46404.921260000032</v>
      </c>
      <c r="G252" s="152"/>
      <c r="H252" s="8">
        <f>VLOOKUP($C252,'ASDR FY2'!$A:$X,H$14,FALSE)/1000</f>
        <v>7267.2419300000001</v>
      </c>
      <c r="I252" s="9"/>
      <c r="J252" s="8">
        <f>VLOOKUP($C252,'ASDR FY2'!$A:$X,J$14,FALSE)/1000</f>
        <v>-725.87164000000007</v>
      </c>
      <c r="K252" s="10"/>
      <c r="L252" s="8">
        <f>VLOOKUP($C252,'ASDR FY2'!$A:$X,L$13,FALSE)/1000+VLOOKUP($C252,'ASDR FY2'!$A:$X,L$14,FALSE)/1000</f>
        <v>-1234.9076200000002</v>
      </c>
      <c r="M252" s="10"/>
      <c r="N252" s="8">
        <f>VLOOKUP($C252,'ASDR FY2'!$A:$X,N$13,FALSE)/1000+VLOOKUP($C252,'ASDR FY2'!$A:$X,N$14,FALSE)/1000</f>
        <v>0</v>
      </c>
      <c r="O252" s="8"/>
      <c r="P252" s="8">
        <f>VLOOKUP($C252,'ASDR FY2'!$A:$X,P$13,FALSE)/1000+VLOOKUP($C252,'ASDR FY2'!$A:$X,P$14,FALSE)/1000+VLOOKUP($C252,'ASDR FY2'!$A:$X,P$15,FALSE)/1000</f>
        <v>0</v>
      </c>
      <c r="Q252" s="9"/>
      <c r="R252" s="8">
        <f>SUM(F252,H252,J252,L252,N252,P252)</f>
        <v>51711.38393000004</v>
      </c>
      <c r="S252" s="10"/>
      <c r="T252" s="8">
        <f>VLOOKUP($C252,'ASDR FY2'!$A:$X,T$14,FALSE)/1000</f>
        <v>49276.6512</v>
      </c>
    </row>
    <row r="253" spans="1:20" x14ac:dyDescent="0.25">
      <c r="A253" s="155">
        <f t="shared" si="4"/>
        <v>13</v>
      </c>
      <c r="B253" s="161"/>
      <c r="C253" s="153">
        <v>34386</v>
      </c>
      <c r="D253" s="150" t="s">
        <v>83</v>
      </c>
      <c r="F253" s="8">
        <f>VLOOKUP($C253,'ASDR FY2'!$A:$X,F$14,FALSE)/1000</f>
        <v>49140.894330000046</v>
      </c>
      <c r="G253" s="152"/>
      <c r="H253" s="8">
        <f>VLOOKUP($C253,'ASDR FY2'!$A:$X,H$14,FALSE)/1000</f>
        <v>7855.2588599999999</v>
      </c>
      <c r="I253" s="9"/>
      <c r="J253" s="8">
        <f>VLOOKUP($C253,'ASDR FY2'!$A:$X,J$14,FALSE)/1000</f>
        <v>-725.87164000000007</v>
      </c>
      <c r="K253" s="10"/>
      <c r="L253" s="8">
        <f>VLOOKUP($C253,'ASDR FY2'!$A:$X,L$13,FALSE)/1000+VLOOKUP($C253,'ASDR FY2'!$A:$X,L$14,FALSE)/1000</f>
        <v>-1234.9076200000002</v>
      </c>
      <c r="M253" s="10"/>
      <c r="N253" s="8">
        <f>VLOOKUP($C253,'ASDR FY2'!$A:$X,N$13,FALSE)/1000+VLOOKUP($C253,'ASDR FY2'!$A:$X,N$14,FALSE)/1000</f>
        <v>0</v>
      </c>
      <c r="O253" s="8"/>
      <c r="P253" s="8">
        <f>VLOOKUP($C253,'ASDR FY2'!$A:$X,P$13,FALSE)/1000+VLOOKUP($C253,'ASDR FY2'!$A:$X,P$14,FALSE)/1000+VLOOKUP($C253,'ASDR FY2'!$A:$X,P$15,FALSE)/1000</f>
        <v>0</v>
      </c>
      <c r="Q253" s="9"/>
      <c r="R253" s="8">
        <f>SUM(F253,H253,J253,L253,N253,P253)</f>
        <v>55035.373930000052</v>
      </c>
      <c r="S253" s="10"/>
      <c r="T253" s="8">
        <f>VLOOKUP($C253,'ASDR FY2'!$A:$X,T$14,FALSE)/1000</f>
        <v>52306.564020000005</v>
      </c>
    </row>
    <row r="254" spans="1:20" x14ac:dyDescent="0.25">
      <c r="A254" s="155">
        <f t="shared" si="4"/>
        <v>14</v>
      </c>
      <c r="B254" s="161"/>
      <c r="C254" s="153">
        <v>34586</v>
      </c>
      <c r="D254" s="150" t="s">
        <v>49</v>
      </c>
      <c r="F254" s="8">
        <f>VLOOKUP($C254,'ASDR FY2'!$A:$X,F$14,FALSE)/1000</f>
        <v>4565.3385300000018</v>
      </c>
      <c r="G254" s="152"/>
      <c r="H254" s="8">
        <f>VLOOKUP($C254,'ASDR FY2'!$A:$X,H$14,FALSE)/1000</f>
        <v>557.49324000000001</v>
      </c>
      <c r="I254" s="9"/>
      <c r="J254" s="8">
        <f>VLOOKUP($C254,'ASDR FY2'!$A:$X,J$14,FALSE)/1000</f>
        <v>0</v>
      </c>
      <c r="K254" s="10"/>
      <c r="L254" s="8">
        <f>VLOOKUP($C254,'ASDR FY2'!$A:$X,L$13,FALSE)/1000+VLOOKUP($C254,'ASDR FY2'!$A:$X,L$14,FALSE)/1000</f>
        <v>0</v>
      </c>
      <c r="M254" s="10"/>
      <c r="N254" s="8">
        <f>VLOOKUP($C254,'ASDR FY2'!$A:$X,N$13,FALSE)/1000+VLOOKUP($C254,'ASDR FY2'!$A:$X,N$14,FALSE)/1000</f>
        <v>0</v>
      </c>
      <c r="O254" s="8"/>
      <c r="P254" s="8">
        <f>VLOOKUP($C254,'ASDR FY2'!$A:$X,P$13,FALSE)/1000+VLOOKUP($C254,'ASDR FY2'!$A:$X,P$14,FALSE)/1000+VLOOKUP($C254,'ASDR FY2'!$A:$X,P$15,FALSE)/1000</f>
        <v>0</v>
      </c>
      <c r="Q254" s="9"/>
      <c r="R254" s="8">
        <f>SUM(F254,H254,J254,L254,N254,P254)</f>
        <v>5122.8317700000016</v>
      </c>
      <c r="S254" s="10"/>
      <c r="T254" s="8">
        <f>VLOOKUP($C254,'ASDR FY2'!$A:$X,T$14,FALSE)/1000</f>
        <v>4844.0851500000008</v>
      </c>
    </row>
    <row r="255" spans="1:20" x14ac:dyDescent="0.25">
      <c r="A255" s="155">
        <f t="shared" si="4"/>
        <v>15</v>
      </c>
      <c r="B255" s="161"/>
      <c r="C255" s="153">
        <v>34686</v>
      </c>
      <c r="D255" s="150" t="s">
        <v>50</v>
      </c>
      <c r="F255" s="8">
        <f>VLOOKUP($C255,'ASDR FY2'!$A:$X,F$14,FALSE)/1000</f>
        <v>30.886060000000025</v>
      </c>
      <c r="G255" s="152"/>
      <c r="H255" s="8">
        <f>VLOOKUP($C255,'ASDR FY2'!$A:$X,H$14,FALSE)/1000</f>
        <v>5.2543199999999999</v>
      </c>
      <c r="I255" s="9"/>
      <c r="J255" s="8">
        <f>VLOOKUP($C255,'ASDR FY2'!$A:$X,J$14,FALSE)/1000</f>
        <v>0</v>
      </c>
      <c r="K255" s="10"/>
      <c r="L255" s="8">
        <f>VLOOKUP($C255,'ASDR FY2'!$A:$X,L$13,FALSE)/1000+VLOOKUP($C255,'ASDR FY2'!$A:$X,L$14,FALSE)/1000</f>
        <v>0</v>
      </c>
      <c r="M255" s="10"/>
      <c r="N255" s="8">
        <f>VLOOKUP($C255,'ASDR FY2'!$A:$X,N$13,FALSE)/1000+VLOOKUP($C255,'ASDR FY2'!$A:$X,N$14,FALSE)/1000</f>
        <v>0</v>
      </c>
      <c r="O255" s="8"/>
      <c r="P255" s="8">
        <f>VLOOKUP($C255,'ASDR FY2'!$A:$X,P$13,FALSE)/1000+VLOOKUP($C255,'ASDR FY2'!$A:$X,P$14,FALSE)/1000+VLOOKUP($C255,'ASDR FY2'!$A:$X,P$15,FALSE)/1000</f>
        <v>0</v>
      </c>
      <c r="Q255" s="9"/>
      <c r="R255" s="8">
        <f>SUM(F255,H255,J255,L255,N255,P255)</f>
        <v>36.140380000000022</v>
      </c>
      <c r="S255" s="10"/>
      <c r="T255" s="8">
        <f>VLOOKUP($C255,'ASDR FY2'!$A:$X,T$14,FALSE)/1000</f>
        <v>33.513220000000004</v>
      </c>
    </row>
    <row r="256" spans="1:20" x14ac:dyDescent="0.25">
      <c r="A256" s="155">
        <f t="shared" si="4"/>
        <v>16</v>
      </c>
      <c r="B256" s="161"/>
      <c r="C256" s="153"/>
      <c r="D256" s="173" t="s">
        <v>105</v>
      </c>
      <c r="F256" s="12">
        <f>SUM(F251:F255)</f>
        <v>104408.62205000011</v>
      </c>
      <c r="H256" s="12">
        <f>SUM(H251:H255)</f>
        <v>16081.536199999999</v>
      </c>
      <c r="I256" s="13"/>
      <c r="J256" s="12">
        <f>SUM(J251:J255)</f>
        <v>-1709.9655000000002</v>
      </c>
      <c r="K256" s="13"/>
      <c r="L256" s="12">
        <f>SUM(L251:L255)</f>
        <v>-2578.7041400000003</v>
      </c>
      <c r="M256" s="13"/>
      <c r="N256" s="12">
        <f>SUM(N251:N255)</f>
        <v>0</v>
      </c>
      <c r="O256" s="65"/>
      <c r="P256" s="12">
        <f>SUM(P251:P255)</f>
        <v>0</v>
      </c>
      <c r="Q256" s="13"/>
      <c r="R256" s="12">
        <f>SUM(R251:R255)</f>
        <v>116201.4886100001</v>
      </c>
      <c r="S256" s="13"/>
      <c r="T256" s="12">
        <f>SUM(T251:T255)</f>
        <v>110814.76547</v>
      </c>
    </row>
    <row r="257" spans="1:20" x14ac:dyDescent="0.25">
      <c r="A257" s="155">
        <f t="shared" si="4"/>
        <v>17</v>
      </c>
      <c r="B257" s="161"/>
      <c r="Q257" s="152"/>
    </row>
    <row r="258" spans="1:20" x14ac:dyDescent="0.25">
      <c r="A258" s="155">
        <f t="shared" si="4"/>
        <v>18</v>
      </c>
      <c r="B258" s="161"/>
      <c r="C258" s="153">
        <v>34287</v>
      </c>
      <c r="D258" s="173" t="s">
        <v>106</v>
      </c>
      <c r="F258" s="8">
        <f>VLOOKUP($C258,'ASDR FY2'!$A:$X,F$14,FALSE)/1000</f>
        <v>0</v>
      </c>
      <c r="G258" s="152"/>
      <c r="H258" s="8">
        <f>VLOOKUP($C258,'ASDR FY2'!$A:$X,H$14,FALSE)/1000</f>
        <v>0</v>
      </c>
      <c r="I258" s="9"/>
      <c r="J258" s="8">
        <f>VLOOKUP($C258,'ASDR FY2'!$A:$X,J$14,FALSE)/1000</f>
        <v>0</v>
      </c>
      <c r="K258" s="10"/>
      <c r="L258" s="8">
        <f>VLOOKUP($C258,'ASDR FY2'!$A:$X,L$13,FALSE)/1000+VLOOKUP($C258,'ASDR FY2'!$A:$X,L$14,FALSE)/1000</f>
        <v>0</v>
      </c>
      <c r="M258" s="10"/>
      <c r="N258" s="8">
        <f>VLOOKUP($C258,'ASDR FY2'!$A:$X,N$13,FALSE)/1000+VLOOKUP($C258,'ASDR FY2'!$A:$X,N$14,FALSE)/1000</f>
        <v>0</v>
      </c>
      <c r="O258" s="8"/>
      <c r="P258" s="8">
        <f>VLOOKUP($C258,'ASDR FY2'!$A:$X,P$13,FALSE)/1000+VLOOKUP($C258,'ASDR FY2'!$A:$X,P$14,FALSE)/1000+VLOOKUP($C258,'ASDR FY2'!$A:$X,P$15,FALSE)/1000</f>
        <v>0</v>
      </c>
      <c r="Q258" s="9"/>
      <c r="R258" s="8">
        <f>SUM(F258,H258,J258,L258,N258,P258)</f>
        <v>0</v>
      </c>
      <c r="S258" s="10"/>
      <c r="T258" s="8">
        <f>VLOOKUP($C258,'ASDR FY2'!$A:$X,T$14,FALSE)/1000</f>
        <v>0</v>
      </c>
    </row>
    <row r="259" spans="1:20" x14ac:dyDescent="0.25">
      <c r="A259" s="155">
        <f t="shared" si="4"/>
        <v>19</v>
      </c>
      <c r="B259" s="161"/>
      <c r="C259" s="153">
        <v>34687</v>
      </c>
      <c r="D259" s="150" t="s">
        <v>107</v>
      </c>
      <c r="F259" s="8">
        <f>VLOOKUP($C259,'ASDR FY2'!$A:$X,F$14,FALSE)/1000</f>
        <v>1086.8924700000002</v>
      </c>
      <c r="G259" s="152"/>
      <c r="H259" s="8">
        <f>VLOOKUP($C259,'ASDR FY2'!$A:$X,H$14,FALSE)/1000</f>
        <v>302.01024000000001</v>
      </c>
      <c r="I259" s="9"/>
      <c r="J259" s="8">
        <f>VLOOKUP($C259,'ASDR FY2'!$A:$X,J$14,FALSE)/1000</f>
        <v>0</v>
      </c>
      <c r="K259" s="10"/>
      <c r="L259" s="8">
        <f>VLOOKUP($C259,'ASDR FY2'!$A:$X,L$13,FALSE)/1000+VLOOKUP($C259,'ASDR FY2'!$A:$X,L$14,FALSE)/1000</f>
        <v>0</v>
      </c>
      <c r="M259" s="10"/>
      <c r="N259" s="8">
        <f>VLOOKUP($C259,'ASDR FY2'!$A:$X,N$13,FALSE)/1000+VLOOKUP($C259,'ASDR FY2'!$A:$X,N$14,FALSE)/1000</f>
        <v>0</v>
      </c>
      <c r="O259" s="8"/>
      <c r="P259" s="8">
        <f>VLOOKUP($C259,'ASDR FY2'!$A:$X,P$13,FALSE)/1000+VLOOKUP($C259,'ASDR FY2'!$A:$X,P$14,FALSE)/1000+VLOOKUP($C259,'ASDR FY2'!$A:$X,P$15,FALSE)/1000</f>
        <v>0</v>
      </c>
      <c r="Q259" s="9"/>
      <c r="R259" s="8">
        <f>SUM(F259,H259,J259,L259,N259,P259)</f>
        <v>1388.9027100000003</v>
      </c>
      <c r="S259" s="10"/>
      <c r="T259" s="8">
        <f>VLOOKUP($C259,'ASDR FY2'!$A:$X,T$14,FALSE)/1000</f>
        <v>1237.89759</v>
      </c>
    </row>
    <row r="260" spans="1:20" x14ac:dyDescent="0.25">
      <c r="A260" s="155">
        <f t="shared" si="4"/>
        <v>20</v>
      </c>
      <c r="B260" s="161"/>
      <c r="C260" s="155"/>
      <c r="F260" s="12"/>
      <c r="H260" s="12"/>
      <c r="I260" s="15"/>
      <c r="J260" s="12"/>
      <c r="K260" s="15"/>
      <c r="L260" s="12"/>
      <c r="M260" s="15"/>
      <c r="N260" s="12"/>
      <c r="O260" s="65"/>
      <c r="P260" s="12"/>
      <c r="Q260" s="15"/>
      <c r="R260" s="12"/>
      <c r="S260" s="15"/>
      <c r="T260" s="12"/>
    </row>
    <row r="261" spans="1:20" ht="13.8" thickBot="1" x14ac:dyDescent="0.3">
      <c r="A261" s="155">
        <f t="shared" si="4"/>
        <v>21</v>
      </c>
      <c r="B261" s="161"/>
      <c r="C261" s="155"/>
      <c r="D261" s="150" t="s">
        <v>108</v>
      </c>
      <c r="F261" s="19">
        <f>SUM(F192,F200,F208,F216,F224,F248,F256,F258,F259)</f>
        <v>593990.44287999999</v>
      </c>
      <c r="H261" s="19">
        <f>SUM(H192,H200,H208,H216,H224,H248,H256,H258,H259)</f>
        <v>52560.155310000002</v>
      </c>
      <c r="I261" s="15"/>
      <c r="J261" s="19">
        <f>SUM(J192,J200,J208,J216,J224,J248,J256,J258,J259)</f>
        <v>-9042.6373999999996</v>
      </c>
      <c r="K261" s="15"/>
      <c r="L261" s="19">
        <f>SUM(L192,L200,L208,L216,L224,L248,L256,L258,L259)</f>
        <v>-3356.3040800000003</v>
      </c>
      <c r="M261" s="15"/>
      <c r="N261" s="19">
        <f>SUM(N192,N200,N208,N216,N224,N248,N256,N258,N259)</f>
        <v>0</v>
      </c>
      <c r="O261" s="37"/>
      <c r="P261" s="19">
        <f>SUM(P192,P200,P208,P216,P224,P248,P256,P258,P259)</f>
        <v>0</v>
      </c>
      <c r="Q261" s="15"/>
      <c r="R261" s="19">
        <f>SUM(R192,R200,R208,R216,R224,R248,R256,R258,R259)</f>
        <v>634151.65671000001</v>
      </c>
      <c r="S261" s="15"/>
      <c r="T261" s="19">
        <f>SUM(T192,T200,T208,T216,T224,T248,T256,T258,T259)</f>
        <v>616836.08779999998</v>
      </c>
    </row>
    <row r="262" spans="1:20" ht="13.8" thickTop="1" x14ac:dyDescent="0.25">
      <c r="A262" s="155">
        <f t="shared" si="4"/>
        <v>22</v>
      </c>
      <c r="B262" s="161"/>
      <c r="Q262" s="152"/>
    </row>
    <row r="263" spans="1:20" x14ac:dyDescent="0.25">
      <c r="A263" s="155">
        <f t="shared" si="4"/>
        <v>23</v>
      </c>
      <c r="B263" s="161"/>
      <c r="Q263" s="152"/>
    </row>
    <row r="264" spans="1:20" x14ac:dyDescent="0.25">
      <c r="A264" s="155">
        <f t="shared" si="4"/>
        <v>24</v>
      </c>
      <c r="B264" s="161"/>
      <c r="Q264" s="152"/>
    </row>
    <row r="265" spans="1:20" x14ac:dyDescent="0.25">
      <c r="A265" s="155">
        <f t="shared" si="4"/>
        <v>25</v>
      </c>
      <c r="B265" s="161"/>
      <c r="D265" s="150" t="s">
        <v>109</v>
      </c>
      <c r="Q265" s="152"/>
    </row>
    <row r="266" spans="1:20" x14ac:dyDescent="0.25">
      <c r="A266" s="155">
        <f t="shared" si="4"/>
        <v>26</v>
      </c>
      <c r="B266" s="169"/>
      <c r="D266" s="173" t="s">
        <v>110</v>
      </c>
      <c r="F266" s="166"/>
      <c r="H266" s="177"/>
      <c r="I266" s="15"/>
      <c r="J266" s="177"/>
      <c r="K266" s="15"/>
      <c r="L266" s="177"/>
      <c r="M266" s="15"/>
      <c r="N266" s="177"/>
      <c r="O266" s="177"/>
      <c r="P266" s="177"/>
      <c r="Q266" s="15"/>
      <c r="R266" s="177"/>
      <c r="S266" s="15"/>
      <c r="T266" s="177"/>
    </row>
    <row r="267" spans="1:20" x14ac:dyDescent="0.25">
      <c r="A267" s="155">
        <f t="shared" si="4"/>
        <v>27</v>
      </c>
      <c r="B267" s="169"/>
      <c r="C267" s="155">
        <v>34130</v>
      </c>
      <c r="D267" s="150" t="s">
        <v>46</v>
      </c>
      <c r="F267" s="8">
        <f>VLOOKUP($C267,'ASDR FY2'!$A:$X,F$14,FALSE)/1000</f>
        <v>27560.672960000007</v>
      </c>
      <c r="G267" s="152"/>
      <c r="H267" s="8">
        <f>VLOOKUP($C267,'ASDR FY2'!$A:$X,H$14,FALSE)/1000</f>
        <v>4152.58824</v>
      </c>
      <c r="I267" s="9"/>
      <c r="J267" s="8">
        <f>VLOOKUP($C267,'ASDR FY2'!$A:$X,J$14,FALSE)/1000</f>
        <v>0</v>
      </c>
      <c r="K267" s="10"/>
      <c r="L267" s="8">
        <f>VLOOKUP($C267,'ASDR FY2'!$A:$X,L$13,FALSE)/1000+VLOOKUP($C267,'ASDR FY2'!$A:$X,L$14,FALSE)/1000</f>
        <v>0</v>
      </c>
      <c r="M267" s="10"/>
      <c r="N267" s="8">
        <f>VLOOKUP($C267,'ASDR FY2'!$A:$X,N$13,FALSE)/1000+VLOOKUP($C267,'ASDR FY2'!$A:$X,N$14,FALSE)/1000</f>
        <v>0</v>
      </c>
      <c r="O267" s="8"/>
      <c r="P267" s="8">
        <f>VLOOKUP($C267,'ASDR FY2'!$A:$X,P$13,FALSE)/1000+VLOOKUP($C267,'ASDR FY2'!$A:$X,P$14,FALSE)/1000+VLOOKUP($C267,'ASDR FY2'!$A:$X,P$15,FALSE)/1000</f>
        <v>0</v>
      </c>
      <c r="Q267" s="9"/>
      <c r="R267" s="8">
        <f>SUM(F267,H267,J267,L267,N267,P267)</f>
        <v>31713.261200000008</v>
      </c>
      <c r="S267" s="10"/>
      <c r="T267" s="8">
        <f>VLOOKUP($C267,'ASDR FY2'!$A:$X,T$14,FALSE)/1000</f>
        <v>29636.967079999999</v>
      </c>
    </row>
    <row r="268" spans="1:20" x14ac:dyDescent="0.25">
      <c r="A268" s="155">
        <f t="shared" si="4"/>
        <v>28</v>
      </c>
      <c r="B268" s="169"/>
      <c r="C268" s="155">
        <v>34230</v>
      </c>
      <c r="D268" s="150" t="s">
        <v>82</v>
      </c>
      <c r="F268" s="8">
        <f>VLOOKUP($C268,'ASDR FY2'!$A:$X,F$14,FALSE)/1000</f>
        <v>4083.9407399999959</v>
      </c>
      <c r="G268" s="152"/>
      <c r="H268" s="8">
        <f>VLOOKUP($C268,'ASDR FY2'!$A:$X,H$14,FALSE)/1000</f>
        <v>1915.8408899999999</v>
      </c>
      <c r="I268" s="9"/>
      <c r="J268" s="8">
        <f>VLOOKUP($C268,'ASDR FY2'!$A:$X,J$14,FALSE)/1000</f>
        <v>-1794.4860800000001</v>
      </c>
      <c r="K268" s="10"/>
      <c r="L268" s="8">
        <f>VLOOKUP($C268,'ASDR FY2'!$A:$X,L$13,FALSE)/1000+VLOOKUP($C268,'ASDR FY2'!$A:$X,L$14,FALSE)/1000</f>
        <v>-50</v>
      </c>
      <c r="M268" s="10"/>
      <c r="N268" s="8">
        <f>VLOOKUP($C268,'ASDR FY2'!$A:$X,N$13,FALSE)/1000+VLOOKUP($C268,'ASDR FY2'!$A:$X,N$14,FALSE)/1000</f>
        <v>0</v>
      </c>
      <c r="O268" s="8"/>
      <c r="P268" s="8">
        <f>VLOOKUP($C268,'ASDR FY2'!$A:$X,P$13,FALSE)/1000+VLOOKUP($C268,'ASDR FY2'!$A:$X,P$14,FALSE)/1000+VLOOKUP($C268,'ASDR FY2'!$A:$X,P$15,FALSE)/1000</f>
        <v>0</v>
      </c>
      <c r="Q268" s="9"/>
      <c r="R268" s="8">
        <f>SUM(F268,H268,J268,L268,N268,P268)</f>
        <v>4155.2955499999953</v>
      </c>
      <c r="S268" s="10"/>
      <c r="T268" s="8">
        <f>VLOOKUP($C268,'ASDR FY2'!$A:$X,T$14,FALSE)/1000</f>
        <v>4014.2391699999998</v>
      </c>
    </row>
    <row r="269" spans="1:20" x14ac:dyDescent="0.25">
      <c r="A269" s="155">
        <f t="shared" si="4"/>
        <v>29</v>
      </c>
      <c r="B269" s="161"/>
      <c r="C269" s="155">
        <v>34330</v>
      </c>
      <c r="D269" s="150" t="s">
        <v>83</v>
      </c>
      <c r="F269" s="8">
        <f>VLOOKUP($C269,'ASDR FY2'!$A:$X,F$14,FALSE)/1000</f>
        <v>14254.042050000013</v>
      </c>
      <c r="G269" s="152"/>
      <c r="H269" s="8">
        <f>VLOOKUP($C269,'ASDR FY2'!$A:$X,H$14,FALSE)/1000</f>
        <v>3281.27666</v>
      </c>
      <c r="I269" s="9"/>
      <c r="J269" s="8">
        <f>VLOOKUP($C269,'ASDR FY2'!$A:$X,J$14,FALSE)/1000</f>
        <v>-1794.4860800000001</v>
      </c>
      <c r="K269" s="10"/>
      <c r="L269" s="8">
        <f>VLOOKUP($C269,'ASDR FY2'!$A:$X,L$13,FALSE)/1000+VLOOKUP($C269,'ASDR FY2'!$A:$X,L$14,FALSE)/1000</f>
        <v>-50</v>
      </c>
      <c r="M269" s="10"/>
      <c r="N269" s="8">
        <f>VLOOKUP($C269,'ASDR FY2'!$A:$X,N$13,FALSE)/1000+VLOOKUP($C269,'ASDR FY2'!$A:$X,N$14,FALSE)/1000</f>
        <v>0</v>
      </c>
      <c r="O269" s="8"/>
      <c r="P269" s="8">
        <f>VLOOKUP($C269,'ASDR FY2'!$A:$X,P$13,FALSE)/1000+VLOOKUP($C269,'ASDR FY2'!$A:$X,P$14,FALSE)/1000+VLOOKUP($C269,'ASDR FY2'!$A:$X,P$15,FALSE)/1000</f>
        <v>0</v>
      </c>
      <c r="Q269" s="9"/>
      <c r="R269" s="8">
        <f>SUM(F269,H269,J269,L269,N269,P269)</f>
        <v>15690.832630000014</v>
      </c>
      <c r="S269" s="10"/>
      <c r="T269" s="8">
        <f>VLOOKUP($C269,'ASDR FY2'!$A:$X,T$14,FALSE)/1000</f>
        <v>14861.22258</v>
      </c>
    </row>
    <row r="270" spans="1:20" x14ac:dyDescent="0.25">
      <c r="A270" s="155">
        <f t="shared" si="4"/>
        <v>30</v>
      </c>
      <c r="B270" s="161"/>
      <c r="C270" s="155">
        <v>34530</v>
      </c>
      <c r="D270" s="150" t="s">
        <v>49</v>
      </c>
      <c r="F270" s="8">
        <f>VLOOKUP($C270,'ASDR FY2'!$A:$X,F$14,FALSE)/1000</f>
        <v>14137.386859999997</v>
      </c>
      <c r="G270" s="152"/>
      <c r="H270" s="8">
        <f>VLOOKUP($C270,'ASDR FY2'!$A:$X,H$14,FALSE)/1000</f>
        <v>808.32719999999995</v>
      </c>
      <c r="I270" s="9"/>
      <c r="J270" s="8">
        <f>VLOOKUP($C270,'ASDR FY2'!$A:$X,J$14,FALSE)/1000</f>
        <v>0</v>
      </c>
      <c r="K270" s="10"/>
      <c r="L270" s="8">
        <f>VLOOKUP($C270,'ASDR FY2'!$A:$X,L$13,FALSE)/1000+VLOOKUP($C270,'ASDR FY2'!$A:$X,L$14,FALSE)/1000</f>
        <v>0</v>
      </c>
      <c r="M270" s="10"/>
      <c r="N270" s="8">
        <f>VLOOKUP($C270,'ASDR FY2'!$A:$X,N$13,FALSE)/1000+VLOOKUP($C270,'ASDR FY2'!$A:$X,N$14,FALSE)/1000</f>
        <v>0</v>
      </c>
      <c r="O270" s="8"/>
      <c r="P270" s="8">
        <f>VLOOKUP($C270,'ASDR FY2'!$A:$X,P$13,FALSE)/1000+VLOOKUP($C270,'ASDR FY2'!$A:$X,P$14,FALSE)/1000+VLOOKUP($C270,'ASDR FY2'!$A:$X,P$15,FALSE)/1000</f>
        <v>0</v>
      </c>
      <c r="Q270" s="9"/>
      <c r="R270" s="8">
        <f>SUM(F270,H270,J270,L270,N270,P270)</f>
        <v>14945.714059999997</v>
      </c>
      <c r="S270" s="10"/>
      <c r="T270" s="8">
        <f>VLOOKUP($C270,'ASDR FY2'!$A:$X,T$14,FALSE)/1000</f>
        <v>14541.55046</v>
      </c>
    </row>
    <row r="271" spans="1:20" x14ac:dyDescent="0.25">
      <c r="A271" s="155">
        <f t="shared" si="4"/>
        <v>31</v>
      </c>
      <c r="B271" s="161"/>
      <c r="C271" s="155">
        <v>34630</v>
      </c>
      <c r="D271" s="150" t="s">
        <v>50</v>
      </c>
      <c r="F271" s="8">
        <f>VLOOKUP($C271,'ASDR FY2'!$A:$X,F$14,FALSE)/1000</f>
        <v>5402.3667299999997</v>
      </c>
      <c r="G271" s="152"/>
      <c r="H271" s="8">
        <f>VLOOKUP($C271,'ASDR FY2'!$A:$X,H$14,FALSE)/1000</f>
        <v>374.63196000000005</v>
      </c>
      <c r="I271" s="9"/>
      <c r="J271" s="8">
        <f>VLOOKUP($C271,'ASDR FY2'!$A:$X,J$14,FALSE)/1000</f>
        <v>0</v>
      </c>
      <c r="K271" s="10"/>
      <c r="L271" s="8">
        <f>VLOOKUP($C271,'ASDR FY2'!$A:$X,L$13,FALSE)/1000+VLOOKUP($C271,'ASDR FY2'!$A:$X,L$14,FALSE)/1000</f>
        <v>0</v>
      </c>
      <c r="M271" s="10"/>
      <c r="N271" s="8">
        <f>VLOOKUP($C271,'ASDR FY2'!$A:$X,N$13,FALSE)/1000+VLOOKUP($C271,'ASDR FY2'!$A:$X,N$14,FALSE)/1000</f>
        <v>0</v>
      </c>
      <c r="O271" s="8"/>
      <c r="P271" s="8">
        <f>VLOOKUP($C271,'ASDR FY2'!$A:$X,P$13,FALSE)/1000+VLOOKUP($C271,'ASDR FY2'!$A:$X,P$14,FALSE)/1000+VLOOKUP($C271,'ASDR FY2'!$A:$X,P$15,FALSE)/1000</f>
        <v>0</v>
      </c>
      <c r="Q271" s="9"/>
      <c r="R271" s="8">
        <f>SUM(F271,H271,J271,L271,N271,P271)</f>
        <v>5776.9986899999994</v>
      </c>
      <c r="S271" s="10"/>
      <c r="T271" s="8">
        <f>VLOOKUP($C271,'ASDR FY2'!$A:$X,T$14,FALSE)/1000</f>
        <v>5589.68271</v>
      </c>
    </row>
    <row r="272" spans="1:20" x14ac:dyDescent="0.25">
      <c r="A272" s="155">
        <f t="shared" si="4"/>
        <v>32</v>
      </c>
      <c r="B272" s="161"/>
      <c r="C272" s="155"/>
      <c r="D272" s="173" t="s">
        <v>111</v>
      </c>
      <c r="F272" s="12">
        <f>SUM(F267:F271)</f>
        <v>65438.409340000013</v>
      </c>
      <c r="H272" s="12">
        <f>SUM(H267:H271)</f>
        <v>10532.66495</v>
      </c>
      <c r="I272" s="13"/>
      <c r="J272" s="12">
        <f>SUM(J267:J271)</f>
        <v>-3588.9721600000003</v>
      </c>
      <c r="K272" s="13"/>
      <c r="L272" s="12">
        <f>SUM(L267:L271)</f>
        <v>-100</v>
      </c>
      <c r="M272" s="13"/>
      <c r="N272" s="12">
        <f>SUM(N267:N271)</f>
        <v>0</v>
      </c>
      <c r="O272" s="65"/>
      <c r="P272" s="12">
        <f>SUM(P267:P271)</f>
        <v>0</v>
      </c>
      <c r="Q272" s="13"/>
      <c r="R272" s="12">
        <f>SUM(R267:R271)</f>
        <v>72282.102129999999</v>
      </c>
      <c r="S272" s="13"/>
      <c r="T272" s="12">
        <f>SUM(T267:T271)</f>
        <v>68643.661999999997</v>
      </c>
    </row>
    <row r="273" spans="1:20" x14ac:dyDescent="0.25">
      <c r="A273" s="155">
        <f t="shared" si="4"/>
        <v>33</v>
      </c>
      <c r="B273" s="161"/>
      <c r="Q273" s="152"/>
    </row>
    <row r="274" spans="1:20" x14ac:dyDescent="0.25">
      <c r="A274" s="155">
        <f t="shared" si="4"/>
        <v>34</v>
      </c>
      <c r="D274" s="173" t="s">
        <v>112</v>
      </c>
      <c r="H274" s="25"/>
      <c r="I274" s="25"/>
      <c r="J274" s="25"/>
      <c r="K274" s="25"/>
      <c r="L274" s="178"/>
      <c r="M274" s="178"/>
      <c r="N274" s="178"/>
      <c r="O274" s="178"/>
      <c r="P274" s="178"/>
      <c r="Q274" s="179"/>
      <c r="R274" s="25"/>
      <c r="S274" s="25"/>
      <c r="T274" s="25"/>
    </row>
    <row r="275" spans="1:20" x14ac:dyDescent="0.25">
      <c r="A275" s="155">
        <f t="shared" si="4"/>
        <v>35</v>
      </c>
      <c r="C275" s="153">
        <v>34131</v>
      </c>
      <c r="D275" s="150" t="s">
        <v>46</v>
      </c>
      <c r="F275" s="8">
        <f>VLOOKUP($C275,'ASDR FY2'!$A:$X,F$14,FALSE)/1000</f>
        <v>9609.7256199999865</v>
      </c>
      <c r="G275" s="152"/>
      <c r="H275" s="8">
        <f>VLOOKUP($C275,'ASDR FY2'!$A:$X,H$14,FALSE)/1000</f>
        <v>1041.4029599999999</v>
      </c>
      <c r="I275" s="9"/>
      <c r="J275" s="8">
        <f>VLOOKUP($C275,'ASDR FY2'!$A:$X,J$14,FALSE)/1000</f>
        <v>0</v>
      </c>
      <c r="K275" s="10"/>
      <c r="L275" s="8">
        <f>VLOOKUP($C275,'ASDR FY2'!$A:$X,L$13,FALSE)/1000+VLOOKUP($C275,'ASDR FY2'!$A:$X,L$14,FALSE)/1000</f>
        <v>0</v>
      </c>
      <c r="M275" s="10"/>
      <c r="N275" s="8">
        <f>VLOOKUP($C275,'ASDR FY2'!$A:$X,N$13,FALSE)/1000+VLOOKUP($C275,'ASDR FY2'!$A:$X,N$14,FALSE)/1000</f>
        <v>0</v>
      </c>
      <c r="O275" s="8"/>
      <c r="P275" s="8">
        <f>VLOOKUP($C275,'ASDR FY2'!$A:$X,P$13,FALSE)/1000+VLOOKUP($C275,'ASDR FY2'!$A:$X,P$14,FALSE)/1000+VLOOKUP($C275,'ASDR FY2'!$A:$X,P$15,FALSE)/1000</f>
        <v>0</v>
      </c>
      <c r="Q275" s="9"/>
      <c r="R275" s="8">
        <f>SUM(F275,H275,J275,L275,N275,P275)</f>
        <v>10651.128579999986</v>
      </c>
      <c r="S275" s="10"/>
      <c r="T275" s="8">
        <f>VLOOKUP($C275,'ASDR FY2'!$A:$X,T$14,FALSE)/1000</f>
        <v>10130.427099999999</v>
      </c>
    </row>
    <row r="276" spans="1:20" x14ac:dyDescent="0.25">
      <c r="A276" s="155">
        <f t="shared" si="4"/>
        <v>36</v>
      </c>
      <c r="C276" s="153">
        <v>34231</v>
      </c>
      <c r="D276" s="150" t="s">
        <v>82</v>
      </c>
      <c r="F276" s="8">
        <f>VLOOKUP($C276,'ASDR FY2'!$A:$X,F$14,FALSE)/1000</f>
        <v>38098.120839999981</v>
      </c>
      <c r="G276" s="152"/>
      <c r="H276" s="8">
        <f>VLOOKUP($C276,'ASDR FY2'!$A:$X,H$14,FALSE)/1000</f>
        <v>4578.1608499999993</v>
      </c>
      <c r="I276" s="9"/>
      <c r="J276" s="8">
        <f>VLOOKUP($C276,'ASDR FY2'!$A:$X,J$14,FALSE)/1000</f>
        <v>-3504.7807400000002</v>
      </c>
      <c r="K276" s="10"/>
      <c r="L276" s="8">
        <f>VLOOKUP($C276,'ASDR FY2'!$A:$X,L$13,FALSE)/1000+VLOOKUP($C276,'ASDR FY2'!$A:$X,L$14,FALSE)/1000</f>
        <v>-112.20415</v>
      </c>
      <c r="M276" s="10"/>
      <c r="N276" s="8">
        <f>VLOOKUP($C276,'ASDR FY2'!$A:$X,N$13,FALSE)/1000+VLOOKUP($C276,'ASDR FY2'!$A:$X,N$14,FALSE)/1000</f>
        <v>0</v>
      </c>
      <c r="O276" s="8"/>
      <c r="P276" s="8">
        <f>VLOOKUP($C276,'ASDR FY2'!$A:$X,P$13,FALSE)/1000+VLOOKUP($C276,'ASDR FY2'!$A:$X,P$14,FALSE)/1000+VLOOKUP($C276,'ASDR FY2'!$A:$X,P$15,FALSE)/1000</f>
        <v>0</v>
      </c>
      <c r="Q276" s="9"/>
      <c r="R276" s="8">
        <f>SUM(F276,H276,J276,L276,N276,P276)</f>
        <v>39059.296799999982</v>
      </c>
      <c r="S276" s="10"/>
      <c r="T276" s="8">
        <f>VLOOKUP($C276,'ASDR FY2'!$A:$X,T$14,FALSE)/1000</f>
        <v>38502.885350000004</v>
      </c>
    </row>
    <row r="277" spans="1:20" x14ac:dyDescent="0.25">
      <c r="A277" s="155">
        <f t="shared" si="4"/>
        <v>37</v>
      </c>
      <c r="C277" s="153">
        <v>34331</v>
      </c>
      <c r="D277" s="150" t="s">
        <v>83</v>
      </c>
      <c r="F277" s="8">
        <f>VLOOKUP($C277,'ASDR FY2'!$A:$X,F$14,FALSE)/1000</f>
        <v>105037.29293999996</v>
      </c>
      <c r="G277" s="152"/>
      <c r="H277" s="8">
        <f>VLOOKUP($C277,'ASDR FY2'!$A:$X,H$14,FALSE)/1000</f>
        <v>13633.02072</v>
      </c>
      <c r="I277" s="9"/>
      <c r="J277" s="8">
        <f>VLOOKUP($C277,'ASDR FY2'!$A:$X,J$14,FALSE)/1000</f>
        <v>-3504.7807400000002</v>
      </c>
      <c r="K277" s="10"/>
      <c r="L277" s="8">
        <f>VLOOKUP($C277,'ASDR FY2'!$A:$X,L$13,FALSE)/1000+VLOOKUP($C277,'ASDR FY2'!$A:$X,L$14,FALSE)/1000</f>
        <v>-112.20415</v>
      </c>
      <c r="M277" s="10"/>
      <c r="N277" s="8">
        <f>VLOOKUP($C277,'ASDR FY2'!$A:$X,N$13,FALSE)/1000+VLOOKUP($C277,'ASDR FY2'!$A:$X,N$14,FALSE)/1000</f>
        <v>0</v>
      </c>
      <c r="O277" s="8"/>
      <c r="P277" s="8">
        <f>VLOOKUP($C277,'ASDR FY2'!$A:$X,P$13,FALSE)/1000+VLOOKUP($C277,'ASDR FY2'!$A:$X,P$14,FALSE)/1000+VLOOKUP($C277,'ASDR FY2'!$A:$X,P$15,FALSE)/1000</f>
        <v>0</v>
      </c>
      <c r="Q277" s="9"/>
      <c r="R277" s="8">
        <f>SUM(F277,H277,J277,L277,N277,P277)</f>
        <v>115053.32876999995</v>
      </c>
      <c r="S277" s="10"/>
      <c r="T277" s="8">
        <f>VLOOKUP($C277,'ASDR FY2'!$A:$X,T$14,FALSE)/1000</f>
        <v>109964.93092</v>
      </c>
    </row>
    <row r="278" spans="1:20" x14ac:dyDescent="0.25">
      <c r="A278" s="155">
        <f t="shared" si="4"/>
        <v>38</v>
      </c>
      <c r="C278" s="153">
        <v>34531</v>
      </c>
      <c r="D278" s="150" t="s">
        <v>49</v>
      </c>
      <c r="F278" s="8">
        <f>VLOOKUP($C278,'ASDR FY2'!$A:$X,F$14,FALSE)/1000</f>
        <v>23536.486480000018</v>
      </c>
      <c r="G278" s="152"/>
      <c r="H278" s="8">
        <f>VLOOKUP($C278,'ASDR FY2'!$A:$X,H$14,FALSE)/1000</f>
        <v>1364.2263600000001</v>
      </c>
      <c r="I278" s="9"/>
      <c r="J278" s="8">
        <f>VLOOKUP($C278,'ASDR FY2'!$A:$X,J$14,FALSE)/1000</f>
        <v>0</v>
      </c>
      <c r="K278" s="10"/>
      <c r="L278" s="8">
        <f>VLOOKUP($C278,'ASDR FY2'!$A:$X,L$13,FALSE)/1000+VLOOKUP($C278,'ASDR FY2'!$A:$X,L$14,FALSE)/1000</f>
        <v>0</v>
      </c>
      <c r="M278" s="10"/>
      <c r="N278" s="8">
        <f>VLOOKUP($C278,'ASDR FY2'!$A:$X,N$13,FALSE)/1000+VLOOKUP($C278,'ASDR FY2'!$A:$X,N$14,FALSE)/1000</f>
        <v>0</v>
      </c>
      <c r="O278" s="8"/>
      <c r="P278" s="8">
        <f>VLOOKUP($C278,'ASDR FY2'!$A:$X,P$13,FALSE)/1000+VLOOKUP($C278,'ASDR FY2'!$A:$X,P$14,FALSE)/1000+VLOOKUP($C278,'ASDR FY2'!$A:$X,P$15,FALSE)/1000</f>
        <v>0</v>
      </c>
      <c r="Q278" s="9"/>
      <c r="R278" s="8">
        <f>SUM(F278,H278,J278,L278,N278,P278)</f>
        <v>24900.712840000018</v>
      </c>
      <c r="S278" s="10"/>
      <c r="T278" s="8">
        <f>VLOOKUP($C278,'ASDR FY2'!$A:$X,T$14,FALSE)/1000</f>
        <v>24218.59966</v>
      </c>
    </row>
    <row r="279" spans="1:20" x14ac:dyDescent="0.25">
      <c r="A279" s="155">
        <f t="shared" si="4"/>
        <v>39</v>
      </c>
      <c r="C279" s="153">
        <v>34631</v>
      </c>
      <c r="D279" s="150" t="s">
        <v>50</v>
      </c>
      <c r="F279" s="8">
        <f>VLOOKUP($C279,'ASDR FY2'!$A:$X,F$14,FALSE)/1000</f>
        <v>673.43115999999884</v>
      </c>
      <c r="G279" s="152"/>
      <c r="H279" s="8">
        <f>VLOOKUP($C279,'ASDR FY2'!$A:$X,H$14,FALSE)/1000</f>
        <v>50.437800000000003</v>
      </c>
      <c r="I279" s="9"/>
      <c r="J279" s="8">
        <f>VLOOKUP($C279,'ASDR FY2'!$A:$X,J$14,FALSE)/1000</f>
        <v>0</v>
      </c>
      <c r="K279" s="10"/>
      <c r="L279" s="8">
        <f>VLOOKUP($C279,'ASDR FY2'!$A:$X,L$13,FALSE)/1000+VLOOKUP($C279,'ASDR FY2'!$A:$X,L$14,FALSE)/1000</f>
        <v>0</v>
      </c>
      <c r="M279" s="10"/>
      <c r="N279" s="8">
        <f>VLOOKUP($C279,'ASDR FY2'!$A:$X,N$13,FALSE)/1000+VLOOKUP($C279,'ASDR FY2'!$A:$X,N$14,FALSE)/1000</f>
        <v>0</v>
      </c>
      <c r="O279" s="8"/>
      <c r="P279" s="8">
        <f>VLOOKUP($C279,'ASDR FY2'!$A:$X,P$13,FALSE)/1000+VLOOKUP($C279,'ASDR FY2'!$A:$X,P$14,FALSE)/1000+VLOOKUP($C279,'ASDR FY2'!$A:$X,P$15,FALSE)/1000</f>
        <v>0</v>
      </c>
      <c r="Q279" s="9"/>
      <c r="R279" s="8">
        <f>SUM(F279,H279,J279,L279,N279,P279)</f>
        <v>723.86895999999888</v>
      </c>
      <c r="S279" s="10"/>
      <c r="T279" s="8">
        <f>VLOOKUP($C279,'ASDR FY2'!$A:$X,T$14,FALSE)/1000</f>
        <v>698.65006000000005</v>
      </c>
    </row>
    <row r="280" spans="1:20" x14ac:dyDescent="0.25">
      <c r="A280" s="155">
        <f t="shared" si="4"/>
        <v>40</v>
      </c>
      <c r="C280" s="155"/>
      <c r="D280" s="173" t="s">
        <v>113</v>
      </c>
      <c r="F280" s="12">
        <f>SUM(F275:F279)</f>
        <v>176955.05703999996</v>
      </c>
      <c r="H280" s="12">
        <f>SUM(H275:H279)</f>
        <v>20667.24869</v>
      </c>
      <c r="I280" s="13"/>
      <c r="J280" s="12">
        <f>SUM(J275:J279)</f>
        <v>-7009.5614800000003</v>
      </c>
      <c r="K280" s="13"/>
      <c r="L280" s="12">
        <f>SUM(L275:L279)</f>
        <v>-224.4083</v>
      </c>
      <c r="M280" s="13"/>
      <c r="N280" s="12">
        <f>SUM(N275:N279)</f>
        <v>0</v>
      </c>
      <c r="O280" s="65"/>
      <c r="P280" s="12">
        <f>SUM(P275:P279)</f>
        <v>0</v>
      </c>
      <c r="Q280" s="13"/>
      <c r="R280" s="12">
        <f>SUM(R275:R279)</f>
        <v>190388.33594999995</v>
      </c>
      <c r="S280" s="13"/>
      <c r="T280" s="12">
        <f>SUM(T275:T279)</f>
        <v>183515.49309000003</v>
      </c>
    </row>
    <row r="281" spans="1:20" x14ac:dyDescent="0.25">
      <c r="A281" s="155">
        <f t="shared" si="4"/>
        <v>41</v>
      </c>
      <c r="Q281" s="152"/>
    </row>
    <row r="282" spans="1:20" x14ac:dyDescent="0.25">
      <c r="A282" s="155">
        <f t="shared" si="4"/>
        <v>42</v>
      </c>
      <c r="Q282" s="152"/>
    </row>
    <row r="283" spans="1:20" x14ac:dyDescent="0.25">
      <c r="A283" s="155">
        <f t="shared" si="4"/>
        <v>43</v>
      </c>
      <c r="Q283" s="152"/>
    </row>
    <row r="284" spans="1:20" ht="13.8" thickBot="1" x14ac:dyDescent="0.3">
      <c r="A284" s="156">
        <f t="shared" si="4"/>
        <v>44</v>
      </c>
      <c r="B284" s="20" t="s">
        <v>60</v>
      </c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5"/>
      <c r="R284" s="147"/>
      <c r="S284" s="147"/>
      <c r="T284" s="147"/>
    </row>
    <row r="285" spans="1:20" x14ac:dyDescent="0.25">
      <c r="A285" s="150" t="str">
        <f>+$A$57</f>
        <v>Supporting Schedules:  B-10, B-11</v>
      </c>
      <c r="Q285" s="152"/>
      <c r="R285" s="150" t="str">
        <f>+$R$57</f>
        <v>Recap Schedules:  B-03, B-06</v>
      </c>
    </row>
    <row r="286" spans="1:20" ht="13.8" thickBot="1" x14ac:dyDescent="0.3">
      <c r="A286" s="147" t="str">
        <f>$A$1</f>
        <v>SCHEDULE B-09</v>
      </c>
      <c r="B286" s="147"/>
      <c r="C286" s="147"/>
      <c r="D286" s="147"/>
      <c r="E286" s="147"/>
      <c r="F286" s="147" t="str">
        <f>$F$1</f>
        <v>DEPRECIATION RESERVE BALANCES BY ACCOUNT AND SUB-ACCOUNT</v>
      </c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5"/>
      <c r="R286" s="147"/>
      <c r="S286" s="147"/>
      <c r="T286" s="147" t="str">
        <f>"Page 6 of " &amp; $R$1</f>
        <v>Page 6 of 30</v>
      </c>
    </row>
    <row r="287" spans="1:20" x14ac:dyDescent="0.25">
      <c r="A287" s="150" t="str">
        <f>$A$2</f>
        <v>FLORIDA PUBLIC SERVICE COMMISSION</v>
      </c>
      <c r="B287" s="170"/>
      <c r="E287" s="152" t="str">
        <f>$E$2</f>
        <v xml:space="preserve">                  EXPLANATION:</v>
      </c>
      <c r="F287" s="150" t="str">
        <f>IF($F$2="","",$F$2)</f>
        <v>Provide the depreciation reserve balances for each account or sub-account to which</v>
      </c>
      <c r="J287" s="149"/>
      <c r="K287" s="149"/>
      <c r="M287" s="149"/>
      <c r="N287" s="149"/>
      <c r="O287" s="149"/>
      <c r="P287" s="149"/>
      <c r="Q287" s="148"/>
      <c r="R287" s="150" t="str">
        <f>$R$2</f>
        <v>Type of data shown:</v>
      </c>
      <c r="T287" s="151"/>
    </row>
    <row r="288" spans="1:20" x14ac:dyDescent="0.25">
      <c r="B288" s="170"/>
      <c r="F288" s="150" t="str">
        <f>IF($F$3="","",$F$3)</f>
        <v>an individual depreciation rate is applied. (Include Amortization/Recovery amounts).</v>
      </c>
      <c r="J288" s="152"/>
      <c r="K288" s="151"/>
      <c r="N288" s="152"/>
      <c r="O288" s="152"/>
      <c r="P288" s="152"/>
      <c r="Q288" s="152" t="str">
        <f>IF($Q$3=0,"",$Q$3)</f>
        <v>XX</v>
      </c>
      <c r="R288" s="151" t="str">
        <f>$R$3</f>
        <v>Projected Test Year Ended 12/31/2025</v>
      </c>
      <c r="T288" s="152"/>
    </row>
    <row r="289" spans="1:20" x14ac:dyDescent="0.25">
      <c r="A289" s="150" t="str">
        <f>$A$4</f>
        <v>COMPANY: TAMPA ELECTRIC COMPANY</v>
      </c>
      <c r="B289" s="170"/>
      <c r="F289" s="150" t="str">
        <f>IF(+$F$4="","",$F$4)</f>
        <v/>
      </c>
      <c r="J289" s="152"/>
      <c r="K289" s="151"/>
      <c r="L289" s="152"/>
      <c r="Q289" s="152" t="str">
        <f>IF($Q$4=0,"",$Q$4)</f>
        <v/>
      </c>
      <c r="R289" s="151" t="str">
        <f>$R$4</f>
        <v>Projected Prior Year Ended 12/31/2024</v>
      </c>
      <c r="T289" s="152"/>
    </row>
    <row r="290" spans="1:20" x14ac:dyDescent="0.25">
      <c r="B290" s="170"/>
      <c r="F290" s="150" t="str">
        <f>IF(+$F$5="","",$F$5)</f>
        <v/>
      </c>
      <c r="J290" s="152"/>
      <c r="K290" s="151"/>
      <c r="L290" s="152"/>
      <c r="Q290" s="152" t="str">
        <f>IF($Q$5=0,"",$Q$5)</f>
        <v/>
      </c>
      <c r="R290" s="151" t="str">
        <f>$R$5</f>
        <v>Historical Prior Year Ended 12/31/2023</v>
      </c>
      <c r="T290" s="152"/>
    </row>
    <row r="291" spans="1:20" x14ac:dyDescent="0.25">
      <c r="B291" s="170"/>
      <c r="J291" s="152"/>
      <c r="K291" s="151"/>
      <c r="L291" s="152"/>
      <c r="Q291" s="152"/>
      <c r="R291" s="151" t="str">
        <f>$R$6</f>
        <v>Witness: C. Aldazabal / N. Allis / J. Chronister</v>
      </c>
      <c r="T291" s="152"/>
    </row>
    <row r="292" spans="1:20" ht="13.8" thickBot="1" x14ac:dyDescent="0.3">
      <c r="A292" s="147" t="str">
        <f>A$7</f>
        <v>DOCKET No. 20240026-EI</v>
      </c>
      <c r="B292" s="171"/>
      <c r="C292" s="147"/>
      <c r="D292" s="147"/>
      <c r="E292" s="147"/>
      <c r="F292" s="147" t="str">
        <f>IF(+$F$7="","",$F$7)</f>
        <v/>
      </c>
      <c r="G292" s="147"/>
      <c r="H292" s="156" t="str">
        <f>IF($H$7="","",$H$7)</f>
        <v>(Dollars in 000's)</v>
      </c>
      <c r="I292" s="147"/>
      <c r="J292" s="147"/>
      <c r="K292" s="147"/>
      <c r="L292" s="147"/>
      <c r="M292" s="147"/>
      <c r="N292" s="147"/>
      <c r="O292" s="147"/>
      <c r="P292" s="147"/>
      <c r="Q292" s="145"/>
      <c r="R292" s="147" t="str">
        <f>$R$7</f>
        <v xml:space="preserve">             / R. Latta / K. Stryker / C. Whitworth</v>
      </c>
      <c r="S292" s="147"/>
      <c r="T292" s="147"/>
    </row>
    <row r="293" spans="1:20" x14ac:dyDescent="0.25"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4"/>
      <c r="R293" s="153"/>
      <c r="S293" s="153"/>
      <c r="T293" s="153"/>
    </row>
    <row r="294" spans="1:20" x14ac:dyDescent="0.25">
      <c r="C294" s="153" t="s">
        <v>13</v>
      </c>
      <c r="D294" s="153" t="s">
        <v>14</v>
      </c>
      <c r="E294" s="153"/>
      <c r="F294" s="153" t="s">
        <v>15</v>
      </c>
      <c r="G294" s="153"/>
      <c r="H294" s="153" t="s">
        <v>16</v>
      </c>
      <c r="I294" s="153"/>
      <c r="J294" s="155" t="s">
        <v>17</v>
      </c>
      <c r="K294" s="155"/>
      <c r="L294" s="153" t="s">
        <v>18</v>
      </c>
      <c r="M294" s="153"/>
      <c r="N294" s="153" t="s">
        <v>19</v>
      </c>
      <c r="O294" s="153"/>
      <c r="P294" s="153" t="s">
        <v>20</v>
      </c>
      <c r="Q294" s="154"/>
      <c r="R294" s="153" t="s">
        <v>21</v>
      </c>
      <c r="S294" s="153"/>
      <c r="T294" s="153" t="s">
        <v>22</v>
      </c>
    </row>
    <row r="295" spans="1:20" x14ac:dyDescent="0.25">
      <c r="C295" s="155" t="s">
        <v>23</v>
      </c>
      <c r="D295" s="155" t="s">
        <v>23</v>
      </c>
      <c r="F295" s="155" t="s">
        <v>24</v>
      </c>
      <c r="G295" s="155"/>
      <c r="H295" s="153" t="s">
        <v>25</v>
      </c>
      <c r="I295" s="155"/>
      <c r="J295" s="153"/>
      <c r="K295" s="155"/>
      <c r="L295" s="155"/>
      <c r="M295" s="155"/>
      <c r="Q295" s="152"/>
      <c r="R295" s="155" t="s">
        <v>24</v>
      </c>
      <c r="T295" s="155"/>
    </row>
    <row r="296" spans="1:20" x14ac:dyDescent="0.25">
      <c r="A296" s="155" t="s">
        <v>26</v>
      </c>
      <c r="B296" s="155"/>
      <c r="C296" s="155" t="s">
        <v>27</v>
      </c>
      <c r="D296" s="155" t="s">
        <v>27</v>
      </c>
      <c r="E296" s="153"/>
      <c r="F296" s="155" t="s">
        <v>28</v>
      </c>
      <c r="G296" s="155"/>
      <c r="H296" s="155" t="s">
        <v>28</v>
      </c>
      <c r="I296" s="155"/>
      <c r="J296" s="155"/>
      <c r="K296" s="153"/>
      <c r="L296" s="155" t="s">
        <v>29</v>
      </c>
      <c r="M296" s="151"/>
      <c r="N296" s="155" t="s">
        <v>29</v>
      </c>
      <c r="O296" s="155"/>
      <c r="P296" s="155" t="s">
        <v>30</v>
      </c>
      <c r="Q296" s="154"/>
      <c r="R296" s="153" t="s">
        <v>28</v>
      </c>
      <c r="S296" s="153"/>
      <c r="T296" s="155" t="s">
        <v>31</v>
      </c>
    </row>
    <row r="297" spans="1:20" ht="13.8" thickBot="1" x14ac:dyDescent="0.3">
      <c r="A297" s="156" t="s">
        <v>32</v>
      </c>
      <c r="B297" s="156"/>
      <c r="C297" s="156" t="s">
        <v>33</v>
      </c>
      <c r="D297" s="156" t="s">
        <v>34</v>
      </c>
      <c r="E297" s="156"/>
      <c r="F297" s="157" t="s">
        <v>35</v>
      </c>
      <c r="G297" s="157"/>
      <c r="H297" s="157" t="s">
        <v>36</v>
      </c>
      <c r="I297" s="158"/>
      <c r="J297" s="157" t="s">
        <v>37</v>
      </c>
      <c r="K297" s="158"/>
      <c r="L297" s="158" t="s">
        <v>38</v>
      </c>
      <c r="M297" s="159"/>
      <c r="N297" s="159" t="s">
        <v>39</v>
      </c>
      <c r="O297" s="159"/>
      <c r="P297" s="159" t="s">
        <v>40</v>
      </c>
      <c r="Q297" s="160"/>
      <c r="R297" s="159" t="s">
        <v>41</v>
      </c>
      <c r="S297" s="159"/>
      <c r="T297" s="159" t="s">
        <v>42</v>
      </c>
    </row>
    <row r="298" spans="1:20" x14ac:dyDescent="0.25">
      <c r="A298" s="155">
        <v>1</v>
      </c>
      <c r="B298" s="161"/>
      <c r="Q298" s="152"/>
    </row>
    <row r="299" spans="1:20" x14ac:dyDescent="0.25">
      <c r="A299" s="155">
        <f>A298+1</f>
        <v>2</v>
      </c>
      <c r="B299" s="161"/>
      <c r="C299" s="155"/>
      <c r="D299" s="173" t="s">
        <v>114</v>
      </c>
      <c r="F299" s="166"/>
      <c r="H299" s="14"/>
      <c r="I299" s="15"/>
      <c r="J299" s="15"/>
      <c r="K299" s="15"/>
      <c r="L299" s="15"/>
      <c r="M299" s="15"/>
      <c r="N299" s="15"/>
      <c r="O299" s="15"/>
      <c r="P299" s="15"/>
      <c r="Q299" s="15"/>
      <c r="R299" s="13"/>
      <c r="S299" s="15"/>
      <c r="T299" s="15"/>
    </row>
    <row r="300" spans="1:20" x14ac:dyDescent="0.25">
      <c r="A300" s="155">
        <f t="shared" ref="A300:A341" si="5">A299+1</f>
        <v>3</v>
      </c>
      <c r="B300" s="161"/>
      <c r="C300" s="153">
        <v>34132</v>
      </c>
      <c r="D300" s="150" t="s">
        <v>46</v>
      </c>
      <c r="F300" s="8">
        <f>VLOOKUP($C300,'ASDR FY2'!$A:$X,F$14,FALSE)/1000</f>
        <v>14552.664960000016</v>
      </c>
      <c r="G300" s="152"/>
      <c r="H300" s="8">
        <f>VLOOKUP($C300,'ASDR FY2'!$A:$X,H$14,FALSE)/1000</f>
        <v>1150.3601999999998</v>
      </c>
      <c r="I300" s="9"/>
      <c r="J300" s="8">
        <f>VLOOKUP($C300,'ASDR FY2'!$A:$X,J$14,FALSE)/1000</f>
        <v>0</v>
      </c>
      <c r="K300" s="10"/>
      <c r="L300" s="8">
        <f>VLOOKUP($C300,'ASDR FY2'!$A:$X,L$13,FALSE)/1000+VLOOKUP($C300,'ASDR FY2'!$A:$X,L$14,FALSE)/1000</f>
        <v>0</v>
      </c>
      <c r="M300" s="10"/>
      <c r="N300" s="8">
        <f>VLOOKUP($C300,'ASDR FY2'!$A:$X,N$13,FALSE)/1000+VLOOKUP($C300,'ASDR FY2'!$A:$X,N$14,FALSE)/1000</f>
        <v>0</v>
      </c>
      <c r="O300" s="8"/>
      <c r="P300" s="8">
        <f>VLOOKUP($C300,'ASDR FY2'!$A:$X,P$13,FALSE)/1000+VLOOKUP($C300,'ASDR FY2'!$A:$X,P$14,FALSE)/1000+VLOOKUP($C300,'ASDR FY2'!$A:$X,P$15,FALSE)/1000</f>
        <v>0</v>
      </c>
      <c r="Q300" s="9"/>
      <c r="R300" s="8">
        <f>SUM(F300,H300,J300,L300,N300,P300)</f>
        <v>15703.025160000016</v>
      </c>
      <c r="S300" s="10"/>
      <c r="T300" s="8">
        <f>VLOOKUP($C300,'ASDR FY2'!$A:$X,T$14,FALSE)/1000</f>
        <v>15127.84506</v>
      </c>
    </row>
    <row r="301" spans="1:20" x14ac:dyDescent="0.25">
      <c r="A301" s="155">
        <f t="shared" si="5"/>
        <v>4</v>
      </c>
      <c r="B301" s="161"/>
      <c r="C301" s="153">
        <v>34232</v>
      </c>
      <c r="D301" s="150" t="s">
        <v>82</v>
      </c>
      <c r="F301" s="8">
        <f>VLOOKUP($C301,'ASDR FY2'!$A:$X,F$14,FALSE)/1000</f>
        <v>41339.893114999963</v>
      </c>
      <c r="G301" s="152"/>
      <c r="H301" s="8">
        <f>VLOOKUP($C301,'ASDR FY2'!$A:$X,H$14,FALSE)/1000</f>
        <v>8065.1194000000005</v>
      </c>
      <c r="I301" s="9"/>
      <c r="J301" s="8">
        <f>VLOOKUP($C301,'ASDR FY2'!$A:$X,J$14,FALSE)/1000</f>
        <v>-1197.0979</v>
      </c>
      <c r="K301" s="10"/>
      <c r="L301" s="8">
        <f>VLOOKUP($C301,'ASDR FY2'!$A:$X,L$13,FALSE)/1000+VLOOKUP($C301,'ASDR FY2'!$A:$X,L$14,FALSE)/1000</f>
        <v>-1225</v>
      </c>
      <c r="M301" s="10"/>
      <c r="N301" s="8">
        <f>VLOOKUP($C301,'ASDR FY2'!$A:$X,N$13,FALSE)/1000+VLOOKUP($C301,'ASDR FY2'!$A:$X,N$14,FALSE)/1000</f>
        <v>0</v>
      </c>
      <c r="O301" s="8"/>
      <c r="P301" s="8">
        <f>VLOOKUP($C301,'ASDR FY2'!$A:$X,P$13,FALSE)/1000+VLOOKUP($C301,'ASDR FY2'!$A:$X,P$14,FALSE)/1000+VLOOKUP($C301,'ASDR FY2'!$A:$X,P$15,FALSE)/1000</f>
        <v>0</v>
      </c>
      <c r="Q301" s="9"/>
      <c r="R301" s="8">
        <f>SUM(F301,H301,J301,L301,N301,P301)</f>
        <v>46982.914614999965</v>
      </c>
      <c r="S301" s="10"/>
      <c r="T301" s="8">
        <f>VLOOKUP($C301,'ASDR FY2'!$A:$X,T$14,FALSE)/1000</f>
        <v>44248.025609999997</v>
      </c>
    </row>
    <row r="302" spans="1:20" x14ac:dyDescent="0.25">
      <c r="A302" s="155">
        <f t="shared" si="5"/>
        <v>5</v>
      </c>
      <c r="B302" s="161"/>
      <c r="C302" s="153">
        <v>34332</v>
      </c>
      <c r="D302" s="150" t="s">
        <v>83</v>
      </c>
      <c r="F302" s="8">
        <f>VLOOKUP($C302,'ASDR FY2'!$A:$X,F$14,FALSE)/1000</f>
        <v>127467.80104499994</v>
      </c>
      <c r="G302" s="152"/>
      <c r="H302" s="8">
        <f>VLOOKUP($C302,'ASDR FY2'!$A:$X,H$14,FALSE)/1000</f>
        <v>17642.310219999999</v>
      </c>
      <c r="I302" s="9"/>
      <c r="J302" s="8">
        <f>VLOOKUP($C302,'ASDR FY2'!$A:$X,J$14,FALSE)/1000</f>
        <v>-1197.0979</v>
      </c>
      <c r="K302" s="10"/>
      <c r="L302" s="8">
        <f>VLOOKUP($C302,'ASDR FY2'!$A:$X,L$13,FALSE)/1000+VLOOKUP($C302,'ASDR FY2'!$A:$X,L$14,FALSE)/1000</f>
        <v>-1225</v>
      </c>
      <c r="M302" s="10"/>
      <c r="N302" s="8">
        <f>VLOOKUP($C302,'ASDR FY2'!$A:$X,N$13,FALSE)/1000+VLOOKUP($C302,'ASDR FY2'!$A:$X,N$14,FALSE)/1000</f>
        <v>0</v>
      </c>
      <c r="O302" s="8"/>
      <c r="P302" s="8">
        <f>VLOOKUP($C302,'ASDR FY2'!$A:$X,P$13,FALSE)/1000+VLOOKUP($C302,'ASDR FY2'!$A:$X,P$14,FALSE)/1000+VLOOKUP($C302,'ASDR FY2'!$A:$X,P$15,FALSE)/1000</f>
        <v>0</v>
      </c>
      <c r="Q302" s="9"/>
      <c r="R302" s="8">
        <f>SUM(F302,H302,J302,L302,N302,P302)</f>
        <v>142688.01336499996</v>
      </c>
      <c r="S302" s="10"/>
      <c r="T302" s="8">
        <f>VLOOKUP($C302,'ASDR FY2'!$A:$X,T$14,FALSE)/1000</f>
        <v>135165.19752000002</v>
      </c>
    </row>
    <row r="303" spans="1:20" x14ac:dyDescent="0.25">
      <c r="A303" s="155">
        <f t="shared" si="5"/>
        <v>6</v>
      </c>
      <c r="B303" s="161"/>
      <c r="C303" s="153">
        <v>34532</v>
      </c>
      <c r="D303" s="150" t="s">
        <v>49</v>
      </c>
      <c r="F303" s="8">
        <f>VLOOKUP($C303,'ASDR FY2'!$A:$X,F$14,FALSE)/1000</f>
        <v>25733.846520000025</v>
      </c>
      <c r="G303" s="152"/>
      <c r="H303" s="8">
        <f>VLOOKUP($C303,'ASDR FY2'!$A:$X,H$14,FALSE)/1000</f>
        <v>1600.2124799999999</v>
      </c>
      <c r="I303" s="9"/>
      <c r="J303" s="8">
        <f>VLOOKUP($C303,'ASDR FY2'!$A:$X,J$14,FALSE)/1000</f>
        <v>0</v>
      </c>
      <c r="K303" s="10"/>
      <c r="L303" s="8">
        <f>VLOOKUP($C303,'ASDR FY2'!$A:$X,L$13,FALSE)/1000+VLOOKUP($C303,'ASDR FY2'!$A:$X,L$14,FALSE)/1000</f>
        <v>0</v>
      </c>
      <c r="M303" s="10"/>
      <c r="N303" s="8">
        <f>VLOOKUP($C303,'ASDR FY2'!$A:$X,N$13,FALSE)/1000+VLOOKUP($C303,'ASDR FY2'!$A:$X,N$14,FALSE)/1000</f>
        <v>0</v>
      </c>
      <c r="O303" s="8"/>
      <c r="P303" s="8">
        <f>VLOOKUP($C303,'ASDR FY2'!$A:$X,P$13,FALSE)/1000+VLOOKUP($C303,'ASDR FY2'!$A:$X,P$14,FALSE)/1000+VLOOKUP($C303,'ASDR FY2'!$A:$X,P$15,FALSE)/1000</f>
        <v>0</v>
      </c>
      <c r="Q303" s="9"/>
      <c r="R303" s="8">
        <f>SUM(F303,H303,J303,L303,N303,P303)</f>
        <v>27334.059000000023</v>
      </c>
      <c r="S303" s="10"/>
      <c r="T303" s="8">
        <f>VLOOKUP($C303,'ASDR FY2'!$A:$X,T$14,FALSE)/1000</f>
        <v>26533.95276</v>
      </c>
    </row>
    <row r="304" spans="1:20" x14ac:dyDescent="0.25">
      <c r="A304" s="155">
        <f t="shared" si="5"/>
        <v>7</v>
      </c>
      <c r="B304" s="161"/>
      <c r="C304" s="153">
        <v>34632</v>
      </c>
      <c r="D304" s="150" t="s">
        <v>50</v>
      </c>
      <c r="F304" s="8">
        <f>VLOOKUP($C304,'ASDR FY2'!$A:$X,F$14,FALSE)/1000</f>
        <v>853.78874000000019</v>
      </c>
      <c r="G304" s="152"/>
      <c r="H304" s="8">
        <f>VLOOKUP($C304,'ASDR FY2'!$A:$X,H$14,FALSE)/1000</f>
        <v>60.261480000000006</v>
      </c>
      <c r="I304" s="9"/>
      <c r="J304" s="8">
        <f>VLOOKUP($C304,'ASDR FY2'!$A:$X,J$14,FALSE)/1000</f>
        <v>0</v>
      </c>
      <c r="K304" s="10"/>
      <c r="L304" s="8">
        <f>VLOOKUP($C304,'ASDR FY2'!$A:$X,L$13,FALSE)/1000+VLOOKUP($C304,'ASDR FY2'!$A:$X,L$14,FALSE)/1000</f>
        <v>0</v>
      </c>
      <c r="M304" s="10"/>
      <c r="N304" s="8">
        <f>VLOOKUP($C304,'ASDR FY2'!$A:$X,N$13,FALSE)/1000+VLOOKUP($C304,'ASDR FY2'!$A:$X,N$14,FALSE)/1000</f>
        <v>0</v>
      </c>
      <c r="O304" s="8"/>
      <c r="P304" s="8">
        <f>VLOOKUP($C304,'ASDR FY2'!$A:$X,P$13,FALSE)/1000+VLOOKUP($C304,'ASDR FY2'!$A:$X,P$14,FALSE)/1000+VLOOKUP($C304,'ASDR FY2'!$A:$X,P$15,FALSE)/1000</f>
        <v>0</v>
      </c>
      <c r="Q304" s="9"/>
      <c r="R304" s="8">
        <f>SUM(F304,H304,J304,L304,N304,P304)</f>
        <v>914.05022000000019</v>
      </c>
      <c r="S304" s="10"/>
      <c r="T304" s="8">
        <f>VLOOKUP($C304,'ASDR FY2'!$A:$X,T$14,FALSE)/1000</f>
        <v>883.91948000000002</v>
      </c>
    </row>
    <row r="305" spans="1:20" x14ac:dyDescent="0.25">
      <c r="A305" s="155">
        <f t="shared" si="5"/>
        <v>8</v>
      </c>
      <c r="B305" s="161"/>
      <c r="C305" s="155"/>
      <c r="D305" s="173" t="s">
        <v>115</v>
      </c>
      <c r="F305" s="12">
        <f>SUM(F300:F304)</f>
        <v>209947.99437999993</v>
      </c>
      <c r="H305" s="12">
        <f>SUM(H300:H304)</f>
        <v>28518.263779999997</v>
      </c>
      <c r="I305" s="13"/>
      <c r="J305" s="12">
        <f>SUM(J300:J304)</f>
        <v>-2394.1958</v>
      </c>
      <c r="K305" s="13"/>
      <c r="L305" s="12">
        <f>SUM(L300:L304)</f>
        <v>-2450</v>
      </c>
      <c r="M305" s="13"/>
      <c r="N305" s="12">
        <f>SUM(N300:N304)</f>
        <v>0</v>
      </c>
      <c r="O305" s="65"/>
      <c r="P305" s="12">
        <f>SUM(P300:P304)</f>
        <v>0</v>
      </c>
      <c r="Q305" s="13"/>
      <c r="R305" s="12">
        <f>SUM(R300:R304)</f>
        <v>233622.06235999995</v>
      </c>
      <c r="S305" s="13"/>
      <c r="T305" s="12">
        <f>SUM(T300:T304)</f>
        <v>221958.94043000005</v>
      </c>
    </row>
    <row r="306" spans="1:20" x14ac:dyDescent="0.25">
      <c r="A306" s="155">
        <f t="shared" si="5"/>
        <v>9</v>
      </c>
      <c r="B306" s="161"/>
      <c r="Q306" s="152"/>
    </row>
    <row r="307" spans="1:20" x14ac:dyDescent="0.25">
      <c r="A307" s="155">
        <f t="shared" si="5"/>
        <v>10</v>
      </c>
      <c r="B307" s="161"/>
      <c r="C307" s="155"/>
      <c r="D307" s="173" t="s">
        <v>116</v>
      </c>
      <c r="I307" s="15"/>
      <c r="K307" s="15"/>
      <c r="M307" s="15"/>
      <c r="Q307" s="15"/>
      <c r="S307" s="15"/>
    </row>
    <row r="308" spans="1:20" x14ac:dyDescent="0.25">
      <c r="A308" s="155">
        <f t="shared" si="5"/>
        <v>11</v>
      </c>
      <c r="B308" s="161"/>
      <c r="C308" s="153">
        <v>34133</v>
      </c>
      <c r="D308" s="150" t="s">
        <v>46</v>
      </c>
      <c r="F308" s="8">
        <f>VLOOKUP($C308,'ASDR FY2'!$A:$X,F$14,FALSE)/1000</f>
        <v>75.171190000000038</v>
      </c>
      <c r="G308" s="152"/>
      <c r="H308" s="8">
        <f>VLOOKUP($C308,'ASDR FY2'!$A:$X,H$14,FALSE)/1000</f>
        <v>27.8292</v>
      </c>
      <c r="I308" s="9"/>
      <c r="J308" s="8">
        <f>VLOOKUP($C308,'ASDR FY2'!$A:$X,J$14,FALSE)/1000</f>
        <v>0</v>
      </c>
      <c r="K308" s="10"/>
      <c r="L308" s="8">
        <f>VLOOKUP($C308,'ASDR FY2'!$A:$X,L$13,FALSE)/1000+VLOOKUP($C308,'ASDR FY2'!$A:$X,L$14,FALSE)/1000</f>
        <v>0</v>
      </c>
      <c r="M308" s="10"/>
      <c r="N308" s="8">
        <f>VLOOKUP($C308,'ASDR FY2'!$A:$X,N$13,FALSE)/1000+VLOOKUP($C308,'ASDR FY2'!$A:$X,N$14,FALSE)/1000</f>
        <v>0</v>
      </c>
      <c r="O308" s="8"/>
      <c r="P308" s="8">
        <f>VLOOKUP($C308,'ASDR FY2'!$A:$X,P$13,FALSE)/1000+VLOOKUP($C308,'ASDR FY2'!$A:$X,P$14,FALSE)/1000+VLOOKUP($C308,'ASDR FY2'!$A:$X,P$15,FALSE)/1000</f>
        <v>0</v>
      </c>
      <c r="Q308" s="9"/>
      <c r="R308" s="8">
        <f>SUM(F308,H308,J308,L308,N308,P308)</f>
        <v>103.00039000000004</v>
      </c>
      <c r="S308" s="10"/>
      <c r="T308" s="8">
        <f>VLOOKUP($C308,'ASDR FY2'!$A:$X,T$14,FALSE)/1000</f>
        <v>89.085789999999989</v>
      </c>
    </row>
    <row r="309" spans="1:20" x14ac:dyDescent="0.25">
      <c r="A309" s="155">
        <f t="shared" si="5"/>
        <v>12</v>
      </c>
      <c r="B309" s="161"/>
      <c r="C309" s="153">
        <v>34233</v>
      </c>
      <c r="D309" s="150" t="s">
        <v>82</v>
      </c>
      <c r="F309" s="8">
        <f>VLOOKUP($C309,'ASDR FY2'!$A:$X,F$14,FALSE)/1000</f>
        <v>1093.3202199999992</v>
      </c>
      <c r="G309" s="152"/>
      <c r="H309" s="8">
        <f>VLOOKUP($C309,'ASDR FY2'!$A:$X,H$14,FALSE)/1000</f>
        <v>151.84320000000002</v>
      </c>
      <c r="I309" s="9"/>
      <c r="J309" s="8">
        <f>VLOOKUP($C309,'ASDR FY2'!$A:$X,J$14,FALSE)/1000</f>
        <v>0</v>
      </c>
      <c r="K309" s="10"/>
      <c r="L309" s="8">
        <f>VLOOKUP($C309,'ASDR FY2'!$A:$X,L$13,FALSE)/1000+VLOOKUP($C309,'ASDR FY2'!$A:$X,L$14,FALSE)/1000</f>
        <v>0</v>
      </c>
      <c r="M309" s="10"/>
      <c r="N309" s="8">
        <f>VLOOKUP($C309,'ASDR FY2'!$A:$X,N$13,FALSE)/1000+VLOOKUP($C309,'ASDR FY2'!$A:$X,N$14,FALSE)/1000</f>
        <v>0</v>
      </c>
      <c r="O309" s="8"/>
      <c r="P309" s="8">
        <f>VLOOKUP($C309,'ASDR FY2'!$A:$X,P$13,FALSE)/1000+VLOOKUP($C309,'ASDR FY2'!$A:$X,P$14,FALSE)/1000+VLOOKUP($C309,'ASDR FY2'!$A:$X,P$15,FALSE)/1000</f>
        <v>0</v>
      </c>
      <c r="Q309" s="9"/>
      <c r="R309" s="8">
        <f>SUM(F309,H309,J309,L309,N309,P309)</f>
        <v>1245.1634199999992</v>
      </c>
      <c r="S309" s="10"/>
      <c r="T309" s="8">
        <f>VLOOKUP($C309,'ASDR FY2'!$A:$X,T$14,FALSE)/1000</f>
        <v>1169.24182</v>
      </c>
    </row>
    <row r="310" spans="1:20" x14ac:dyDescent="0.25">
      <c r="A310" s="155">
        <f t="shared" si="5"/>
        <v>13</v>
      </c>
      <c r="B310" s="161"/>
      <c r="C310" s="153">
        <v>34333</v>
      </c>
      <c r="D310" s="150" t="s">
        <v>83</v>
      </c>
      <c r="F310" s="8">
        <f>VLOOKUP($C310,'ASDR FY2'!$A:$X,F$14,FALSE)/1000</f>
        <v>9023.4204900000059</v>
      </c>
      <c r="G310" s="152"/>
      <c r="H310" s="8">
        <f>VLOOKUP($C310,'ASDR FY2'!$A:$X,H$14,FALSE)/1000</f>
        <v>356.16300000000001</v>
      </c>
      <c r="I310" s="9"/>
      <c r="J310" s="8">
        <f>VLOOKUP($C310,'ASDR FY2'!$A:$X,J$14,FALSE)/1000</f>
        <v>0</v>
      </c>
      <c r="K310" s="10"/>
      <c r="L310" s="8">
        <f>VLOOKUP($C310,'ASDR FY2'!$A:$X,L$13,FALSE)/1000+VLOOKUP($C310,'ASDR FY2'!$A:$X,L$14,FALSE)/1000</f>
        <v>0</v>
      </c>
      <c r="M310" s="10"/>
      <c r="N310" s="8">
        <f>VLOOKUP($C310,'ASDR FY2'!$A:$X,N$13,FALSE)/1000+VLOOKUP($C310,'ASDR FY2'!$A:$X,N$14,FALSE)/1000</f>
        <v>0</v>
      </c>
      <c r="O310" s="8"/>
      <c r="P310" s="8">
        <f>VLOOKUP($C310,'ASDR FY2'!$A:$X,P$13,FALSE)/1000+VLOOKUP($C310,'ASDR FY2'!$A:$X,P$14,FALSE)/1000+VLOOKUP($C310,'ASDR FY2'!$A:$X,P$15,FALSE)/1000</f>
        <v>0</v>
      </c>
      <c r="Q310" s="9"/>
      <c r="R310" s="8">
        <f>SUM(F310,H310,J310,L310,N310,P310)</f>
        <v>9379.5834900000063</v>
      </c>
      <c r="S310" s="10"/>
      <c r="T310" s="8">
        <f>VLOOKUP($C310,'ASDR FY2'!$A:$X,T$14,FALSE)/1000</f>
        <v>9201.5019900000007</v>
      </c>
    </row>
    <row r="311" spans="1:20" x14ac:dyDescent="0.25">
      <c r="A311" s="155">
        <f t="shared" si="5"/>
        <v>14</v>
      </c>
      <c r="B311" s="161"/>
      <c r="C311" s="153">
        <v>34533</v>
      </c>
      <c r="D311" s="150" t="s">
        <v>49</v>
      </c>
      <c r="F311" s="8">
        <f>VLOOKUP($C311,'ASDR FY2'!$A:$X,F$14,FALSE)/1000</f>
        <v>6497.5046499999926</v>
      </c>
      <c r="G311" s="152"/>
      <c r="H311" s="8">
        <f>VLOOKUP($C311,'ASDR FY2'!$A:$X,H$14,FALSE)/1000</f>
        <v>364.27668</v>
      </c>
      <c r="I311" s="9"/>
      <c r="J311" s="8">
        <f>VLOOKUP($C311,'ASDR FY2'!$A:$X,J$14,FALSE)/1000</f>
        <v>0</v>
      </c>
      <c r="K311" s="10"/>
      <c r="L311" s="8">
        <f>VLOOKUP($C311,'ASDR FY2'!$A:$X,L$13,FALSE)/1000+VLOOKUP($C311,'ASDR FY2'!$A:$X,L$14,FALSE)/1000</f>
        <v>0</v>
      </c>
      <c r="M311" s="10"/>
      <c r="N311" s="8">
        <f>VLOOKUP($C311,'ASDR FY2'!$A:$X,N$13,FALSE)/1000+VLOOKUP($C311,'ASDR FY2'!$A:$X,N$14,FALSE)/1000</f>
        <v>0</v>
      </c>
      <c r="O311" s="8"/>
      <c r="P311" s="8">
        <f>VLOOKUP($C311,'ASDR FY2'!$A:$X,P$13,FALSE)/1000+VLOOKUP($C311,'ASDR FY2'!$A:$X,P$14,FALSE)/1000+VLOOKUP($C311,'ASDR FY2'!$A:$X,P$15,FALSE)/1000</f>
        <v>0</v>
      </c>
      <c r="Q311" s="9"/>
      <c r="R311" s="8">
        <f>SUM(F311,H311,J311,L311,N311,P311)</f>
        <v>6861.7813299999925</v>
      </c>
      <c r="S311" s="10"/>
      <c r="T311" s="8">
        <f>VLOOKUP($C311,'ASDR FY2'!$A:$X,T$14,FALSE)/1000</f>
        <v>6679.6429900000003</v>
      </c>
    </row>
    <row r="312" spans="1:20" x14ac:dyDescent="0.25">
      <c r="A312" s="155">
        <f t="shared" si="5"/>
        <v>15</v>
      </c>
      <c r="B312" s="161"/>
      <c r="C312" s="153">
        <v>34633</v>
      </c>
      <c r="D312" s="150" t="s">
        <v>50</v>
      </c>
      <c r="F312" s="8">
        <f>VLOOKUP($C312,'ASDR FY2'!$A:$X,F$14,FALSE)/1000</f>
        <v>0.48696000000000011</v>
      </c>
      <c r="G312" s="152"/>
      <c r="H312" s="8">
        <f>VLOOKUP($C312,'ASDR FY2'!$A:$X,H$14,FALSE)/1000</f>
        <v>2.5920000000000002E-2</v>
      </c>
      <c r="I312" s="9"/>
      <c r="J312" s="8">
        <f>VLOOKUP($C312,'ASDR FY2'!$A:$X,J$14,FALSE)/1000</f>
        <v>0</v>
      </c>
      <c r="K312" s="10"/>
      <c r="L312" s="8">
        <f>VLOOKUP($C312,'ASDR FY2'!$A:$X,L$13,FALSE)/1000+VLOOKUP($C312,'ASDR FY2'!$A:$X,L$14,FALSE)/1000</f>
        <v>0</v>
      </c>
      <c r="M312" s="10"/>
      <c r="N312" s="8">
        <f>VLOOKUP($C312,'ASDR FY2'!$A:$X,N$13,FALSE)/1000+VLOOKUP($C312,'ASDR FY2'!$A:$X,N$14,FALSE)/1000</f>
        <v>0</v>
      </c>
      <c r="O312" s="8"/>
      <c r="P312" s="8">
        <f>VLOOKUP($C312,'ASDR FY2'!$A:$X,P$13,FALSE)/1000+VLOOKUP($C312,'ASDR FY2'!$A:$X,P$14,FALSE)/1000+VLOOKUP($C312,'ASDR FY2'!$A:$X,P$15,FALSE)/1000</f>
        <v>0</v>
      </c>
      <c r="Q312" s="9"/>
      <c r="R312" s="8">
        <f>SUM(F312,H312,J312,L312,N312,P312)</f>
        <v>0.51288000000000011</v>
      </c>
      <c r="S312" s="10"/>
      <c r="T312" s="8">
        <f>VLOOKUP($C312,'ASDR FY2'!$A:$X,T$14,FALSE)/1000</f>
        <v>0.49992000000000003</v>
      </c>
    </row>
    <row r="313" spans="1:20" x14ac:dyDescent="0.25">
      <c r="A313" s="155">
        <f t="shared" si="5"/>
        <v>16</v>
      </c>
      <c r="B313" s="161"/>
      <c r="D313" s="173" t="s">
        <v>117</v>
      </c>
      <c r="F313" s="12">
        <f>SUM(F308:F312)</f>
        <v>16689.903509999996</v>
      </c>
      <c r="H313" s="12">
        <f>SUM(H308:H312)</f>
        <v>900.13800000000015</v>
      </c>
      <c r="I313" s="13"/>
      <c r="J313" s="12">
        <f>SUM(J308:J312)</f>
        <v>0</v>
      </c>
      <c r="K313" s="13"/>
      <c r="L313" s="12">
        <f>SUM(L308:L312)</f>
        <v>0</v>
      </c>
      <c r="M313" s="13"/>
      <c r="N313" s="12">
        <f>SUM(N308:N312)</f>
        <v>0</v>
      </c>
      <c r="O313" s="65"/>
      <c r="P313" s="12">
        <f>SUM(P308:P312)</f>
        <v>0</v>
      </c>
      <c r="Q313" s="13"/>
      <c r="R313" s="12">
        <f>SUM(R308:R312)</f>
        <v>17590.041509999999</v>
      </c>
      <c r="S313" s="13"/>
      <c r="T313" s="12">
        <f>SUM(T308:T312)</f>
        <v>17139.97251</v>
      </c>
    </row>
    <row r="314" spans="1:20" x14ac:dyDescent="0.25">
      <c r="A314" s="155">
        <f t="shared" si="5"/>
        <v>17</v>
      </c>
      <c r="B314" s="161"/>
      <c r="Q314" s="152"/>
    </row>
    <row r="315" spans="1:20" x14ac:dyDescent="0.25">
      <c r="A315" s="155">
        <f t="shared" si="5"/>
        <v>18</v>
      </c>
      <c r="B315" s="161"/>
      <c r="C315" s="155"/>
      <c r="D315" s="173" t="s">
        <v>118</v>
      </c>
      <c r="I315" s="15"/>
      <c r="K315" s="15"/>
      <c r="M315" s="15"/>
      <c r="Q315" s="15"/>
      <c r="S315" s="15"/>
    </row>
    <row r="316" spans="1:20" x14ac:dyDescent="0.25">
      <c r="A316" s="155">
        <f t="shared" si="5"/>
        <v>19</v>
      </c>
      <c r="B316" s="161"/>
      <c r="C316" s="153">
        <v>34134</v>
      </c>
      <c r="D316" s="150" t="s">
        <v>46</v>
      </c>
      <c r="F316" s="8">
        <f>VLOOKUP($C316,'ASDR FY2'!$A:$X,F$14,FALSE)/1000</f>
        <v>-73.139029999999934</v>
      </c>
      <c r="G316" s="152"/>
      <c r="H316" s="8">
        <f>VLOOKUP($C316,'ASDR FY2'!$A:$X,H$14,FALSE)/1000</f>
        <v>14.661239999999999</v>
      </c>
      <c r="I316" s="9"/>
      <c r="J316" s="8">
        <f>VLOOKUP($C316,'ASDR FY2'!$A:$X,J$14,FALSE)/1000</f>
        <v>0</v>
      </c>
      <c r="K316" s="10"/>
      <c r="L316" s="8">
        <f>VLOOKUP($C316,'ASDR FY2'!$A:$X,L$13,FALSE)/1000+VLOOKUP($C316,'ASDR FY2'!$A:$X,L$14,FALSE)/1000</f>
        <v>0</v>
      </c>
      <c r="M316" s="10"/>
      <c r="N316" s="8">
        <f>VLOOKUP($C316,'ASDR FY2'!$A:$X,N$13,FALSE)/1000+VLOOKUP($C316,'ASDR FY2'!$A:$X,N$14,FALSE)/1000</f>
        <v>0</v>
      </c>
      <c r="O316" s="8"/>
      <c r="P316" s="8">
        <f>VLOOKUP($C316,'ASDR FY2'!$A:$X,P$13,FALSE)/1000+VLOOKUP($C316,'ASDR FY2'!$A:$X,P$14,FALSE)/1000+VLOOKUP($C316,'ASDR FY2'!$A:$X,P$15,FALSE)/1000</f>
        <v>0</v>
      </c>
      <c r="Q316" s="9"/>
      <c r="R316" s="8">
        <f>SUM(F316,H316,J316,L316,N316,P316)</f>
        <v>-58.477789999999935</v>
      </c>
      <c r="S316" s="10"/>
      <c r="T316" s="8">
        <f>VLOOKUP($C316,'ASDR FY2'!$A:$X,T$14,FALSE)/1000</f>
        <v>-65.808410000000009</v>
      </c>
    </row>
    <row r="317" spans="1:20" x14ac:dyDescent="0.25">
      <c r="A317" s="155">
        <f t="shared" si="5"/>
        <v>20</v>
      </c>
      <c r="B317" s="161"/>
      <c r="C317" s="153">
        <v>34234</v>
      </c>
      <c r="D317" s="150" t="s">
        <v>82</v>
      </c>
      <c r="F317" s="8">
        <f>VLOOKUP($C317,'ASDR FY2'!$A:$X,F$14,FALSE)/1000</f>
        <v>1414.6283200000016</v>
      </c>
      <c r="G317" s="152"/>
      <c r="H317" s="8">
        <f>VLOOKUP($C317,'ASDR FY2'!$A:$X,H$14,FALSE)/1000</f>
        <v>95.093159999999997</v>
      </c>
      <c r="I317" s="9"/>
      <c r="J317" s="8">
        <f>VLOOKUP($C317,'ASDR FY2'!$A:$X,J$14,FALSE)/1000</f>
        <v>0</v>
      </c>
      <c r="K317" s="10"/>
      <c r="L317" s="8">
        <f>VLOOKUP($C317,'ASDR FY2'!$A:$X,L$13,FALSE)/1000+VLOOKUP($C317,'ASDR FY2'!$A:$X,L$14,FALSE)/1000</f>
        <v>0</v>
      </c>
      <c r="M317" s="10"/>
      <c r="N317" s="8">
        <f>VLOOKUP($C317,'ASDR FY2'!$A:$X,N$13,FALSE)/1000+VLOOKUP($C317,'ASDR FY2'!$A:$X,N$14,FALSE)/1000</f>
        <v>0</v>
      </c>
      <c r="O317" s="8"/>
      <c r="P317" s="8">
        <f>VLOOKUP($C317,'ASDR FY2'!$A:$X,P$13,FALSE)/1000+VLOOKUP($C317,'ASDR FY2'!$A:$X,P$14,FALSE)/1000+VLOOKUP($C317,'ASDR FY2'!$A:$X,P$15,FALSE)/1000</f>
        <v>0</v>
      </c>
      <c r="Q317" s="9"/>
      <c r="R317" s="8">
        <f>SUM(F317,H317,J317,L317,N317,P317)</f>
        <v>1509.7214800000015</v>
      </c>
      <c r="S317" s="10"/>
      <c r="T317" s="8">
        <f>VLOOKUP($C317,'ASDR FY2'!$A:$X,T$14,FALSE)/1000</f>
        <v>1462.1749</v>
      </c>
    </row>
    <row r="318" spans="1:20" x14ac:dyDescent="0.25">
      <c r="A318" s="155">
        <f t="shared" si="5"/>
        <v>21</v>
      </c>
      <c r="B318" s="161"/>
      <c r="C318" s="153">
        <v>34334</v>
      </c>
      <c r="D318" s="150" t="s">
        <v>83</v>
      </c>
      <c r="F318" s="8">
        <f>VLOOKUP($C318,'ASDR FY2'!$A:$X,F$14,FALSE)/1000</f>
        <v>9491.777740000005</v>
      </c>
      <c r="G318" s="152"/>
      <c r="H318" s="8">
        <f>VLOOKUP($C318,'ASDR FY2'!$A:$X,H$14,FALSE)/1000</f>
        <v>329.06819999999999</v>
      </c>
      <c r="I318" s="9"/>
      <c r="J318" s="8">
        <f>VLOOKUP($C318,'ASDR FY2'!$A:$X,J$14,FALSE)/1000</f>
        <v>0</v>
      </c>
      <c r="K318" s="10"/>
      <c r="L318" s="8">
        <f>VLOOKUP($C318,'ASDR FY2'!$A:$X,L$13,FALSE)/1000+VLOOKUP($C318,'ASDR FY2'!$A:$X,L$14,FALSE)/1000</f>
        <v>0</v>
      </c>
      <c r="M318" s="10"/>
      <c r="N318" s="8">
        <f>VLOOKUP($C318,'ASDR FY2'!$A:$X,N$13,FALSE)/1000+VLOOKUP($C318,'ASDR FY2'!$A:$X,N$14,FALSE)/1000</f>
        <v>0</v>
      </c>
      <c r="O318" s="8"/>
      <c r="P318" s="8">
        <f>VLOOKUP($C318,'ASDR FY2'!$A:$X,P$13,FALSE)/1000+VLOOKUP($C318,'ASDR FY2'!$A:$X,P$14,FALSE)/1000+VLOOKUP($C318,'ASDR FY2'!$A:$X,P$15,FALSE)/1000</f>
        <v>0</v>
      </c>
      <c r="Q318" s="9"/>
      <c r="R318" s="8">
        <f>SUM(F318,H318,J318,L318,N318,P318)</f>
        <v>9820.8459400000047</v>
      </c>
      <c r="S318" s="10"/>
      <c r="T318" s="8">
        <f>VLOOKUP($C318,'ASDR FY2'!$A:$X,T$14,FALSE)/1000</f>
        <v>9656.3118400000003</v>
      </c>
    </row>
    <row r="319" spans="1:20" x14ac:dyDescent="0.25">
      <c r="A319" s="155">
        <f t="shared" si="5"/>
        <v>22</v>
      </c>
      <c r="B319" s="161"/>
      <c r="C319" s="153">
        <v>34534</v>
      </c>
      <c r="D319" s="150" t="s">
        <v>49</v>
      </c>
      <c r="F319" s="8">
        <f>VLOOKUP($C319,'ASDR FY2'!$A:$X,F$14,FALSE)/1000</f>
        <v>2059.9009699999992</v>
      </c>
      <c r="G319" s="152"/>
      <c r="H319" s="8">
        <f>VLOOKUP($C319,'ASDR FY2'!$A:$X,H$14,FALSE)/1000</f>
        <v>101.8032</v>
      </c>
      <c r="I319" s="9"/>
      <c r="J319" s="8">
        <f>VLOOKUP($C319,'ASDR FY2'!$A:$X,J$14,FALSE)/1000</f>
        <v>0</v>
      </c>
      <c r="K319" s="10"/>
      <c r="L319" s="8">
        <f>VLOOKUP($C319,'ASDR FY2'!$A:$X,L$13,FALSE)/1000+VLOOKUP($C319,'ASDR FY2'!$A:$X,L$14,FALSE)/1000</f>
        <v>0</v>
      </c>
      <c r="M319" s="10"/>
      <c r="N319" s="8">
        <f>VLOOKUP($C319,'ASDR FY2'!$A:$X,N$13,FALSE)/1000+VLOOKUP($C319,'ASDR FY2'!$A:$X,N$14,FALSE)/1000</f>
        <v>0</v>
      </c>
      <c r="O319" s="8"/>
      <c r="P319" s="8">
        <f>VLOOKUP($C319,'ASDR FY2'!$A:$X,P$13,FALSE)/1000+VLOOKUP($C319,'ASDR FY2'!$A:$X,P$14,FALSE)/1000+VLOOKUP($C319,'ASDR FY2'!$A:$X,P$15,FALSE)/1000</f>
        <v>0</v>
      </c>
      <c r="Q319" s="9"/>
      <c r="R319" s="8">
        <f>SUM(F319,H319,J319,L319,N319,P319)</f>
        <v>2161.7041699999991</v>
      </c>
      <c r="S319" s="10"/>
      <c r="T319" s="8">
        <f>VLOOKUP($C319,'ASDR FY2'!$A:$X,T$14,FALSE)/1000</f>
        <v>2110.8025699999998</v>
      </c>
    </row>
    <row r="320" spans="1:20" x14ac:dyDescent="0.25">
      <c r="A320" s="155">
        <f t="shared" si="5"/>
        <v>23</v>
      </c>
      <c r="B320" s="161"/>
      <c r="C320" s="153">
        <v>34634</v>
      </c>
      <c r="D320" s="150" t="s">
        <v>50</v>
      </c>
      <c r="F320" s="8">
        <f>VLOOKUP($C320,'ASDR FY2'!$A:$X,F$14,FALSE)/1000</f>
        <v>0.48696000000000011</v>
      </c>
      <c r="G320" s="152"/>
      <c r="H320" s="8">
        <f>VLOOKUP($C320,'ASDR FY2'!$A:$X,H$14,FALSE)/1000</f>
        <v>2.5920000000000002E-2</v>
      </c>
      <c r="I320" s="9"/>
      <c r="J320" s="8">
        <f>VLOOKUP($C320,'ASDR FY2'!$A:$X,J$14,FALSE)/1000</f>
        <v>0</v>
      </c>
      <c r="K320" s="10"/>
      <c r="L320" s="8">
        <f>VLOOKUP($C320,'ASDR FY2'!$A:$X,L$13,FALSE)/1000+VLOOKUP($C320,'ASDR FY2'!$A:$X,L$14,FALSE)/1000</f>
        <v>0</v>
      </c>
      <c r="M320" s="10"/>
      <c r="N320" s="8">
        <f>VLOOKUP($C320,'ASDR FY2'!$A:$X,N$13,FALSE)/1000+VLOOKUP($C320,'ASDR FY2'!$A:$X,N$14,FALSE)/1000</f>
        <v>0</v>
      </c>
      <c r="O320" s="8"/>
      <c r="P320" s="8">
        <f>VLOOKUP($C320,'ASDR FY2'!$A:$X,P$13,FALSE)/1000+VLOOKUP($C320,'ASDR FY2'!$A:$X,P$14,FALSE)/1000+VLOOKUP($C320,'ASDR FY2'!$A:$X,P$15,FALSE)/1000</f>
        <v>0</v>
      </c>
      <c r="Q320" s="9"/>
      <c r="R320" s="8">
        <f>SUM(F320,H320,J320,L320,N320,P320)</f>
        <v>0.51288000000000011</v>
      </c>
      <c r="S320" s="10"/>
      <c r="T320" s="8">
        <f>VLOOKUP($C320,'ASDR FY2'!$A:$X,T$14,FALSE)/1000</f>
        <v>0.49992000000000003</v>
      </c>
    </row>
    <row r="321" spans="1:20" x14ac:dyDescent="0.25">
      <c r="A321" s="155">
        <f t="shared" si="5"/>
        <v>24</v>
      </c>
      <c r="B321" s="161"/>
      <c r="C321" s="155"/>
      <c r="D321" s="173" t="s">
        <v>119</v>
      </c>
      <c r="F321" s="12">
        <f>SUM(F316:F320)</f>
        <v>12893.654960000005</v>
      </c>
      <c r="H321" s="12">
        <f>SUM(H316:H320)</f>
        <v>540.65172000000007</v>
      </c>
      <c r="I321" s="13"/>
      <c r="J321" s="12">
        <f>SUM(J316:J320)</f>
        <v>0</v>
      </c>
      <c r="K321" s="13"/>
      <c r="L321" s="12">
        <f>SUM(L316:L320)</f>
        <v>0</v>
      </c>
      <c r="M321" s="13"/>
      <c r="N321" s="12">
        <f>SUM(N316:N320)</f>
        <v>0</v>
      </c>
      <c r="O321" s="65"/>
      <c r="P321" s="12">
        <f>SUM(P316:P320)</f>
        <v>0</v>
      </c>
      <c r="Q321" s="13"/>
      <c r="R321" s="12">
        <f>SUM(R316:R320)</f>
        <v>13434.306680000005</v>
      </c>
      <c r="S321" s="13"/>
      <c r="T321" s="12">
        <f>SUM(T316:T320)</f>
        <v>13163.980820000001</v>
      </c>
    </row>
    <row r="322" spans="1:20" x14ac:dyDescent="0.25">
      <c r="A322" s="155">
        <f t="shared" si="5"/>
        <v>25</v>
      </c>
      <c r="B322" s="161"/>
      <c r="Q322" s="152"/>
    </row>
    <row r="323" spans="1:20" x14ac:dyDescent="0.25">
      <c r="A323" s="155">
        <f t="shared" si="5"/>
        <v>26</v>
      </c>
      <c r="B323" s="161"/>
      <c r="C323" s="168"/>
      <c r="D323" s="173" t="s">
        <v>120</v>
      </c>
      <c r="E323" s="155"/>
      <c r="F323" s="174"/>
      <c r="G323" s="174"/>
      <c r="H323" s="174"/>
      <c r="I323" s="180"/>
      <c r="J323" s="174"/>
      <c r="K323" s="180"/>
      <c r="L323" s="180"/>
      <c r="M323" s="153"/>
      <c r="N323" s="153"/>
      <c r="O323" s="153"/>
      <c r="P323" s="153"/>
      <c r="Q323" s="154"/>
      <c r="R323" s="153"/>
      <c r="S323" s="153"/>
      <c r="T323" s="153"/>
    </row>
    <row r="324" spans="1:20" x14ac:dyDescent="0.25">
      <c r="A324" s="155">
        <f t="shared" si="5"/>
        <v>27</v>
      </c>
      <c r="B324" s="161"/>
      <c r="C324" s="153">
        <v>34135</v>
      </c>
      <c r="D324" s="150" t="s">
        <v>46</v>
      </c>
      <c r="E324" s="155"/>
      <c r="F324" s="8">
        <f>VLOOKUP($C324,'ASDR FY2'!$A:$X,F$14,FALSE)/1000</f>
        <v>-27.676379999999998</v>
      </c>
      <c r="G324" s="152"/>
      <c r="H324" s="8">
        <f>VLOOKUP($C324,'ASDR FY2'!$A:$X,H$14,FALSE)/1000</f>
        <v>38.545319999999997</v>
      </c>
      <c r="I324" s="9"/>
      <c r="J324" s="8">
        <f>VLOOKUP($C324,'ASDR FY2'!$A:$X,J$14,FALSE)/1000</f>
        <v>0</v>
      </c>
      <c r="K324" s="10"/>
      <c r="L324" s="8">
        <f>VLOOKUP($C324,'ASDR FY2'!$A:$X,L$13,FALSE)/1000+VLOOKUP($C324,'ASDR FY2'!$A:$X,L$14,FALSE)/1000</f>
        <v>0</v>
      </c>
      <c r="M324" s="10"/>
      <c r="N324" s="8">
        <f>VLOOKUP($C324,'ASDR FY2'!$A:$X,N$13,FALSE)/1000+VLOOKUP($C324,'ASDR FY2'!$A:$X,N$14,FALSE)/1000</f>
        <v>0</v>
      </c>
      <c r="O324" s="8"/>
      <c r="P324" s="8">
        <f>VLOOKUP($C324,'ASDR FY2'!$A:$X,P$13,FALSE)/1000+VLOOKUP($C324,'ASDR FY2'!$A:$X,P$14,FALSE)/1000+VLOOKUP($C324,'ASDR FY2'!$A:$X,P$15,FALSE)/1000</f>
        <v>0</v>
      </c>
      <c r="Q324" s="9"/>
      <c r="R324" s="8">
        <f>SUM(F324,H324,J324,L324,N324,P324)</f>
        <v>10.868939999999998</v>
      </c>
      <c r="S324" s="10"/>
      <c r="T324" s="8">
        <f>VLOOKUP($C324,'ASDR FY2'!$A:$X,T$14,FALSE)/1000</f>
        <v>-8.4037199999999999</v>
      </c>
    </row>
    <row r="325" spans="1:20" x14ac:dyDescent="0.25">
      <c r="A325" s="155">
        <f t="shared" si="5"/>
        <v>28</v>
      </c>
      <c r="B325" s="161"/>
      <c r="C325" s="153">
        <v>34235</v>
      </c>
      <c r="D325" s="150" t="s">
        <v>82</v>
      </c>
      <c r="E325" s="155"/>
      <c r="F325" s="8">
        <f>VLOOKUP($C325,'ASDR FY2'!$A:$X,F$14,FALSE)/1000</f>
        <v>844.70081000000027</v>
      </c>
      <c r="G325" s="152"/>
      <c r="H325" s="8">
        <f>VLOOKUP($C325,'ASDR FY2'!$A:$X,H$14,FALSE)/1000</f>
        <v>67.851960000000005</v>
      </c>
      <c r="I325" s="9"/>
      <c r="J325" s="8">
        <f>VLOOKUP($C325,'ASDR FY2'!$A:$X,J$14,FALSE)/1000</f>
        <v>0</v>
      </c>
      <c r="K325" s="10"/>
      <c r="L325" s="8">
        <f>VLOOKUP($C325,'ASDR FY2'!$A:$X,L$13,FALSE)/1000+VLOOKUP($C325,'ASDR FY2'!$A:$X,L$14,FALSE)/1000</f>
        <v>0</v>
      </c>
      <c r="M325" s="10"/>
      <c r="N325" s="8">
        <f>VLOOKUP($C325,'ASDR FY2'!$A:$X,N$13,FALSE)/1000+VLOOKUP($C325,'ASDR FY2'!$A:$X,N$14,FALSE)/1000</f>
        <v>0</v>
      </c>
      <c r="O325" s="8"/>
      <c r="P325" s="8">
        <f>VLOOKUP($C325,'ASDR FY2'!$A:$X,P$13,FALSE)/1000+VLOOKUP($C325,'ASDR FY2'!$A:$X,P$14,FALSE)/1000+VLOOKUP($C325,'ASDR FY2'!$A:$X,P$15,FALSE)/1000</f>
        <v>0</v>
      </c>
      <c r="Q325" s="9"/>
      <c r="R325" s="8">
        <f>SUM(F325,H325,J325,L325,N325,P325)</f>
        <v>912.55277000000024</v>
      </c>
      <c r="S325" s="10"/>
      <c r="T325" s="8">
        <f>VLOOKUP($C325,'ASDR FY2'!$A:$X,T$14,FALSE)/1000</f>
        <v>878.62679000000003</v>
      </c>
    </row>
    <row r="326" spans="1:20" x14ac:dyDescent="0.25">
      <c r="A326" s="155">
        <f t="shared" si="5"/>
        <v>29</v>
      </c>
      <c r="B326" s="161"/>
      <c r="C326" s="153">
        <v>34335</v>
      </c>
      <c r="D326" s="150" t="s">
        <v>83</v>
      </c>
      <c r="E326" s="155"/>
      <c r="F326" s="8">
        <f>VLOOKUP($C326,'ASDR FY2'!$A:$X,F$14,FALSE)/1000</f>
        <v>11929.082480000001</v>
      </c>
      <c r="G326" s="152"/>
      <c r="H326" s="8">
        <f>VLOOKUP($C326,'ASDR FY2'!$A:$X,H$14,FALSE)/1000</f>
        <v>389.19623999999999</v>
      </c>
      <c r="I326" s="9"/>
      <c r="J326" s="8">
        <f>VLOOKUP($C326,'ASDR FY2'!$A:$X,J$14,FALSE)/1000</f>
        <v>0</v>
      </c>
      <c r="K326" s="10"/>
      <c r="L326" s="8">
        <f>VLOOKUP($C326,'ASDR FY2'!$A:$X,L$13,FALSE)/1000+VLOOKUP($C326,'ASDR FY2'!$A:$X,L$14,FALSE)/1000</f>
        <v>0</v>
      </c>
      <c r="M326" s="10"/>
      <c r="N326" s="8">
        <f>VLOOKUP($C326,'ASDR FY2'!$A:$X,N$13,FALSE)/1000+VLOOKUP($C326,'ASDR FY2'!$A:$X,N$14,FALSE)/1000</f>
        <v>0</v>
      </c>
      <c r="O326" s="8"/>
      <c r="P326" s="8">
        <f>VLOOKUP($C326,'ASDR FY2'!$A:$X,P$13,FALSE)/1000+VLOOKUP($C326,'ASDR FY2'!$A:$X,P$14,FALSE)/1000+VLOOKUP($C326,'ASDR FY2'!$A:$X,P$15,FALSE)/1000</f>
        <v>0</v>
      </c>
      <c r="Q326" s="9"/>
      <c r="R326" s="8">
        <f>SUM(F326,H326,J326,L326,N326,P326)</f>
        <v>12318.27872</v>
      </c>
      <c r="S326" s="10"/>
      <c r="T326" s="8">
        <f>VLOOKUP($C326,'ASDR FY2'!$A:$X,T$14,FALSE)/1000</f>
        <v>12123.6806</v>
      </c>
    </row>
    <row r="327" spans="1:20" x14ac:dyDescent="0.25">
      <c r="A327" s="155">
        <f t="shared" si="5"/>
        <v>30</v>
      </c>
      <c r="B327" s="161"/>
      <c r="C327" s="153">
        <v>34535</v>
      </c>
      <c r="D327" s="150" t="s">
        <v>49</v>
      </c>
      <c r="E327" s="155"/>
      <c r="F327" s="8">
        <f>VLOOKUP($C327,'ASDR FY2'!$A:$X,F$14,FALSE)/1000</f>
        <v>5186.2953899999929</v>
      </c>
      <c r="G327" s="152"/>
      <c r="H327" s="8">
        <f>VLOOKUP($C327,'ASDR FY2'!$A:$X,H$14,FALSE)/1000</f>
        <v>183.19188</v>
      </c>
      <c r="I327" s="9"/>
      <c r="J327" s="8">
        <f>VLOOKUP($C327,'ASDR FY2'!$A:$X,J$14,FALSE)/1000</f>
        <v>0</v>
      </c>
      <c r="K327" s="10"/>
      <c r="L327" s="8">
        <f>VLOOKUP($C327,'ASDR FY2'!$A:$X,L$13,FALSE)/1000+VLOOKUP($C327,'ASDR FY2'!$A:$X,L$14,FALSE)/1000</f>
        <v>0</v>
      </c>
      <c r="M327" s="10"/>
      <c r="N327" s="8">
        <f>VLOOKUP($C327,'ASDR FY2'!$A:$X,N$13,FALSE)/1000+VLOOKUP($C327,'ASDR FY2'!$A:$X,N$14,FALSE)/1000</f>
        <v>0</v>
      </c>
      <c r="O327" s="8"/>
      <c r="P327" s="8">
        <f>VLOOKUP($C327,'ASDR FY2'!$A:$X,P$13,FALSE)/1000+VLOOKUP($C327,'ASDR FY2'!$A:$X,P$14,FALSE)/1000+VLOOKUP($C327,'ASDR FY2'!$A:$X,P$15,FALSE)/1000</f>
        <v>0</v>
      </c>
      <c r="Q327" s="9"/>
      <c r="R327" s="8">
        <f>SUM(F327,H327,J327,L327,N327,P327)</f>
        <v>5369.4872699999933</v>
      </c>
      <c r="S327" s="10"/>
      <c r="T327" s="8">
        <f>VLOOKUP($C327,'ASDR FY2'!$A:$X,T$14,FALSE)/1000</f>
        <v>5277.8913300000004</v>
      </c>
    </row>
    <row r="328" spans="1:20" x14ac:dyDescent="0.25">
      <c r="A328" s="155">
        <f t="shared" si="5"/>
        <v>31</v>
      </c>
      <c r="B328" s="161"/>
      <c r="C328" s="153">
        <v>34635</v>
      </c>
      <c r="D328" s="150" t="s">
        <v>50</v>
      </c>
      <c r="F328" s="8">
        <f>VLOOKUP($C328,'ASDR FY2'!$A:$X,F$14,FALSE)/1000</f>
        <v>0</v>
      </c>
      <c r="G328" s="152"/>
      <c r="H328" s="8">
        <f>VLOOKUP($C328,'ASDR FY2'!$A:$X,H$14,FALSE)/1000</f>
        <v>0</v>
      </c>
      <c r="I328" s="9"/>
      <c r="J328" s="8">
        <f>VLOOKUP($C328,'ASDR FY2'!$A:$X,J$14,FALSE)/1000</f>
        <v>0</v>
      </c>
      <c r="K328" s="10"/>
      <c r="L328" s="8">
        <f>VLOOKUP($C328,'ASDR FY2'!$A:$X,L$13,FALSE)/1000+VLOOKUP($C328,'ASDR FY2'!$A:$X,L$14,FALSE)/1000</f>
        <v>0</v>
      </c>
      <c r="M328" s="10"/>
      <c r="N328" s="8">
        <f>VLOOKUP($C328,'ASDR FY2'!$A:$X,N$13,FALSE)/1000+VLOOKUP($C328,'ASDR FY2'!$A:$X,N$14,FALSE)/1000</f>
        <v>0</v>
      </c>
      <c r="O328" s="8"/>
      <c r="P328" s="8">
        <f>VLOOKUP($C328,'ASDR FY2'!$A:$X,P$13,FALSE)/1000+VLOOKUP($C328,'ASDR FY2'!$A:$X,P$14,FALSE)/1000+VLOOKUP($C328,'ASDR FY2'!$A:$X,P$15,FALSE)/1000</f>
        <v>0</v>
      </c>
      <c r="Q328" s="9"/>
      <c r="R328" s="8">
        <f>SUM(F328,H328,J328,L328,N328,P328)</f>
        <v>0</v>
      </c>
      <c r="S328" s="10"/>
      <c r="T328" s="8">
        <f>VLOOKUP($C328,'ASDR FY2'!$A:$X,T$14,FALSE)/1000</f>
        <v>0</v>
      </c>
    </row>
    <row r="329" spans="1:20" x14ac:dyDescent="0.25">
      <c r="A329" s="155">
        <f t="shared" si="5"/>
        <v>32</v>
      </c>
      <c r="B329" s="161"/>
      <c r="C329" s="155"/>
      <c r="D329" s="173" t="s">
        <v>121</v>
      </c>
      <c r="E329" s="155"/>
      <c r="F329" s="12">
        <f>SUM(F324:F328)</f>
        <v>17932.402299999994</v>
      </c>
      <c r="H329" s="12">
        <f>SUM(H324:H328)</f>
        <v>678.78539999999998</v>
      </c>
      <c r="I329" s="13"/>
      <c r="J329" s="12">
        <f>SUM(J324:J328)</f>
        <v>0</v>
      </c>
      <c r="K329" s="13"/>
      <c r="L329" s="12">
        <f>SUM(L324:L328)</f>
        <v>0</v>
      </c>
      <c r="M329" s="13"/>
      <c r="N329" s="12">
        <f>SUM(N324:N328)</f>
        <v>0</v>
      </c>
      <c r="O329" s="65"/>
      <c r="P329" s="12">
        <f>SUM(P324:P328)</f>
        <v>0</v>
      </c>
      <c r="Q329" s="13"/>
      <c r="R329" s="12">
        <f>SUM(R324:R328)</f>
        <v>18611.187699999995</v>
      </c>
      <c r="S329" s="13"/>
      <c r="T329" s="12">
        <f>SUM(T324:T328)</f>
        <v>18271.794999999998</v>
      </c>
    </row>
    <row r="330" spans="1:20" x14ac:dyDescent="0.25">
      <c r="A330" s="155">
        <f t="shared" si="5"/>
        <v>33</v>
      </c>
      <c r="B330" s="161"/>
      <c r="Q330" s="152"/>
    </row>
    <row r="331" spans="1:20" x14ac:dyDescent="0.25">
      <c r="A331" s="155">
        <f t="shared" si="5"/>
        <v>34</v>
      </c>
      <c r="B331" s="161"/>
      <c r="C331" s="155"/>
      <c r="D331" s="173" t="s">
        <v>122</v>
      </c>
      <c r="I331" s="15"/>
      <c r="K331" s="15"/>
      <c r="M331" s="15"/>
      <c r="Q331" s="15"/>
    </row>
    <row r="332" spans="1:20" x14ac:dyDescent="0.25">
      <c r="A332" s="155">
        <f t="shared" si="5"/>
        <v>35</v>
      </c>
      <c r="B332" s="161"/>
      <c r="C332" s="153">
        <v>34136</v>
      </c>
      <c r="D332" s="150" t="s">
        <v>46</v>
      </c>
      <c r="F332" s="8">
        <f>VLOOKUP($C332,'ASDR FY2'!$A:$X,F$14,FALSE)/1000</f>
        <v>695.08772000000113</v>
      </c>
      <c r="G332" s="152"/>
      <c r="H332" s="8">
        <f>VLOOKUP($C332,'ASDR FY2'!$A:$X,H$14,FALSE)/1000</f>
        <v>96.155640000000005</v>
      </c>
      <c r="I332" s="9"/>
      <c r="J332" s="8">
        <f>VLOOKUP($C332,'ASDR FY2'!$A:$X,J$14,FALSE)/1000</f>
        <v>0</v>
      </c>
      <c r="K332" s="10"/>
      <c r="L332" s="8">
        <f>VLOOKUP($C332,'ASDR FY2'!$A:$X,L$13,FALSE)/1000+VLOOKUP($C332,'ASDR FY2'!$A:$X,L$14,FALSE)/1000</f>
        <v>0</v>
      </c>
      <c r="M332" s="10"/>
      <c r="N332" s="8">
        <f>VLOOKUP($C332,'ASDR FY2'!$A:$X,N$13,FALSE)/1000+VLOOKUP($C332,'ASDR FY2'!$A:$X,N$14,FALSE)/1000</f>
        <v>0</v>
      </c>
      <c r="O332" s="8"/>
      <c r="P332" s="8">
        <f>VLOOKUP($C332,'ASDR FY2'!$A:$X,P$13,FALSE)/1000+VLOOKUP($C332,'ASDR FY2'!$A:$X,P$14,FALSE)/1000+VLOOKUP($C332,'ASDR FY2'!$A:$X,P$15,FALSE)/1000</f>
        <v>0</v>
      </c>
      <c r="Q332" s="9"/>
      <c r="R332" s="8">
        <f>SUM(F332,H332,J332,L332,N332,P332)</f>
        <v>791.24336000000108</v>
      </c>
      <c r="S332" s="10"/>
      <c r="T332" s="8">
        <f>VLOOKUP($C332,'ASDR FY2'!$A:$X,T$14,FALSE)/1000</f>
        <v>743.16554000000008</v>
      </c>
    </row>
    <row r="333" spans="1:20" x14ac:dyDescent="0.25">
      <c r="A333" s="155">
        <f t="shared" si="5"/>
        <v>36</v>
      </c>
      <c r="B333" s="161"/>
      <c r="C333" s="153">
        <v>34236</v>
      </c>
      <c r="D333" s="150" t="s">
        <v>82</v>
      </c>
      <c r="F333" s="8">
        <f>VLOOKUP($C333,'ASDR FY2'!$A:$X,F$14,FALSE)/1000</f>
        <v>635.39815999999917</v>
      </c>
      <c r="G333" s="152"/>
      <c r="H333" s="8">
        <f>VLOOKUP($C333,'ASDR FY2'!$A:$X,H$14,FALSE)/1000</f>
        <v>44.38608</v>
      </c>
      <c r="I333" s="9"/>
      <c r="J333" s="8">
        <f>VLOOKUP($C333,'ASDR FY2'!$A:$X,J$14,FALSE)/1000</f>
        <v>0</v>
      </c>
      <c r="K333" s="10"/>
      <c r="L333" s="8">
        <f>VLOOKUP($C333,'ASDR FY2'!$A:$X,L$13,FALSE)/1000+VLOOKUP($C333,'ASDR FY2'!$A:$X,L$14,FALSE)/1000</f>
        <v>0</v>
      </c>
      <c r="M333" s="10"/>
      <c r="N333" s="8">
        <f>VLOOKUP($C333,'ASDR FY2'!$A:$X,N$13,FALSE)/1000+VLOOKUP($C333,'ASDR FY2'!$A:$X,N$14,FALSE)/1000</f>
        <v>0</v>
      </c>
      <c r="O333" s="8"/>
      <c r="P333" s="8">
        <f>VLOOKUP($C333,'ASDR FY2'!$A:$X,P$13,FALSE)/1000+VLOOKUP($C333,'ASDR FY2'!$A:$X,P$14,FALSE)/1000+VLOOKUP($C333,'ASDR FY2'!$A:$X,P$15,FALSE)/1000</f>
        <v>0</v>
      </c>
      <c r="Q333" s="9"/>
      <c r="R333" s="8">
        <f>SUM(F333,H333,J333,L333,N333,P333)</f>
        <v>679.78423999999916</v>
      </c>
      <c r="S333" s="10"/>
      <c r="T333" s="8">
        <f>VLOOKUP($C333,'ASDR FY2'!$A:$X,T$14,FALSE)/1000</f>
        <v>657.59119999999996</v>
      </c>
    </row>
    <row r="334" spans="1:20" x14ac:dyDescent="0.25">
      <c r="A334" s="155">
        <f t="shared" si="5"/>
        <v>37</v>
      </c>
      <c r="B334" s="161"/>
      <c r="C334" s="153">
        <v>34336</v>
      </c>
      <c r="D334" s="150" t="s">
        <v>83</v>
      </c>
      <c r="F334" s="8">
        <f>VLOOKUP($C334,'ASDR FY2'!$A:$X,F$14,FALSE)/1000</f>
        <v>11493.965270000008</v>
      </c>
      <c r="G334" s="152"/>
      <c r="H334" s="8">
        <f>VLOOKUP($C334,'ASDR FY2'!$A:$X,H$14,FALSE)/1000</f>
        <v>315.75767999999999</v>
      </c>
      <c r="I334" s="9"/>
      <c r="J334" s="8">
        <f>VLOOKUP($C334,'ASDR FY2'!$A:$X,J$14,FALSE)/1000</f>
        <v>0</v>
      </c>
      <c r="K334" s="10"/>
      <c r="L334" s="8">
        <f>VLOOKUP($C334,'ASDR FY2'!$A:$X,L$13,FALSE)/1000+VLOOKUP($C334,'ASDR FY2'!$A:$X,L$14,FALSE)/1000</f>
        <v>0</v>
      </c>
      <c r="M334" s="10"/>
      <c r="N334" s="8">
        <f>VLOOKUP($C334,'ASDR FY2'!$A:$X,N$13,FALSE)/1000+VLOOKUP($C334,'ASDR FY2'!$A:$X,N$14,FALSE)/1000</f>
        <v>0</v>
      </c>
      <c r="O334" s="8"/>
      <c r="P334" s="8">
        <f>VLOOKUP($C334,'ASDR FY2'!$A:$X,P$13,FALSE)/1000+VLOOKUP($C334,'ASDR FY2'!$A:$X,P$14,FALSE)/1000+VLOOKUP($C334,'ASDR FY2'!$A:$X,P$15,FALSE)/1000</f>
        <v>0</v>
      </c>
      <c r="Q334" s="9"/>
      <c r="R334" s="8">
        <f>SUM(F334,H334,J334,L334,N334,P334)</f>
        <v>11809.722950000008</v>
      </c>
      <c r="S334" s="10"/>
      <c r="T334" s="8">
        <f>VLOOKUP($C334,'ASDR FY2'!$A:$X,T$14,FALSE)/1000</f>
        <v>11651.84411</v>
      </c>
    </row>
    <row r="335" spans="1:20" x14ac:dyDescent="0.25">
      <c r="A335" s="155">
        <f t="shared" si="5"/>
        <v>38</v>
      </c>
      <c r="B335" s="161"/>
      <c r="C335" s="153">
        <v>34536</v>
      </c>
      <c r="D335" s="150" t="s">
        <v>49</v>
      </c>
      <c r="F335" s="8">
        <f>VLOOKUP($C335,'ASDR FY2'!$A:$X,F$14,FALSE)/1000</f>
        <v>7179.1434200000058</v>
      </c>
      <c r="G335" s="152"/>
      <c r="H335" s="8">
        <f>VLOOKUP($C335,'ASDR FY2'!$A:$X,H$14,FALSE)/1000</f>
        <v>345.9162</v>
      </c>
      <c r="I335" s="9"/>
      <c r="J335" s="8">
        <f>VLOOKUP($C335,'ASDR FY2'!$A:$X,J$14,FALSE)/1000</f>
        <v>0</v>
      </c>
      <c r="K335" s="10"/>
      <c r="L335" s="8">
        <f>VLOOKUP($C335,'ASDR FY2'!$A:$X,L$13,FALSE)/1000+VLOOKUP($C335,'ASDR FY2'!$A:$X,L$14,FALSE)/1000</f>
        <v>0</v>
      </c>
      <c r="M335" s="10"/>
      <c r="N335" s="8">
        <f>VLOOKUP($C335,'ASDR FY2'!$A:$X,N$13,FALSE)/1000+VLOOKUP($C335,'ASDR FY2'!$A:$X,N$14,FALSE)/1000</f>
        <v>0</v>
      </c>
      <c r="O335" s="8"/>
      <c r="P335" s="8">
        <f>VLOOKUP($C335,'ASDR FY2'!$A:$X,P$13,FALSE)/1000+VLOOKUP($C335,'ASDR FY2'!$A:$X,P$14,FALSE)/1000+VLOOKUP($C335,'ASDR FY2'!$A:$X,P$15,FALSE)/1000</f>
        <v>0</v>
      </c>
      <c r="Q335" s="9"/>
      <c r="R335" s="8">
        <f>SUM(F335,H335,J335,L335,N335,P335)</f>
        <v>7525.0596200000055</v>
      </c>
      <c r="S335" s="10"/>
      <c r="T335" s="8">
        <f>VLOOKUP($C335,'ASDR FY2'!$A:$X,T$14,FALSE)/1000</f>
        <v>7352.1015199999993</v>
      </c>
    </row>
    <row r="336" spans="1:20" x14ac:dyDescent="0.25">
      <c r="A336" s="155">
        <f t="shared" si="5"/>
        <v>39</v>
      </c>
      <c r="B336" s="161"/>
      <c r="C336" s="153">
        <v>34636</v>
      </c>
      <c r="D336" s="150" t="s">
        <v>50</v>
      </c>
      <c r="F336" s="8">
        <f>VLOOKUP($C336,'ASDR FY2'!$A:$X,F$14,FALSE)/1000</f>
        <v>5.8897200000000103</v>
      </c>
      <c r="G336" s="152"/>
      <c r="H336" s="8">
        <f>VLOOKUP($C336,'ASDR FY2'!$A:$X,H$14,FALSE)/1000</f>
        <v>0.36384</v>
      </c>
      <c r="I336" s="9"/>
      <c r="J336" s="8">
        <f>VLOOKUP($C336,'ASDR FY2'!$A:$X,J$14,FALSE)/1000</f>
        <v>0</v>
      </c>
      <c r="K336" s="10"/>
      <c r="L336" s="8">
        <f>VLOOKUP($C336,'ASDR FY2'!$A:$X,L$13,FALSE)/1000+VLOOKUP($C336,'ASDR FY2'!$A:$X,L$14,FALSE)/1000</f>
        <v>0</v>
      </c>
      <c r="M336" s="10"/>
      <c r="N336" s="8">
        <f>VLOOKUP($C336,'ASDR FY2'!$A:$X,N$13,FALSE)/1000+VLOOKUP($C336,'ASDR FY2'!$A:$X,N$14,FALSE)/1000</f>
        <v>0</v>
      </c>
      <c r="O336" s="8"/>
      <c r="P336" s="8">
        <f>VLOOKUP($C336,'ASDR FY2'!$A:$X,P$13,FALSE)/1000+VLOOKUP($C336,'ASDR FY2'!$A:$X,P$14,FALSE)/1000+VLOOKUP($C336,'ASDR FY2'!$A:$X,P$15,FALSE)/1000</f>
        <v>0</v>
      </c>
      <c r="Q336" s="9"/>
      <c r="R336" s="8">
        <f>SUM(F336,H336,J336,L336,N336,P336)</f>
        <v>6.25356000000001</v>
      </c>
      <c r="S336" s="10"/>
      <c r="T336" s="8">
        <f>VLOOKUP($C336,'ASDR FY2'!$A:$X,T$14,FALSE)/1000</f>
        <v>6.0716400000000004</v>
      </c>
    </row>
    <row r="337" spans="1:20" x14ac:dyDescent="0.25">
      <c r="A337" s="155">
        <f t="shared" si="5"/>
        <v>40</v>
      </c>
      <c r="B337" s="161"/>
      <c r="C337" s="155"/>
      <c r="D337" s="173" t="s">
        <v>123</v>
      </c>
      <c r="F337" s="12">
        <f>SUM(F332:F336)</f>
        <v>20009.484290000015</v>
      </c>
      <c r="H337" s="12">
        <f>SUM(H332:H336)</f>
        <v>802.57943999999998</v>
      </c>
      <c r="I337" s="13"/>
      <c r="J337" s="12">
        <f>SUM(J332:J336)</f>
        <v>0</v>
      </c>
      <c r="K337" s="13"/>
      <c r="L337" s="12">
        <f>SUM(L332:L336)</f>
        <v>0</v>
      </c>
      <c r="M337" s="13"/>
      <c r="N337" s="12">
        <f>SUM(N332:N336)</f>
        <v>0</v>
      </c>
      <c r="O337" s="65"/>
      <c r="P337" s="12">
        <f>SUM(P332:P336)</f>
        <v>0</v>
      </c>
      <c r="Q337" s="13"/>
      <c r="R337" s="12">
        <f>SUM(R332:R336)</f>
        <v>20812.063730000013</v>
      </c>
      <c r="T337" s="12">
        <f>SUM(T332:T336)</f>
        <v>20410.774009999997</v>
      </c>
    </row>
    <row r="338" spans="1:20" x14ac:dyDescent="0.25">
      <c r="A338" s="155">
        <f t="shared" si="5"/>
        <v>41</v>
      </c>
      <c r="B338" s="161"/>
      <c r="Q338" s="152"/>
    </row>
    <row r="339" spans="1:20" x14ac:dyDescent="0.25">
      <c r="A339" s="155">
        <f t="shared" si="5"/>
        <v>42</v>
      </c>
      <c r="B339" s="161"/>
      <c r="C339" s="153">
        <v>34637</v>
      </c>
      <c r="D339" s="173" t="s">
        <v>124</v>
      </c>
      <c r="F339" s="8">
        <f>VLOOKUP($C339,'ASDR FY2'!$A:$X,F$14,FALSE)/1000</f>
        <v>165.01636999999999</v>
      </c>
      <c r="G339" s="152"/>
      <c r="H339" s="8">
        <f>VLOOKUP($C339,'ASDR FY2'!$A:$X,H$14,FALSE)/1000</f>
        <v>36.68289</v>
      </c>
      <c r="I339" s="9"/>
      <c r="J339" s="8">
        <f>VLOOKUP($C339,'ASDR FY2'!$A:$X,J$14,FALSE)/1000</f>
        <v>-47.209019999999995</v>
      </c>
      <c r="K339" s="10"/>
      <c r="L339" s="8">
        <f>VLOOKUP($C339,'ASDR FY2'!$A:$X,L$13,FALSE)/1000+VLOOKUP($C339,'ASDR FY2'!$A:$X,L$14,FALSE)/1000</f>
        <v>0</v>
      </c>
      <c r="M339" s="10"/>
      <c r="N339" s="8">
        <f>VLOOKUP($C339,'ASDR FY2'!$A:$X,N$13,FALSE)/1000+VLOOKUP($C339,'ASDR FY2'!$A:$X,N$14,FALSE)/1000</f>
        <v>0</v>
      </c>
      <c r="O339" s="8"/>
      <c r="P339" s="8">
        <f>VLOOKUP($C339,'ASDR FY2'!$A:$X,P$13,FALSE)/1000+VLOOKUP($C339,'ASDR FY2'!$A:$X,P$14,FALSE)/1000+VLOOKUP($C339,'ASDR FY2'!$A:$X,P$15,FALSE)/1000</f>
        <v>0</v>
      </c>
      <c r="Q339" s="9"/>
      <c r="R339" s="8">
        <f>SUM(F339,H339,J339,L339,N339,P339)</f>
        <v>154.49023999999997</v>
      </c>
      <c r="S339" s="10"/>
      <c r="T339" s="8">
        <f>VLOOKUP($C339,'ASDR FY2'!$A:$X,T$14,FALSE)/1000</f>
        <v>169.41617000000002</v>
      </c>
    </row>
    <row r="340" spans="1:20" ht="13.8" thickBot="1" x14ac:dyDescent="0.3">
      <c r="A340" s="155">
        <f t="shared" si="5"/>
        <v>43</v>
      </c>
      <c r="B340" s="161"/>
      <c r="D340" s="150" t="s">
        <v>125</v>
      </c>
      <c r="F340" s="62">
        <f>SUM(F272,F280,F305,F313,F321,F329,F337,F339)</f>
        <v>520031.92218999995</v>
      </c>
      <c r="H340" s="62">
        <f>SUM(H272,H280,H305,H313,H321,H329,H337,H339)</f>
        <v>62677.014869999992</v>
      </c>
      <c r="I340" s="15"/>
      <c r="J340" s="62">
        <f>SUM(J272,J280,J305,J313,J321,J329,J337,J339)</f>
        <v>-13039.938460000001</v>
      </c>
      <c r="K340" s="15"/>
      <c r="L340" s="62">
        <f>SUM(L272,L280,L305,L313,L321,L329,L337,L339)</f>
        <v>-2774.4083000000001</v>
      </c>
      <c r="M340" s="15"/>
      <c r="N340" s="62">
        <f>SUM(N272,N280,N305,N313,N321,N329,N337,N339)</f>
        <v>0</v>
      </c>
      <c r="O340" s="37"/>
      <c r="P340" s="62">
        <f>SUM(P272,P280,P305,P313,P321,P329,P337,P339)</f>
        <v>0</v>
      </c>
      <c r="Q340" s="15"/>
      <c r="R340" s="62">
        <f>SUM(R272,R280,R305,R313,R321,R329,R337,R339)</f>
        <v>566894.59029999992</v>
      </c>
      <c r="T340" s="62">
        <f>SUM(T272,T280,T305,T313,T321,T329,T337,T339)</f>
        <v>543274.0340300001</v>
      </c>
    </row>
    <row r="341" spans="1:20" ht="14.4" thickTop="1" thickBot="1" x14ac:dyDescent="0.3">
      <c r="A341" s="156">
        <f t="shared" si="5"/>
        <v>44</v>
      </c>
      <c r="B341" s="20" t="s">
        <v>60</v>
      </c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5"/>
      <c r="R341" s="147"/>
      <c r="S341" s="147"/>
      <c r="T341" s="147"/>
    </row>
    <row r="342" spans="1:20" x14ac:dyDescent="0.25">
      <c r="A342" s="150" t="str">
        <f>+$A$57</f>
        <v>Supporting Schedules:  B-10, B-11</v>
      </c>
      <c r="Q342" s="152"/>
      <c r="R342" s="150" t="str">
        <f>+$R$57</f>
        <v>Recap Schedules:  B-03, B-06</v>
      </c>
    </row>
    <row r="343" spans="1:20" ht="13.8" thickBot="1" x14ac:dyDescent="0.3">
      <c r="A343" s="147" t="str">
        <f>$A$1</f>
        <v>SCHEDULE B-09</v>
      </c>
      <c r="B343" s="147"/>
      <c r="C343" s="147"/>
      <c r="D343" s="147"/>
      <c r="E343" s="147"/>
      <c r="F343" s="147" t="str">
        <f>$F$1</f>
        <v>DEPRECIATION RESERVE BALANCES BY ACCOUNT AND SUB-ACCOUNT</v>
      </c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5"/>
      <c r="R343" s="147"/>
      <c r="S343" s="147"/>
      <c r="T343" s="147" t="str">
        <f>"Page 7 of " &amp; $R$1</f>
        <v>Page 7 of 30</v>
      </c>
    </row>
    <row r="344" spans="1:20" x14ac:dyDescent="0.25">
      <c r="A344" s="150" t="str">
        <f>$A$2</f>
        <v>FLORIDA PUBLIC SERVICE COMMISSION</v>
      </c>
      <c r="B344" s="170"/>
      <c r="E344" s="152" t="str">
        <f>$E$2</f>
        <v xml:space="preserve">                  EXPLANATION:</v>
      </c>
      <c r="F344" s="150" t="str">
        <f>IF($F$2="","",$F$2)</f>
        <v>Provide the depreciation reserve balances for each account or sub-account to which</v>
      </c>
      <c r="J344" s="149"/>
      <c r="K344" s="149"/>
      <c r="M344" s="149"/>
      <c r="N344" s="149"/>
      <c r="O344" s="149"/>
      <c r="P344" s="149"/>
      <c r="Q344" s="148"/>
      <c r="R344" s="150" t="str">
        <f>$R$2</f>
        <v>Type of data shown:</v>
      </c>
      <c r="T344" s="151"/>
    </row>
    <row r="345" spans="1:20" x14ac:dyDescent="0.25">
      <c r="B345" s="170"/>
      <c r="F345" s="150" t="str">
        <f>IF($F$3="","",$F$3)</f>
        <v>an individual depreciation rate is applied. (Include Amortization/Recovery amounts).</v>
      </c>
      <c r="J345" s="152"/>
      <c r="K345" s="151"/>
      <c r="N345" s="152"/>
      <c r="O345" s="152"/>
      <c r="P345" s="152"/>
      <c r="Q345" s="152" t="str">
        <f>IF($Q$3=0,"",$Q$3)</f>
        <v>XX</v>
      </c>
      <c r="R345" s="151" t="str">
        <f>$R$3</f>
        <v>Projected Test Year Ended 12/31/2025</v>
      </c>
      <c r="T345" s="152"/>
    </row>
    <row r="346" spans="1:20" x14ac:dyDescent="0.25">
      <c r="A346" s="150" t="str">
        <f>$A$4</f>
        <v>COMPANY: TAMPA ELECTRIC COMPANY</v>
      </c>
      <c r="B346" s="170"/>
      <c r="F346" s="150" t="str">
        <f>IF(+$F$4="","",$F$4)</f>
        <v/>
      </c>
      <c r="J346" s="152"/>
      <c r="K346" s="151"/>
      <c r="L346" s="152"/>
      <c r="Q346" s="152" t="str">
        <f>IF($Q$4=0,"",$Q$4)</f>
        <v/>
      </c>
      <c r="R346" s="151" t="str">
        <f>$R$4</f>
        <v>Projected Prior Year Ended 12/31/2024</v>
      </c>
      <c r="T346" s="152"/>
    </row>
    <row r="347" spans="1:20" x14ac:dyDescent="0.25">
      <c r="B347" s="170"/>
      <c r="F347" s="150" t="str">
        <f>IF(+$F$5="","",$F$5)</f>
        <v/>
      </c>
      <c r="J347" s="152"/>
      <c r="K347" s="151"/>
      <c r="L347" s="152"/>
      <c r="Q347" s="152" t="str">
        <f>IF($Q$5=0,"",$Q$5)</f>
        <v/>
      </c>
      <c r="R347" s="151" t="str">
        <f>$R$5</f>
        <v>Historical Prior Year Ended 12/31/2023</v>
      </c>
      <c r="T347" s="152"/>
    </row>
    <row r="348" spans="1:20" x14ac:dyDescent="0.25">
      <c r="B348" s="170"/>
      <c r="J348" s="152"/>
      <c r="K348" s="151"/>
      <c r="L348" s="152"/>
      <c r="Q348" s="152"/>
      <c r="R348" s="151" t="str">
        <f>$R$6</f>
        <v>Witness: C. Aldazabal / N. Allis / J. Chronister</v>
      </c>
      <c r="T348" s="152"/>
    </row>
    <row r="349" spans="1:20" ht="13.8" thickBot="1" x14ac:dyDescent="0.3">
      <c r="A349" s="147" t="str">
        <f>A$7</f>
        <v>DOCKET No. 20240026-EI</v>
      </c>
      <c r="B349" s="171"/>
      <c r="C349" s="147"/>
      <c r="D349" s="147"/>
      <c r="E349" s="147"/>
      <c r="F349" s="147" t="str">
        <f>IF(+$F$7="","",$F$7)</f>
        <v/>
      </c>
      <c r="G349" s="147"/>
      <c r="H349" s="156" t="str">
        <f>IF($H$7="","",$H$7)</f>
        <v>(Dollars in 000's)</v>
      </c>
      <c r="I349" s="147"/>
      <c r="J349" s="147"/>
      <c r="K349" s="147"/>
      <c r="L349" s="147"/>
      <c r="M349" s="147"/>
      <c r="N349" s="147"/>
      <c r="O349" s="147"/>
      <c r="P349" s="147"/>
      <c r="Q349" s="145"/>
      <c r="R349" s="147" t="str">
        <f>$R$7</f>
        <v xml:space="preserve">             / R. Latta / K. Stryker / C. Whitworth</v>
      </c>
      <c r="S349" s="147"/>
      <c r="T349" s="147"/>
    </row>
    <row r="350" spans="1:20" x14ac:dyDescent="0.25"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4"/>
      <c r="R350" s="153"/>
      <c r="S350" s="153"/>
      <c r="T350" s="153"/>
    </row>
    <row r="351" spans="1:20" x14ac:dyDescent="0.25">
      <c r="C351" s="153" t="s">
        <v>13</v>
      </c>
      <c r="D351" s="153" t="s">
        <v>14</v>
      </c>
      <c r="E351" s="153"/>
      <c r="F351" s="153" t="s">
        <v>15</v>
      </c>
      <c r="G351" s="153"/>
      <c r="H351" s="153" t="s">
        <v>16</v>
      </c>
      <c r="I351" s="153"/>
      <c r="J351" s="155" t="s">
        <v>17</v>
      </c>
      <c r="K351" s="155"/>
      <c r="L351" s="153" t="s">
        <v>18</v>
      </c>
      <c r="M351" s="153"/>
      <c r="N351" s="153" t="s">
        <v>19</v>
      </c>
      <c r="O351" s="153"/>
      <c r="P351" s="153" t="s">
        <v>20</v>
      </c>
      <c r="Q351" s="154"/>
      <c r="R351" s="153" t="s">
        <v>21</v>
      </c>
      <c r="S351" s="153"/>
      <c r="T351" s="153" t="s">
        <v>22</v>
      </c>
    </row>
    <row r="352" spans="1:20" x14ac:dyDescent="0.25">
      <c r="C352" s="155" t="s">
        <v>23</v>
      </c>
      <c r="D352" s="155" t="s">
        <v>23</v>
      </c>
      <c r="F352" s="155" t="s">
        <v>24</v>
      </c>
      <c r="G352" s="155"/>
      <c r="H352" s="153" t="s">
        <v>25</v>
      </c>
      <c r="I352" s="155"/>
      <c r="J352" s="153"/>
      <c r="K352" s="155"/>
      <c r="L352" s="155"/>
      <c r="M352" s="155"/>
      <c r="Q352" s="152"/>
      <c r="R352" s="155" t="s">
        <v>24</v>
      </c>
      <c r="T352" s="155"/>
    </row>
    <row r="353" spans="1:20" x14ac:dyDescent="0.25">
      <c r="A353" s="155" t="s">
        <v>26</v>
      </c>
      <c r="B353" s="155"/>
      <c r="C353" s="155" t="s">
        <v>27</v>
      </c>
      <c r="D353" s="155" t="s">
        <v>27</v>
      </c>
      <c r="E353" s="153"/>
      <c r="F353" s="155" t="s">
        <v>28</v>
      </c>
      <c r="G353" s="155"/>
      <c r="H353" s="155" t="s">
        <v>28</v>
      </c>
      <c r="I353" s="155"/>
      <c r="J353" s="155"/>
      <c r="K353" s="153"/>
      <c r="L353" s="155" t="s">
        <v>29</v>
      </c>
      <c r="M353" s="151"/>
      <c r="N353" s="155" t="s">
        <v>29</v>
      </c>
      <c r="O353" s="155"/>
      <c r="P353" s="155" t="s">
        <v>30</v>
      </c>
      <c r="Q353" s="154"/>
      <c r="R353" s="153" t="s">
        <v>28</v>
      </c>
      <c r="S353" s="153"/>
      <c r="T353" s="155" t="s">
        <v>31</v>
      </c>
    </row>
    <row r="354" spans="1:20" ht="13.8" thickBot="1" x14ac:dyDescent="0.3">
      <c r="A354" s="156" t="s">
        <v>32</v>
      </c>
      <c r="B354" s="156"/>
      <c r="C354" s="156" t="s">
        <v>33</v>
      </c>
      <c r="D354" s="156" t="s">
        <v>34</v>
      </c>
      <c r="E354" s="156"/>
      <c r="F354" s="157" t="s">
        <v>35</v>
      </c>
      <c r="G354" s="157"/>
      <c r="H354" s="157" t="s">
        <v>36</v>
      </c>
      <c r="I354" s="158"/>
      <c r="J354" s="157" t="s">
        <v>37</v>
      </c>
      <c r="K354" s="158"/>
      <c r="L354" s="158" t="s">
        <v>38</v>
      </c>
      <c r="M354" s="159"/>
      <c r="N354" s="159" t="s">
        <v>39</v>
      </c>
      <c r="O354" s="159"/>
      <c r="P354" s="159" t="s">
        <v>40</v>
      </c>
      <c r="Q354" s="160"/>
      <c r="R354" s="159" t="s">
        <v>41</v>
      </c>
      <c r="S354" s="159"/>
      <c r="T354" s="159" t="s">
        <v>42</v>
      </c>
    </row>
    <row r="355" spans="1:20" x14ac:dyDescent="0.25">
      <c r="A355" s="155">
        <v>1</v>
      </c>
      <c r="B355" s="161"/>
      <c r="Q355" s="152"/>
    </row>
    <row r="356" spans="1:20" x14ac:dyDescent="0.25">
      <c r="A356" s="155">
        <f>A355+1</f>
        <v>2</v>
      </c>
      <c r="B356" s="161"/>
      <c r="D356" s="150" t="s">
        <v>126</v>
      </c>
      <c r="I356" s="15"/>
      <c r="K356" s="15"/>
      <c r="M356" s="15"/>
      <c r="Q356" s="15"/>
      <c r="S356" s="15"/>
    </row>
    <row r="357" spans="1:20" x14ac:dyDescent="0.25">
      <c r="A357" s="155">
        <f t="shared" ref="A357:A398" si="6">A356+1</f>
        <v>3</v>
      </c>
      <c r="B357" s="161"/>
      <c r="C357" s="153">
        <v>34199</v>
      </c>
      <c r="D357" s="150" t="s">
        <v>46</v>
      </c>
      <c r="F357" s="8">
        <f>VLOOKUP($C357,'ASDR FY2'!$A:$X,F$14,FALSE)/1000</f>
        <v>54082.009740000001</v>
      </c>
      <c r="G357" s="152"/>
      <c r="H357" s="8">
        <f>VLOOKUP($C357,'ASDR FY2'!$A:$X,H$14,FALSE)/1000</f>
        <v>15863.227560000001</v>
      </c>
      <c r="I357" s="9"/>
      <c r="J357" s="8">
        <f>VLOOKUP($C357,'ASDR FY2'!$A:$X,J$14,FALSE)/1000</f>
        <v>0</v>
      </c>
      <c r="K357" s="10"/>
      <c r="L357" s="8">
        <f>VLOOKUP($C357,'ASDR FY2'!$A:$X,L$13,FALSE)/1000+VLOOKUP($C357,'ASDR FY2'!$A:$X,L$14,FALSE)/1000</f>
        <v>0</v>
      </c>
      <c r="M357" s="10"/>
      <c r="N357" s="8">
        <f>VLOOKUP($C357,'ASDR FY2'!$A:$X,N$13,FALSE)/1000+VLOOKUP($C357,'ASDR FY2'!$A:$X,N$14,FALSE)/1000</f>
        <v>0</v>
      </c>
      <c r="O357" s="8"/>
      <c r="P357" s="8">
        <f>VLOOKUP($C357,'ASDR FY2'!$A:$X,P$13,FALSE)/1000+VLOOKUP($C357,'ASDR FY2'!$A:$X,P$14,FALSE)/1000+VLOOKUP($C357,'ASDR FY2'!$A:$X,P$15,FALSE)/1000</f>
        <v>0</v>
      </c>
      <c r="Q357" s="9"/>
      <c r="R357" s="8">
        <f>SUM(F357,H357,J357,L357,N357,P357)</f>
        <v>69945.237300000008</v>
      </c>
      <c r="S357" s="10"/>
      <c r="T357" s="8">
        <f>VLOOKUP($C357,'ASDR FY2'!$A:$X,T$14,FALSE)/1000</f>
        <v>62013.623520000001</v>
      </c>
    </row>
    <row r="358" spans="1:20" x14ac:dyDescent="0.25">
      <c r="A358" s="155">
        <f t="shared" si="6"/>
        <v>4</v>
      </c>
      <c r="B358" s="161"/>
      <c r="C358" s="155">
        <v>34399</v>
      </c>
      <c r="D358" s="150" t="s">
        <v>83</v>
      </c>
      <c r="F358" s="8">
        <f>VLOOKUP($C358,'ASDR FY2'!$A:$X,F$14,FALSE)/1000</f>
        <v>92761.91158</v>
      </c>
      <c r="G358" s="152"/>
      <c r="H358" s="8">
        <f>VLOOKUP($C358,'ASDR FY2'!$A:$X,H$14,FALSE)/1000</f>
        <v>32971.227169999998</v>
      </c>
      <c r="I358" s="9"/>
      <c r="J358" s="8">
        <f>VLOOKUP($C358,'ASDR FY2'!$A:$X,J$14,FALSE)/1000</f>
        <v>0</v>
      </c>
      <c r="K358" s="10"/>
      <c r="L358" s="8">
        <f>VLOOKUP($C358,'ASDR FY2'!$A:$X,L$13,FALSE)/1000+VLOOKUP($C358,'ASDR FY2'!$A:$X,L$14,FALSE)/1000</f>
        <v>0</v>
      </c>
      <c r="M358" s="10"/>
      <c r="N358" s="8">
        <f>VLOOKUP($C358,'ASDR FY2'!$A:$X,N$13,FALSE)/1000+VLOOKUP($C358,'ASDR FY2'!$A:$X,N$14,FALSE)/1000</f>
        <v>0</v>
      </c>
      <c r="O358" s="8"/>
      <c r="P358" s="8">
        <f>VLOOKUP($C358,'ASDR FY2'!$A:$X,P$13,FALSE)/1000+VLOOKUP($C358,'ASDR FY2'!$A:$X,P$14,FALSE)/1000+VLOOKUP($C358,'ASDR FY2'!$A:$X,P$15,FALSE)/1000</f>
        <v>0</v>
      </c>
      <c r="Q358" s="9"/>
      <c r="R358" s="8">
        <f>SUM(F358,H358,J358,L358,N358,P358)</f>
        <v>125733.13875</v>
      </c>
      <c r="S358" s="10"/>
      <c r="T358" s="8">
        <f>VLOOKUP($C358,'ASDR FY2'!$A:$X,T$14,FALSE)/1000</f>
        <v>109212.88517000001</v>
      </c>
    </row>
    <row r="359" spans="1:20" x14ac:dyDescent="0.25">
      <c r="A359" s="155">
        <f t="shared" si="6"/>
        <v>5</v>
      </c>
      <c r="B359" s="161"/>
      <c r="C359" s="155">
        <v>34599</v>
      </c>
      <c r="D359" s="150" t="s">
        <v>49</v>
      </c>
      <c r="F359" s="8">
        <f>VLOOKUP($C359,'ASDR FY2'!$A:$X,F$14,FALSE)/1000</f>
        <v>37445.332689999996</v>
      </c>
      <c r="G359" s="152"/>
      <c r="H359" s="8">
        <f>VLOOKUP($C359,'ASDR FY2'!$A:$X,H$14,FALSE)/1000</f>
        <v>10971.935519999999</v>
      </c>
      <c r="I359" s="9"/>
      <c r="J359" s="8">
        <f>VLOOKUP($C359,'ASDR FY2'!$A:$X,J$14,FALSE)/1000</f>
        <v>0</v>
      </c>
      <c r="K359" s="10"/>
      <c r="L359" s="8">
        <f>VLOOKUP($C359,'ASDR FY2'!$A:$X,L$13,FALSE)/1000+VLOOKUP($C359,'ASDR FY2'!$A:$X,L$14,FALSE)/1000</f>
        <v>0</v>
      </c>
      <c r="M359" s="10"/>
      <c r="N359" s="8">
        <f>VLOOKUP($C359,'ASDR FY2'!$A:$X,N$13,FALSE)/1000+VLOOKUP($C359,'ASDR FY2'!$A:$X,N$14,FALSE)/1000</f>
        <v>0</v>
      </c>
      <c r="O359" s="8"/>
      <c r="P359" s="8">
        <f>VLOOKUP($C359,'ASDR FY2'!$A:$X,P$13,FALSE)/1000+VLOOKUP($C359,'ASDR FY2'!$A:$X,P$14,FALSE)/1000+VLOOKUP($C359,'ASDR FY2'!$A:$X,P$15,FALSE)/1000</f>
        <v>0</v>
      </c>
      <c r="Q359" s="9"/>
      <c r="R359" s="8">
        <f>SUM(F359,H359,J359,L359,N359,P359)</f>
        <v>48417.268209999995</v>
      </c>
      <c r="S359" s="10"/>
      <c r="T359" s="8">
        <f>VLOOKUP($C359,'ASDR FY2'!$A:$X,T$14,FALSE)/1000</f>
        <v>42931.300450000002</v>
      </c>
    </row>
    <row r="360" spans="1:20" x14ac:dyDescent="0.25">
      <c r="A360" s="155">
        <f t="shared" si="6"/>
        <v>6</v>
      </c>
      <c r="B360" s="161"/>
      <c r="C360" s="153">
        <v>34899</v>
      </c>
      <c r="D360" s="150" t="s">
        <v>127</v>
      </c>
      <c r="F360" s="8">
        <f>VLOOKUP($C360,'ASDR FY2'!$A:$X,F$14,FALSE)/1000</f>
        <v>4326.8036099999972</v>
      </c>
      <c r="G360" s="152"/>
      <c r="H360" s="8">
        <f>VLOOKUP($C360,'ASDR FY2'!$A:$X,H$14,FALSE)/1000</f>
        <v>10860.85332</v>
      </c>
      <c r="I360" s="9"/>
      <c r="J360" s="8">
        <f>VLOOKUP($C360,'ASDR FY2'!$A:$X,J$14,FALSE)/1000</f>
        <v>0</v>
      </c>
      <c r="K360" s="10"/>
      <c r="L360" s="8">
        <f>VLOOKUP($C360,'ASDR FY2'!$A:$X,L$13,FALSE)/1000+VLOOKUP($C360,'ASDR FY2'!$A:$X,L$14,FALSE)/1000</f>
        <v>0</v>
      </c>
      <c r="M360" s="10"/>
      <c r="N360" s="8">
        <f>VLOOKUP($C360,'ASDR FY2'!$A:$X,N$13,FALSE)/1000+VLOOKUP($C360,'ASDR FY2'!$A:$X,N$14,FALSE)/1000</f>
        <v>0</v>
      </c>
      <c r="O360" s="8"/>
      <c r="P360" s="8">
        <f>VLOOKUP($C360,'ASDR FY2'!$A:$X,P$13,FALSE)/1000+VLOOKUP($C360,'ASDR FY2'!$A:$X,P$14,FALSE)/1000+VLOOKUP($C360,'ASDR FY2'!$A:$X,P$15,FALSE)/1000</f>
        <v>0</v>
      </c>
      <c r="Q360" s="9"/>
      <c r="R360" s="8">
        <f>SUM(F360,H360,J360,L360,N360,P360)</f>
        <v>15187.656929999997</v>
      </c>
      <c r="S360" s="10"/>
      <c r="T360" s="8">
        <f>VLOOKUP($C360,'ASDR FY2'!$A:$X,T$14,FALSE)/1000</f>
        <v>8752.5770700000012</v>
      </c>
    </row>
    <row r="361" spans="1:20" ht="13.8" thickBot="1" x14ac:dyDescent="0.3">
      <c r="A361" s="155">
        <f t="shared" si="6"/>
        <v>7</v>
      </c>
      <c r="B361" s="161"/>
      <c r="C361" s="155"/>
      <c r="D361" s="150" t="s">
        <v>128</v>
      </c>
      <c r="F361" s="63">
        <f>SUM(F357:F360)</f>
        <v>188616.05761999998</v>
      </c>
      <c r="H361" s="63">
        <f>SUM(H357:H360)</f>
        <v>70667.243569999991</v>
      </c>
      <c r="I361" s="13"/>
      <c r="J361" s="63">
        <f>SUM(J357:J360)</f>
        <v>0</v>
      </c>
      <c r="K361" s="13"/>
      <c r="L361" s="63">
        <f>SUM(L357:L360)</f>
        <v>0</v>
      </c>
      <c r="M361" s="13"/>
      <c r="N361" s="63">
        <f>SUM(N357:N360)</f>
        <v>0</v>
      </c>
      <c r="O361" s="65"/>
      <c r="P361" s="63">
        <f>SUM(P357:P360)</f>
        <v>0</v>
      </c>
      <c r="Q361" s="13"/>
      <c r="R361" s="63">
        <f>SUM(R357:R360)</f>
        <v>259283.30119000003</v>
      </c>
      <c r="S361" s="13"/>
      <c r="T361" s="63">
        <f>SUM(T357:T360)</f>
        <v>222910.38621000003</v>
      </c>
    </row>
    <row r="362" spans="1:20" ht="13.8" thickTop="1" x14ac:dyDescent="0.25">
      <c r="A362" s="155">
        <f t="shared" si="6"/>
        <v>8</v>
      </c>
      <c r="B362" s="161"/>
      <c r="Q362" s="152"/>
      <c r="S362" s="13"/>
    </row>
    <row r="363" spans="1:20" x14ac:dyDescent="0.25">
      <c r="A363" s="155">
        <f t="shared" si="6"/>
        <v>9</v>
      </c>
      <c r="B363" s="161"/>
      <c r="D363" s="150" t="s">
        <v>129</v>
      </c>
      <c r="F363" s="8"/>
      <c r="G363" s="152"/>
      <c r="H363" s="8"/>
      <c r="I363" s="9"/>
      <c r="J363" s="8"/>
      <c r="K363" s="10"/>
      <c r="L363" s="8"/>
      <c r="M363" s="10"/>
      <c r="N363" s="8"/>
      <c r="O363" s="8"/>
      <c r="P363" s="8"/>
      <c r="Q363" s="9"/>
      <c r="R363" s="8"/>
      <c r="S363" s="10"/>
      <c r="T363" s="8"/>
    </row>
    <row r="364" spans="1:20" x14ac:dyDescent="0.25">
      <c r="A364" s="155">
        <f t="shared" si="6"/>
        <v>10</v>
      </c>
      <c r="B364" s="161"/>
      <c r="C364" s="153">
        <v>34198</v>
      </c>
      <c r="D364" s="150" t="s">
        <v>46</v>
      </c>
      <c r="F364" s="8">
        <f>VLOOKUP($C364,'ASDR FY2'!$A:$X,F$14,FALSE)/1000</f>
        <v>0</v>
      </c>
      <c r="G364" s="152"/>
      <c r="H364" s="8">
        <f>VLOOKUP($C364,'ASDR FY2'!$A:$X,H$14,FALSE)/1000</f>
        <v>0</v>
      </c>
      <c r="I364" s="9"/>
      <c r="J364" s="8">
        <f>VLOOKUP($C364,'ASDR FY2'!$A:$X,J$14,FALSE)/1000</f>
        <v>0</v>
      </c>
      <c r="K364" s="10"/>
      <c r="L364" s="8">
        <f>VLOOKUP($C364,'ASDR FY2'!$A:$X,L$13,FALSE)/1000+VLOOKUP($C364,'ASDR FY2'!$A:$X,L$14,FALSE)/1000</f>
        <v>0</v>
      </c>
      <c r="M364" s="10"/>
      <c r="N364" s="8">
        <f>VLOOKUP($C364,'ASDR FY2'!$A:$X,N$13,FALSE)/1000+VLOOKUP($C364,'ASDR FY2'!$A:$X,N$14,FALSE)/1000</f>
        <v>0</v>
      </c>
      <c r="O364" s="8"/>
      <c r="P364" s="8">
        <f>VLOOKUP($C364,'ASDR FY2'!$A:$X,P$13,FALSE)/1000+VLOOKUP($C364,'ASDR FY2'!$A:$X,P$14,FALSE)/1000+VLOOKUP($C364,'ASDR FY2'!$A:$X,P$15,FALSE)/1000</f>
        <v>0</v>
      </c>
      <c r="Q364" s="9"/>
      <c r="R364" s="8">
        <f>SUM(F364,H364,J364,L364,N364,P364)</f>
        <v>0</v>
      </c>
      <c r="S364" s="10"/>
      <c r="T364" s="8">
        <f>VLOOKUP($C364,'ASDR FY2'!$A:$X,T$14,FALSE)/1000</f>
        <v>0</v>
      </c>
    </row>
    <row r="365" spans="1:20" x14ac:dyDescent="0.25">
      <c r="A365" s="155">
        <f t="shared" si="6"/>
        <v>11</v>
      </c>
      <c r="B365" s="161"/>
      <c r="C365" s="155">
        <v>34398</v>
      </c>
      <c r="D365" s="150" t="s">
        <v>83</v>
      </c>
      <c r="F365" s="8">
        <f>VLOOKUP($C365,'ASDR FY2'!$A:$X,F$14,FALSE)/1000</f>
        <v>56.806889999999981</v>
      </c>
      <c r="G365" s="152"/>
      <c r="H365" s="8">
        <f>VLOOKUP($C365,'ASDR FY2'!$A:$X,H$14,FALSE)/1000</f>
        <v>32.07696</v>
      </c>
      <c r="I365" s="9"/>
      <c r="J365" s="8">
        <f>VLOOKUP($C365,'ASDR FY2'!$A:$X,J$14,FALSE)/1000</f>
        <v>0</v>
      </c>
      <c r="K365" s="10"/>
      <c r="L365" s="8">
        <f>VLOOKUP($C365,'ASDR FY2'!$A:$X,L$13,FALSE)/1000+VLOOKUP($C365,'ASDR FY2'!$A:$X,L$14,FALSE)/1000</f>
        <v>0</v>
      </c>
      <c r="M365" s="10"/>
      <c r="N365" s="8">
        <f>VLOOKUP($C365,'ASDR FY2'!$A:$X,N$13,FALSE)/1000+VLOOKUP($C365,'ASDR FY2'!$A:$X,N$14,FALSE)/1000</f>
        <v>0</v>
      </c>
      <c r="O365" s="8"/>
      <c r="P365" s="8">
        <f>VLOOKUP($C365,'ASDR FY2'!$A:$X,P$13,FALSE)/1000+VLOOKUP($C365,'ASDR FY2'!$A:$X,P$14,FALSE)/1000+VLOOKUP($C365,'ASDR FY2'!$A:$X,P$15,FALSE)/1000</f>
        <v>0</v>
      </c>
      <c r="Q365" s="9"/>
      <c r="R365" s="8">
        <f>SUM(F365,H365,J365,L365,N365,P365)</f>
        <v>88.883849999999981</v>
      </c>
      <c r="S365" s="10"/>
      <c r="T365" s="8">
        <f>VLOOKUP($C365,'ASDR FY2'!$A:$X,T$14,FALSE)/1000</f>
        <v>72.845369999999988</v>
      </c>
    </row>
    <row r="366" spans="1:20" x14ac:dyDescent="0.25">
      <c r="A366" s="155">
        <f t="shared" si="6"/>
        <v>12</v>
      </c>
      <c r="B366" s="161"/>
      <c r="C366" s="155">
        <v>34598</v>
      </c>
      <c r="D366" s="150" t="s">
        <v>49</v>
      </c>
      <c r="F366" s="8">
        <f>VLOOKUP($C366,'ASDR FY2'!$A:$X,F$14,FALSE)/1000</f>
        <v>0</v>
      </c>
      <c r="G366" s="152"/>
      <c r="H366" s="8">
        <f>VLOOKUP($C366,'ASDR FY2'!$A:$X,H$14,FALSE)/1000</f>
        <v>0</v>
      </c>
      <c r="I366" s="9"/>
      <c r="J366" s="8">
        <f>VLOOKUP($C366,'ASDR FY2'!$A:$X,J$14,FALSE)/1000</f>
        <v>0</v>
      </c>
      <c r="K366" s="10"/>
      <c r="L366" s="8">
        <f>VLOOKUP($C366,'ASDR FY2'!$A:$X,L$13,FALSE)/1000+VLOOKUP($C366,'ASDR FY2'!$A:$X,L$14,FALSE)/1000</f>
        <v>0</v>
      </c>
      <c r="M366" s="10"/>
      <c r="N366" s="8">
        <f>VLOOKUP($C366,'ASDR FY2'!$A:$X,N$13,FALSE)/1000+VLOOKUP($C366,'ASDR FY2'!$A:$X,N$14,FALSE)/1000</f>
        <v>0</v>
      </c>
      <c r="O366" s="8"/>
      <c r="P366" s="8">
        <f>VLOOKUP($C366,'ASDR FY2'!$A:$X,P$13,FALSE)/1000+VLOOKUP($C366,'ASDR FY2'!$A:$X,P$14,FALSE)/1000+VLOOKUP($C366,'ASDR FY2'!$A:$X,P$15,FALSE)/1000</f>
        <v>0</v>
      </c>
      <c r="Q366" s="9"/>
      <c r="R366" s="8">
        <f>SUM(F366,H366,J366,L366,N366,P366)</f>
        <v>0</v>
      </c>
      <c r="S366" s="10"/>
      <c r="T366" s="8">
        <f>VLOOKUP($C366,'ASDR FY2'!$A:$X,T$14,FALSE)/1000</f>
        <v>0</v>
      </c>
    </row>
    <row r="367" spans="1:20" x14ac:dyDescent="0.25">
      <c r="A367" s="155">
        <f t="shared" si="6"/>
        <v>13</v>
      </c>
      <c r="B367" s="161"/>
      <c r="C367" s="153">
        <v>34898</v>
      </c>
      <c r="D367" s="150" t="s">
        <v>127</v>
      </c>
      <c r="F367" s="8">
        <f>VLOOKUP($C367,'ASDR FY2'!$A:$X,F$14,FALSE)/1000</f>
        <v>1.78887</v>
      </c>
      <c r="G367" s="152"/>
      <c r="H367" s="8">
        <f>VLOOKUP($C367,'ASDR FY2'!$A:$X,H$14,FALSE)/1000</f>
        <v>0.99108000000000007</v>
      </c>
      <c r="I367" s="9"/>
      <c r="J367" s="8">
        <f>VLOOKUP($C367,'ASDR FY2'!$A:$X,J$14,FALSE)/1000</f>
        <v>0</v>
      </c>
      <c r="K367" s="10"/>
      <c r="L367" s="8">
        <f>VLOOKUP($C367,'ASDR FY2'!$A:$X,L$13,FALSE)/1000+VLOOKUP($C367,'ASDR FY2'!$A:$X,L$14,FALSE)/1000</f>
        <v>0</v>
      </c>
      <c r="M367" s="10"/>
      <c r="N367" s="8">
        <f>VLOOKUP($C367,'ASDR FY2'!$A:$X,N$13,FALSE)/1000+VLOOKUP($C367,'ASDR FY2'!$A:$X,N$14,FALSE)/1000</f>
        <v>0</v>
      </c>
      <c r="O367" s="8"/>
      <c r="P367" s="8">
        <f>VLOOKUP($C367,'ASDR FY2'!$A:$X,P$13,FALSE)/1000+VLOOKUP($C367,'ASDR FY2'!$A:$X,P$14,FALSE)/1000+VLOOKUP($C367,'ASDR FY2'!$A:$X,P$15,FALSE)/1000</f>
        <v>0</v>
      </c>
      <c r="Q367" s="9"/>
      <c r="R367" s="8">
        <f>SUM(F367,H367,J367,L367,N367,P367)</f>
        <v>2.7799499999999999</v>
      </c>
      <c r="S367" s="10"/>
      <c r="T367" s="8">
        <f>VLOOKUP($C367,'ASDR FY2'!$A:$X,T$14,FALSE)/1000</f>
        <v>2.2844099999999998</v>
      </c>
    </row>
    <row r="368" spans="1:20" ht="13.8" thickBot="1" x14ac:dyDescent="0.3">
      <c r="A368" s="155">
        <f t="shared" si="6"/>
        <v>14</v>
      </c>
      <c r="B368" s="161"/>
      <c r="C368" s="155"/>
      <c r="D368" s="150" t="s">
        <v>130</v>
      </c>
      <c r="F368" s="63">
        <f>SUM(F364:F367)</f>
        <v>58.595759999999984</v>
      </c>
      <c r="H368" s="63">
        <f>SUM(H364:H367)</f>
        <v>33.068039999999996</v>
      </c>
      <c r="I368" s="13"/>
      <c r="J368" s="63">
        <f>SUM(J364:J367)</f>
        <v>0</v>
      </c>
      <c r="K368" s="13"/>
      <c r="L368" s="63">
        <f>SUM(L364:L367)</f>
        <v>0</v>
      </c>
      <c r="M368" s="13"/>
      <c r="N368" s="63">
        <f>SUM(N364:N367)</f>
        <v>0</v>
      </c>
      <c r="O368" s="65"/>
      <c r="P368" s="63">
        <f>SUM(P364:P367)</f>
        <v>0</v>
      </c>
      <c r="Q368" s="13"/>
      <c r="R368" s="63">
        <f>SUM(R364:R367)</f>
        <v>91.663799999999981</v>
      </c>
      <c r="S368" s="13"/>
      <c r="T368" s="63">
        <f>SUM(T364:T367)</f>
        <v>75.129779999999982</v>
      </c>
    </row>
    <row r="369" spans="1:20" ht="13.8" thickTop="1" x14ac:dyDescent="0.25">
      <c r="A369" s="155">
        <f t="shared" si="6"/>
        <v>15</v>
      </c>
      <c r="B369" s="161"/>
      <c r="Q369" s="152"/>
    </row>
    <row r="370" spans="1:20" x14ac:dyDescent="0.25">
      <c r="A370" s="155">
        <f t="shared" si="6"/>
        <v>16</v>
      </c>
      <c r="B370" s="161"/>
      <c r="C370" s="168"/>
      <c r="D370" s="173" t="s">
        <v>131</v>
      </c>
      <c r="Q370" s="152"/>
    </row>
    <row r="371" spans="1:20" x14ac:dyDescent="0.25">
      <c r="A371" s="155">
        <f t="shared" si="6"/>
        <v>17</v>
      </c>
      <c r="B371" s="161"/>
      <c r="C371" s="153">
        <v>34120</v>
      </c>
      <c r="D371" s="150" t="s">
        <v>46</v>
      </c>
      <c r="F371" s="8">
        <f>VLOOKUP($C371,'ASDR FY2'!$A:$X,F$14,FALSE)/1000</f>
        <v>0</v>
      </c>
      <c r="G371" s="152"/>
      <c r="H371" s="8">
        <f>VLOOKUP($C371,'ASDR FY2'!$A:$X,H$14,FALSE)/1000</f>
        <v>0</v>
      </c>
      <c r="I371" s="9"/>
      <c r="J371" s="8">
        <f>VLOOKUP($C371,'ASDR FY2'!$A:$X,J$14,FALSE)/1000</f>
        <v>0</v>
      </c>
      <c r="K371" s="10"/>
      <c r="L371" s="8">
        <f>VLOOKUP($C371,'ASDR FY2'!$A:$X,L$13,FALSE)/1000+VLOOKUP($C371,'ASDR FY2'!$A:$X,L$14,FALSE)/1000</f>
        <v>0</v>
      </c>
      <c r="M371" s="10"/>
      <c r="N371" s="8">
        <f>VLOOKUP($C371,'ASDR FY2'!$A:$X,N$13,FALSE)/1000+VLOOKUP($C371,'ASDR FY2'!$A:$X,N$14,FALSE)/1000</f>
        <v>0</v>
      </c>
      <c r="O371" s="8"/>
      <c r="P371" s="8">
        <f>VLOOKUP($C371,'ASDR FY2'!$A:$X,P$13,FALSE)/1000+VLOOKUP($C371,'ASDR FY2'!$A:$X,P$14,FALSE)/1000+VLOOKUP($C371,'ASDR FY2'!$A:$X,P$15,FALSE)/1000</f>
        <v>0</v>
      </c>
      <c r="Q371" s="9"/>
      <c r="R371" s="8">
        <f t="shared" ref="R371:R376" si="7">SUM(F371,H371,J371,L371,N371,P371)</f>
        <v>0</v>
      </c>
      <c r="S371" s="10"/>
      <c r="T371" s="8">
        <f>VLOOKUP($C371,'ASDR FY2'!$A:$X,T$14,FALSE)/1000</f>
        <v>0</v>
      </c>
    </row>
    <row r="372" spans="1:20" x14ac:dyDescent="0.25">
      <c r="A372" s="155">
        <f t="shared" si="6"/>
        <v>18</v>
      </c>
      <c r="B372" s="169"/>
      <c r="C372" s="153">
        <v>34220</v>
      </c>
      <c r="D372" s="150" t="s">
        <v>82</v>
      </c>
      <c r="F372" s="8">
        <f>VLOOKUP($C372,'ASDR FY2'!$A:$X,F$14,FALSE)/1000</f>
        <v>0</v>
      </c>
      <c r="G372" s="152"/>
      <c r="H372" s="8">
        <f>VLOOKUP($C372,'ASDR FY2'!$A:$X,H$14,FALSE)/1000</f>
        <v>761.74930000000006</v>
      </c>
      <c r="I372" s="9"/>
      <c r="J372" s="8">
        <f>VLOOKUP($C372,'ASDR FY2'!$A:$X,J$14,FALSE)/1000</f>
        <v>0</v>
      </c>
      <c r="K372" s="10"/>
      <c r="L372" s="8">
        <f>VLOOKUP($C372,'ASDR FY2'!$A:$X,L$13,FALSE)/1000+VLOOKUP($C372,'ASDR FY2'!$A:$X,L$14,FALSE)/1000</f>
        <v>0</v>
      </c>
      <c r="M372" s="10"/>
      <c r="N372" s="8">
        <f>VLOOKUP($C372,'ASDR FY2'!$A:$X,N$13,FALSE)/1000+VLOOKUP($C372,'ASDR FY2'!$A:$X,N$14,FALSE)/1000</f>
        <v>0</v>
      </c>
      <c r="O372" s="8"/>
      <c r="P372" s="8">
        <f>VLOOKUP($C372,'ASDR FY2'!$A:$X,P$13,FALSE)/1000+VLOOKUP($C372,'ASDR FY2'!$A:$X,P$14,FALSE)/1000+VLOOKUP($C372,'ASDR FY2'!$A:$X,P$15,FALSE)/1000</f>
        <v>0</v>
      </c>
      <c r="Q372" s="9"/>
      <c r="R372" s="8">
        <f t="shared" si="7"/>
        <v>761.74930000000006</v>
      </c>
      <c r="S372" s="10"/>
      <c r="T372" s="8">
        <f>VLOOKUP($C372,'ASDR FY2'!$A:$X,T$14,FALSE)/1000</f>
        <v>261.88681000000003</v>
      </c>
    </row>
    <row r="373" spans="1:20" x14ac:dyDescent="0.25">
      <c r="A373" s="155">
        <f t="shared" si="6"/>
        <v>19</v>
      </c>
      <c r="B373" s="169"/>
      <c r="C373" s="153">
        <v>34320</v>
      </c>
      <c r="D373" s="150" t="s">
        <v>83</v>
      </c>
      <c r="F373" s="8">
        <f>VLOOKUP($C373,'ASDR FY2'!$A:$X,F$14,FALSE)/1000</f>
        <v>0</v>
      </c>
      <c r="G373" s="152"/>
      <c r="H373" s="8">
        <f>VLOOKUP($C373,'ASDR FY2'!$A:$X,H$14,FALSE)/1000</f>
        <v>720.19934000000001</v>
      </c>
      <c r="I373" s="9"/>
      <c r="J373" s="8">
        <f>VLOOKUP($C373,'ASDR FY2'!$A:$X,J$14,FALSE)/1000</f>
        <v>0</v>
      </c>
      <c r="K373" s="10"/>
      <c r="L373" s="8">
        <f>VLOOKUP($C373,'ASDR FY2'!$A:$X,L$13,FALSE)/1000+VLOOKUP($C373,'ASDR FY2'!$A:$X,L$14,FALSE)/1000</f>
        <v>0</v>
      </c>
      <c r="M373" s="10"/>
      <c r="N373" s="8">
        <f>VLOOKUP($C373,'ASDR FY2'!$A:$X,N$13,FALSE)/1000+VLOOKUP($C373,'ASDR FY2'!$A:$X,N$14,FALSE)/1000</f>
        <v>0</v>
      </c>
      <c r="O373" s="8"/>
      <c r="P373" s="8">
        <f>VLOOKUP($C373,'ASDR FY2'!$A:$X,P$13,FALSE)/1000+VLOOKUP($C373,'ASDR FY2'!$A:$X,P$14,FALSE)/1000+VLOOKUP($C373,'ASDR FY2'!$A:$X,P$15,FALSE)/1000</f>
        <v>0</v>
      </c>
      <c r="Q373" s="9"/>
      <c r="R373" s="8">
        <f t="shared" si="7"/>
        <v>720.19934000000001</v>
      </c>
      <c r="S373" s="10"/>
      <c r="T373" s="8">
        <f>VLOOKUP($C373,'ASDR FY2'!$A:$X,T$14,FALSE)/1000</f>
        <v>247.60208</v>
      </c>
    </row>
    <row r="374" spans="1:20" x14ac:dyDescent="0.25">
      <c r="A374" s="155">
        <f t="shared" si="6"/>
        <v>20</v>
      </c>
      <c r="B374" s="161"/>
      <c r="C374" s="153">
        <v>34520</v>
      </c>
      <c r="D374" s="150" t="s">
        <v>49</v>
      </c>
      <c r="F374" s="8">
        <f>VLOOKUP($C374,'ASDR FY2'!$A:$X,F$14,FALSE)/1000</f>
        <v>0</v>
      </c>
      <c r="G374" s="152"/>
      <c r="H374" s="8">
        <f>VLOOKUP($C374,'ASDR FY2'!$A:$X,H$14,FALSE)/1000</f>
        <v>0</v>
      </c>
      <c r="I374" s="9"/>
      <c r="J374" s="8">
        <f>VLOOKUP($C374,'ASDR FY2'!$A:$X,J$14,FALSE)/1000</f>
        <v>0</v>
      </c>
      <c r="K374" s="10"/>
      <c r="L374" s="8">
        <f>VLOOKUP($C374,'ASDR FY2'!$A:$X,L$13,FALSE)/1000+VLOOKUP($C374,'ASDR FY2'!$A:$X,L$14,FALSE)/1000</f>
        <v>0</v>
      </c>
      <c r="M374" s="10"/>
      <c r="N374" s="8">
        <f>VLOOKUP($C374,'ASDR FY2'!$A:$X,N$13,FALSE)/1000+VLOOKUP($C374,'ASDR FY2'!$A:$X,N$14,FALSE)/1000</f>
        <v>0</v>
      </c>
      <c r="O374" s="8"/>
      <c r="P374" s="8">
        <f>VLOOKUP($C374,'ASDR FY2'!$A:$X,P$13,FALSE)/1000+VLOOKUP($C374,'ASDR FY2'!$A:$X,P$14,FALSE)/1000+VLOOKUP($C374,'ASDR FY2'!$A:$X,P$15,FALSE)/1000</f>
        <v>0</v>
      </c>
      <c r="Q374" s="9"/>
      <c r="R374" s="8">
        <f t="shared" si="7"/>
        <v>0</v>
      </c>
      <c r="S374" s="10"/>
      <c r="T374" s="8">
        <f>VLOOKUP($C374,'ASDR FY2'!$A:$X,T$14,FALSE)/1000</f>
        <v>0</v>
      </c>
    </row>
    <row r="375" spans="1:20" x14ac:dyDescent="0.25">
      <c r="A375" s="155">
        <f t="shared" si="6"/>
        <v>21</v>
      </c>
      <c r="B375" s="161"/>
      <c r="C375" s="153">
        <v>34620</v>
      </c>
      <c r="D375" s="150" t="s">
        <v>50</v>
      </c>
      <c r="F375" s="8">
        <f>VLOOKUP($C375,'ASDR FY2'!$A:$X,F$14,FALSE)/1000</f>
        <v>0</v>
      </c>
      <c r="G375" s="152"/>
      <c r="H375" s="8">
        <f>VLOOKUP($C375,'ASDR FY2'!$A:$X,H$14,FALSE)/1000</f>
        <v>0</v>
      </c>
      <c r="I375" s="9"/>
      <c r="J375" s="8">
        <f>VLOOKUP($C375,'ASDR FY2'!$A:$X,J$14,FALSE)/1000</f>
        <v>0</v>
      </c>
      <c r="K375" s="10"/>
      <c r="L375" s="8">
        <f>VLOOKUP($C375,'ASDR FY2'!$A:$X,L$13,FALSE)/1000+VLOOKUP($C375,'ASDR FY2'!$A:$X,L$14,FALSE)/1000</f>
        <v>0</v>
      </c>
      <c r="M375" s="10"/>
      <c r="N375" s="8">
        <f>VLOOKUP($C375,'ASDR FY2'!$A:$X,N$13,FALSE)/1000+VLOOKUP($C375,'ASDR FY2'!$A:$X,N$14,FALSE)/1000</f>
        <v>0</v>
      </c>
      <c r="O375" s="8"/>
      <c r="P375" s="8">
        <f>VLOOKUP($C375,'ASDR FY2'!$A:$X,P$13,FALSE)/1000+VLOOKUP($C375,'ASDR FY2'!$A:$X,P$14,FALSE)/1000+VLOOKUP($C375,'ASDR FY2'!$A:$X,P$15,FALSE)/1000</f>
        <v>0</v>
      </c>
      <c r="Q375" s="9"/>
      <c r="R375" s="8">
        <f t="shared" si="7"/>
        <v>0</v>
      </c>
      <c r="S375" s="10"/>
      <c r="T375" s="8">
        <f>VLOOKUP($C375,'ASDR FY2'!$A:$X,T$14,FALSE)/1000</f>
        <v>0</v>
      </c>
    </row>
    <row r="376" spans="1:20" x14ac:dyDescent="0.25">
      <c r="A376" s="155">
        <f t="shared" si="6"/>
        <v>22</v>
      </c>
      <c r="B376" s="161"/>
      <c r="C376" s="153">
        <v>34820</v>
      </c>
      <c r="D376" s="150" t="s">
        <v>127</v>
      </c>
      <c r="F376" s="8">
        <f>VLOOKUP($C376,'ASDR FY2'!$A:$X,F$14,FALSE)/1000</f>
        <v>0</v>
      </c>
      <c r="G376" s="152"/>
      <c r="H376" s="8">
        <f>VLOOKUP($C376,'ASDR FY2'!$A:$X,H$14,FALSE)/1000</f>
        <v>1964.3595299999999</v>
      </c>
      <c r="I376" s="9"/>
      <c r="J376" s="8">
        <f>VLOOKUP($C376,'ASDR FY2'!$A:$X,J$14,FALSE)/1000</f>
        <v>0</v>
      </c>
      <c r="K376" s="10"/>
      <c r="L376" s="8">
        <f>VLOOKUP($C376,'ASDR FY2'!$A:$X,L$13,FALSE)/1000+VLOOKUP($C376,'ASDR FY2'!$A:$X,L$14,FALSE)/1000</f>
        <v>0</v>
      </c>
      <c r="M376" s="10"/>
      <c r="N376" s="8">
        <f>VLOOKUP($C376,'ASDR FY2'!$A:$X,N$13,FALSE)/1000+VLOOKUP($C376,'ASDR FY2'!$A:$X,N$14,FALSE)/1000</f>
        <v>0</v>
      </c>
      <c r="O376" s="8"/>
      <c r="P376" s="8">
        <f>VLOOKUP($C376,'ASDR FY2'!$A:$X,P$13,FALSE)/1000+VLOOKUP($C376,'ASDR FY2'!$A:$X,P$14,FALSE)/1000+VLOOKUP($C376,'ASDR FY2'!$A:$X,P$15,FALSE)/1000</f>
        <v>0</v>
      </c>
      <c r="Q376" s="9"/>
      <c r="R376" s="8">
        <f t="shared" si="7"/>
        <v>1964.3595299999999</v>
      </c>
      <c r="S376" s="10"/>
      <c r="T376" s="8">
        <f>VLOOKUP($C376,'ASDR FY2'!$A:$X,T$14,FALSE)/1000</f>
        <v>662.58854000000008</v>
      </c>
    </row>
    <row r="377" spans="1:20" ht="13.8" thickBot="1" x14ac:dyDescent="0.3">
      <c r="A377" s="155">
        <f t="shared" si="6"/>
        <v>23</v>
      </c>
      <c r="B377" s="161"/>
      <c r="D377" s="173" t="s">
        <v>132</v>
      </c>
      <c r="F377" s="63">
        <f>SUM(F371:F376)</f>
        <v>0</v>
      </c>
      <c r="H377" s="63">
        <f>SUM(H371:H376)</f>
        <v>3446.3081700000002</v>
      </c>
      <c r="I377" s="13"/>
      <c r="J377" s="63">
        <f>SUM(J371:J376)</f>
        <v>0</v>
      </c>
      <c r="K377" s="13"/>
      <c r="L377" s="63">
        <f>SUM(L371:L376)</f>
        <v>0</v>
      </c>
      <c r="M377" s="13"/>
      <c r="N377" s="63">
        <f>SUM(N371:N376)</f>
        <v>0</v>
      </c>
      <c r="O377" s="65"/>
      <c r="P377" s="63">
        <f>SUM(P371:P376)</f>
        <v>0</v>
      </c>
      <c r="Q377" s="13"/>
      <c r="R377" s="63">
        <f>SUM(R371:R376)</f>
        <v>3446.3081700000002</v>
      </c>
      <c r="T377" s="63">
        <f>SUM(T371:T376)</f>
        <v>1172.07743</v>
      </c>
    </row>
    <row r="378" spans="1:20" ht="13.8" thickTop="1" x14ac:dyDescent="0.25">
      <c r="A378" s="155">
        <f t="shared" si="6"/>
        <v>24</v>
      </c>
      <c r="B378" s="161"/>
      <c r="S378" s="15"/>
    </row>
    <row r="379" spans="1:20" ht="13.8" thickBot="1" x14ac:dyDescent="0.3">
      <c r="A379" s="155">
        <f t="shared" si="6"/>
        <v>25</v>
      </c>
      <c r="B379" s="161"/>
      <c r="C379" s="155"/>
      <c r="D379" s="150" t="s">
        <v>133</v>
      </c>
      <c r="F379" s="26">
        <f>SUM(F169,F261,F340,F361,F368,F377)</f>
        <v>1375326.2892100001</v>
      </c>
      <c r="H379" s="26">
        <f>SUM(H169,H261,H340,H361,H368,H377)</f>
        <v>219936.23558000001</v>
      </c>
      <c r="I379" s="15"/>
      <c r="J379" s="26">
        <f>SUM(J169,J261,J340,J361,J368,J377)</f>
        <v>-22082.575860000001</v>
      </c>
      <c r="K379" s="15"/>
      <c r="L379" s="26">
        <f>SUM(L169,L261,L340,L361,L368,L377)</f>
        <v>-6710.6127800000004</v>
      </c>
      <c r="M379" s="15"/>
      <c r="N379" s="26">
        <f>SUM(N169,N261,N340,N361,N368,N377)</f>
        <v>0</v>
      </c>
      <c r="O379" s="69"/>
      <c r="P379" s="26">
        <f>SUM(P169,P261,P340,P361,P368,P377)</f>
        <v>0</v>
      </c>
      <c r="Q379" s="15"/>
      <c r="R379" s="26">
        <f>SUM(R169,R261,R340,R361,R368,R377)</f>
        <v>1566469.3361500001</v>
      </c>
      <c r="S379" s="15"/>
      <c r="T379" s="26">
        <f>SUM(T169,T261,T340,T361,T368,T377)</f>
        <v>1471881.7228200003</v>
      </c>
    </row>
    <row r="380" spans="1:20" ht="13.8" thickTop="1" x14ac:dyDescent="0.25">
      <c r="A380" s="155">
        <f t="shared" si="6"/>
        <v>26</v>
      </c>
      <c r="C380" s="153"/>
      <c r="F380" s="177"/>
      <c r="H380" s="177"/>
      <c r="I380" s="15"/>
      <c r="J380" s="177"/>
      <c r="K380" s="15"/>
      <c r="L380" s="177"/>
      <c r="M380" s="15"/>
      <c r="N380" s="177"/>
      <c r="O380" s="177"/>
      <c r="P380" s="177"/>
      <c r="Q380" s="15"/>
      <c r="R380" s="177"/>
      <c r="S380" s="15"/>
      <c r="T380" s="177"/>
    </row>
    <row r="381" spans="1:20" ht="13.8" thickBot="1" x14ac:dyDescent="0.3">
      <c r="A381" s="155">
        <f t="shared" si="6"/>
        <v>27</v>
      </c>
      <c r="C381" s="153"/>
      <c r="D381" s="150" t="s">
        <v>134</v>
      </c>
      <c r="F381" s="19">
        <f>F379+F133</f>
        <v>1930257.1669800002</v>
      </c>
      <c r="H381" s="19">
        <f>H379+H133</f>
        <v>279342.16834000003</v>
      </c>
      <c r="I381" s="15"/>
      <c r="J381" s="19">
        <f>J379+J133</f>
        <v>-25807.018240000001</v>
      </c>
      <c r="K381" s="15"/>
      <c r="L381" s="19">
        <f>L379+L133</f>
        <v>-8426.9444999999996</v>
      </c>
      <c r="M381" s="15"/>
      <c r="N381" s="19">
        <f>N379+N133</f>
        <v>0</v>
      </c>
      <c r="O381" s="37"/>
      <c r="P381" s="19">
        <f>P379+P133</f>
        <v>0</v>
      </c>
      <c r="Q381" s="15"/>
      <c r="R381" s="19">
        <f>R379+R133</f>
        <v>2175365.3725800002</v>
      </c>
      <c r="T381" s="19">
        <f>T379+T133</f>
        <v>2054088.0630800002</v>
      </c>
    </row>
    <row r="382" spans="1:20" ht="13.8" thickTop="1" x14ac:dyDescent="0.25">
      <c r="A382" s="155">
        <f t="shared" si="6"/>
        <v>28</v>
      </c>
      <c r="B382" s="161"/>
      <c r="Q382" s="152"/>
    </row>
    <row r="383" spans="1:20" x14ac:dyDescent="0.25">
      <c r="A383" s="155">
        <f t="shared" si="6"/>
        <v>29</v>
      </c>
      <c r="B383" s="161"/>
      <c r="C383" s="155"/>
      <c r="D383" s="165" t="s">
        <v>135</v>
      </c>
      <c r="E383" s="165"/>
      <c r="F383" s="15"/>
      <c r="H383" s="15"/>
      <c r="I383" s="15"/>
      <c r="J383" s="15"/>
      <c r="K383" s="181"/>
      <c r="L383" s="15"/>
      <c r="M383" s="181"/>
      <c r="N383" s="15"/>
      <c r="O383" s="181"/>
      <c r="P383" s="15"/>
      <c r="Q383" s="177"/>
      <c r="R383" s="15"/>
      <c r="S383" s="181"/>
      <c r="T383" s="181"/>
    </row>
    <row r="384" spans="1:20" x14ac:dyDescent="0.25">
      <c r="A384" s="155">
        <f t="shared" si="6"/>
        <v>30</v>
      </c>
      <c r="B384" s="161"/>
      <c r="C384" s="153">
        <v>35001</v>
      </c>
      <c r="D384" s="182" t="s">
        <v>136</v>
      </c>
      <c r="F384" s="8">
        <f>VLOOKUP($C384,'ASDR FY2'!$A:$X,F$14,FALSE)/1000</f>
        <v>5088.9060300000083</v>
      </c>
      <c r="G384" s="152"/>
      <c r="H384" s="8">
        <f>VLOOKUP($C384,'ASDR FY2'!$A:$X,H$14,FALSE)/1000</f>
        <v>187.29876000000002</v>
      </c>
      <c r="I384" s="9"/>
      <c r="J384" s="8">
        <f>VLOOKUP($C384,'ASDR FY2'!$A:$X,J$14,FALSE)/1000</f>
        <v>0</v>
      </c>
      <c r="K384" s="10"/>
      <c r="L384" s="8">
        <f>VLOOKUP($C384,'ASDR FY2'!$A:$X,L$13,FALSE)/1000+VLOOKUP($C384,'ASDR FY2'!$A:$X,L$14,FALSE)/1000</f>
        <v>0</v>
      </c>
      <c r="M384" s="10"/>
      <c r="N384" s="8">
        <f>VLOOKUP($C384,'ASDR FY2'!$A:$X,N$13,FALSE)/1000+VLOOKUP($C384,'ASDR FY2'!$A:$X,N$14,FALSE)/1000</f>
        <v>0</v>
      </c>
      <c r="O384" s="8"/>
      <c r="P384" s="8">
        <f>VLOOKUP($C384,'ASDR FY2'!$A:$X,P$13,FALSE)/1000+VLOOKUP($C384,'ASDR FY2'!$A:$X,P$14,FALSE)/1000+VLOOKUP($C384,'ASDR FY2'!$A:$X,P$15,FALSE)/1000</f>
        <v>0</v>
      </c>
      <c r="Q384" s="9"/>
      <c r="R384" s="8">
        <f>SUM(F384,H384,J384,L384,N384,P384)</f>
        <v>5276.204790000008</v>
      </c>
      <c r="S384" s="10"/>
      <c r="T384" s="8">
        <f>VLOOKUP($C384,'ASDR FY2'!$A:$X,T$14,FALSE)/1000</f>
        <v>5182.5554099999999</v>
      </c>
    </row>
    <row r="385" spans="1:20" x14ac:dyDescent="0.25">
      <c r="A385" s="155">
        <f t="shared" si="6"/>
        <v>31</v>
      </c>
      <c r="B385" s="161"/>
      <c r="C385" s="155">
        <v>35100</v>
      </c>
      <c r="D385" s="150" t="s">
        <v>137</v>
      </c>
      <c r="F385" s="8">
        <f>VLOOKUP($C385,'ASDR FY2'!$A:$X,F$14,FALSE)/1000</f>
        <v>0</v>
      </c>
      <c r="G385" s="152"/>
      <c r="H385" s="8">
        <f>VLOOKUP($C385,'ASDR FY2'!$A:$X,H$14,FALSE)/1000</f>
        <v>0</v>
      </c>
      <c r="I385" s="9"/>
      <c r="J385" s="8">
        <f>VLOOKUP($C385,'ASDR FY2'!$A:$X,J$14,FALSE)/1000</f>
        <v>0</v>
      </c>
      <c r="K385" s="10"/>
      <c r="L385" s="8">
        <f>VLOOKUP($C385,'ASDR FY2'!$A:$X,L$13,FALSE)/1000+VLOOKUP($C385,'ASDR FY2'!$A:$X,L$14,FALSE)/1000</f>
        <v>0</v>
      </c>
      <c r="M385" s="10"/>
      <c r="N385" s="8">
        <f>VLOOKUP($C385,'ASDR FY2'!$A:$X,N$13,FALSE)/1000+VLOOKUP($C385,'ASDR FY2'!$A:$X,N$14,FALSE)/1000</f>
        <v>0</v>
      </c>
      <c r="O385" s="8"/>
      <c r="P385" s="8">
        <f>VLOOKUP($C385,'ASDR FY2'!$A:$X,P$13,FALSE)/1000+VLOOKUP($C385,'ASDR FY2'!$A:$X,P$14,FALSE)/1000+VLOOKUP($C385,'ASDR FY2'!$A:$X,P$15,FALSE)/1000</f>
        <v>0</v>
      </c>
      <c r="Q385" s="9"/>
      <c r="R385" s="8">
        <f>SUM(F385,H385,J385,L385,N385,P385)</f>
        <v>0</v>
      </c>
      <c r="S385" s="10"/>
      <c r="T385" s="8">
        <f>VLOOKUP($C385,'ASDR FY2'!$A:$X,T$14,FALSE)/1000</f>
        <v>0</v>
      </c>
    </row>
    <row r="386" spans="1:20" x14ac:dyDescent="0.25">
      <c r="A386" s="155">
        <f t="shared" si="6"/>
        <v>32</v>
      </c>
      <c r="B386" s="161"/>
      <c r="C386" s="153">
        <v>35200</v>
      </c>
      <c r="D386" s="182" t="s">
        <v>138</v>
      </c>
      <c r="F386" s="8">
        <f>VLOOKUP($C386,'ASDR FY2'!$A:$X,F$14,FALSE)/1000</f>
        <v>16146.070070000003</v>
      </c>
      <c r="G386" s="152"/>
      <c r="H386" s="8">
        <f>VLOOKUP($C386,'ASDR FY2'!$A:$X,H$14,FALSE)/1000</f>
        <v>1655.2191599999999</v>
      </c>
      <c r="I386" s="9"/>
      <c r="J386" s="8">
        <f>VLOOKUP($C386,'ASDR FY2'!$A:$X,J$14,FALSE)/1000</f>
        <v>0</v>
      </c>
      <c r="K386" s="10"/>
      <c r="L386" s="8">
        <f>VLOOKUP($C386,'ASDR FY2'!$A:$X,L$13,FALSE)/1000+VLOOKUP($C386,'ASDR FY2'!$A:$X,L$14,FALSE)/1000</f>
        <v>0</v>
      </c>
      <c r="M386" s="10"/>
      <c r="N386" s="8">
        <f>VLOOKUP($C386,'ASDR FY2'!$A:$X,N$13,FALSE)/1000+VLOOKUP($C386,'ASDR FY2'!$A:$X,N$14,FALSE)/1000</f>
        <v>0</v>
      </c>
      <c r="O386" s="8"/>
      <c r="P386" s="8">
        <f>VLOOKUP($C386,'ASDR FY2'!$A:$X,P$13,FALSE)/1000+VLOOKUP($C386,'ASDR FY2'!$A:$X,P$14,FALSE)/1000+VLOOKUP($C386,'ASDR FY2'!$A:$X,P$15,FALSE)/1000</f>
        <v>0</v>
      </c>
      <c r="Q386" s="9"/>
      <c r="R386" s="8">
        <f t="shared" ref="R386:R394" si="8">SUM(F386,H386,J386,L386,N386,P386)</f>
        <v>17801.289230000002</v>
      </c>
      <c r="S386" s="10"/>
      <c r="T386" s="8">
        <f>VLOOKUP($C386,'ASDR FY2'!$A:$X,T$14,FALSE)/1000</f>
        <v>16973.679649999998</v>
      </c>
    </row>
    <row r="387" spans="1:20" x14ac:dyDescent="0.25">
      <c r="A387" s="155">
        <f t="shared" si="6"/>
        <v>33</v>
      </c>
      <c r="B387" s="161"/>
      <c r="C387" s="153">
        <v>35300</v>
      </c>
      <c r="D387" s="183" t="s">
        <v>139</v>
      </c>
      <c r="E387" s="165"/>
      <c r="F387" s="8">
        <f>VLOOKUP($C387,'ASDR FY2'!$A:$X,F$14,FALSE)/1000</f>
        <v>95817.470748700012</v>
      </c>
      <c r="G387" s="152"/>
      <c r="H387" s="8">
        <f>VLOOKUP($C387,'ASDR FY2'!$A:$X,H$14,FALSE)/1000</f>
        <v>10775.99401</v>
      </c>
      <c r="I387" s="9"/>
      <c r="J387" s="8">
        <f>VLOOKUP($C387,'ASDR FY2'!$A:$X,J$14,FALSE)/1000</f>
        <v>-5514.3032800000001</v>
      </c>
      <c r="K387" s="10"/>
      <c r="L387" s="8">
        <f>VLOOKUP($C387,'ASDR FY2'!$A:$X,L$13,FALSE)/1000+VLOOKUP($C387,'ASDR FY2'!$A:$X,L$14,FALSE)/1000</f>
        <v>3.8008000000000002</v>
      </c>
      <c r="M387" s="10"/>
      <c r="N387" s="8">
        <f>VLOOKUP($C387,'ASDR FY2'!$A:$X,N$13,FALSE)/1000+VLOOKUP($C387,'ASDR FY2'!$A:$X,N$14,FALSE)/1000</f>
        <v>0</v>
      </c>
      <c r="O387" s="8"/>
      <c r="P387" s="8">
        <f>VLOOKUP($C387,'ASDR FY2'!$A:$X,P$13,FALSE)/1000+VLOOKUP($C387,'ASDR FY2'!$A:$X,P$14,FALSE)/1000+VLOOKUP($C387,'ASDR FY2'!$A:$X,P$15,FALSE)/1000</f>
        <v>0</v>
      </c>
      <c r="Q387" s="9"/>
      <c r="R387" s="8">
        <f t="shared" si="8"/>
        <v>101082.9622787</v>
      </c>
      <c r="S387" s="10"/>
      <c r="T387" s="8">
        <f>VLOOKUP($C387,'ASDR FY2'!$A:$X,T$14,FALSE)/1000</f>
        <v>99557.050690000004</v>
      </c>
    </row>
    <row r="388" spans="1:20" x14ac:dyDescent="0.25">
      <c r="A388" s="155">
        <f t="shared" si="6"/>
        <v>34</v>
      </c>
      <c r="B388" s="161"/>
      <c r="C388" s="153">
        <v>35400</v>
      </c>
      <c r="D388" s="183" t="s">
        <v>140</v>
      </c>
      <c r="E388" s="165"/>
      <c r="F388" s="8">
        <f>VLOOKUP($C388,'ASDR FY2'!$A:$X,F$14,FALSE)/1000</f>
        <v>5281.2702899999904</v>
      </c>
      <c r="G388" s="152"/>
      <c r="H388" s="8">
        <f>VLOOKUP($C388,'ASDR FY2'!$A:$X,H$14,FALSE)/1000</f>
        <v>65.687640000000002</v>
      </c>
      <c r="I388" s="9"/>
      <c r="J388" s="8">
        <f>VLOOKUP($C388,'ASDR FY2'!$A:$X,J$14,FALSE)/1000</f>
        <v>0</v>
      </c>
      <c r="K388" s="10"/>
      <c r="L388" s="8">
        <f>VLOOKUP($C388,'ASDR FY2'!$A:$X,L$13,FALSE)/1000+VLOOKUP($C388,'ASDR FY2'!$A:$X,L$14,FALSE)/1000</f>
        <v>0</v>
      </c>
      <c r="M388" s="10"/>
      <c r="N388" s="8">
        <f>VLOOKUP($C388,'ASDR FY2'!$A:$X,N$13,FALSE)/1000+VLOOKUP($C388,'ASDR FY2'!$A:$X,N$14,FALSE)/1000</f>
        <v>0</v>
      </c>
      <c r="O388" s="8"/>
      <c r="P388" s="8">
        <f>VLOOKUP($C388,'ASDR FY2'!$A:$X,P$13,FALSE)/1000+VLOOKUP($C388,'ASDR FY2'!$A:$X,P$14,FALSE)/1000+VLOOKUP($C388,'ASDR FY2'!$A:$X,P$15,FALSE)/1000</f>
        <v>0</v>
      </c>
      <c r="Q388" s="9"/>
      <c r="R388" s="8">
        <f t="shared" si="8"/>
        <v>5346.9579299999905</v>
      </c>
      <c r="S388" s="10"/>
      <c r="T388" s="8">
        <f>VLOOKUP($C388,'ASDR FY2'!$A:$X,T$14,FALSE)/1000</f>
        <v>5314.1141100000004</v>
      </c>
    </row>
    <row r="389" spans="1:20" x14ac:dyDescent="0.25">
      <c r="A389" s="155">
        <f t="shared" si="6"/>
        <v>35</v>
      </c>
      <c r="B389" s="161"/>
      <c r="C389" s="153">
        <v>35500</v>
      </c>
      <c r="D389" s="182" t="s">
        <v>141</v>
      </c>
      <c r="F389" s="8">
        <f>VLOOKUP($C389,'ASDR FY2'!$A:$X,F$14,FALSE)/1000</f>
        <v>139406.5073136001</v>
      </c>
      <c r="G389" s="152"/>
      <c r="H389" s="8">
        <f>VLOOKUP($C389,'ASDR FY2'!$A:$X,H$14,FALSE)/1000</f>
        <v>15079.041050000002</v>
      </c>
      <c r="I389" s="9"/>
      <c r="J389" s="8">
        <f>VLOOKUP($C389,'ASDR FY2'!$A:$X,J$14,FALSE)/1000</f>
        <v>-5910.2273800000003</v>
      </c>
      <c r="K389" s="10"/>
      <c r="L389" s="8">
        <f>VLOOKUP($C389,'ASDR FY2'!$A:$X,L$13,FALSE)/1000+VLOOKUP($C389,'ASDR FY2'!$A:$X,L$14,FALSE)/1000</f>
        <v>-2931.2443399999997</v>
      </c>
      <c r="M389" s="10"/>
      <c r="N389" s="8">
        <f>VLOOKUP($C389,'ASDR FY2'!$A:$X,N$13,FALSE)/1000+VLOOKUP($C389,'ASDR FY2'!$A:$X,N$14,FALSE)/1000</f>
        <v>0</v>
      </c>
      <c r="O389" s="8"/>
      <c r="P389" s="8">
        <f>VLOOKUP($C389,'ASDR FY2'!$A:$X,P$13,FALSE)/1000+VLOOKUP($C389,'ASDR FY2'!$A:$X,P$14,FALSE)/1000+VLOOKUP($C389,'ASDR FY2'!$A:$X,P$15,FALSE)/1000</f>
        <v>0</v>
      </c>
      <c r="Q389" s="9"/>
      <c r="R389" s="8">
        <f t="shared" si="8"/>
        <v>145644.0766436001</v>
      </c>
      <c r="S389" s="10"/>
      <c r="T389" s="8">
        <f>VLOOKUP($C389,'ASDR FY2'!$A:$X,T$14,FALSE)/1000</f>
        <v>143297.33716999998</v>
      </c>
    </row>
    <row r="390" spans="1:20" x14ac:dyDescent="0.25">
      <c r="A390" s="155">
        <f t="shared" si="6"/>
        <v>36</v>
      </c>
      <c r="B390" s="161"/>
      <c r="C390" s="153">
        <v>35600</v>
      </c>
      <c r="D390" s="182" t="s">
        <v>142</v>
      </c>
      <c r="F390" s="8">
        <f>VLOOKUP($C390,'ASDR FY2'!$A:$X,F$14,FALSE)/1000</f>
        <v>31677.20646960002</v>
      </c>
      <c r="G390" s="152"/>
      <c r="H390" s="8">
        <f>VLOOKUP($C390,'ASDR FY2'!$A:$X,H$14,FALSE)/1000</f>
        <v>5692.0582100000001</v>
      </c>
      <c r="I390" s="9"/>
      <c r="J390" s="8">
        <f>VLOOKUP($C390,'ASDR FY2'!$A:$X,J$14,FALSE)/1000</f>
        <v>-5696.2254899999998</v>
      </c>
      <c r="K390" s="10"/>
      <c r="L390" s="8">
        <f>VLOOKUP($C390,'ASDR FY2'!$A:$X,L$13,FALSE)/1000+VLOOKUP($C390,'ASDR FY2'!$A:$X,L$14,FALSE)/1000</f>
        <v>2.2523299999999997</v>
      </c>
      <c r="M390" s="10"/>
      <c r="N390" s="8">
        <f>VLOOKUP($C390,'ASDR FY2'!$A:$X,N$13,FALSE)/1000+VLOOKUP($C390,'ASDR FY2'!$A:$X,N$14,FALSE)/1000</f>
        <v>0</v>
      </c>
      <c r="O390" s="8"/>
      <c r="P390" s="8">
        <f>VLOOKUP($C390,'ASDR FY2'!$A:$X,P$13,FALSE)/1000+VLOOKUP($C390,'ASDR FY2'!$A:$X,P$14,FALSE)/1000+VLOOKUP($C390,'ASDR FY2'!$A:$X,P$15,FALSE)/1000</f>
        <v>0</v>
      </c>
      <c r="Q390" s="9"/>
      <c r="R390" s="8">
        <f t="shared" si="8"/>
        <v>31675.291519600018</v>
      </c>
      <c r="S390" s="10"/>
      <c r="T390" s="8">
        <f>VLOOKUP($C390,'ASDR FY2'!$A:$X,T$14,FALSE)/1000</f>
        <v>32778.268300000003</v>
      </c>
    </row>
    <row r="391" spans="1:20" x14ac:dyDescent="0.25">
      <c r="A391" s="155">
        <f t="shared" si="6"/>
        <v>37</v>
      </c>
      <c r="B391" s="161"/>
      <c r="C391" s="153">
        <v>35601</v>
      </c>
      <c r="D391" s="182" t="s">
        <v>143</v>
      </c>
      <c r="F391" s="8">
        <f>VLOOKUP($C391,'ASDR FY2'!$A:$X,F$14,FALSE)/1000</f>
        <v>1797.1330899999966</v>
      </c>
      <c r="G391" s="152"/>
      <c r="H391" s="8">
        <f>VLOOKUP($C391,'ASDR FY2'!$A:$X,H$14,FALSE)/1000</f>
        <v>21.52824</v>
      </c>
      <c r="I391" s="9"/>
      <c r="J391" s="8">
        <f>VLOOKUP($C391,'ASDR FY2'!$A:$X,J$14,FALSE)/1000</f>
        <v>0</v>
      </c>
      <c r="K391" s="10"/>
      <c r="L391" s="8">
        <f>VLOOKUP($C391,'ASDR FY2'!$A:$X,L$13,FALSE)/1000+VLOOKUP($C391,'ASDR FY2'!$A:$X,L$14,FALSE)/1000</f>
        <v>0</v>
      </c>
      <c r="M391" s="10"/>
      <c r="N391" s="8">
        <f>VLOOKUP($C391,'ASDR FY2'!$A:$X,N$13,FALSE)/1000+VLOOKUP($C391,'ASDR FY2'!$A:$X,N$14,FALSE)/1000</f>
        <v>0</v>
      </c>
      <c r="O391" s="8"/>
      <c r="P391" s="8">
        <f>VLOOKUP($C391,'ASDR FY2'!$A:$X,P$13,FALSE)/1000+VLOOKUP($C391,'ASDR FY2'!$A:$X,P$14,FALSE)/1000+VLOOKUP($C391,'ASDR FY2'!$A:$X,P$15,FALSE)/1000</f>
        <v>0</v>
      </c>
      <c r="Q391" s="9"/>
      <c r="R391" s="8">
        <f t="shared" si="8"/>
        <v>1818.6613299999967</v>
      </c>
      <c r="S391" s="10"/>
      <c r="T391" s="8">
        <f>VLOOKUP($C391,'ASDR FY2'!$A:$X,T$14,FALSE)/1000</f>
        <v>1807.8972099999999</v>
      </c>
    </row>
    <row r="392" spans="1:20" x14ac:dyDescent="0.25">
      <c r="A392" s="155">
        <f t="shared" si="6"/>
        <v>38</v>
      </c>
      <c r="B392" s="161"/>
      <c r="C392" s="153">
        <v>35700</v>
      </c>
      <c r="D392" s="182" t="s">
        <v>144</v>
      </c>
      <c r="F392" s="8">
        <f>VLOOKUP($C392,'ASDR FY2'!$A:$X,F$14,FALSE)/1000</f>
        <v>1846.6134600000021</v>
      </c>
      <c r="G392" s="152"/>
      <c r="H392" s="8">
        <f>VLOOKUP($C392,'ASDR FY2'!$A:$X,H$14,FALSE)/1000</f>
        <v>78.676079999999999</v>
      </c>
      <c r="I392" s="9"/>
      <c r="J392" s="8">
        <f>VLOOKUP($C392,'ASDR FY2'!$A:$X,J$14,FALSE)/1000</f>
        <v>0</v>
      </c>
      <c r="K392" s="10"/>
      <c r="L392" s="8">
        <f>VLOOKUP($C392,'ASDR FY2'!$A:$X,L$13,FALSE)/1000+VLOOKUP($C392,'ASDR FY2'!$A:$X,L$14,FALSE)/1000</f>
        <v>0</v>
      </c>
      <c r="M392" s="10"/>
      <c r="N392" s="8">
        <f>VLOOKUP($C392,'ASDR FY2'!$A:$X,N$13,FALSE)/1000+VLOOKUP($C392,'ASDR FY2'!$A:$X,N$14,FALSE)/1000</f>
        <v>0</v>
      </c>
      <c r="O392" s="8"/>
      <c r="P392" s="8">
        <f>VLOOKUP($C392,'ASDR FY2'!$A:$X,P$13,FALSE)/1000+VLOOKUP($C392,'ASDR FY2'!$A:$X,P$14,FALSE)/1000+VLOOKUP($C392,'ASDR FY2'!$A:$X,P$15,FALSE)/1000</f>
        <v>0</v>
      </c>
      <c r="Q392" s="9"/>
      <c r="R392" s="8">
        <f t="shared" si="8"/>
        <v>1925.289540000002</v>
      </c>
      <c r="S392" s="10"/>
      <c r="T392" s="8">
        <f>VLOOKUP($C392,'ASDR FY2'!$A:$X,T$14,FALSE)/1000</f>
        <v>1885.9514999999999</v>
      </c>
    </row>
    <row r="393" spans="1:20" x14ac:dyDescent="0.25">
      <c r="A393" s="155">
        <f t="shared" si="6"/>
        <v>39</v>
      </c>
      <c r="B393" s="161"/>
      <c r="C393" s="153">
        <v>35800</v>
      </c>
      <c r="D393" s="182" t="s">
        <v>145</v>
      </c>
      <c r="F393" s="8">
        <f>VLOOKUP($C393,'ASDR FY2'!$A:$X,F$14,FALSE)/1000</f>
        <v>3964.1492600000024</v>
      </c>
      <c r="G393" s="152"/>
      <c r="H393" s="8">
        <f>VLOOKUP($C393,'ASDR FY2'!$A:$X,H$14,FALSE)/1000</f>
        <v>346.16520000000003</v>
      </c>
      <c r="I393" s="9"/>
      <c r="J393" s="8">
        <f>VLOOKUP($C393,'ASDR FY2'!$A:$X,J$14,FALSE)/1000</f>
        <v>0</v>
      </c>
      <c r="K393" s="10"/>
      <c r="L393" s="8">
        <f>VLOOKUP($C393,'ASDR FY2'!$A:$X,L$13,FALSE)/1000+VLOOKUP($C393,'ASDR FY2'!$A:$X,L$14,FALSE)/1000</f>
        <v>0</v>
      </c>
      <c r="M393" s="10"/>
      <c r="N393" s="8">
        <f>VLOOKUP($C393,'ASDR FY2'!$A:$X,N$13,FALSE)/1000+VLOOKUP($C393,'ASDR FY2'!$A:$X,N$14,FALSE)/1000</f>
        <v>0</v>
      </c>
      <c r="O393" s="8"/>
      <c r="P393" s="8">
        <f>VLOOKUP($C393,'ASDR FY2'!$A:$X,P$13,FALSE)/1000+VLOOKUP($C393,'ASDR FY2'!$A:$X,P$14,FALSE)/1000+VLOOKUP($C393,'ASDR FY2'!$A:$X,P$15,FALSE)/1000</f>
        <v>0</v>
      </c>
      <c r="Q393" s="9"/>
      <c r="R393" s="8">
        <f t="shared" si="8"/>
        <v>4310.3144600000023</v>
      </c>
      <c r="S393" s="10"/>
      <c r="T393" s="8">
        <f>VLOOKUP($C393,'ASDR FY2'!$A:$X,T$14,FALSE)/1000</f>
        <v>4137.2318599999999</v>
      </c>
    </row>
    <row r="394" spans="1:20" x14ac:dyDescent="0.25">
      <c r="A394" s="155">
        <f t="shared" si="6"/>
        <v>40</v>
      </c>
      <c r="B394" s="161"/>
      <c r="C394" s="153">
        <v>35900</v>
      </c>
      <c r="D394" s="184" t="s">
        <v>146</v>
      </c>
      <c r="E394" s="167"/>
      <c r="F394" s="8">
        <f>VLOOKUP($C394,'ASDR FY2'!$A:$X,F$14,FALSE)/1000</f>
        <v>3556.8593080999999</v>
      </c>
      <c r="G394" s="152"/>
      <c r="H394" s="8">
        <f>VLOOKUP($C394,'ASDR FY2'!$A:$X,H$14,FALSE)/1000</f>
        <v>356.44824999999997</v>
      </c>
      <c r="I394" s="9"/>
      <c r="J394" s="8">
        <f>VLOOKUP($C394,'ASDR FY2'!$A:$X,J$14,FALSE)/1000</f>
        <v>13.61556</v>
      </c>
      <c r="K394" s="10"/>
      <c r="L394" s="8">
        <f>VLOOKUP($C394,'ASDR FY2'!$A:$X,L$13,FALSE)/1000+VLOOKUP($C394,'ASDR FY2'!$A:$X,L$14,FALSE)/1000</f>
        <v>0.14077000000000001</v>
      </c>
      <c r="M394" s="10"/>
      <c r="N394" s="8">
        <f>VLOOKUP($C394,'ASDR FY2'!$A:$X,N$13,FALSE)/1000+VLOOKUP($C394,'ASDR FY2'!$A:$X,N$14,FALSE)/1000</f>
        <v>0</v>
      </c>
      <c r="O394" s="8"/>
      <c r="P394" s="8">
        <f>VLOOKUP($C394,'ASDR FY2'!$A:$X,P$13,FALSE)/1000+VLOOKUP($C394,'ASDR FY2'!$A:$X,P$14,FALSE)/1000+VLOOKUP($C394,'ASDR FY2'!$A:$X,P$15,FALSE)/1000</f>
        <v>0</v>
      </c>
      <c r="Q394" s="9"/>
      <c r="R394" s="8">
        <f t="shared" si="8"/>
        <v>3927.0638881</v>
      </c>
      <c r="S394" s="10"/>
      <c r="T394" s="8">
        <f>VLOOKUP($C394,'ASDR FY2'!$A:$X,T$14,FALSE)/1000</f>
        <v>3738.0785699999997</v>
      </c>
    </row>
    <row r="395" spans="1:20" ht="13.8" thickBot="1" x14ac:dyDescent="0.3">
      <c r="A395" s="155">
        <f t="shared" si="6"/>
        <v>41</v>
      </c>
      <c r="B395" s="161"/>
      <c r="C395" s="153"/>
      <c r="D395" s="167" t="s">
        <v>147</v>
      </c>
      <c r="E395" s="167"/>
      <c r="F395" s="62">
        <f>SUM(F384:F394)</f>
        <v>304582.18604000018</v>
      </c>
      <c r="G395" s="152"/>
      <c r="H395" s="62">
        <f>SUM(H384:H394)</f>
        <v>34258.116600000008</v>
      </c>
      <c r="I395" s="15"/>
      <c r="J395" s="62">
        <f>SUM(J384:J394)</f>
        <v>-17107.140590000003</v>
      </c>
      <c r="K395" s="15"/>
      <c r="L395" s="62">
        <f>SUM(L384:L394)</f>
        <v>-2925.05044</v>
      </c>
      <c r="M395" s="15"/>
      <c r="N395" s="62">
        <f>SUM(N384:N394)</f>
        <v>0</v>
      </c>
      <c r="O395" s="37"/>
      <c r="P395" s="62">
        <f>SUM(P384:P394)</f>
        <v>0</v>
      </c>
      <c r="Q395" s="15"/>
      <c r="R395" s="62">
        <f>SUM(R384:R394)</f>
        <v>318808.11161000014</v>
      </c>
      <c r="S395" s="15"/>
      <c r="T395" s="62">
        <f>SUM(T384:T394)</f>
        <v>314672.16447000002</v>
      </c>
    </row>
    <row r="396" spans="1:20" ht="13.8" thickTop="1" x14ac:dyDescent="0.25">
      <c r="A396" s="155">
        <f t="shared" si="6"/>
        <v>42</v>
      </c>
      <c r="B396" s="161"/>
      <c r="Q396" s="152"/>
    </row>
    <row r="397" spans="1:20" x14ac:dyDescent="0.25">
      <c r="A397" s="155">
        <f t="shared" si="6"/>
        <v>43</v>
      </c>
      <c r="B397" s="161"/>
      <c r="Q397" s="152"/>
    </row>
    <row r="398" spans="1:20" ht="13.8" thickBot="1" x14ac:dyDescent="0.3">
      <c r="A398" s="156">
        <f t="shared" si="6"/>
        <v>44</v>
      </c>
      <c r="B398" s="20" t="s">
        <v>60</v>
      </c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5"/>
      <c r="R398" s="147"/>
      <c r="S398" s="147"/>
      <c r="T398" s="147"/>
    </row>
    <row r="399" spans="1:20" x14ac:dyDescent="0.25">
      <c r="A399" s="150" t="str">
        <f>+$A$57</f>
        <v>Supporting Schedules:  B-10, B-11</v>
      </c>
      <c r="Q399" s="152"/>
      <c r="R399" s="150" t="str">
        <f>+$R$57</f>
        <v>Recap Schedules:  B-03, B-06</v>
      </c>
    </row>
    <row r="400" spans="1:20" ht="13.8" thickBot="1" x14ac:dyDescent="0.3">
      <c r="A400" s="147" t="str">
        <f>$A$1</f>
        <v>SCHEDULE B-09</v>
      </c>
      <c r="B400" s="147"/>
      <c r="C400" s="147"/>
      <c r="D400" s="147"/>
      <c r="E400" s="147"/>
      <c r="F400" s="147" t="str">
        <f>$F$1</f>
        <v>DEPRECIATION RESERVE BALANCES BY ACCOUNT AND SUB-ACCOUNT</v>
      </c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5"/>
      <c r="R400" s="147"/>
      <c r="S400" s="147"/>
      <c r="T400" s="147" t="str">
        <f>"Page 8 of " &amp; $R$1</f>
        <v>Page 8 of 30</v>
      </c>
    </row>
    <row r="401" spans="1:20" x14ac:dyDescent="0.25">
      <c r="A401" s="150" t="str">
        <f>$A$2</f>
        <v>FLORIDA PUBLIC SERVICE COMMISSION</v>
      </c>
      <c r="B401" s="170"/>
      <c r="E401" s="152" t="str">
        <f>$E$2</f>
        <v xml:space="preserve">                  EXPLANATION:</v>
      </c>
      <c r="F401" s="150" t="str">
        <f>IF($F$2="","",$F$2)</f>
        <v>Provide the depreciation reserve balances for each account or sub-account to which</v>
      </c>
      <c r="J401" s="149"/>
      <c r="K401" s="149"/>
      <c r="M401" s="149"/>
      <c r="N401" s="149"/>
      <c r="O401" s="149"/>
      <c r="P401" s="149"/>
      <c r="Q401" s="148"/>
      <c r="R401" s="150" t="str">
        <f>$R$2</f>
        <v>Type of data shown:</v>
      </c>
      <c r="T401" s="151"/>
    </row>
    <row r="402" spans="1:20" x14ac:dyDescent="0.25">
      <c r="B402" s="170"/>
      <c r="F402" s="150" t="str">
        <f>IF($F$3="","",$F$3)</f>
        <v>an individual depreciation rate is applied. (Include Amortization/Recovery amounts).</v>
      </c>
      <c r="J402" s="152"/>
      <c r="K402" s="151"/>
      <c r="N402" s="152"/>
      <c r="O402" s="152"/>
      <c r="P402" s="152"/>
      <c r="Q402" s="152" t="str">
        <f>IF($Q$3=0,"",$Q$3)</f>
        <v>XX</v>
      </c>
      <c r="R402" s="151" t="str">
        <f>$R$3</f>
        <v>Projected Test Year Ended 12/31/2025</v>
      </c>
      <c r="T402" s="152"/>
    </row>
    <row r="403" spans="1:20" x14ac:dyDescent="0.25">
      <c r="A403" s="150" t="str">
        <f>$A$4</f>
        <v>COMPANY: TAMPA ELECTRIC COMPANY</v>
      </c>
      <c r="B403" s="170"/>
      <c r="F403" s="150" t="str">
        <f>IF(+$F$4="","",$F$4)</f>
        <v/>
      </c>
      <c r="J403" s="152"/>
      <c r="K403" s="151"/>
      <c r="L403" s="152"/>
      <c r="Q403" s="152" t="str">
        <f>IF($Q$4=0,"",$Q$4)</f>
        <v/>
      </c>
      <c r="R403" s="151" t="str">
        <f>$R$4</f>
        <v>Projected Prior Year Ended 12/31/2024</v>
      </c>
      <c r="T403" s="152"/>
    </row>
    <row r="404" spans="1:20" x14ac:dyDescent="0.25">
      <c r="B404" s="170"/>
      <c r="F404" s="150" t="str">
        <f>IF(+$F$5="","",$F$5)</f>
        <v/>
      </c>
      <c r="J404" s="152"/>
      <c r="K404" s="151"/>
      <c r="L404" s="152"/>
      <c r="Q404" s="152" t="str">
        <f>IF($Q$5=0,"",$Q$5)</f>
        <v/>
      </c>
      <c r="R404" s="151" t="str">
        <f>$R$5</f>
        <v>Historical Prior Year Ended 12/31/2023</v>
      </c>
      <c r="T404" s="152"/>
    </row>
    <row r="405" spans="1:20" x14ac:dyDescent="0.25">
      <c r="B405" s="170"/>
      <c r="J405" s="152"/>
      <c r="K405" s="151"/>
      <c r="L405" s="152"/>
      <c r="Q405" s="152"/>
      <c r="R405" s="151" t="str">
        <f>$R$6</f>
        <v>Witness: C. Aldazabal / N. Allis / J. Chronister</v>
      </c>
      <c r="T405" s="152"/>
    </row>
    <row r="406" spans="1:20" ht="13.8" thickBot="1" x14ac:dyDescent="0.3">
      <c r="A406" s="147" t="str">
        <f>A$7</f>
        <v>DOCKET No. 20240026-EI</v>
      </c>
      <c r="B406" s="171"/>
      <c r="C406" s="147"/>
      <c r="D406" s="147"/>
      <c r="E406" s="147"/>
      <c r="F406" s="147" t="str">
        <f>IF(+$F$7="","",$F$7)</f>
        <v/>
      </c>
      <c r="G406" s="147"/>
      <c r="H406" s="156" t="str">
        <f>IF($H$7="","",$H$7)</f>
        <v>(Dollars in 000's)</v>
      </c>
      <c r="I406" s="147"/>
      <c r="J406" s="147"/>
      <c r="K406" s="147"/>
      <c r="L406" s="147"/>
      <c r="M406" s="147"/>
      <c r="N406" s="147"/>
      <c r="O406" s="147"/>
      <c r="P406" s="147"/>
      <c r="Q406" s="145"/>
      <c r="R406" s="147" t="str">
        <f>$R$7</f>
        <v xml:space="preserve">             / R. Latta / K. Stryker / C. Whitworth</v>
      </c>
      <c r="S406" s="147"/>
      <c r="T406" s="147"/>
    </row>
    <row r="407" spans="1:20" x14ac:dyDescent="0.25"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4"/>
      <c r="R407" s="153"/>
      <c r="S407" s="153"/>
      <c r="T407" s="153"/>
    </row>
    <row r="408" spans="1:20" x14ac:dyDescent="0.25">
      <c r="C408" s="153" t="s">
        <v>13</v>
      </c>
      <c r="D408" s="153" t="s">
        <v>14</v>
      </c>
      <c r="E408" s="153"/>
      <c r="F408" s="153" t="s">
        <v>15</v>
      </c>
      <c r="G408" s="153"/>
      <c r="H408" s="153" t="s">
        <v>16</v>
      </c>
      <c r="I408" s="153"/>
      <c r="J408" s="155" t="s">
        <v>17</v>
      </c>
      <c r="K408" s="155"/>
      <c r="L408" s="153" t="s">
        <v>18</v>
      </c>
      <c r="M408" s="153"/>
      <c r="N408" s="153" t="s">
        <v>19</v>
      </c>
      <c r="O408" s="153"/>
      <c r="P408" s="153" t="s">
        <v>20</v>
      </c>
      <c r="Q408" s="154"/>
      <c r="R408" s="153" t="s">
        <v>21</v>
      </c>
      <c r="S408" s="153"/>
      <c r="T408" s="153" t="s">
        <v>22</v>
      </c>
    </row>
    <row r="409" spans="1:20" x14ac:dyDescent="0.25">
      <c r="C409" s="155" t="s">
        <v>23</v>
      </c>
      <c r="D409" s="155" t="s">
        <v>23</v>
      </c>
      <c r="F409" s="155" t="s">
        <v>24</v>
      </c>
      <c r="G409" s="155"/>
      <c r="H409" s="153" t="s">
        <v>25</v>
      </c>
      <c r="I409" s="155"/>
      <c r="J409" s="153"/>
      <c r="K409" s="155"/>
      <c r="L409" s="155"/>
      <c r="M409" s="155"/>
      <c r="Q409" s="152"/>
      <c r="R409" s="155" t="s">
        <v>24</v>
      </c>
      <c r="T409" s="155"/>
    </row>
    <row r="410" spans="1:20" x14ac:dyDescent="0.25">
      <c r="A410" s="155" t="s">
        <v>26</v>
      </c>
      <c r="B410" s="155"/>
      <c r="C410" s="155" t="s">
        <v>27</v>
      </c>
      <c r="D410" s="155" t="s">
        <v>27</v>
      </c>
      <c r="E410" s="153"/>
      <c r="F410" s="155" t="s">
        <v>28</v>
      </c>
      <c r="G410" s="155"/>
      <c r="H410" s="155" t="s">
        <v>28</v>
      </c>
      <c r="I410" s="155"/>
      <c r="J410" s="155"/>
      <c r="K410" s="153"/>
      <c r="L410" s="155" t="s">
        <v>29</v>
      </c>
      <c r="M410" s="151"/>
      <c r="N410" s="155" t="s">
        <v>29</v>
      </c>
      <c r="O410" s="155"/>
      <c r="P410" s="155" t="s">
        <v>30</v>
      </c>
      <c r="Q410" s="154"/>
      <c r="R410" s="153" t="s">
        <v>28</v>
      </c>
      <c r="S410" s="153"/>
      <c r="T410" s="155" t="s">
        <v>31</v>
      </c>
    </row>
    <row r="411" spans="1:20" ht="13.8" thickBot="1" x14ac:dyDescent="0.3">
      <c r="A411" s="156" t="s">
        <v>32</v>
      </c>
      <c r="B411" s="156"/>
      <c r="C411" s="156" t="s">
        <v>33</v>
      </c>
      <c r="D411" s="156" t="s">
        <v>34</v>
      </c>
      <c r="E411" s="156"/>
      <c r="F411" s="157" t="s">
        <v>35</v>
      </c>
      <c r="G411" s="157"/>
      <c r="H411" s="157" t="s">
        <v>36</v>
      </c>
      <c r="I411" s="158"/>
      <c r="J411" s="157" t="s">
        <v>37</v>
      </c>
      <c r="K411" s="158"/>
      <c r="L411" s="158" t="s">
        <v>38</v>
      </c>
      <c r="M411" s="159"/>
      <c r="N411" s="159" t="s">
        <v>39</v>
      </c>
      <c r="O411" s="159"/>
      <c r="P411" s="159" t="s">
        <v>40</v>
      </c>
      <c r="Q411" s="160"/>
      <c r="R411" s="159" t="s">
        <v>41</v>
      </c>
      <c r="S411" s="159"/>
      <c r="T411" s="159" t="s">
        <v>42</v>
      </c>
    </row>
    <row r="412" spans="1:20" x14ac:dyDescent="0.25">
      <c r="A412" s="155">
        <v>1</v>
      </c>
      <c r="B412" s="155"/>
      <c r="Q412" s="152"/>
    </row>
    <row r="413" spans="1:20" x14ac:dyDescent="0.25">
      <c r="A413" s="155">
        <f>A412+1</f>
        <v>2</v>
      </c>
      <c r="B413" s="161"/>
      <c r="C413" s="168"/>
      <c r="D413" s="150" t="s">
        <v>148</v>
      </c>
      <c r="F413" s="166"/>
      <c r="H413" s="185"/>
      <c r="I413" s="185"/>
      <c r="J413" s="185"/>
      <c r="K413" s="185"/>
      <c r="L413" s="185"/>
      <c r="M413" s="185"/>
      <c r="N413" s="185"/>
      <c r="O413" s="185"/>
      <c r="P413" s="185"/>
      <c r="Q413" s="186"/>
      <c r="R413" s="185"/>
      <c r="S413" s="185"/>
      <c r="T413" s="27"/>
    </row>
    <row r="414" spans="1:20" x14ac:dyDescent="0.25">
      <c r="A414" s="155">
        <f t="shared" ref="A414:A455" si="9">A413+1</f>
        <v>3</v>
      </c>
      <c r="B414" s="161"/>
      <c r="C414" s="155">
        <v>36001</v>
      </c>
      <c r="D414" s="184" t="s">
        <v>136</v>
      </c>
      <c r="E414" s="167"/>
      <c r="F414" s="166"/>
      <c r="G414" s="152"/>
      <c r="H414" s="8"/>
      <c r="I414" s="15"/>
      <c r="J414" s="8"/>
      <c r="K414" s="15"/>
      <c r="L414" s="8"/>
      <c r="M414" s="15"/>
      <c r="N414" s="8"/>
      <c r="O414" s="8"/>
      <c r="P414" s="8"/>
      <c r="Q414" s="15"/>
      <c r="R414" s="8"/>
      <c r="S414" s="15"/>
      <c r="T414" s="8"/>
    </row>
    <row r="415" spans="1:20" x14ac:dyDescent="0.25">
      <c r="A415" s="155">
        <f t="shared" si="9"/>
        <v>4</v>
      </c>
      <c r="B415" s="161"/>
      <c r="C415" s="155">
        <v>36100</v>
      </c>
      <c r="D415" s="182" t="s">
        <v>138</v>
      </c>
      <c r="F415" s="8">
        <f>VLOOKUP($C415,'ASDR FY2'!$A:$X,F$14,FALSE)/1000</f>
        <v>9856.4953399999995</v>
      </c>
      <c r="G415" s="152"/>
      <c r="H415" s="8">
        <f>VLOOKUP($C415,'ASDR FY2'!$A:$X,H$14,FALSE)/1000</f>
        <v>880.77323999999999</v>
      </c>
      <c r="I415" s="9"/>
      <c r="J415" s="8">
        <f>VLOOKUP($C415,'ASDR FY2'!$A:$X,J$14,FALSE)/1000</f>
        <v>0</v>
      </c>
      <c r="K415" s="10"/>
      <c r="L415" s="8">
        <f>VLOOKUP($C415,'ASDR FY2'!$A:$X,L$13,FALSE)/1000+VLOOKUP($C415,'ASDR FY2'!$A:$X,L$14,FALSE)/1000</f>
        <v>0</v>
      </c>
      <c r="M415" s="10"/>
      <c r="N415" s="8">
        <f>VLOOKUP($C415,'ASDR FY2'!$A:$X,N$13,FALSE)/1000+VLOOKUP($C415,'ASDR FY2'!$A:$X,N$14,FALSE)/1000</f>
        <v>0</v>
      </c>
      <c r="O415" s="8"/>
      <c r="P415" s="8">
        <f>VLOOKUP($C415,'ASDR FY2'!$A:$X,P$13,FALSE)/1000+VLOOKUP($C415,'ASDR FY2'!$A:$X,P$14,FALSE)/1000+VLOOKUP($C415,'ASDR FY2'!$A:$X,P$15,FALSE)/1000</f>
        <v>0</v>
      </c>
      <c r="Q415" s="9"/>
      <c r="R415" s="8">
        <f t="shared" ref="R415:R429" si="10">SUM(F415,H415,J415,L415,N415,P415)</f>
        <v>10737.26858</v>
      </c>
      <c r="S415" s="10"/>
      <c r="T415" s="8">
        <f>VLOOKUP($C415,'ASDR FY2'!$A:$X,T$14,FALSE)/1000</f>
        <v>10296.881960000001</v>
      </c>
    </row>
    <row r="416" spans="1:20" x14ac:dyDescent="0.25">
      <c r="A416" s="155">
        <f t="shared" si="9"/>
        <v>5</v>
      </c>
      <c r="B416" s="161"/>
      <c r="C416" s="155">
        <v>36200</v>
      </c>
      <c r="D416" s="182" t="s">
        <v>139</v>
      </c>
      <c r="F416" s="8">
        <f>VLOOKUP($C416,'ASDR FY2'!$A:$X,F$14,FALSE)/1000</f>
        <v>79369.59086720011</v>
      </c>
      <c r="G416" s="152"/>
      <c r="H416" s="8">
        <f>VLOOKUP($C416,'ASDR FY2'!$A:$X,H$14,FALSE)/1000</f>
        <v>9114.2612100000006</v>
      </c>
      <c r="I416" s="9"/>
      <c r="J416" s="8">
        <f>VLOOKUP($C416,'ASDR FY2'!$A:$X,J$14,FALSE)/1000</f>
        <v>-1848.8689099999999</v>
      </c>
      <c r="K416" s="10"/>
      <c r="L416" s="8">
        <f>VLOOKUP($C416,'ASDR FY2'!$A:$X,L$13,FALSE)/1000+VLOOKUP($C416,'ASDR FY2'!$A:$X,L$14,FALSE)/1000</f>
        <v>-1406.79422</v>
      </c>
      <c r="M416" s="10"/>
      <c r="N416" s="8">
        <f>VLOOKUP($C416,'ASDR FY2'!$A:$X,N$13,FALSE)/1000+VLOOKUP($C416,'ASDR FY2'!$A:$X,N$14,FALSE)/1000</f>
        <v>271.25022999999999</v>
      </c>
      <c r="O416" s="8"/>
      <c r="P416" s="8">
        <f>VLOOKUP($C416,'ASDR FY2'!$A:$X,P$13,FALSE)/1000+VLOOKUP($C416,'ASDR FY2'!$A:$X,P$14,FALSE)/1000+VLOOKUP($C416,'ASDR FY2'!$A:$X,P$15,FALSE)/1000</f>
        <v>0</v>
      </c>
      <c r="Q416" s="9"/>
      <c r="R416" s="8">
        <f t="shared" si="10"/>
        <v>85499.439177200111</v>
      </c>
      <c r="S416" s="10"/>
      <c r="T416" s="8">
        <f>VLOOKUP($C416,'ASDR FY2'!$A:$X,T$14,FALSE)/1000</f>
        <v>82677.37148999999</v>
      </c>
    </row>
    <row r="417" spans="1:20" x14ac:dyDescent="0.25">
      <c r="A417" s="155">
        <f t="shared" si="9"/>
        <v>6</v>
      </c>
      <c r="B417" s="161"/>
      <c r="C417" s="155">
        <v>36300</v>
      </c>
      <c r="D417" s="150" t="s">
        <v>137</v>
      </c>
      <c r="F417" s="8">
        <f>VLOOKUP($C417,'ASDR FY2'!$A:$X,F$14,FALSE)/1000</f>
        <v>0</v>
      </c>
      <c r="G417" s="152"/>
      <c r="H417" s="8">
        <f>VLOOKUP($C417,'ASDR FY2'!$A:$X,H$14,FALSE)/1000</f>
        <v>0</v>
      </c>
      <c r="I417" s="9"/>
      <c r="J417" s="8">
        <f>VLOOKUP($C417,'ASDR FY2'!$A:$X,J$14,FALSE)/1000</f>
        <v>0</v>
      </c>
      <c r="K417" s="10"/>
      <c r="L417" s="8">
        <f>VLOOKUP($C417,'ASDR FY2'!$A:$X,L$13,FALSE)/1000+VLOOKUP($C417,'ASDR FY2'!$A:$X,L$14,FALSE)/1000</f>
        <v>0</v>
      </c>
      <c r="M417" s="10"/>
      <c r="N417" s="8">
        <f>VLOOKUP($C417,'ASDR FY2'!$A:$X,N$13,FALSE)/1000+VLOOKUP($C417,'ASDR FY2'!$A:$X,N$14,FALSE)/1000</f>
        <v>0</v>
      </c>
      <c r="O417" s="8"/>
      <c r="P417" s="8">
        <f>VLOOKUP($C417,'ASDR FY2'!$A:$X,P$13,FALSE)/1000+VLOOKUP($C417,'ASDR FY2'!$A:$X,P$14,FALSE)/1000+VLOOKUP($C417,'ASDR FY2'!$A:$X,P$15,FALSE)/1000</f>
        <v>0</v>
      </c>
      <c r="Q417" s="9"/>
      <c r="R417" s="8">
        <f t="shared" si="10"/>
        <v>0</v>
      </c>
      <c r="S417" s="10"/>
      <c r="T417" s="8">
        <f>VLOOKUP($C417,'ASDR FY2'!$A:$X,T$14,FALSE)/1000</f>
        <v>0</v>
      </c>
    </row>
    <row r="418" spans="1:20" x14ac:dyDescent="0.25">
      <c r="A418" s="155">
        <f t="shared" si="9"/>
        <v>7</v>
      </c>
      <c r="B418" s="155"/>
      <c r="C418" s="155">
        <v>36400</v>
      </c>
      <c r="D418" s="182" t="s">
        <v>149</v>
      </c>
      <c r="F418" s="8">
        <f>VLOOKUP($C418,'ASDR FY2'!$A:$X,F$14,FALSE)/1000</f>
        <v>189632.32778209986</v>
      </c>
      <c r="G418" s="152"/>
      <c r="H418" s="8">
        <f>VLOOKUP($C418,'ASDR FY2'!$A:$X,H$14,FALSE)/1000</f>
        <v>26341.50128</v>
      </c>
      <c r="I418" s="9"/>
      <c r="J418" s="8">
        <f>VLOOKUP($C418,'ASDR FY2'!$A:$X,J$14,FALSE)/1000</f>
        <v>-12934.18655</v>
      </c>
      <c r="K418" s="10"/>
      <c r="L418" s="8">
        <f>VLOOKUP($C418,'ASDR FY2'!$A:$X,L$13,FALSE)/1000+VLOOKUP($C418,'ASDR FY2'!$A:$X,L$14,FALSE)/1000</f>
        <v>-7239.63735</v>
      </c>
      <c r="M418" s="10"/>
      <c r="N418" s="8">
        <f>VLOOKUP($C418,'ASDR FY2'!$A:$X,N$13,FALSE)/1000+VLOOKUP($C418,'ASDR FY2'!$A:$X,N$14,FALSE)/1000</f>
        <v>644.21929</v>
      </c>
      <c r="O418" s="8"/>
      <c r="P418" s="8">
        <f>VLOOKUP($C418,'ASDR FY2'!$A:$X,P$13,FALSE)/1000+VLOOKUP($C418,'ASDR FY2'!$A:$X,P$14,FALSE)/1000+VLOOKUP($C418,'ASDR FY2'!$A:$X,P$15,FALSE)/1000</f>
        <v>0</v>
      </c>
      <c r="Q418" s="9"/>
      <c r="R418" s="8">
        <f t="shared" si="10"/>
        <v>196444.22445209985</v>
      </c>
      <c r="S418" s="10"/>
      <c r="T418" s="8">
        <f>VLOOKUP($C418,'ASDR FY2'!$A:$X,T$14,FALSE)/1000</f>
        <v>192985.64118999999</v>
      </c>
    </row>
    <row r="419" spans="1:20" x14ac:dyDescent="0.25">
      <c r="A419" s="155">
        <f t="shared" si="9"/>
        <v>8</v>
      </c>
      <c r="B419" s="155"/>
      <c r="C419" s="155">
        <v>36500</v>
      </c>
      <c r="D419" s="182" t="s">
        <v>142</v>
      </c>
      <c r="F419" s="8">
        <f>VLOOKUP($C419,'ASDR FY2'!$A:$X,F$14,FALSE)/1000</f>
        <v>152134.50623360003</v>
      </c>
      <c r="G419" s="152"/>
      <c r="H419" s="8">
        <f>VLOOKUP($C419,'ASDR FY2'!$A:$X,H$14,FALSE)/1000</f>
        <v>7051.0570399999997</v>
      </c>
      <c r="I419" s="9"/>
      <c r="J419" s="8">
        <f>VLOOKUP($C419,'ASDR FY2'!$A:$X,J$14,FALSE)/1000</f>
        <v>-7909.0049200000003</v>
      </c>
      <c r="K419" s="10"/>
      <c r="L419" s="8">
        <f>VLOOKUP($C419,'ASDR FY2'!$A:$X,L$13,FALSE)/1000+VLOOKUP($C419,'ASDR FY2'!$A:$X,L$14,FALSE)/1000</f>
        <v>-703.39711</v>
      </c>
      <c r="M419" s="10"/>
      <c r="N419" s="8">
        <f>VLOOKUP($C419,'ASDR FY2'!$A:$X,N$13,FALSE)/1000+VLOOKUP($C419,'ASDR FY2'!$A:$X,N$14,FALSE)/1000</f>
        <v>135.62510999999998</v>
      </c>
      <c r="O419" s="8"/>
      <c r="P419" s="8">
        <f>VLOOKUP($C419,'ASDR FY2'!$A:$X,P$13,FALSE)/1000+VLOOKUP($C419,'ASDR FY2'!$A:$X,P$14,FALSE)/1000+VLOOKUP($C419,'ASDR FY2'!$A:$X,P$15,FALSE)/1000</f>
        <v>0</v>
      </c>
      <c r="Q419" s="9"/>
      <c r="R419" s="8">
        <f t="shared" si="10"/>
        <v>150708.78635360001</v>
      </c>
      <c r="S419" s="10"/>
      <c r="T419" s="8">
        <f>VLOOKUP($C419,'ASDR FY2'!$A:$X,T$14,FALSE)/1000</f>
        <v>151439.20053999999</v>
      </c>
    </row>
    <row r="420" spans="1:20" x14ac:dyDescent="0.25">
      <c r="A420" s="155">
        <f t="shared" si="9"/>
        <v>9</v>
      </c>
      <c r="B420" s="155"/>
      <c r="C420" s="155">
        <v>36600</v>
      </c>
      <c r="D420" s="182" t="s">
        <v>144</v>
      </c>
      <c r="F420" s="8">
        <f>VLOOKUP($C420,'ASDR FY2'!$A:$X,F$14,FALSE)/1000</f>
        <v>98415.100006700013</v>
      </c>
      <c r="G420" s="152"/>
      <c r="H420" s="8">
        <f>VLOOKUP($C420,'ASDR FY2'!$A:$X,H$14,FALSE)/1000</f>
        <v>8151.2447199999997</v>
      </c>
      <c r="I420" s="9"/>
      <c r="J420" s="8">
        <f>VLOOKUP($C420,'ASDR FY2'!$A:$X,J$14,FALSE)/1000</f>
        <v>-234.99553</v>
      </c>
      <c r="K420" s="10"/>
      <c r="L420" s="8">
        <f>VLOOKUP($C420,'ASDR FY2'!$A:$X,L$13,FALSE)/1000+VLOOKUP($C420,'ASDR FY2'!$A:$X,L$14,FALSE)/1000</f>
        <v>-2286.04061</v>
      </c>
      <c r="M420" s="10"/>
      <c r="N420" s="8">
        <f>VLOOKUP($C420,'ASDR FY2'!$A:$X,N$13,FALSE)/1000+VLOOKUP($C420,'ASDR FY2'!$A:$X,N$14,FALSE)/1000</f>
        <v>440.78161999999998</v>
      </c>
      <c r="O420" s="8"/>
      <c r="P420" s="8">
        <f>VLOOKUP($C420,'ASDR FY2'!$A:$X,P$13,FALSE)/1000+VLOOKUP($C420,'ASDR FY2'!$A:$X,P$14,FALSE)/1000+VLOOKUP($C420,'ASDR FY2'!$A:$X,P$15,FALSE)/1000</f>
        <v>0</v>
      </c>
      <c r="Q420" s="9"/>
      <c r="R420" s="8">
        <f t="shared" si="10"/>
        <v>104486.09020670001</v>
      </c>
      <c r="S420" s="10"/>
      <c r="T420" s="8">
        <f>VLOOKUP($C420,'ASDR FY2'!$A:$X,T$14,FALSE)/1000</f>
        <v>101456.61004</v>
      </c>
    </row>
    <row r="421" spans="1:20" x14ac:dyDescent="0.25">
      <c r="A421" s="155">
        <f t="shared" si="9"/>
        <v>10</v>
      </c>
      <c r="B421" s="161"/>
      <c r="C421" s="155">
        <v>36700</v>
      </c>
      <c r="D421" s="182" t="s">
        <v>145</v>
      </c>
      <c r="F421" s="8">
        <f>VLOOKUP($C421,'ASDR FY2'!$A:$X,F$14,FALSE)/1000</f>
        <v>62438.192203100029</v>
      </c>
      <c r="G421" s="152"/>
      <c r="H421" s="8">
        <f>VLOOKUP($C421,'ASDR FY2'!$A:$X,H$14,FALSE)/1000</f>
        <v>27882.617569999999</v>
      </c>
      <c r="I421" s="9"/>
      <c r="J421" s="8">
        <f>VLOOKUP($C421,'ASDR FY2'!$A:$X,J$14,FALSE)/1000</f>
        <v>-16455.22178</v>
      </c>
      <c r="K421" s="10"/>
      <c r="L421" s="8">
        <f>VLOOKUP($C421,'ASDR FY2'!$A:$X,L$13,FALSE)/1000+VLOOKUP($C421,'ASDR FY2'!$A:$X,L$14,FALSE)/1000</f>
        <v>-8981.7114999999994</v>
      </c>
      <c r="M421" s="10"/>
      <c r="N421" s="8">
        <f>VLOOKUP($C421,'ASDR FY2'!$A:$X,N$13,FALSE)/1000+VLOOKUP($C421,'ASDR FY2'!$A:$X,N$14,FALSE)/1000</f>
        <v>305.15651000000003</v>
      </c>
      <c r="O421" s="8"/>
      <c r="P421" s="8">
        <f>VLOOKUP($C421,'ASDR FY2'!$A:$X,P$13,FALSE)/1000+VLOOKUP($C421,'ASDR FY2'!$A:$X,P$14,FALSE)/1000+VLOOKUP($C421,'ASDR FY2'!$A:$X,P$15,FALSE)/1000</f>
        <v>0</v>
      </c>
      <c r="Q421" s="9"/>
      <c r="R421" s="8">
        <f t="shared" si="10"/>
        <v>65189.033003100027</v>
      </c>
      <c r="S421" s="10"/>
      <c r="T421" s="8">
        <f>VLOOKUP($C421,'ASDR FY2'!$A:$X,T$14,FALSE)/1000</f>
        <v>63380.247600000002</v>
      </c>
    </row>
    <row r="422" spans="1:20" x14ac:dyDescent="0.25">
      <c r="A422" s="155">
        <f t="shared" si="9"/>
        <v>11</v>
      </c>
      <c r="B422" s="161"/>
      <c r="C422" s="155">
        <v>36800</v>
      </c>
      <c r="D422" s="182" t="s">
        <v>150</v>
      </c>
      <c r="F422" s="8">
        <f>VLOOKUP($C422,'ASDR FY2'!$A:$X,F$14,FALSE)/1000</f>
        <v>365510.32888420013</v>
      </c>
      <c r="G422" s="152"/>
      <c r="H422" s="8">
        <f>VLOOKUP($C422,'ASDR FY2'!$A:$X,H$14,FALSE)/1000</f>
        <v>40688.717689999998</v>
      </c>
      <c r="I422" s="9"/>
      <c r="J422" s="8">
        <f>VLOOKUP($C422,'ASDR FY2'!$A:$X,J$14,FALSE)/1000</f>
        <v>-8242.9204300000001</v>
      </c>
      <c r="K422" s="10"/>
      <c r="L422" s="8">
        <f>VLOOKUP($C422,'ASDR FY2'!$A:$X,L$13,FALSE)/1000+VLOOKUP($C422,'ASDR FY2'!$A:$X,L$14,FALSE)/1000</f>
        <v>-6682.2725499999997</v>
      </c>
      <c r="M422" s="10"/>
      <c r="N422" s="8">
        <f>VLOOKUP($C422,'ASDR FY2'!$A:$X,N$13,FALSE)/1000+VLOOKUP($C422,'ASDR FY2'!$A:$X,N$14,FALSE)/1000</f>
        <v>1288.43858</v>
      </c>
      <c r="O422" s="8"/>
      <c r="P422" s="8">
        <f>VLOOKUP($C422,'ASDR FY2'!$A:$X,P$13,FALSE)/1000+VLOOKUP($C422,'ASDR FY2'!$A:$X,P$14,FALSE)/1000+VLOOKUP($C422,'ASDR FY2'!$A:$X,P$15,FALSE)/1000</f>
        <v>0</v>
      </c>
      <c r="Q422" s="9"/>
      <c r="R422" s="8">
        <f t="shared" si="10"/>
        <v>392562.29217420018</v>
      </c>
      <c r="S422" s="10"/>
      <c r="T422" s="8">
        <f>VLOOKUP($C422,'ASDR FY2'!$A:$X,T$14,FALSE)/1000</f>
        <v>379252.06789999997</v>
      </c>
    </row>
    <row r="423" spans="1:20" x14ac:dyDescent="0.25">
      <c r="A423" s="155">
        <f t="shared" si="9"/>
        <v>12</v>
      </c>
      <c r="B423" s="161"/>
      <c r="C423" s="155">
        <v>36900</v>
      </c>
      <c r="D423" s="182" t="s">
        <v>151</v>
      </c>
      <c r="F423" s="8">
        <f>VLOOKUP($C423,'ASDR FY2'!$A:$X,F$14,FALSE)/1000</f>
        <v>66612.392865900008</v>
      </c>
      <c r="G423" s="152"/>
      <c r="H423" s="8">
        <f>VLOOKUP($C423,'ASDR FY2'!$A:$X,H$14,FALSE)/1000</f>
        <v>1993.5787399999999</v>
      </c>
      <c r="I423" s="9"/>
      <c r="J423" s="8">
        <f>VLOOKUP($C423,'ASDR FY2'!$A:$X,J$14,FALSE)/1000</f>
        <v>-180.76579999999998</v>
      </c>
      <c r="K423" s="10"/>
      <c r="L423" s="8">
        <f>VLOOKUP($C423,'ASDR FY2'!$A:$X,L$13,FALSE)/1000+VLOOKUP($C423,'ASDR FY2'!$A:$X,L$14,FALSE)/1000</f>
        <v>-175.84927999999999</v>
      </c>
      <c r="M423" s="10"/>
      <c r="N423" s="8">
        <f>VLOOKUP($C423,'ASDR FY2'!$A:$X,N$13,FALSE)/1000+VLOOKUP($C423,'ASDR FY2'!$A:$X,N$14,FALSE)/1000</f>
        <v>33.906279999999995</v>
      </c>
      <c r="O423" s="8"/>
      <c r="P423" s="8">
        <f>VLOOKUP($C423,'ASDR FY2'!$A:$X,P$13,FALSE)/1000+VLOOKUP($C423,'ASDR FY2'!$A:$X,P$14,FALSE)/1000+VLOOKUP($C423,'ASDR FY2'!$A:$X,P$15,FALSE)/1000</f>
        <v>0</v>
      </c>
      <c r="Q423" s="9"/>
      <c r="R423" s="8">
        <f t="shared" si="10"/>
        <v>68283.262805900013</v>
      </c>
      <c r="S423" s="10"/>
      <c r="T423" s="8">
        <f>VLOOKUP($C423,'ASDR FY2'!$A:$X,T$14,FALSE)/1000</f>
        <v>67453.988900000011</v>
      </c>
    </row>
    <row r="424" spans="1:20" x14ac:dyDescent="0.25">
      <c r="A424" s="155">
        <f t="shared" si="9"/>
        <v>13</v>
      </c>
      <c r="B424" s="161"/>
      <c r="C424" s="155">
        <v>36902</v>
      </c>
      <c r="D424" s="182" t="s">
        <v>152</v>
      </c>
      <c r="F424" s="8">
        <f>VLOOKUP($C424,'ASDR FY2'!$A:$X,F$14,FALSE)/1000</f>
        <v>74802.744641799931</v>
      </c>
      <c r="G424" s="152"/>
      <c r="H424" s="8">
        <f>VLOOKUP($C424,'ASDR FY2'!$A:$X,H$14,FALSE)/1000</f>
        <v>4063.3032599999997</v>
      </c>
      <c r="I424" s="9"/>
      <c r="J424" s="8">
        <f>VLOOKUP($C424,'ASDR FY2'!$A:$X,J$14,FALSE)/1000</f>
        <v>-108.45947</v>
      </c>
      <c r="K424" s="10"/>
      <c r="L424" s="8">
        <f>VLOOKUP($C424,'ASDR FY2'!$A:$X,L$13,FALSE)/1000+VLOOKUP($C424,'ASDR FY2'!$A:$X,L$14,FALSE)/1000</f>
        <v>-351.69855999999999</v>
      </c>
      <c r="M424" s="10"/>
      <c r="N424" s="8">
        <f>VLOOKUP($C424,'ASDR FY2'!$A:$X,N$13,FALSE)/1000+VLOOKUP($C424,'ASDR FY2'!$A:$X,N$14,FALSE)/1000</f>
        <v>67.812559999999991</v>
      </c>
      <c r="O424" s="8"/>
      <c r="P424" s="8">
        <f>VLOOKUP($C424,'ASDR FY2'!$A:$X,P$13,FALSE)/1000+VLOOKUP($C424,'ASDR FY2'!$A:$X,P$14,FALSE)/1000+VLOOKUP($C424,'ASDR FY2'!$A:$X,P$15,FALSE)/1000</f>
        <v>0</v>
      </c>
      <c r="Q424" s="9"/>
      <c r="R424" s="8">
        <f t="shared" si="10"/>
        <v>78473.702431799931</v>
      </c>
      <c r="S424" s="10"/>
      <c r="T424" s="8">
        <f>VLOOKUP($C424,'ASDR FY2'!$A:$X,T$14,FALSE)/1000</f>
        <v>76639.637709999995</v>
      </c>
    </row>
    <row r="425" spans="1:20" x14ac:dyDescent="0.25">
      <c r="A425" s="155">
        <f t="shared" si="9"/>
        <v>14</v>
      </c>
      <c r="B425" s="161"/>
      <c r="C425" s="155">
        <v>37000</v>
      </c>
      <c r="D425" s="182" t="s">
        <v>153</v>
      </c>
      <c r="F425" s="8">
        <f>VLOOKUP($C425,'ASDR FY2'!$A:$X,F$14,FALSE)/1000</f>
        <v>5210.3756900000026</v>
      </c>
      <c r="G425" s="152"/>
      <c r="H425" s="8">
        <f>VLOOKUP($C425,'ASDR FY2'!$A:$X,H$14,FALSE)/1000</f>
        <v>1372.3605600000001</v>
      </c>
      <c r="I425" s="9"/>
      <c r="J425" s="8">
        <f>VLOOKUP($C425,'ASDR FY2'!$A:$X,J$14,FALSE)/1000</f>
        <v>0</v>
      </c>
      <c r="K425" s="10"/>
      <c r="L425" s="8">
        <f>VLOOKUP($C425,'ASDR FY2'!$A:$X,L$13,FALSE)/1000+VLOOKUP($C425,'ASDR FY2'!$A:$X,L$14,FALSE)/1000</f>
        <v>0</v>
      </c>
      <c r="M425" s="10"/>
      <c r="N425" s="8">
        <f>VLOOKUP($C425,'ASDR FY2'!$A:$X,N$13,FALSE)/1000+VLOOKUP($C425,'ASDR FY2'!$A:$X,N$14,FALSE)/1000</f>
        <v>0</v>
      </c>
      <c r="O425" s="8"/>
      <c r="P425" s="8">
        <f>VLOOKUP($C425,'ASDR FY2'!$A:$X,P$13,FALSE)/1000+VLOOKUP($C425,'ASDR FY2'!$A:$X,P$14,FALSE)/1000+VLOOKUP($C425,'ASDR FY2'!$A:$X,P$15,FALSE)/1000</f>
        <v>0</v>
      </c>
      <c r="Q425" s="9"/>
      <c r="R425" s="8">
        <f t="shared" si="10"/>
        <v>6582.7362500000027</v>
      </c>
      <c r="S425" s="10"/>
      <c r="T425" s="8">
        <f>VLOOKUP($C425,'ASDR FY2'!$A:$X,T$14,FALSE)/1000</f>
        <v>5896.5559699999994</v>
      </c>
    </row>
    <row r="426" spans="1:20" x14ac:dyDescent="0.25">
      <c r="A426" s="155">
        <f t="shared" si="9"/>
        <v>15</v>
      </c>
      <c r="B426" s="155"/>
      <c r="C426" s="155">
        <v>37001</v>
      </c>
      <c r="D426" s="182" t="s">
        <v>154</v>
      </c>
      <c r="F426" s="8">
        <f>VLOOKUP($C426,'ASDR FY2'!$A:$X,F$14,FALSE)/1000</f>
        <v>16007.484385400003</v>
      </c>
      <c r="G426" s="152"/>
      <c r="H426" s="8">
        <f>VLOOKUP($C426,'ASDR FY2'!$A:$X,H$14,FALSE)/1000</f>
        <v>13384.252839999999</v>
      </c>
      <c r="I426" s="9"/>
      <c r="J426" s="8">
        <f>VLOOKUP($C426,'ASDR FY2'!$A:$X,J$14,FALSE)/1000</f>
        <v>-7318.7009600000001</v>
      </c>
      <c r="K426" s="10"/>
      <c r="L426" s="8">
        <f>VLOOKUP($C426,'ASDR FY2'!$A:$X,L$13,FALSE)/1000+VLOOKUP($C426,'ASDR FY2'!$A:$X,L$14,FALSE)/1000</f>
        <v>-1172.4707100000001</v>
      </c>
      <c r="M426" s="10"/>
      <c r="N426" s="8">
        <f>VLOOKUP($C426,'ASDR FY2'!$A:$X,N$13,FALSE)/1000+VLOOKUP($C426,'ASDR FY2'!$A:$X,N$14,FALSE)/1000</f>
        <v>344.58896000000004</v>
      </c>
      <c r="O426" s="8"/>
      <c r="P426" s="8">
        <f>VLOOKUP($C426,'ASDR FY2'!$A:$X,P$13,FALSE)/1000+VLOOKUP($C426,'ASDR FY2'!$A:$X,P$14,FALSE)/1000+VLOOKUP($C426,'ASDR FY2'!$A:$X,P$15,FALSE)/1000</f>
        <v>0</v>
      </c>
      <c r="Q426" s="9"/>
      <c r="R426" s="8">
        <f t="shared" si="10"/>
        <v>21245.154515399998</v>
      </c>
      <c r="S426" s="10"/>
      <c r="T426" s="8">
        <f>VLOOKUP($C426,'ASDR FY2'!$A:$X,T$14,FALSE)/1000</f>
        <v>18779.219929999999</v>
      </c>
    </row>
    <row r="427" spans="1:20" x14ac:dyDescent="0.25">
      <c r="A427" s="155">
        <f t="shared" si="9"/>
        <v>16</v>
      </c>
      <c r="B427" s="155"/>
      <c r="C427" s="155">
        <v>37010</v>
      </c>
      <c r="D427" s="182" t="s">
        <v>155</v>
      </c>
      <c r="F427" s="8">
        <f>VLOOKUP($C427,'ASDR FY2'!$A:$X,F$14,FALSE)/1000</f>
        <v>409.42498999999998</v>
      </c>
      <c r="G427" s="152"/>
      <c r="H427" s="8">
        <f>VLOOKUP($C427,'ASDR FY2'!$A:$X,H$14,FALSE)/1000</f>
        <v>647.39622999999995</v>
      </c>
      <c r="I427" s="9"/>
      <c r="J427" s="8">
        <f>VLOOKUP($C427,'ASDR FY2'!$A:$X,J$14,FALSE)/1000</f>
        <v>0</v>
      </c>
      <c r="K427" s="10"/>
      <c r="L427" s="8">
        <f>VLOOKUP($C427,'ASDR FY2'!$A:$X,L$13,FALSE)/1000+VLOOKUP($C427,'ASDR FY2'!$A:$X,L$14,FALSE)/1000</f>
        <v>-5</v>
      </c>
      <c r="M427" s="10"/>
      <c r="N427" s="8">
        <f>VLOOKUP($C427,'ASDR FY2'!$A:$X,N$13,FALSE)/1000+VLOOKUP($C427,'ASDR FY2'!$A:$X,N$14,FALSE)/1000</f>
        <v>0</v>
      </c>
      <c r="O427" s="8"/>
      <c r="P427" s="8">
        <f>VLOOKUP($C427,'ASDR FY2'!$A:$X,P$13,FALSE)/1000+VLOOKUP($C427,'ASDR FY2'!$A:$X,P$14,FALSE)/1000+VLOOKUP($C427,'ASDR FY2'!$A:$X,P$15,FALSE)/1000</f>
        <v>0</v>
      </c>
      <c r="Q427" s="9"/>
      <c r="R427" s="8">
        <f>SUM(F427,H427,J427,L427,N427,P427)</f>
        <v>1051.8212199999998</v>
      </c>
      <c r="S427" s="10"/>
      <c r="T427" s="8">
        <f>VLOOKUP($C427,'ASDR FY2'!$A:$X,T$14,FALSE)/1000</f>
        <v>705.13643999999999</v>
      </c>
    </row>
    <row r="428" spans="1:20" x14ac:dyDescent="0.25">
      <c r="A428" s="155">
        <f t="shared" si="9"/>
        <v>17</v>
      </c>
      <c r="B428" s="155"/>
      <c r="C428" s="155">
        <v>37300</v>
      </c>
      <c r="D428" s="182" t="s">
        <v>156</v>
      </c>
      <c r="F428" s="8">
        <f>VLOOKUP($C428,'ASDR FY2'!$A:$X,F$14,FALSE)/1000</f>
        <v>127432.28398999992</v>
      </c>
      <c r="G428" s="152"/>
      <c r="H428" s="8">
        <f>VLOOKUP($C428,'ASDR FY2'!$A:$X,H$14,FALSE)/1000</f>
        <v>14373.022650000001</v>
      </c>
      <c r="I428" s="9"/>
      <c r="J428" s="8">
        <f>VLOOKUP($C428,'ASDR FY2'!$A:$X,J$14,FALSE)/1000</f>
        <v>-5091.1424699999998</v>
      </c>
      <c r="K428" s="10"/>
      <c r="L428" s="8">
        <f>VLOOKUP($C428,'ASDR FY2'!$A:$X,L$13,FALSE)/1000+VLOOKUP($C428,'ASDR FY2'!$A:$X,L$14,FALSE)/1000</f>
        <v>-2934.37563</v>
      </c>
      <c r="M428" s="10"/>
      <c r="N428" s="8">
        <f>VLOOKUP($C428,'ASDR FY2'!$A:$X,N$13,FALSE)/1000+VLOOKUP($C428,'ASDR FY2'!$A:$X,N$14,FALSE)/1000</f>
        <v>0</v>
      </c>
      <c r="O428" s="8"/>
      <c r="P428" s="8">
        <f>VLOOKUP($C428,'ASDR FY2'!$A:$X,P$13,FALSE)/1000+VLOOKUP($C428,'ASDR FY2'!$A:$X,P$14,FALSE)/1000+VLOOKUP($C428,'ASDR FY2'!$A:$X,P$15,FALSE)/1000</f>
        <v>0</v>
      </c>
      <c r="Q428" s="9"/>
      <c r="R428" s="8">
        <f t="shared" si="10"/>
        <v>133779.78853999995</v>
      </c>
      <c r="S428" s="10"/>
      <c r="T428" s="8">
        <f>VLOOKUP($C428,'ASDR FY2'!$A:$X,T$14,FALSE)/1000</f>
        <v>130582.39112999999</v>
      </c>
    </row>
    <row r="429" spans="1:20" x14ac:dyDescent="0.25">
      <c r="A429" s="155">
        <f t="shared" si="9"/>
        <v>18</v>
      </c>
      <c r="B429" s="155"/>
      <c r="C429" s="155">
        <v>37302</v>
      </c>
      <c r="D429" s="182" t="s">
        <v>157</v>
      </c>
      <c r="F429" s="8">
        <f>VLOOKUP($C429,'ASDR FY2'!$A:$X,F$14,FALSE)/1000</f>
        <v>1183.9065900000003</v>
      </c>
      <c r="G429" s="152"/>
      <c r="H429" s="8">
        <f>VLOOKUP($C429,'ASDR FY2'!$A:$X,H$14,FALSE)/1000</f>
        <v>902.56956000000002</v>
      </c>
      <c r="I429" s="9"/>
      <c r="J429" s="8">
        <f>VLOOKUP($C429,'ASDR FY2'!$A:$X,J$14,FALSE)/1000</f>
        <v>0</v>
      </c>
      <c r="K429" s="10"/>
      <c r="L429" s="8">
        <f>VLOOKUP($C429,'ASDR FY2'!$A:$X,L$13,FALSE)/1000+VLOOKUP($C429,'ASDR FY2'!$A:$X,L$14,FALSE)/1000</f>
        <v>0</v>
      </c>
      <c r="M429" s="10"/>
      <c r="N429" s="8">
        <f>VLOOKUP($C429,'ASDR FY2'!$A:$X,N$13,FALSE)/1000+VLOOKUP($C429,'ASDR FY2'!$A:$X,N$14,FALSE)/1000</f>
        <v>0</v>
      </c>
      <c r="O429" s="8"/>
      <c r="P429" s="8">
        <f>VLOOKUP($C429,'ASDR FY2'!$A:$X,P$13,FALSE)/1000+VLOOKUP($C429,'ASDR FY2'!$A:$X,P$14,FALSE)/1000+VLOOKUP($C429,'ASDR FY2'!$A:$X,P$15,FALSE)/1000</f>
        <v>0</v>
      </c>
      <c r="Q429" s="9"/>
      <c r="R429" s="8">
        <f t="shared" si="10"/>
        <v>2086.4761500000004</v>
      </c>
      <c r="S429" s="10"/>
      <c r="T429" s="8">
        <f>VLOOKUP($C429,'ASDR FY2'!$A:$X,T$14,FALSE)/1000</f>
        <v>1635.19137</v>
      </c>
    </row>
    <row r="430" spans="1:20" ht="13.8" thickBot="1" x14ac:dyDescent="0.3">
      <c r="A430" s="155">
        <f t="shared" si="9"/>
        <v>19</v>
      </c>
      <c r="B430" s="161"/>
      <c r="D430" s="150" t="s">
        <v>158</v>
      </c>
      <c r="F430" s="62">
        <f>SUM(F414:F429)</f>
        <v>1249015.15447</v>
      </c>
      <c r="G430" s="152"/>
      <c r="H430" s="62">
        <f>SUM(H414:H429)</f>
        <v>156846.65659</v>
      </c>
      <c r="I430" s="15"/>
      <c r="J430" s="62">
        <f>SUM(J414:J429)</f>
        <v>-60324.266820000004</v>
      </c>
      <c r="K430" s="15"/>
      <c r="L430" s="62">
        <f>SUM(L414:L429)</f>
        <v>-31939.247520000001</v>
      </c>
      <c r="M430" s="15"/>
      <c r="N430" s="62">
        <f>SUM(N414:N429)</f>
        <v>3531.7791400000001</v>
      </c>
      <c r="O430" s="37"/>
      <c r="P430" s="62">
        <f>SUM(P414:P429)</f>
        <v>0</v>
      </c>
      <c r="Q430" s="15"/>
      <c r="R430" s="62">
        <f>SUM(R414:R429)</f>
        <v>1317130.0758600002</v>
      </c>
      <c r="S430" s="15"/>
      <c r="T430" s="62">
        <f>SUM(T414:T429)</f>
        <v>1283180.1421699997</v>
      </c>
    </row>
    <row r="431" spans="1:20" ht="13.8" thickTop="1" x14ac:dyDescent="0.25">
      <c r="A431" s="155">
        <f t="shared" si="9"/>
        <v>20</v>
      </c>
      <c r="B431" s="155"/>
      <c r="Q431" s="152"/>
    </row>
    <row r="432" spans="1:20" x14ac:dyDescent="0.25">
      <c r="A432" s="155">
        <f t="shared" si="9"/>
        <v>21</v>
      </c>
      <c r="B432" s="155"/>
      <c r="D432" s="165" t="s">
        <v>159</v>
      </c>
      <c r="E432" s="165"/>
      <c r="F432" s="166"/>
      <c r="H432" s="15"/>
      <c r="I432" s="15"/>
      <c r="J432" s="15"/>
      <c r="K432" s="15"/>
      <c r="L432" s="177"/>
      <c r="M432" s="15"/>
      <c r="N432" s="177"/>
      <c r="O432" s="177"/>
      <c r="P432" s="177"/>
      <c r="Q432" s="15"/>
      <c r="R432" s="177"/>
      <c r="S432" s="15"/>
      <c r="T432" s="177"/>
    </row>
    <row r="433" spans="1:20" x14ac:dyDescent="0.25">
      <c r="A433" s="155">
        <f t="shared" si="9"/>
        <v>22</v>
      </c>
      <c r="B433" s="155"/>
      <c r="C433" s="155">
        <v>39000</v>
      </c>
      <c r="D433" s="182" t="s">
        <v>138</v>
      </c>
      <c r="F433" s="8">
        <f>VLOOKUP($C433,'ASDR FY2'!$A:$X,F$14,FALSE)/1000</f>
        <v>52207.88203999999</v>
      </c>
      <c r="G433" s="152"/>
      <c r="H433" s="8">
        <f>VLOOKUP($C433,'ASDR FY2'!$A:$X,H$14,FALSE)/1000</f>
        <v>7193.3255899999995</v>
      </c>
      <c r="I433" s="9"/>
      <c r="J433" s="8">
        <f>VLOOKUP($C433,'ASDR FY2'!$A:$X,J$14,FALSE)/1000</f>
        <v>-15499.278039999999</v>
      </c>
      <c r="K433" s="10"/>
      <c r="L433" s="8">
        <f>VLOOKUP($C433,'ASDR FY2'!$A:$X,L$13,FALSE)/1000+VLOOKUP($C433,'ASDR FY2'!$A:$X,L$14,FALSE)/1000</f>
        <v>-479.54016999999999</v>
      </c>
      <c r="M433" s="10"/>
      <c r="N433" s="8">
        <f>VLOOKUP($C433,'ASDR FY2'!$A:$X,N$13,FALSE)/1000+VLOOKUP($C433,'ASDR FY2'!$A:$X,N$14,FALSE)/1000</f>
        <v>0</v>
      </c>
      <c r="O433" s="8"/>
      <c r="P433" s="8">
        <f>VLOOKUP($C433,'ASDR FY2'!$A:$X,P$13,FALSE)/1000+VLOOKUP($C433,'ASDR FY2'!$A:$X,P$14,FALSE)/1000+VLOOKUP($C433,'ASDR FY2'!$A:$X,P$15,FALSE)/1000</f>
        <v>0</v>
      </c>
      <c r="Q433" s="9"/>
      <c r="R433" s="8">
        <f t="shared" ref="R433:R451" si="11">SUM(F433,H433,J433,L433,N433,P433)</f>
        <v>43422.389419999992</v>
      </c>
      <c r="S433" s="10"/>
      <c r="T433" s="8">
        <f>VLOOKUP($C433,'ASDR FY2'!$A:$X,T$14,FALSE)/1000</f>
        <v>45485.804700000001</v>
      </c>
    </row>
    <row r="434" spans="1:20" x14ac:dyDescent="0.25">
      <c r="A434" s="155">
        <f t="shared" si="9"/>
        <v>23</v>
      </c>
      <c r="B434" s="155"/>
      <c r="C434" s="155">
        <v>39101</v>
      </c>
      <c r="D434" s="150" t="s">
        <v>160</v>
      </c>
      <c r="F434" s="8">
        <f>VLOOKUP($C434,'ASDR FY2'!$A:$X,F$14,FALSE)/1000</f>
        <v>3782.3795600000017</v>
      </c>
      <c r="G434" s="152"/>
      <c r="H434" s="8">
        <f>VLOOKUP($C434,'ASDR FY2'!$A:$X,H$14,FALSE)/1000</f>
        <v>933.53331000000003</v>
      </c>
      <c r="I434" s="9"/>
      <c r="J434" s="8">
        <f>VLOOKUP($C434,'ASDR FY2'!$A:$X,J$14,FALSE)/1000</f>
        <v>-674.91144999999995</v>
      </c>
      <c r="K434" s="10"/>
      <c r="L434" s="8">
        <f>VLOOKUP($C434,'ASDR FY2'!$A:$X,L$13,FALSE)/1000+VLOOKUP($C434,'ASDR FY2'!$A:$X,L$14,FALSE)/1000</f>
        <v>0</v>
      </c>
      <c r="M434" s="10"/>
      <c r="N434" s="8">
        <f>VLOOKUP($C434,'ASDR FY2'!$A:$X,N$13,FALSE)/1000+VLOOKUP($C434,'ASDR FY2'!$A:$X,N$14,FALSE)/1000</f>
        <v>0</v>
      </c>
      <c r="O434" s="8"/>
      <c r="P434" s="8">
        <f>VLOOKUP($C434,'ASDR FY2'!$A:$X,P$13,FALSE)/1000+VLOOKUP($C434,'ASDR FY2'!$A:$X,P$14,FALSE)/1000+VLOOKUP($C434,'ASDR FY2'!$A:$X,P$15,FALSE)/1000</f>
        <v>0</v>
      </c>
      <c r="Q434" s="9"/>
      <c r="R434" s="8">
        <f t="shared" si="11"/>
        <v>4041.0014200000019</v>
      </c>
      <c r="S434" s="10"/>
      <c r="T434" s="8">
        <f>VLOOKUP($C434,'ASDR FY2'!$A:$X,T$14,FALSE)/1000</f>
        <v>3840.8670999999999</v>
      </c>
    </row>
    <row r="435" spans="1:20" x14ac:dyDescent="0.25">
      <c r="A435" s="155">
        <f t="shared" si="9"/>
        <v>24</v>
      </c>
      <c r="B435" s="155"/>
      <c r="C435" s="155">
        <v>39102</v>
      </c>
      <c r="D435" s="150" t="s">
        <v>161</v>
      </c>
      <c r="F435" s="8">
        <f>VLOOKUP($C435,'ASDR FY2'!$A:$X,F$14,FALSE)/1000</f>
        <v>8574.9643599999999</v>
      </c>
      <c r="G435" s="152"/>
      <c r="H435" s="8">
        <f>VLOOKUP($C435,'ASDR FY2'!$A:$X,H$14,FALSE)/1000</f>
        <v>3293.0100200000002</v>
      </c>
      <c r="I435" s="9"/>
      <c r="J435" s="8">
        <f>VLOOKUP($C435,'ASDR FY2'!$A:$X,J$14,FALSE)/1000</f>
        <v>-891.36275999999998</v>
      </c>
      <c r="K435" s="10"/>
      <c r="L435" s="8">
        <f>VLOOKUP($C435,'ASDR FY2'!$A:$X,L$13,FALSE)/1000+VLOOKUP($C435,'ASDR FY2'!$A:$X,L$14,FALSE)/1000</f>
        <v>0</v>
      </c>
      <c r="M435" s="10"/>
      <c r="N435" s="8">
        <f>VLOOKUP($C435,'ASDR FY2'!$A:$X,N$13,FALSE)/1000+VLOOKUP($C435,'ASDR FY2'!$A:$X,N$14,FALSE)/1000</f>
        <v>0</v>
      </c>
      <c r="O435" s="8"/>
      <c r="P435" s="8">
        <f>VLOOKUP($C435,'ASDR FY2'!$A:$X,P$13,FALSE)/1000+VLOOKUP($C435,'ASDR FY2'!$A:$X,P$14,FALSE)/1000+VLOOKUP($C435,'ASDR FY2'!$A:$X,P$15,FALSE)/1000</f>
        <v>0</v>
      </c>
      <c r="Q435" s="9"/>
      <c r="R435" s="8">
        <f t="shared" si="11"/>
        <v>10976.61162</v>
      </c>
      <c r="S435" s="10"/>
      <c r="T435" s="8">
        <f>VLOOKUP($C435,'ASDR FY2'!$A:$X,T$14,FALSE)/1000</f>
        <v>9594.3766199999991</v>
      </c>
    </row>
    <row r="436" spans="1:20" x14ac:dyDescent="0.25">
      <c r="A436" s="155">
        <f t="shared" si="9"/>
        <v>25</v>
      </c>
      <c r="B436" s="155"/>
      <c r="C436" s="155">
        <v>39103</v>
      </c>
      <c r="D436" s="150" t="s">
        <v>162</v>
      </c>
      <c r="F436" s="8">
        <f>VLOOKUP($C436,'ASDR FY2'!$A:$X,F$14,FALSE)/1000</f>
        <v>0</v>
      </c>
      <c r="G436" s="152"/>
      <c r="H436" s="8">
        <f>VLOOKUP($C436,'ASDR FY2'!$A:$X,H$14,FALSE)/1000</f>
        <v>0</v>
      </c>
      <c r="I436" s="9"/>
      <c r="J436" s="8">
        <f>VLOOKUP($C436,'ASDR FY2'!$A:$X,J$14,FALSE)/1000</f>
        <v>0</v>
      </c>
      <c r="K436" s="10"/>
      <c r="L436" s="8">
        <f>VLOOKUP($C436,'ASDR FY2'!$A:$X,L$13,FALSE)/1000+VLOOKUP($C436,'ASDR FY2'!$A:$X,L$14,FALSE)/1000</f>
        <v>0</v>
      </c>
      <c r="M436" s="10"/>
      <c r="N436" s="8">
        <f>VLOOKUP($C436,'ASDR FY2'!$A:$X,N$13,FALSE)/1000+VLOOKUP($C436,'ASDR FY2'!$A:$X,N$14,FALSE)/1000</f>
        <v>0</v>
      </c>
      <c r="O436" s="8"/>
      <c r="P436" s="8">
        <f>VLOOKUP($C436,'ASDR FY2'!$A:$X,P$13,FALSE)/1000+VLOOKUP($C436,'ASDR FY2'!$A:$X,P$14,FALSE)/1000+VLOOKUP($C436,'ASDR FY2'!$A:$X,P$15,FALSE)/1000</f>
        <v>0</v>
      </c>
      <c r="Q436" s="9"/>
      <c r="R436" s="8">
        <f t="shared" si="11"/>
        <v>0</v>
      </c>
      <c r="S436" s="10"/>
      <c r="T436" s="8">
        <f>VLOOKUP($C436,'ASDR FY2'!$A:$X,T$14,FALSE)/1000</f>
        <v>0</v>
      </c>
    </row>
    <row r="437" spans="1:20" x14ac:dyDescent="0.25">
      <c r="A437" s="155">
        <f t="shared" si="9"/>
        <v>26</v>
      </c>
      <c r="B437" s="155"/>
      <c r="C437" s="155">
        <v>39104</v>
      </c>
      <c r="D437" s="150" t="s">
        <v>163</v>
      </c>
      <c r="F437" s="8">
        <f>VLOOKUP($C437,'ASDR FY2'!$A:$X,F$14,FALSE)/1000</f>
        <v>24183.219899999996</v>
      </c>
      <c r="G437" s="152"/>
      <c r="H437" s="8">
        <f>VLOOKUP($C437,'ASDR FY2'!$A:$X,H$14,FALSE)/1000</f>
        <v>10572.333720000001</v>
      </c>
      <c r="I437" s="9"/>
      <c r="J437" s="8">
        <f>VLOOKUP($C437,'ASDR FY2'!$A:$X,J$14,FALSE)/1000</f>
        <v>-4172.4964399999999</v>
      </c>
      <c r="K437" s="10"/>
      <c r="L437" s="8">
        <f>VLOOKUP($C437,'ASDR FY2'!$A:$X,L$13,FALSE)/1000+VLOOKUP($C437,'ASDR FY2'!$A:$X,L$14,FALSE)/1000</f>
        <v>0</v>
      </c>
      <c r="M437" s="10"/>
      <c r="N437" s="8">
        <f>VLOOKUP($C437,'ASDR FY2'!$A:$X,N$13,FALSE)/1000+VLOOKUP($C437,'ASDR FY2'!$A:$X,N$14,FALSE)/1000</f>
        <v>0</v>
      </c>
      <c r="O437" s="8"/>
      <c r="P437" s="8">
        <f>VLOOKUP($C437,'ASDR FY2'!$A:$X,P$13,FALSE)/1000+VLOOKUP($C437,'ASDR FY2'!$A:$X,P$14,FALSE)/1000+VLOOKUP($C437,'ASDR FY2'!$A:$X,P$15,FALSE)/1000</f>
        <v>0</v>
      </c>
      <c r="Q437" s="9"/>
      <c r="R437" s="8">
        <f t="shared" si="11"/>
        <v>30583.05718</v>
      </c>
      <c r="S437" s="10"/>
      <c r="T437" s="8">
        <f>VLOOKUP($C437,'ASDR FY2'!$A:$X,T$14,FALSE)/1000</f>
        <v>25663.039079999999</v>
      </c>
    </row>
    <row r="438" spans="1:20" x14ac:dyDescent="0.25">
      <c r="A438" s="155">
        <f t="shared" si="9"/>
        <v>27</v>
      </c>
      <c r="B438" s="155"/>
      <c r="C438" s="155">
        <v>39202</v>
      </c>
      <c r="D438" s="173" t="s">
        <v>164</v>
      </c>
      <c r="F438" s="8">
        <f>VLOOKUP($C438,'ASDR FY2'!$A:$X,F$14,FALSE)/1000</f>
        <v>7607.9824299999955</v>
      </c>
      <c r="G438" s="152"/>
      <c r="H438" s="8">
        <f>VLOOKUP($C438,'ASDR FY2'!$A:$X,H$14,FALSE)/1000</f>
        <v>2166.5242200000002</v>
      </c>
      <c r="I438" s="9"/>
      <c r="J438" s="8">
        <f>VLOOKUP($C438,'ASDR FY2'!$A:$X,J$14,FALSE)/1000</f>
        <v>-19.5</v>
      </c>
      <c r="K438" s="10"/>
      <c r="L438" s="8">
        <f>VLOOKUP($C438,'ASDR FY2'!$A:$X,L$13,FALSE)/1000+VLOOKUP($C438,'ASDR FY2'!$A:$X,L$14,FALSE)/1000</f>
        <v>0</v>
      </c>
      <c r="M438" s="10"/>
      <c r="N438" s="8">
        <f>VLOOKUP($C438,'ASDR FY2'!$A:$X,N$13,FALSE)/1000+VLOOKUP($C438,'ASDR FY2'!$A:$X,N$14,FALSE)/1000</f>
        <v>35.200000000000003</v>
      </c>
      <c r="O438" s="8"/>
      <c r="P438" s="8">
        <f>VLOOKUP($C438,'ASDR FY2'!$A:$X,P$13,FALSE)/1000+VLOOKUP($C438,'ASDR FY2'!$A:$X,P$14,FALSE)/1000+VLOOKUP($C438,'ASDR FY2'!$A:$X,P$15,FALSE)/1000</f>
        <v>0</v>
      </c>
      <c r="Q438" s="9"/>
      <c r="R438" s="8">
        <f t="shared" si="11"/>
        <v>9790.2066499999964</v>
      </c>
      <c r="S438" s="10"/>
      <c r="T438" s="8">
        <f>VLOOKUP($C438,'ASDR FY2'!$A:$X,T$14,FALSE)/1000</f>
        <v>8690.9626499999995</v>
      </c>
    </row>
    <row r="439" spans="1:20" x14ac:dyDescent="0.25">
      <c r="A439" s="155">
        <f t="shared" si="9"/>
        <v>28</v>
      </c>
      <c r="B439" s="155"/>
      <c r="C439" s="155">
        <v>39203</v>
      </c>
      <c r="D439" s="173" t="s">
        <v>165</v>
      </c>
      <c r="F439" s="8">
        <f>VLOOKUP($C439,'ASDR FY2'!$A:$X,F$14,FALSE)/1000</f>
        <v>28088.665460000015</v>
      </c>
      <c r="G439" s="152"/>
      <c r="H439" s="8">
        <f>VLOOKUP($C439,'ASDR FY2'!$A:$X,H$14,FALSE)/1000</f>
        <v>3366.4728</v>
      </c>
      <c r="I439" s="9"/>
      <c r="J439" s="8">
        <f>VLOOKUP($C439,'ASDR FY2'!$A:$X,J$14,FALSE)/1000</f>
        <v>0</v>
      </c>
      <c r="K439" s="10"/>
      <c r="L439" s="8">
        <f>VLOOKUP($C439,'ASDR FY2'!$A:$X,L$13,FALSE)/1000+VLOOKUP($C439,'ASDR FY2'!$A:$X,L$14,FALSE)/1000</f>
        <v>56.424999999999997</v>
      </c>
      <c r="M439" s="10"/>
      <c r="N439" s="8">
        <f>VLOOKUP($C439,'ASDR FY2'!$A:$X,N$13,FALSE)/1000+VLOOKUP($C439,'ASDR FY2'!$A:$X,N$14,FALSE)/1000</f>
        <v>1000</v>
      </c>
      <c r="O439" s="8"/>
      <c r="P439" s="8">
        <f>VLOOKUP($C439,'ASDR FY2'!$A:$X,P$13,FALSE)/1000+VLOOKUP($C439,'ASDR FY2'!$A:$X,P$14,FALSE)/1000+VLOOKUP($C439,'ASDR FY2'!$A:$X,P$15,FALSE)/1000</f>
        <v>0</v>
      </c>
      <c r="Q439" s="9"/>
      <c r="R439" s="8">
        <f t="shared" si="11"/>
        <v>32511.563260000014</v>
      </c>
      <c r="S439" s="10"/>
      <c r="T439" s="8">
        <f>VLOOKUP($C439,'ASDR FY2'!$A:$X,T$14,FALSE)/1000</f>
        <v>30234.072179999999</v>
      </c>
    </row>
    <row r="440" spans="1:20" x14ac:dyDescent="0.25">
      <c r="A440" s="155">
        <f t="shared" si="9"/>
        <v>29</v>
      </c>
      <c r="B440" s="161"/>
      <c r="C440" s="155">
        <v>39204</v>
      </c>
      <c r="D440" s="172" t="s">
        <v>166</v>
      </c>
      <c r="E440" s="167"/>
      <c r="F440" s="8">
        <f>VLOOKUP($C440,'ASDR FY2'!$A:$X,F$14,FALSE)/1000</f>
        <v>0</v>
      </c>
      <c r="G440" s="152"/>
      <c r="H440" s="8">
        <f>VLOOKUP($C440,'ASDR FY2'!$A:$X,H$14,FALSE)/1000</f>
        <v>0</v>
      </c>
      <c r="I440" s="9"/>
      <c r="J440" s="8">
        <f>VLOOKUP($C440,'ASDR FY2'!$A:$X,J$14,FALSE)/1000</f>
        <v>0</v>
      </c>
      <c r="K440" s="10"/>
      <c r="L440" s="8">
        <f>VLOOKUP($C440,'ASDR FY2'!$A:$X,L$13,FALSE)/1000+VLOOKUP($C440,'ASDR FY2'!$A:$X,L$14,FALSE)/1000</f>
        <v>0</v>
      </c>
      <c r="M440" s="10"/>
      <c r="N440" s="8">
        <f>VLOOKUP($C440,'ASDR FY2'!$A:$X,N$13,FALSE)/1000+VLOOKUP($C440,'ASDR FY2'!$A:$X,N$14,FALSE)/1000</f>
        <v>0</v>
      </c>
      <c r="O440" s="8"/>
      <c r="P440" s="8">
        <f>VLOOKUP($C440,'ASDR FY2'!$A:$X,P$13,FALSE)/1000+VLOOKUP($C440,'ASDR FY2'!$A:$X,P$14,FALSE)/1000+VLOOKUP($C440,'ASDR FY2'!$A:$X,P$15,FALSE)/1000</f>
        <v>0</v>
      </c>
      <c r="Q440" s="9"/>
      <c r="R440" s="8">
        <f t="shared" si="11"/>
        <v>0</v>
      </c>
      <c r="S440" s="10"/>
      <c r="T440" s="8">
        <f>VLOOKUP($C440,'ASDR FY2'!$A:$X,T$14,FALSE)/1000</f>
        <v>0</v>
      </c>
    </row>
    <row r="441" spans="1:20" x14ac:dyDescent="0.25">
      <c r="A441" s="155">
        <f t="shared" si="9"/>
        <v>30</v>
      </c>
      <c r="B441" s="161"/>
      <c r="C441" s="155">
        <v>39212</v>
      </c>
      <c r="D441" s="150" t="s">
        <v>167</v>
      </c>
      <c r="F441" s="8">
        <f>VLOOKUP($C441,'ASDR FY2'!$A:$X,F$14,FALSE)/1000</f>
        <v>2193.4214700000011</v>
      </c>
      <c r="G441" s="152"/>
      <c r="H441" s="8">
        <f>VLOOKUP($C441,'ASDR FY2'!$A:$X,H$14,FALSE)/1000</f>
        <v>363.54552000000001</v>
      </c>
      <c r="I441" s="9"/>
      <c r="J441" s="8">
        <f>VLOOKUP($C441,'ASDR FY2'!$A:$X,J$14,FALSE)/1000</f>
        <v>0</v>
      </c>
      <c r="K441" s="10"/>
      <c r="L441" s="8">
        <f>VLOOKUP($C441,'ASDR FY2'!$A:$X,L$13,FALSE)/1000+VLOOKUP($C441,'ASDR FY2'!$A:$X,L$14,FALSE)/1000</f>
        <v>0</v>
      </c>
      <c r="M441" s="10"/>
      <c r="N441" s="8">
        <f>VLOOKUP($C441,'ASDR FY2'!$A:$X,N$13,FALSE)/1000+VLOOKUP($C441,'ASDR FY2'!$A:$X,N$14,FALSE)/1000</f>
        <v>0</v>
      </c>
      <c r="O441" s="8"/>
      <c r="P441" s="8">
        <f>VLOOKUP($C441,'ASDR FY2'!$A:$X,P$13,FALSE)/1000+VLOOKUP($C441,'ASDR FY2'!$A:$X,P$14,FALSE)/1000+VLOOKUP($C441,'ASDR FY2'!$A:$X,P$15,FALSE)/1000</f>
        <v>0</v>
      </c>
      <c r="Q441" s="9"/>
      <c r="R441" s="8">
        <f t="shared" si="11"/>
        <v>2556.9669900000013</v>
      </c>
      <c r="S441" s="10"/>
      <c r="T441" s="8">
        <f>VLOOKUP($C441,'ASDR FY2'!$A:$X,T$14,FALSE)/1000</f>
        <v>2375.1942300000001</v>
      </c>
    </row>
    <row r="442" spans="1:20" x14ac:dyDescent="0.25">
      <c r="A442" s="155">
        <f t="shared" si="9"/>
        <v>31</v>
      </c>
      <c r="B442" s="161"/>
      <c r="C442" s="155">
        <v>39213</v>
      </c>
      <c r="D442" s="150" t="s">
        <v>168</v>
      </c>
      <c r="F442" s="8">
        <f>VLOOKUP($C442,'ASDR FY2'!$A:$X,F$14,FALSE)/1000</f>
        <v>273.20389000000006</v>
      </c>
      <c r="G442" s="152"/>
      <c r="H442" s="8">
        <f>VLOOKUP($C442,'ASDR FY2'!$A:$X,H$14,FALSE)/1000</f>
        <v>64.590239999999994</v>
      </c>
      <c r="I442" s="9"/>
      <c r="J442" s="8">
        <f>VLOOKUP($C442,'ASDR FY2'!$A:$X,J$14,FALSE)/1000</f>
        <v>0</v>
      </c>
      <c r="K442" s="10"/>
      <c r="L442" s="8">
        <f>VLOOKUP($C442,'ASDR FY2'!$A:$X,L$13,FALSE)/1000+VLOOKUP($C442,'ASDR FY2'!$A:$X,L$14,FALSE)/1000</f>
        <v>0</v>
      </c>
      <c r="M442" s="10"/>
      <c r="N442" s="8">
        <f>VLOOKUP($C442,'ASDR FY2'!$A:$X,N$13,FALSE)/1000+VLOOKUP($C442,'ASDR FY2'!$A:$X,N$14,FALSE)/1000</f>
        <v>0</v>
      </c>
      <c r="O442" s="8"/>
      <c r="P442" s="8">
        <f>VLOOKUP($C442,'ASDR FY2'!$A:$X,P$13,FALSE)/1000+VLOOKUP($C442,'ASDR FY2'!$A:$X,P$14,FALSE)/1000+VLOOKUP($C442,'ASDR FY2'!$A:$X,P$15,FALSE)/1000</f>
        <v>0</v>
      </c>
      <c r="Q442" s="9"/>
      <c r="R442" s="8">
        <f t="shared" si="11"/>
        <v>337.79413000000005</v>
      </c>
      <c r="S442" s="10"/>
      <c r="T442" s="8">
        <f>VLOOKUP($C442,'ASDR FY2'!$A:$X,T$14,FALSE)/1000</f>
        <v>305.49901</v>
      </c>
    </row>
    <row r="443" spans="1:20" x14ac:dyDescent="0.25">
      <c r="A443" s="155">
        <f t="shared" si="9"/>
        <v>32</v>
      </c>
      <c r="B443" s="161"/>
      <c r="C443" s="155">
        <v>39214</v>
      </c>
      <c r="D443" s="167" t="s">
        <v>169</v>
      </c>
      <c r="E443" s="167"/>
      <c r="F443" s="8">
        <f>VLOOKUP($C443,'ASDR FY2'!$A:$X,F$14,FALSE)/1000</f>
        <v>0</v>
      </c>
      <c r="G443" s="152"/>
      <c r="H443" s="8">
        <f>VLOOKUP($C443,'ASDR FY2'!$A:$X,H$14,FALSE)/1000</f>
        <v>0</v>
      </c>
      <c r="I443" s="9"/>
      <c r="J443" s="8">
        <f>VLOOKUP($C443,'ASDR FY2'!$A:$X,J$14,FALSE)/1000</f>
        <v>0</v>
      </c>
      <c r="K443" s="10"/>
      <c r="L443" s="8">
        <f>VLOOKUP($C443,'ASDR FY2'!$A:$X,L$13,FALSE)/1000+VLOOKUP($C443,'ASDR FY2'!$A:$X,L$14,FALSE)/1000</f>
        <v>0</v>
      </c>
      <c r="M443" s="10"/>
      <c r="N443" s="8">
        <f>VLOOKUP($C443,'ASDR FY2'!$A:$X,N$13,FALSE)/1000+VLOOKUP($C443,'ASDR FY2'!$A:$X,N$14,FALSE)/1000</f>
        <v>0</v>
      </c>
      <c r="O443" s="8"/>
      <c r="P443" s="8">
        <f>VLOOKUP($C443,'ASDR FY2'!$A:$X,P$13,FALSE)/1000+VLOOKUP($C443,'ASDR FY2'!$A:$X,P$14,FALSE)/1000+VLOOKUP($C443,'ASDR FY2'!$A:$X,P$15,FALSE)/1000</f>
        <v>0</v>
      </c>
      <c r="Q443" s="9"/>
      <c r="R443" s="8">
        <f t="shared" si="11"/>
        <v>0</v>
      </c>
      <c r="S443" s="10"/>
      <c r="T443" s="8">
        <f>VLOOKUP($C443,'ASDR FY2'!$A:$X,T$14,FALSE)/1000</f>
        <v>0</v>
      </c>
    </row>
    <row r="444" spans="1:20" x14ac:dyDescent="0.25">
      <c r="A444" s="155">
        <f t="shared" si="9"/>
        <v>33</v>
      </c>
      <c r="B444" s="161"/>
      <c r="C444" s="155">
        <v>39300</v>
      </c>
      <c r="D444" s="167" t="s">
        <v>170</v>
      </c>
      <c r="E444" s="167"/>
      <c r="F444" s="8">
        <f>VLOOKUP($C444,'ASDR FY2'!$A:$X,F$14,FALSE)/1000</f>
        <v>0</v>
      </c>
      <c r="G444" s="152"/>
      <c r="H444" s="8">
        <f>VLOOKUP($C444,'ASDR FY2'!$A:$X,H$14,FALSE)/1000</f>
        <v>0</v>
      </c>
      <c r="I444" s="9"/>
      <c r="J444" s="8">
        <f>VLOOKUP($C444,'ASDR FY2'!$A:$X,J$14,FALSE)/1000</f>
        <v>0</v>
      </c>
      <c r="K444" s="10"/>
      <c r="L444" s="8">
        <f>VLOOKUP($C444,'ASDR FY2'!$A:$X,L$13,FALSE)/1000+VLOOKUP($C444,'ASDR FY2'!$A:$X,L$14,FALSE)/1000</f>
        <v>0</v>
      </c>
      <c r="M444" s="10"/>
      <c r="N444" s="8">
        <f>VLOOKUP($C444,'ASDR FY2'!$A:$X,N$13,FALSE)/1000+VLOOKUP($C444,'ASDR FY2'!$A:$X,N$14,FALSE)/1000</f>
        <v>0</v>
      </c>
      <c r="O444" s="8"/>
      <c r="P444" s="8">
        <f>VLOOKUP($C444,'ASDR FY2'!$A:$X,P$13,FALSE)/1000+VLOOKUP($C444,'ASDR FY2'!$A:$X,P$14,FALSE)/1000+VLOOKUP($C444,'ASDR FY2'!$A:$X,P$15,FALSE)/1000</f>
        <v>0</v>
      </c>
      <c r="Q444" s="9"/>
      <c r="R444" s="8">
        <f t="shared" si="11"/>
        <v>0</v>
      </c>
      <c r="S444" s="10"/>
      <c r="T444" s="8">
        <f>VLOOKUP($C444,'ASDR FY2'!$A:$X,T$14,FALSE)/1000</f>
        <v>0</v>
      </c>
    </row>
    <row r="445" spans="1:20" x14ac:dyDescent="0.25">
      <c r="A445" s="155">
        <f t="shared" si="9"/>
        <v>34</v>
      </c>
      <c r="B445" s="161"/>
      <c r="C445" s="155">
        <v>39400</v>
      </c>
      <c r="D445" s="167" t="s">
        <v>171</v>
      </c>
      <c r="E445" s="167"/>
      <c r="F445" s="8">
        <f>VLOOKUP($C445,'ASDR FY2'!$A:$X,F$14,FALSE)/1000</f>
        <v>6575.9932300000009</v>
      </c>
      <c r="G445" s="152"/>
      <c r="H445" s="8">
        <f>VLOOKUP($C445,'ASDR FY2'!$A:$X,H$14,FALSE)/1000</f>
        <v>2265.8509199999999</v>
      </c>
      <c r="I445" s="9"/>
      <c r="J445" s="8">
        <f>VLOOKUP($C445,'ASDR FY2'!$A:$X,J$14,FALSE)/1000</f>
        <v>-2311.6172000000001</v>
      </c>
      <c r="K445" s="10"/>
      <c r="L445" s="8">
        <f>VLOOKUP($C445,'ASDR FY2'!$A:$X,L$13,FALSE)/1000+VLOOKUP($C445,'ASDR FY2'!$A:$X,L$14,FALSE)/1000</f>
        <v>0</v>
      </c>
      <c r="M445" s="10"/>
      <c r="N445" s="8">
        <f>VLOOKUP($C445,'ASDR FY2'!$A:$X,N$13,FALSE)/1000+VLOOKUP($C445,'ASDR FY2'!$A:$X,N$14,FALSE)/1000</f>
        <v>0</v>
      </c>
      <c r="O445" s="8"/>
      <c r="P445" s="8">
        <f>VLOOKUP($C445,'ASDR FY2'!$A:$X,P$13,FALSE)/1000+VLOOKUP($C445,'ASDR FY2'!$A:$X,P$14,FALSE)/1000+VLOOKUP($C445,'ASDR FY2'!$A:$X,P$15,FALSE)/1000</f>
        <v>0</v>
      </c>
      <c r="Q445" s="9"/>
      <c r="R445" s="8">
        <f t="shared" si="11"/>
        <v>6530.2269500000002</v>
      </c>
      <c r="S445" s="10"/>
      <c r="T445" s="8">
        <f>VLOOKUP($C445,'ASDR FY2'!$A:$X,T$14,FALSE)/1000</f>
        <v>6796.3145999999997</v>
      </c>
    </row>
    <row r="446" spans="1:20" x14ac:dyDescent="0.25">
      <c r="A446" s="155">
        <f t="shared" si="9"/>
        <v>35</v>
      </c>
      <c r="B446" s="161"/>
      <c r="C446" s="155">
        <v>39401</v>
      </c>
      <c r="D446" s="150" t="s">
        <v>172</v>
      </c>
      <c r="F446" s="8">
        <f>VLOOKUP($C446,'ASDR FY2'!$A:$X,F$14,FALSE)/1000</f>
        <v>2993.2336700000001</v>
      </c>
      <c r="G446" s="152"/>
      <c r="H446" s="8">
        <f>VLOOKUP($C446,'ASDR FY2'!$A:$X,H$14,FALSE)/1000</f>
        <v>837.70668000000001</v>
      </c>
      <c r="I446" s="9"/>
      <c r="J446" s="8">
        <f>VLOOKUP($C446,'ASDR FY2'!$A:$X,J$14,FALSE)/1000</f>
        <v>0</v>
      </c>
      <c r="K446" s="10"/>
      <c r="L446" s="8">
        <f>VLOOKUP($C446,'ASDR FY2'!$A:$X,L$13,FALSE)/1000+VLOOKUP($C446,'ASDR FY2'!$A:$X,L$14,FALSE)/1000</f>
        <v>0</v>
      </c>
      <c r="M446" s="10"/>
      <c r="N446" s="8">
        <f>VLOOKUP($C446,'ASDR FY2'!$A:$X,N$13,FALSE)/1000+VLOOKUP($C446,'ASDR FY2'!$A:$X,N$14,FALSE)/1000</f>
        <v>0</v>
      </c>
      <c r="O446" s="8"/>
      <c r="P446" s="8">
        <f>VLOOKUP($C446,'ASDR FY2'!$A:$X,P$13,FALSE)/1000+VLOOKUP($C446,'ASDR FY2'!$A:$X,P$14,FALSE)/1000+VLOOKUP($C446,'ASDR FY2'!$A:$X,P$15,FALSE)/1000</f>
        <v>0</v>
      </c>
      <c r="Q446" s="9"/>
      <c r="R446" s="8">
        <f t="shared" si="11"/>
        <v>3830.9403499999999</v>
      </c>
      <c r="S446" s="10"/>
      <c r="T446" s="8">
        <f>VLOOKUP($C446,'ASDR FY2'!$A:$X,T$14,FALSE)/1000</f>
        <v>3412.0870099999997</v>
      </c>
    </row>
    <row r="447" spans="1:20" x14ac:dyDescent="0.25">
      <c r="A447" s="155">
        <f t="shared" si="9"/>
        <v>36</v>
      </c>
      <c r="B447" s="161"/>
      <c r="C447" s="155">
        <v>39500</v>
      </c>
      <c r="D447" s="150" t="s">
        <v>173</v>
      </c>
      <c r="F447" s="8">
        <f>VLOOKUP($C447,'ASDR FY2'!$A:$X,F$14,FALSE)/1000</f>
        <v>1908.0212299999998</v>
      </c>
      <c r="G447" s="152"/>
      <c r="H447" s="8">
        <f>VLOOKUP($C447,'ASDR FY2'!$A:$X,H$14,FALSE)/1000</f>
        <v>2503.6294600000001</v>
      </c>
      <c r="I447" s="9"/>
      <c r="J447" s="8">
        <f>VLOOKUP($C447,'ASDR FY2'!$A:$X,J$14,FALSE)/1000</f>
        <v>-457.52873</v>
      </c>
      <c r="K447" s="10"/>
      <c r="L447" s="8">
        <f>VLOOKUP($C447,'ASDR FY2'!$A:$X,L$13,FALSE)/1000+VLOOKUP($C447,'ASDR FY2'!$A:$X,L$14,FALSE)/1000</f>
        <v>0</v>
      </c>
      <c r="M447" s="10"/>
      <c r="N447" s="8">
        <f>VLOOKUP($C447,'ASDR FY2'!$A:$X,N$13,FALSE)/1000+VLOOKUP($C447,'ASDR FY2'!$A:$X,N$14,FALSE)/1000</f>
        <v>0</v>
      </c>
      <c r="O447" s="8"/>
      <c r="P447" s="8">
        <f>VLOOKUP($C447,'ASDR FY2'!$A:$X,P$13,FALSE)/1000+VLOOKUP($C447,'ASDR FY2'!$A:$X,P$14,FALSE)/1000+VLOOKUP($C447,'ASDR FY2'!$A:$X,P$15,FALSE)/1000</f>
        <v>0</v>
      </c>
      <c r="Q447" s="9"/>
      <c r="R447" s="8">
        <f t="shared" si="11"/>
        <v>3954.1219600000004</v>
      </c>
      <c r="S447" s="10"/>
      <c r="T447" s="8">
        <f>VLOOKUP($C447,'ASDR FY2'!$A:$X,T$14,FALSE)/1000</f>
        <v>2821.8104199999998</v>
      </c>
    </row>
    <row r="448" spans="1:20" x14ac:dyDescent="0.25">
      <c r="A448" s="155">
        <f t="shared" si="9"/>
        <v>37</v>
      </c>
      <c r="B448" s="161"/>
      <c r="C448" s="155">
        <v>39600</v>
      </c>
      <c r="D448" s="150" t="s">
        <v>174</v>
      </c>
      <c r="F448" s="8">
        <f>VLOOKUP($C448,'ASDR FY2'!$A:$X,F$14,FALSE)/1000</f>
        <v>0</v>
      </c>
      <c r="G448" s="152"/>
      <c r="H448" s="8">
        <f>VLOOKUP($C448,'ASDR FY2'!$A:$X,H$14,FALSE)/1000</f>
        <v>0</v>
      </c>
      <c r="I448" s="9"/>
      <c r="J448" s="8">
        <f>VLOOKUP($C448,'ASDR FY2'!$A:$X,J$14,FALSE)/1000</f>
        <v>0</v>
      </c>
      <c r="K448" s="10"/>
      <c r="L448" s="8">
        <f>VLOOKUP($C448,'ASDR FY2'!$A:$X,L$13,FALSE)/1000+VLOOKUP($C448,'ASDR FY2'!$A:$X,L$14,FALSE)/1000</f>
        <v>0</v>
      </c>
      <c r="M448" s="10"/>
      <c r="N448" s="8">
        <f>VLOOKUP($C448,'ASDR FY2'!$A:$X,N$13,FALSE)/1000+VLOOKUP($C448,'ASDR FY2'!$A:$X,N$14,FALSE)/1000</f>
        <v>0</v>
      </c>
      <c r="O448" s="8"/>
      <c r="P448" s="8">
        <f>VLOOKUP($C448,'ASDR FY2'!$A:$X,P$13,FALSE)/1000+VLOOKUP($C448,'ASDR FY2'!$A:$X,P$14,FALSE)/1000+VLOOKUP($C448,'ASDR FY2'!$A:$X,P$15,FALSE)/1000</f>
        <v>0</v>
      </c>
      <c r="Q448" s="9"/>
      <c r="R448" s="8">
        <f t="shared" si="11"/>
        <v>0</v>
      </c>
      <c r="S448" s="10"/>
      <c r="T448" s="8">
        <f>VLOOKUP($C448,'ASDR FY2'!$A:$X,T$14,FALSE)/1000</f>
        <v>0</v>
      </c>
    </row>
    <row r="449" spans="1:20" x14ac:dyDescent="0.25">
      <c r="A449" s="155">
        <f t="shared" si="9"/>
        <v>38</v>
      </c>
      <c r="B449" s="161"/>
      <c r="C449" s="155">
        <v>39700</v>
      </c>
      <c r="D449" s="167" t="s">
        <v>175</v>
      </c>
      <c r="E449" s="167"/>
      <c r="F449" s="8">
        <f>VLOOKUP($C449,'ASDR FY2'!$A:$X,F$14,FALSE)/1000</f>
        <v>25138.803880000003</v>
      </c>
      <c r="G449" s="152"/>
      <c r="H449" s="8">
        <f>VLOOKUP($C449,'ASDR FY2'!$A:$X,H$14,FALSE)/1000</f>
        <v>6539.5904600000003</v>
      </c>
      <c r="I449" s="9"/>
      <c r="J449" s="8">
        <f>VLOOKUP($C449,'ASDR FY2'!$A:$X,J$14,FALSE)/1000</f>
        <v>-13200.6661</v>
      </c>
      <c r="K449" s="10"/>
      <c r="L449" s="8">
        <f>VLOOKUP($C449,'ASDR FY2'!$A:$X,L$13,FALSE)/1000+VLOOKUP($C449,'ASDR FY2'!$A:$X,L$14,FALSE)/1000</f>
        <v>-1.96872</v>
      </c>
      <c r="M449" s="10"/>
      <c r="N449" s="8">
        <f>VLOOKUP($C449,'ASDR FY2'!$A:$X,N$13,FALSE)/1000+VLOOKUP($C449,'ASDR FY2'!$A:$X,N$14,FALSE)/1000</f>
        <v>0</v>
      </c>
      <c r="O449" s="8"/>
      <c r="P449" s="8">
        <f>VLOOKUP($C449,'ASDR FY2'!$A:$X,P$13,FALSE)/1000+VLOOKUP($C449,'ASDR FY2'!$A:$X,P$14,FALSE)/1000+VLOOKUP($C449,'ASDR FY2'!$A:$X,P$15,FALSE)/1000</f>
        <v>0</v>
      </c>
      <c r="Q449" s="9"/>
      <c r="R449" s="8">
        <f t="shared" si="11"/>
        <v>18475.759520000003</v>
      </c>
      <c r="S449" s="10"/>
      <c r="T449" s="8">
        <f>VLOOKUP($C449,'ASDR FY2'!$A:$X,T$14,FALSE)/1000</f>
        <v>24586.568800000001</v>
      </c>
    </row>
    <row r="450" spans="1:20" x14ac:dyDescent="0.25">
      <c r="A450" s="155">
        <f t="shared" si="9"/>
        <v>39</v>
      </c>
      <c r="B450" s="161"/>
      <c r="C450" s="153">
        <v>39725</v>
      </c>
      <c r="D450" s="167" t="s">
        <v>176</v>
      </c>
      <c r="E450" s="167"/>
      <c r="F450" s="8">
        <f>VLOOKUP($C450,'ASDR FY2'!$A:$X,F$14,FALSE)/1000</f>
        <v>27439.427159999988</v>
      </c>
      <c r="G450" s="152"/>
      <c r="H450" s="8">
        <f>VLOOKUP($C450,'ASDR FY2'!$A:$X,H$14,FALSE)/1000</f>
        <v>1810.22883</v>
      </c>
      <c r="I450" s="9"/>
      <c r="J450" s="8">
        <f>VLOOKUP($C450,'ASDR FY2'!$A:$X,J$14,FALSE)/1000</f>
        <v>-4244.7310099999995</v>
      </c>
      <c r="K450" s="10"/>
      <c r="L450" s="8">
        <f>VLOOKUP($C450,'ASDR FY2'!$A:$X,L$13,FALSE)/1000+VLOOKUP($C450,'ASDR FY2'!$A:$X,L$14,FALSE)/1000</f>
        <v>0</v>
      </c>
      <c r="M450" s="10"/>
      <c r="N450" s="8">
        <f>VLOOKUP($C450,'ASDR FY2'!$A:$X,N$13,FALSE)/1000+VLOOKUP($C450,'ASDR FY2'!$A:$X,N$14,FALSE)/1000</f>
        <v>0</v>
      </c>
      <c r="O450" s="8"/>
      <c r="P450" s="8">
        <f>VLOOKUP($C450,'ASDR FY2'!$A:$X,P$13,FALSE)/1000+VLOOKUP($C450,'ASDR FY2'!$A:$X,P$14,FALSE)/1000+VLOOKUP($C450,'ASDR FY2'!$A:$X,P$15,FALSE)/1000</f>
        <v>0</v>
      </c>
      <c r="Q450" s="9"/>
      <c r="R450" s="8">
        <f t="shared" si="11"/>
        <v>25004.924979999989</v>
      </c>
      <c r="S450" s="10"/>
      <c r="T450" s="8">
        <f>VLOOKUP($C450,'ASDR FY2'!$A:$X,T$14,FALSE)/1000</f>
        <v>25897.297409999999</v>
      </c>
    </row>
    <row r="451" spans="1:20" x14ac:dyDescent="0.25">
      <c r="A451" s="155">
        <f t="shared" si="9"/>
        <v>40</v>
      </c>
      <c r="B451" s="161"/>
      <c r="C451" s="153">
        <v>39800</v>
      </c>
      <c r="D451" s="167" t="s">
        <v>177</v>
      </c>
      <c r="E451" s="167"/>
      <c r="F451" s="8">
        <f>VLOOKUP($C451,'ASDR FY2'!$A:$X,F$14,FALSE)/1000</f>
        <v>2747.1298600000009</v>
      </c>
      <c r="G451" s="152"/>
      <c r="H451" s="8">
        <f>VLOOKUP($C451,'ASDR FY2'!$A:$X,H$14,FALSE)/1000</f>
        <v>705.00037999999995</v>
      </c>
      <c r="I451" s="9"/>
      <c r="J451" s="8">
        <f>VLOOKUP($C451,'ASDR FY2'!$A:$X,J$14,FALSE)/1000</f>
        <v>-692.5711</v>
      </c>
      <c r="K451" s="10"/>
      <c r="L451" s="8">
        <f>VLOOKUP($C451,'ASDR FY2'!$A:$X,L$13,FALSE)/1000+VLOOKUP($C451,'ASDR FY2'!$A:$X,L$14,FALSE)/1000</f>
        <v>0</v>
      </c>
      <c r="M451" s="10"/>
      <c r="N451" s="8">
        <f>VLOOKUP($C451,'ASDR FY2'!$A:$X,N$13,FALSE)/1000+VLOOKUP($C451,'ASDR FY2'!$A:$X,N$14,FALSE)/1000</f>
        <v>0</v>
      </c>
      <c r="O451" s="8"/>
      <c r="P451" s="8">
        <f>VLOOKUP($C451,'ASDR FY2'!$A:$X,P$13,FALSE)/1000+VLOOKUP($C451,'ASDR FY2'!$A:$X,P$14,FALSE)/1000+VLOOKUP($C451,'ASDR FY2'!$A:$X,P$15,FALSE)/1000</f>
        <v>0</v>
      </c>
      <c r="Q451" s="9"/>
      <c r="R451" s="8">
        <f t="shared" si="11"/>
        <v>2759.5591400000008</v>
      </c>
      <c r="S451" s="10"/>
      <c r="T451" s="8">
        <f>VLOOKUP($C451,'ASDR FY2'!$A:$X,T$14,FALSE)/1000</f>
        <v>2741.4219800000001</v>
      </c>
    </row>
    <row r="452" spans="1:20" ht="13.8" thickBot="1" x14ac:dyDescent="0.3">
      <c r="A452" s="155">
        <f t="shared" si="9"/>
        <v>41</v>
      </c>
      <c r="B452" s="161"/>
      <c r="C452" s="153"/>
      <c r="D452" s="167" t="s">
        <v>178</v>
      </c>
      <c r="E452" s="167"/>
      <c r="F452" s="62">
        <f>SUM(F433:F451)</f>
        <v>193714.32814</v>
      </c>
      <c r="H452" s="62">
        <f>SUM(H433:H451)</f>
        <v>42615.342149999997</v>
      </c>
      <c r="I452" s="15"/>
      <c r="J452" s="62">
        <f>SUM(J433:J451)</f>
        <v>-42164.662830000001</v>
      </c>
      <c r="K452" s="15"/>
      <c r="L452" s="62">
        <f>SUM(L433:L451)</f>
        <v>-425.08389</v>
      </c>
      <c r="M452" s="15"/>
      <c r="N452" s="62">
        <f>SUM(N433:N451)</f>
        <v>1035.2</v>
      </c>
      <c r="O452" s="37"/>
      <c r="P452" s="62">
        <f>SUM(P433:P451)</f>
        <v>0</v>
      </c>
      <c r="Q452" s="15"/>
      <c r="R452" s="62">
        <f>SUM(R433:R451)</f>
        <v>194775.12356999997</v>
      </c>
      <c r="S452" s="15"/>
      <c r="T452" s="62">
        <f>SUM(T433:T451)</f>
        <v>192445.31579000002</v>
      </c>
    </row>
    <row r="453" spans="1:20" ht="13.8" thickTop="1" x14ac:dyDescent="0.25">
      <c r="A453" s="155">
        <f t="shared" si="9"/>
        <v>42</v>
      </c>
      <c r="B453" s="161"/>
      <c r="C453" s="168"/>
      <c r="Q453" s="152"/>
    </row>
    <row r="454" spans="1:20" ht="13.8" thickBot="1" x14ac:dyDescent="0.3">
      <c r="A454" s="155">
        <f t="shared" si="9"/>
        <v>43</v>
      </c>
      <c r="B454" s="161"/>
      <c r="C454" s="168"/>
      <c r="D454" s="172" t="s">
        <v>179</v>
      </c>
      <c r="E454" s="167"/>
      <c r="F454" s="28">
        <f>SUM(F133,F379,F395,F430,F452)</f>
        <v>3677568.8356300001</v>
      </c>
      <c r="G454" s="187"/>
      <c r="H454" s="28">
        <f>SUM(H133,H379,H395,H430,H452)</f>
        <v>513062.28368000005</v>
      </c>
      <c r="I454" s="15"/>
      <c r="J454" s="28">
        <f>SUM(J133,J379,J395,J430,J452)</f>
        <v>-145403.08848000001</v>
      </c>
      <c r="K454" s="15"/>
      <c r="L454" s="28">
        <f>SUM(L133,L379,L395,L430,L452)</f>
        <v>-43716.326350000003</v>
      </c>
      <c r="M454" s="15"/>
      <c r="N454" s="28">
        <f>SUM(N133,N379,N395,N430,N452)</f>
        <v>4566.9791400000004</v>
      </c>
      <c r="O454" s="65"/>
      <c r="P454" s="28">
        <f>SUM(P133,P379,P395,P430,P452)</f>
        <v>0</v>
      </c>
      <c r="Q454" s="15"/>
      <c r="R454" s="28">
        <f>SUM(R133,R379,R395,R430,R452)</f>
        <v>4006078.6836200003</v>
      </c>
      <c r="S454" s="15"/>
      <c r="T454" s="28">
        <f>SUM(T133,T379,T395,T430,T452)</f>
        <v>3844385.6855099997</v>
      </c>
    </row>
    <row r="455" spans="1:20" ht="14.4" thickTop="1" thickBot="1" x14ac:dyDescent="0.3">
      <c r="A455" s="156">
        <f t="shared" si="9"/>
        <v>44</v>
      </c>
      <c r="B455" s="20" t="s">
        <v>60</v>
      </c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5"/>
      <c r="R455" s="147"/>
      <c r="S455" s="147"/>
      <c r="T455" s="147"/>
    </row>
    <row r="456" spans="1:20" x14ac:dyDescent="0.25">
      <c r="A456" s="150" t="str">
        <f>+$A$57</f>
        <v>Supporting Schedules:  B-10, B-11</v>
      </c>
      <c r="Q456" s="152"/>
      <c r="R456" s="150" t="str">
        <f>+$R$57</f>
        <v>Recap Schedules:  B-03, B-06</v>
      </c>
    </row>
    <row r="457" spans="1:20" ht="13.8" thickBot="1" x14ac:dyDescent="0.3">
      <c r="A457" s="147" t="str">
        <f>$A$1</f>
        <v>SCHEDULE B-09</v>
      </c>
      <c r="B457" s="147"/>
      <c r="C457" s="147"/>
      <c r="D457" s="147"/>
      <c r="E457" s="147"/>
      <c r="F457" s="147" t="str">
        <f>$F$1</f>
        <v>DEPRECIATION RESERVE BALANCES BY ACCOUNT AND SUB-ACCOUNT</v>
      </c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5"/>
      <c r="R457" s="147"/>
      <c r="S457" s="147"/>
      <c r="T457" s="147" t="str">
        <f>"Page 9 of " &amp; $R$1</f>
        <v>Page 9 of 30</v>
      </c>
    </row>
    <row r="458" spans="1:20" x14ac:dyDescent="0.25">
      <c r="A458" s="150" t="str">
        <f>$A$2</f>
        <v>FLORIDA PUBLIC SERVICE COMMISSION</v>
      </c>
      <c r="B458" s="170"/>
      <c r="E458" s="152" t="str">
        <f>$E$2</f>
        <v xml:space="preserve">                  EXPLANATION:</v>
      </c>
      <c r="F458" s="150" t="str">
        <f>IF($F$2="","",$F$2)</f>
        <v>Provide the depreciation reserve balances for each account or sub-account to which</v>
      </c>
      <c r="J458" s="149"/>
      <c r="K458" s="149"/>
      <c r="M458" s="149"/>
      <c r="N458" s="149"/>
      <c r="O458" s="149"/>
      <c r="P458" s="149"/>
      <c r="Q458" s="148"/>
      <c r="R458" s="150" t="str">
        <f>$R$2</f>
        <v>Type of data shown:</v>
      </c>
      <c r="T458" s="151"/>
    </row>
    <row r="459" spans="1:20" x14ac:dyDescent="0.25">
      <c r="B459" s="170"/>
      <c r="F459" s="150" t="str">
        <f>IF($F$3="","",$F$3)</f>
        <v>an individual depreciation rate is applied. (Include Amortization/Recovery amounts).</v>
      </c>
      <c r="J459" s="152"/>
      <c r="K459" s="151"/>
      <c r="N459" s="152"/>
      <c r="O459" s="152"/>
      <c r="P459" s="152"/>
      <c r="Q459" s="152" t="str">
        <f>IF($Q$3=0,"",$Q$3)</f>
        <v>XX</v>
      </c>
      <c r="R459" s="151" t="str">
        <f>$R$3</f>
        <v>Projected Test Year Ended 12/31/2025</v>
      </c>
      <c r="T459" s="152"/>
    </row>
    <row r="460" spans="1:20" x14ac:dyDescent="0.25">
      <c r="A460" s="150" t="str">
        <f>$A$4</f>
        <v>COMPANY: TAMPA ELECTRIC COMPANY</v>
      </c>
      <c r="B460" s="170"/>
      <c r="F460" s="150" t="str">
        <f>IF(+$F$4="","",$F$4)</f>
        <v/>
      </c>
      <c r="J460" s="152"/>
      <c r="K460" s="151"/>
      <c r="L460" s="152"/>
      <c r="Q460" s="152" t="str">
        <f>IF($Q$4=0,"",$Q$4)</f>
        <v/>
      </c>
      <c r="R460" s="151" t="str">
        <f>$R$4</f>
        <v>Projected Prior Year Ended 12/31/2024</v>
      </c>
      <c r="T460" s="152"/>
    </row>
    <row r="461" spans="1:20" x14ac:dyDescent="0.25">
      <c r="B461" s="170"/>
      <c r="F461" s="150" t="str">
        <f>IF(+$F$5="","",$F$5)</f>
        <v/>
      </c>
      <c r="J461" s="152"/>
      <c r="K461" s="151"/>
      <c r="L461" s="152"/>
      <c r="Q461" s="152" t="str">
        <f>IF($Q$5=0,"",$Q$5)</f>
        <v/>
      </c>
      <c r="R461" s="151" t="str">
        <f>$R$5</f>
        <v>Historical Prior Year Ended 12/31/2023</v>
      </c>
      <c r="T461" s="152"/>
    </row>
    <row r="462" spans="1:20" x14ac:dyDescent="0.25">
      <c r="B462" s="170"/>
      <c r="J462" s="152"/>
      <c r="K462" s="151"/>
      <c r="L462" s="152"/>
      <c r="Q462" s="152"/>
      <c r="R462" s="151" t="str">
        <f>$R$6</f>
        <v>Witness: C. Aldazabal / N. Allis / J. Chronister</v>
      </c>
      <c r="T462" s="152"/>
    </row>
    <row r="463" spans="1:20" ht="13.8" thickBot="1" x14ac:dyDescent="0.3">
      <c r="A463" s="147" t="str">
        <f>A$7</f>
        <v>DOCKET No. 20240026-EI</v>
      </c>
      <c r="B463" s="171"/>
      <c r="C463" s="147"/>
      <c r="D463" s="147"/>
      <c r="E463" s="147"/>
      <c r="F463" s="147" t="str">
        <f>IF(+$F$7="","",$F$7)</f>
        <v/>
      </c>
      <c r="G463" s="147"/>
      <c r="H463" s="156" t="str">
        <f>IF($H$7="","",$H$7)</f>
        <v>(Dollars in 000's)</v>
      </c>
      <c r="I463" s="147"/>
      <c r="J463" s="147"/>
      <c r="K463" s="147"/>
      <c r="L463" s="147"/>
      <c r="M463" s="147"/>
      <c r="N463" s="147"/>
      <c r="O463" s="147"/>
      <c r="P463" s="147"/>
      <c r="Q463" s="145"/>
      <c r="R463" s="147" t="str">
        <f>$R$7</f>
        <v xml:space="preserve">             / R. Latta / K. Stryker / C. Whitworth</v>
      </c>
      <c r="S463" s="147"/>
      <c r="T463" s="147"/>
    </row>
    <row r="464" spans="1:20" x14ac:dyDescent="0.25"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4"/>
      <c r="R464" s="153"/>
      <c r="S464" s="153"/>
      <c r="T464" s="153"/>
    </row>
    <row r="465" spans="1:20" x14ac:dyDescent="0.25">
      <c r="C465" s="153" t="s">
        <v>13</v>
      </c>
      <c r="D465" s="153" t="s">
        <v>14</v>
      </c>
      <c r="E465" s="153"/>
      <c r="F465" s="153" t="s">
        <v>15</v>
      </c>
      <c r="G465" s="153"/>
      <c r="H465" s="153" t="s">
        <v>16</v>
      </c>
      <c r="I465" s="153"/>
      <c r="J465" s="155" t="s">
        <v>17</v>
      </c>
      <c r="K465" s="155"/>
      <c r="L465" s="153" t="s">
        <v>18</v>
      </c>
      <c r="M465" s="153"/>
      <c r="N465" s="153" t="s">
        <v>19</v>
      </c>
      <c r="O465" s="153"/>
      <c r="P465" s="153" t="s">
        <v>20</v>
      </c>
      <c r="Q465" s="154"/>
      <c r="R465" s="153" t="s">
        <v>21</v>
      </c>
      <c r="S465" s="153"/>
      <c r="T465" s="153" t="s">
        <v>22</v>
      </c>
    </row>
    <row r="466" spans="1:20" x14ac:dyDescent="0.25">
      <c r="C466" s="155" t="s">
        <v>23</v>
      </c>
      <c r="D466" s="155" t="s">
        <v>23</v>
      </c>
      <c r="F466" s="155" t="s">
        <v>24</v>
      </c>
      <c r="G466" s="155"/>
      <c r="H466" s="153" t="s">
        <v>25</v>
      </c>
      <c r="I466" s="155"/>
      <c r="J466" s="153"/>
      <c r="K466" s="155"/>
      <c r="L466" s="155"/>
      <c r="M466" s="155"/>
      <c r="Q466" s="152"/>
      <c r="R466" s="155" t="s">
        <v>24</v>
      </c>
      <c r="T466" s="155"/>
    </row>
    <row r="467" spans="1:20" x14ac:dyDescent="0.25">
      <c r="A467" s="155" t="s">
        <v>26</v>
      </c>
      <c r="B467" s="155"/>
      <c r="C467" s="155" t="s">
        <v>27</v>
      </c>
      <c r="D467" s="155" t="s">
        <v>27</v>
      </c>
      <c r="E467" s="153"/>
      <c r="F467" s="155" t="s">
        <v>28</v>
      </c>
      <c r="G467" s="155"/>
      <c r="H467" s="155" t="s">
        <v>28</v>
      </c>
      <c r="I467" s="155"/>
      <c r="J467" s="155"/>
      <c r="K467" s="153"/>
      <c r="L467" s="155" t="s">
        <v>29</v>
      </c>
      <c r="M467" s="151"/>
      <c r="N467" s="155" t="s">
        <v>29</v>
      </c>
      <c r="O467" s="155"/>
      <c r="P467" s="155" t="s">
        <v>30</v>
      </c>
      <c r="Q467" s="154"/>
      <c r="R467" s="153" t="s">
        <v>28</v>
      </c>
      <c r="S467" s="153"/>
      <c r="T467" s="155" t="s">
        <v>31</v>
      </c>
    </row>
    <row r="468" spans="1:20" ht="13.8" thickBot="1" x14ac:dyDescent="0.3">
      <c r="A468" s="156" t="s">
        <v>32</v>
      </c>
      <c r="B468" s="156"/>
      <c r="C468" s="156" t="s">
        <v>33</v>
      </c>
      <c r="D468" s="156" t="s">
        <v>34</v>
      </c>
      <c r="E468" s="156"/>
      <c r="F468" s="157" t="s">
        <v>35</v>
      </c>
      <c r="G468" s="157"/>
      <c r="H468" s="157" t="s">
        <v>36</v>
      </c>
      <c r="I468" s="158"/>
      <c r="J468" s="157" t="s">
        <v>37</v>
      </c>
      <c r="K468" s="158"/>
      <c r="L468" s="158" t="s">
        <v>38</v>
      </c>
      <c r="M468" s="159"/>
      <c r="N468" s="159" t="s">
        <v>39</v>
      </c>
      <c r="O468" s="159"/>
      <c r="P468" s="159" t="s">
        <v>40</v>
      </c>
      <c r="Q468" s="160"/>
      <c r="R468" s="159" t="s">
        <v>41</v>
      </c>
      <c r="S468" s="159"/>
      <c r="T468" s="159" t="s">
        <v>42</v>
      </c>
    </row>
    <row r="469" spans="1:20" x14ac:dyDescent="0.25">
      <c r="A469" s="155">
        <v>1</v>
      </c>
      <c r="B469" s="161"/>
      <c r="Q469" s="152"/>
    </row>
    <row r="470" spans="1:20" x14ac:dyDescent="0.25">
      <c r="A470" s="155">
        <f>A469+1</f>
        <v>2</v>
      </c>
      <c r="B470" s="161"/>
      <c r="C470" s="168"/>
      <c r="D470" s="150" t="s">
        <v>180</v>
      </c>
      <c r="H470" s="185"/>
      <c r="I470" s="185"/>
      <c r="J470" s="185"/>
      <c r="K470" s="185"/>
      <c r="L470" s="185"/>
      <c r="M470" s="185"/>
      <c r="N470" s="185"/>
      <c r="O470" s="185"/>
      <c r="P470" s="185"/>
      <c r="Q470" s="186"/>
      <c r="R470" s="185"/>
      <c r="S470" s="185"/>
      <c r="T470" s="185"/>
    </row>
    <row r="471" spans="1:20" x14ac:dyDescent="0.25">
      <c r="A471" s="155">
        <f t="shared" ref="A471:A512" si="12">A470+1</f>
        <v>3</v>
      </c>
      <c r="B471" s="161"/>
      <c r="C471" s="155" t="s">
        <v>181</v>
      </c>
      <c r="D471" s="29" t="s">
        <v>182</v>
      </c>
      <c r="E471" s="6"/>
      <c r="F471" s="8">
        <f>-SUM('ASDR FY2'!K33:K35)/1000</f>
        <v>0</v>
      </c>
      <c r="G471" s="152"/>
      <c r="H471" s="8">
        <f>-SUM('ASDR FY2'!L33:L35)/1000</f>
        <v>0</v>
      </c>
      <c r="I471" s="9"/>
      <c r="J471" s="8">
        <f>-SUM('ASDR FY2'!M33:M35)/1000</f>
        <v>0</v>
      </c>
      <c r="K471" s="10"/>
      <c r="L471" s="8">
        <f>-SUM('ASDR FY2'!N33:N35)/1000+SUM('ASDR FY2'!O33:O35)/1000</f>
        <v>0</v>
      </c>
      <c r="M471" s="10"/>
      <c r="N471" s="8">
        <f>-SUM('ASDR FY2'!P33:P35)/1000+SUM('ASDR FY2'!Q33:Q35)/1000</f>
        <v>0</v>
      </c>
      <c r="O471" s="8"/>
      <c r="P471" s="8">
        <f>-SUM('ASDR FY2'!R33:R35)/1000+SUM('ASDR FY2'!S33:S35)/1000+SUM('ASDR FY2'!T33:T35)/1000</f>
        <v>0</v>
      </c>
      <c r="Q471" s="9"/>
      <c r="R471" s="8">
        <f>SUM(F471,H471,J471,L471,N471,P471)</f>
        <v>0</v>
      </c>
      <c r="S471" s="10"/>
      <c r="T471" s="8">
        <f>-SUM('ASDR FY2'!V33:V35)/1000</f>
        <v>0</v>
      </c>
    </row>
    <row r="472" spans="1:20" x14ac:dyDescent="0.25">
      <c r="A472" s="155">
        <f t="shared" si="12"/>
        <v>4</v>
      </c>
      <c r="B472" s="161"/>
      <c r="C472" s="155" t="s">
        <v>183</v>
      </c>
      <c r="D472" s="30" t="s">
        <v>184</v>
      </c>
      <c r="E472" s="31"/>
      <c r="F472" s="8">
        <f>-SUM('ASDR FY2'!K118:K122)/1000</f>
        <v>0</v>
      </c>
      <c r="G472" s="152"/>
      <c r="H472" s="8">
        <f>-SUM('ASDR FY2'!L118:L122)/1000</f>
        <v>0</v>
      </c>
      <c r="I472" s="9"/>
      <c r="J472" s="8">
        <f>-SUM('ASDR FY2'!M118:M122)/1000</f>
        <v>0</v>
      </c>
      <c r="K472" s="10"/>
      <c r="L472" s="8">
        <f>-SUM('ASDR FY2'!N118:N122)/1000+SUM('ASDR FY2'!O118:O122)/1000</f>
        <v>0</v>
      </c>
      <c r="M472" s="10"/>
      <c r="N472" s="8">
        <f>-SUM('ASDR FY2'!P118:P122)/1000+SUM('ASDR FY2'!Q118:Q122)/1000</f>
        <v>0</v>
      </c>
      <c r="O472" s="8"/>
      <c r="P472" s="8">
        <f>-SUM('ASDR FY2'!R118:R122)/1000+SUM('ASDR FY2'!S118:S122)/1000+SUM('ASDR FY2'!T118:T122)/1000</f>
        <v>0</v>
      </c>
      <c r="Q472" s="9"/>
      <c r="R472" s="8">
        <f>SUM(F472,H472,J472,L472,N472,P472)</f>
        <v>0</v>
      </c>
      <c r="S472" s="10"/>
      <c r="T472" s="8">
        <f>-SUM('ASDR FY2'!V118:V122)/1000</f>
        <v>0</v>
      </c>
    </row>
    <row r="473" spans="1:20" x14ac:dyDescent="0.25">
      <c r="A473" s="155">
        <f t="shared" si="12"/>
        <v>5</v>
      </c>
      <c r="B473" s="161"/>
      <c r="C473" s="155">
        <v>35000</v>
      </c>
      <c r="D473" s="32" t="s">
        <v>185</v>
      </c>
      <c r="E473" s="33"/>
      <c r="F473" s="8">
        <f>VLOOKUP($C473,'ASDR FY2'!$A:$X,F$14,FALSE)/1000</f>
        <v>0</v>
      </c>
      <c r="G473" s="152"/>
      <c r="H473" s="8">
        <f>VLOOKUP($C473,'ASDR FY2'!$A:$X,H$14,FALSE)/1000</f>
        <v>0</v>
      </c>
      <c r="I473" s="9"/>
      <c r="J473" s="8">
        <f>VLOOKUP($C473,'ASDR FY2'!$A:$X,J$14,FALSE)/1000</f>
        <v>0</v>
      </c>
      <c r="K473" s="10"/>
      <c r="L473" s="8">
        <f>VLOOKUP($C473,'ASDR FY2'!$A:$X,L$13,FALSE)/1000+VLOOKUP($C473,'ASDR FY2'!$A:$X,L$14,FALSE)/1000</f>
        <v>0</v>
      </c>
      <c r="M473" s="10"/>
      <c r="N473" s="8">
        <f>VLOOKUP($C473,'ASDR FY2'!$A:$X,N$13,FALSE)/1000+VLOOKUP($C473,'ASDR FY2'!$A:$X,N$14,FALSE)/1000</f>
        <v>0</v>
      </c>
      <c r="O473" s="8"/>
      <c r="P473" s="8">
        <f>VLOOKUP($C473,'ASDR FY2'!$A:$X,P$13,FALSE)/1000+VLOOKUP($C473,'ASDR FY2'!$A:$X,P$14,FALSE)/1000+VLOOKUP($C473,'ASDR FY2'!$A:$X,P$15,FALSE)/1000</f>
        <v>0</v>
      </c>
      <c r="Q473" s="9"/>
      <c r="R473" s="8">
        <f>SUM(F473,H473,J473,L473,N473,P473)</f>
        <v>0</v>
      </c>
      <c r="S473" s="10"/>
      <c r="T473" s="8">
        <f>VLOOKUP($C473,'ASDR FY2'!$A:$X,T$14,FALSE)/1000</f>
        <v>0</v>
      </c>
    </row>
    <row r="474" spans="1:20" x14ac:dyDescent="0.25">
      <c r="A474" s="155">
        <f t="shared" si="12"/>
        <v>6</v>
      </c>
      <c r="B474" s="161"/>
      <c r="C474" s="155">
        <v>36000</v>
      </c>
      <c r="D474" s="32" t="s">
        <v>186</v>
      </c>
      <c r="E474" s="33"/>
      <c r="F474" s="8">
        <f>VLOOKUP($C474,'ASDR FY2'!$A:$X,F$14,FALSE)/1000</f>
        <v>0</v>
      </c>
      <c r="G474" s="152"/>
      <c r="H474" s="8">
        <f>VLOOKUP($C474,'ASDR FY2'!$A:$X,H$14,FALSE)/1000</f>
        <v>0</v>
      </c>
      <c r="I474" s="9"/>
      <c r="J474" s="8">
        <f>VLOOKUP($C474,'ASDR FY2'!$A:$X,J$14,FALSE)/1000</f>
        <v>0</v>
      </c>
      <c r="K474" s="10"/>
      <c r="L474" s="8">
        <f>VLOOKUP($C474,'ASDR FY2'!$A:$X,L$13,FALSE)/1000+VLOOKUP($C474,'ASDR FY2'!$A:$X,L$14,FALSE)/1000</f>
        <v>0</v>
      </c>
      <c r="M474" s="10"/>
      <c r="N474" s="8">
        <f>VLOOKUP($C474,'ASDR FY2'!$A:$X,N$13,FALSE)/1000+VLOOKUP($C474,'ASDR FY2'!$A:$X,N$14,FALSE)/1000</f>
        <v>0</v>
      </c>
      <c r="O474" s="8"/>
      <c r="P474" s="8">
        <f>VLOOKUP($C474,'ASDR FY2'!$A:$X,P$13,FALSE)/1000+VLOOKUP($C474,'ASDR FY2'!$A:$X,P$14,FALSE)/1000+VLOOKUP($C474,'ASDR FY2'!$A:$X,P$15,FALSE)/1000</f>
        <v>0</v>
      </c>
      <c r="Q474" s="9"/>
      <c r="R474" s="8">
        <f>SUM(F474,H474,J474,L474,N474,P474)</f>
        <v>0</v>
      </c>
      <c r="S474" s="10"/>
      <c r="T474" s="8">
        <f>VLOOKUP($C474,'ASDR FY2'!$A:$X,T$14,FALSE)/1000</f>
        <v>0</v>
      </c>
    </row>
    <row r="475" spans="1:20" x14ac:dyDescent="0.25">
      <c r="A475" s="155">
        <f t="shared" si="12"/>
        <v>7</v>
      </c>
      <c r="B475" s="161"/>
      <c r="C475" s="155">
        <v>38900</v>
      </c>
      <c r="D475" s="32" t="s">
        <v>187</v>
      </c>
      <c r="E475" s="33"/>
      <c r="F475" s="8">
        <f>VLOOKUP($C475,'ASDR FY2'!$A:$X,F$14,FALSE)/1000</f>
        <v>0</v>
      </c>
      <c r="G475" s="152"/>
      <c r="H475" s="8">
        <f>VLOOKUP($C475,'ASDR FY2'!$A:$X,H$14,FALSE)/1000</f>
        <v>0</v>
      </c>
      <c r="I475" s="9"/>
      <c r="J475" s="8">
        <f>VLOOKUP($C475,'ASDR FY2'!$A:$X,J$14,FALSE)/1000</f>
        <v>0</v>
      </c>
      <c r="K475" s="10"/>
      <c r="L475" s="8">
        <f>VLOOKUP($C475,'ASDR FY2'!$A:$X,L$13,FALSE)/1000+VLOOKUP($C475,'ASDR FY2'!$A:$X,L$14,FALSE)/1000</f>
        <v>0</v>
      </c>
      <c r="M475" s="10"/>
      <c r="N475" s="8">
        <f>VLOOKUP($C475,'ASDR FY2'!$A:$X,N$13,FALSE)/1000+VLOOKUP($C475,'ASDR FY2'!$A:$X,N$14,FALSE)/1000</f>
        <v>0</v>
      </c>
      <c r="O475" s="8"/>
      <c r="P475" s="8">
        <f>VLOOKUP($C475,'ASDR FY2'!$A:$X,P$13,FALSE)/1000+VLOOKUP($C475,'ASDR FY2'!$A:$X,P$14,FALSE)/1000+VLOOKUP($C475,'ASDR FY2'!$A:$X,P$15,FALSE)/1000</f>
        <v>0</v>
      </c>
      <c r="Q475" s="9"/>
      <c r="R475" s="8">
        <f>SUM(F475,H475,J475,L475,N475,P475)</f>
        <v>0</v>
      </c>
      <c r="S475" s="10"/>
      <c r="T475" s="8">
        <f>VLOOKUP($C475,'ASDR FY2'!$A:$X,T$14,FALSE)/1000</f>
        <v>0</v>
      </c>
    </row>
    <row r="476" spans="1:20" ht="13.8" thickBot="1" x14ac:dyDescent="0.3">
      <c r="A476" s="155">
        <f t="shared" si="12"/>
        <v>8</v>
      </c>
      <c r="B476" s="161"/>
      <c r="C476" s="155"/>
      <c r="D476" s="30" t="s">
        <v>188</v>
      </c>
      <c r="E476" s="31"/>
      <c r="F476" s="64">
        <f>SUM(F471:F475)</f>
        <v>0</v>
      </c>
      <c r="G476" s="31"/>
      <c r="H476" s="64">
        <f>SUM(H471:H475)</f>
        <v>0</v>
      </c>
      <c r="I476" s="15"/>
      <c r="J476" s="64">
        <f>SUM(J471:J475)</f>
        <v>0</v>
      </c>
      <c r="K476" s="15"/>
      <c r="L476" s="64">
        <f>SUM(L471:L475)</f>
        <v>0</v>
      </c>
      <c r="M476" s="15"/>
      <c r="N476" s="64">
        <f>SUM(N471:N475)</f>
        <v>0</v>
      </c>
      <c r="O476" s="65"/>
      <c r="P476" s="64">
        <f>SUM(P471:P475)</f>
        <v>0</v>
      </c>
      <c r="Q476" s="15"/>
      <c r="R476" s="64">
        <f>SUM(R471:R475)</f>
        <v>0</v>
      </c>
      <c r="S476" s="15"/>
      <c r="T476" s="64">
        <f>SUM(T471:T475)</f>
        <v>0</v>
      </c>
    </row>
    <row r="477" spans="1:20" ht="13.8" thickTop="1" x14ac:dyDescent="0.25">
      <c r="A477" s="155">
        <f t="shared" si="12"/>
        <v>9</v>
      </c>
      <c r="B477" s="161"/>
      <c r="Q477" s="152"/>
    </row>
    <row r="478" spans="1:20" x14ac:dyDescent="0.25">
      <c r="A478" s="155">
        <f t="shared" si="12"/>
        <v>10</v>
      </c>
      <c r="B478" s="161"/>
      <c r="C478" s="155"/>
      <c r="D478" s="34" t="s">
        <v>189</v>
      </c>
      <c r="E478" s="6"/>
      <c r="F478" s="6"/>
      <c r="G478" s="6"/>
      <c r="H478" s="15"/>
      <c r="I478" s="15"/>
      <c r="J478" s="177"/>
      <c r="K478" s="15"/>
      <c r="L478" s="177"/>
      <c r="M478" s="15"/>
      <c r="N478" s="177"/>
      <c r="O478" s="177"/>
      <c r="P478" s="177"/>
      <c r="Q478" s="15"/>
      <c r="R478" s="177"/>
      <c r="S478" s="15"/>
      <c r="T478" s="177"/>
    </row>
    <row r="479" spans="1:20" x14ac:dyDescent="0.25">
      <c r="A479" s="155">
        <f t="shared" si="12"/>
        <v>11</v>
      </c>
      <c r="B479" s="161"/>
      <c r="C479" s="155">
        <v>30315</v>
      </c>
      <c r="D479" s="17" t="s">
        <v>190</v>
      </c>
      <c r="F479" s="8">
        <f>VLOOKUP($C479,'ASDR FY2'!$A:$X,F$14,FALSE)/1000</f>
        <v>176428.18205000006</v>
      </c>
      <c r="G479" s="152"/>
      <c r="H479" s="8">
        <f>VLOOKUP($C479,'ASDR FY2'!$A:$X,H$14,FALSE)/1000</f>
        <v>39639.069590000006</v>
      </c>
      <c r="I479" s="9"/>
      <c r="J479" s="8">
        <f>VLOOKUP($C479,'ASDR FY2'!$A:$X,J$14,FALSE)/1000</f>
        <v>-4800.4783099999995</v>
      </c>
      <c r="K479" s="10"/>
      <c r="L479" s="8">
        <f>VLOOKUP($C479,'ASDR FY2'!$A:$X,L$13,FALSE)/1000+VLOOKUP($C479,'ASDR FY2'!$A:$X,L$14,FALSE)/1000</f>
        <v>0</v>
      </c>
      <c r="M479" s="10"/>
      <c r="N479" s="8">
        <f>VLOOKUP($C479,'ASDR FY2'!$A:$X,N$13,FALSE)/1000+VLOOKUP($C479,'ASDR FY2'!$A:$X,N$14,FALSE)/1000</f>
        <v>0</v>
      </c>
      <c r="O479" s="8"/>
      <c r="P479" s="8">
        <f>VLOOKUP($C479,'ASDR FY2'!$A:$X,P$13,FALSE)/1000+VLOOKUP($C479,'ASDR FY2'!$A:$X,P$14,FALSE)/1000+VLOOKUP($C479,'ASDR FY2'!$A:$X,P$15,FALSE)/1000</f>
        <v>0</v>
      </c>
      <c r="Q479" s="9"/>
      <c r="R479" s="8">
        <f>SUM(F479,H479,J479,L479,N479,P479)</f>
        <v>211266.77333000005</v>
      </c>
      <c r="S479" s="10"/>
      <c r="T479" s="8">
        <f>VLOOKUP($C479,'ASDR FY2'!$A:$X,T$14,FALSE)/1000</f>
        <v>192032.00741999998</v>
      </c>
    </row>
    <row r="480" spans="1:20" x14ac:dyDescent="0.25">
      <c r="A480" s="155">
        <f t="shared" si="12"/>
        <v>12</v>
      </c>
      <c r="B480" s="161"/>
      <c r="C480" s="155">
        <v>30302</v>
      </c>
      <c r="D480" s="150" t="s">
        <v>191</v>
      </c>
      <c r="F480" s="8">
        <f>VLOOKUP($C480,'ASDR FY2'!$A:$X,F$14,FALSE)/1000</f>
        <v>0</v>
      </c>
      <c r="G480" s="152"/>
      <c r="H480" s="8">
        <f>VLOOKUP($C480,'ASDR FY2'!$A:$X,H$14,FALSE)/1000</f>
        <v>0</v>
      </c>
      <c r="I480" s="9"/>
      <c r="J480" s="8">
        <f>VLOOKUP($C480,'ASDR FY2'!$A:$X,J$14,FALSE)/1000</f>
        <v>0</v>
      </c>
      <c r="K480" s="10"/>
      <c r="L480" s="8">
        <f>VLOOKUP($C480,'ASDR FY2'!$A:$X,L$13,FALSE)/1000+VLOOKUP($C480,'ASDR FY2'!$A:$X,L$14,FALSE)/1000</f>
        <v>0</v>
      </c>
      <c r="M480" s="10"/>
      <c r="N480" s="8">
        <f>VLOOKUP($C480,'ASDR FY2'!$A:$X,N$13,FALSE)/1000+VLOOKUP($C480,'ASDR FY2'!$A:$X,N$14,FALSE)/1000</f>
        <v>0</v>
      </c>
      <c r="O480" s="8"/>
      <c r="P480" s="8">
        <f>VLOOKUP($C480,'ASDR FY2'!$A:$X,P$13,FALSE)/1000+VLOOKUP($C480,'ASDR FY2'!$A:$X,P$14,FALSE)/1000+VLOOKUP($C480,'ASDR FY2'!$A:$X,P$15,FALSE)/1000</f>
        <v>0</v>
      </c>
      <c r="Q480" s="9"/>
      <c r="R480" s="8">
        <f>SUM(F480,H480,J480,L480,N480,P480)</f>
        <v>0</v>
      </c>
      <c r="S480" s="10"/>
      <c r="T480" s="8">
        <f>VLOOKUP($C480,'ASDR FY2'!$A:$X,T$14,FALSE)/1000</f>
        <v>0</v>
      </c>
    </row>
    <row r="481" spans="1:20" x14ac:dyDescent="0.25">
      <c r="A481" s="155">
        <f t="shared" si="12"/>
        <v>13</v>
      </c>
      <c r="B481" s="161"/>
      <c r="C481" s="155">
        <v>30399</v>
      </c>
      <c r="D481" s="150" t="s">
        <v>192</v>
      </c>
      <c r="F481" s="8">
        <f>VLOOKUP($C481,'ASDR FY2'!$A:$X,F$14,FALSE)/1000</f>
        <v>362.89123999999987</v>
      </c>
      <c r="G481" s="152"/>
      <c r="H481" s="8">
        <f>VLOOKUP($C481,'ASDR FY2'!$A:$X,H$14,FALSE)/1000</f>
        <v>152.46288000000001</v>
      </c>
      <c r="I481" s="9"/>
      <c r="J481" s="8">
        <f>VLOOKUP($C481,'ASDR FY2'!$A:$X,J$14,FALSE)/1000</f>
        <v>0</v>
      </c>
      <c r="K481" s="10"/>
      <c r="L481" s="8">
        <f>VLOOKUP($C481,'ASDR FY2'!$A:$X,L$13,FALSE)/1000+VLOOKUP($C481,'ASDR FY2'!$A:$X,L$14,FALSE)/1000</f>
        <v>0</v>
      </c>
      <c r="M481" s="10"/>
      <c r="N481" s="8">
        <f>VLOOKUP($C481,'ASDR FY2'!$A:$X,N$13,FALSE)/1000+VLOOKUP($C481,'ASDR FY2'!$A:$X,N$14,FALSE)/1000</f>
        <v>0</v>
      </c>
      <c r="O481" s="8"/>
      <c r="P481" s="8">
        <f>VLOOKUP($C481,'ASDR FY2'!$A:$X,P$13,FALSE)/1000+VLOOKUP($C481,'ASDR FY2'!$A:$X,P$14,FALSE)/1000+VLOOKUP($C481,'ASDR FY2'!$A:$X,P$15,FALSE)/1000</f>
        <v>0</v>
      </c>
      <c r="Q481" s="9"/>
      <c r="R481" s="8">
        <f>SUM(F481,H481,J481,L481,N481,P481)</f>
        <v>515.35411999999985</v>
      </c>
      <c r="S481" s="10"/>
      <c r="T481" s="8">
        <f>VLOOKUP($C481,'ASDR FY2'!$A:$X,T$14,FALSE)/1000</f>
        <v>439.12268</v>
      </c>
    </row>
    <row r="482" spans="1:20" ht="13.8" thickBot="1" x14ac:dyDescent="0.3">
      <c r="A482" s="155">
        <f t="shared" si="12"/>
        <v>14</v>
      </c>
      <c r="D482" s="30" t="s">
        <v>193</v>
      </c>
      <c r="E482" s="35"/>
      <c r="F482" s="64">
        <f>SUM(F479:F481)</f>
        <v>176791.07329000006</v>
      </c>
      <c r="G482" s="31"/>
      <c r="H482" s="64">
        <f>SUM(H479:H481)</f>
        <v>39791.532470000006</v>
      </c>
      <c r="I482" s="15"/>
      <c r="J482" s="64">
        <f>SUM(J479:J481)</f>
        <v>-4800.4783099999995</v>
      </c>
      <c r="K482" s="15"/>
      <c r="L482" s="64">
        <f>SUM(L479:L481)</f>
        <v>0</v>
      </c>
      <c r="M482" s="15"/>
      <c r="N482" s="64">
        <f>SUM(N479:N481)</f>
        <v>0</v>
      </c>
      <c r="O482" s="65"/>
      <c r="P482" s="64">
        <f>SUM(P479:P481)</f>
        <v>0</v>
      </c>
      <c r="Q482" s="15"/>
      <c r="R482" s="64">
        <f>SUM(R479:R481)</f>
        <v>211782.12745000006</v>
      </c>
      <c r="S482" s="15"/>
      <c r="T482" s="64">
        <f>SUM(T479:T481)</f>
        <v>192471.13009999998</v>
      </c>
    </row>
    <row r="483" spans="1:20" ht="13.8" thickTop="1" x14ac:dyDescent="0.25">
      <c r="A483" s="155">
        <f t="shared" si="12"/>
        <v>15</v>
      </c>
      <c r="Q483" s="152"/>
    </row>
    <row r="484" spans="1:20" x14ac:dyDescent="0.25">
      <c r="A484" s="155">
        <f t="shared" si="12"/>
        <v>16</v>
      </c>
      <c r="D484" s="188" t="s">
        <v>194</v>
      </c>
      <c r="Q484" s="152"/>
    </row>
    <row r="485" spans="1:20" x14ac:dyDescent="0.25">
      <c r="A485" s="155">
        <f t="shared" si="12"/>
        <v>17</v>
      </c>
      <c r="C485" s="155">
        <v>31700</v>
      </c>
      <c r="D485" s="150" t="s">
        <v>195</v>
      </c>
      <c r="F485" s="8">
        <f>VLOOKUP($C485,'ASDR FY2'!$A:$X,F$14,FALSE)/1000</f>
        <v>1504.3388399999881</v>
      </c>
      <c r="G485" s="152"/>
      <c r="H485" s="8">
        <f>VLOOKUP($C485,'ASDR FY2'!$A:$X,H$14,FALSE)/1000</f>
        <v>156.88176000000001</v>
      </c>
      <c r="I485" s="9"/>
      <c r="J485" s="8">
        <f>VLOOKUP($C485,'ASDR FY2'!$A:$X,J$14,FALSE)/1000</f>
        <v>0</v>
      </c>
      <c r="K485" s="10"/>
      <c r="L485" s="8">
        <f>VLOOKUP($C485,'ASDR FY2'!$A:$X,L$13,FALSE)/1000+VLOOKUP($C485,'ASDR FY2'!$A:$X,L$14,FALSE)/1000</f>
        <v>0</v>
      </c>
      <c r="M485" s="10"/>
      <c r="N485" s="8">
        <f>VLOOKUP($C485,'ASDR FY2'!$A:$X,N$13,FALSE)/1000+VLOOKUP($C485,'ASDR FY2'!$A:$X,N$14,FALSE)/1000</f>
        <v>0</v>
      </c>
      <c r="O485" s="8"/>
      <c r="P485" s="8">
        <f>VLOOKUP($C485,'ASDR FY2'!$A:$X,P$13,FALSE)/1000+VLOOKUP($C485,'ASDR FY2'!$A:$X,P$14,FALSE)/1000+VLOOKUP($C485,'ASDR FY2'!$A:$X,P$15,FALSE)/1000</f>
        <v>0</v>
      </c>
      <c r="Q485" s="9"/>
      <c r="R485" s="8">
        <f>SUM(F485,H485,J485,L485,N485,P485)</f>
        <v>1661.2205999999881</v>
      </c>
      <c r="S485" s="10"/>
      <c r="T485" s="8">
        <f>VLOOKUP($C485,'ASDR FY2'!$A:$X,T$14,FALSE)/1000</f>
        <v>1582.77972</v>
      </c>
    </row>
    <row r="486" spans="1:20" x14ac:dyDescent="0.25">
      <c r="A486" s="155">
        <f t="shared" si="12"/>
        <v>18</v>
      </c>
      <c r="C486" s="155">
        <v>34700</v>
      </c>
      <c r="D486" s="150" t="s">
        <v>196</v>
      </c>
      <c r="F486" s="8">
        <f>VLOOKUP($C486,'ASDR FY2'!$A:$X,F$14,FALSE)/1000</f>
        <v>1980.7820799999988</v>
      </c>
      <c r="G486" s="152"/>
      <c r="H486" s="8">
        <f>VLOOKUP($C486,'ASDR FY2'!$A:$X,H$14,FALSE)/1000</f>
        <v>420.79187999999999</v>
      </c>
      <c r="I486" s="9"/>
      <c r="J486" s="8">
        <f>VLOOKUP($C486,'ASDR FY2'!$A:$X,J$14,FALSE)/1000</f>
        <v>0</v>
      </c>
      <c r="K486" s="10"/>
      <c r="L486" s="8">
        <f>VLOOKUP($C486,'ASDR FY2'!$A:$X,L$13,FALSE)/1000+VLOOKUP($C486,'ASDR FY2'!$A:$X,L$14,FALSE)/1000</f>
        <v>0</v>
      </c>
      <c r="M486" s="10"/>
      <c r="N486" s="8">
        <f>VLOOKUP($C486,'ASDR FY2'!$A:$X,N$13,FALSE)/1000+VLOOKUP($C486,'ASDR FY2'!$A:$X,N$14,FALSE)/1000</f>
        <v>0</v>
      </c>
      <c r="O486" s="8"/>
      <c r="P486" s="8">
        <f>VLOOKUP($C486,'ASDR FY2'!$A:$X,P$13,FALSE)/1000+VLOOKUP($C486,'ASDR FY2'!$A:$X,P$14,FALSE)/1000+VLOOKUP($C486,'ASDR FY2'!$A:$X,P$15,FALSE)/1000</f>
        <v>0</v>
      </c>
      <c r="Q486" s="9"/>
      <c r="R486" s="8">
        <f>SUM(F486,H486,J486,L486,N486,P486)</f>
        <v>2401.5739599999988</v>
      </c>
      <c r="S486" s="10"/>
      <c r="T486" s="8">
        <f>VLOOKUP($C486,'ASDR FY2'!$A:$X,T$14,FALSE)/1000</f>
        <v>2191.1780199999998</v>
      </c>
    </row>
    <row r="487" spans="1:20" x14ac:dyDescent="0.25">
      <c r="A487" s="155">
        <f t="shared" si="12"/>
        <v>19</v>
      </c>
      <c r="B487" s="161"/>
      <c r="C487" s="155">
        <v>37400</v>
      </c>
      <c r="D487" s="150" t="s">
        <v>197</v>
      </c>
      <c r="F487" s="8">
        <f>VLOOKUP($C487,'ASDR FY2'!$A:$X,F$14,FALSE)/1000</f>
        <v>1867.3122500000011</v>
      </c>
      <c r="G487" s="152"/>
      <c r="H487" s="8">
        <f>VLOOKUP($C487,'ASDR FY2'!$A:$X,H$14,FALSE)/1000</f>
        <v>100.24260000000001</v>
      </c>
      <c r="I487" s="9"/>
      <c r="J487" s="8">
        <f>VLOOKUP($C487,'ASDR FY2'!$A:$X,J$14,FALSE)/1000</f>
        <v>0</v>
      </c>
      <c r="K487" s="10"/>
      <c r="L487" s="8">
        <f>VLOOKUP($C487,'ASDR FY2'!$A:$X,L$13,FALSE)/1000+VLOOKUP($C487,'ASDR FY2'!$A:$X,L$14,FALSE)/1000</f>
        <v>0</v>
      </c>
      <c r="M487" s="10"/>
      <c r="N487" s="8">
        <f>VLOOKUP($C487,'ASDR FY2'!$A:$X,N$13,FALSE)/1000+VLOOKUP($C487,'ASDR FY2'!$A:$X,N$14,FALSE)/1000</f>
        <v>0</v>
      </c>
      <c r="O487" s="8"/>
      <c r="P487" s="8">
        <f>VLOOKUP($C487,'ASDR FY2'!$A:$X,P$13,FALSE)/1000+VLOOKUP($C487,'ASDR FY2'!$A:$X,P$14,FALSE)/1000+VLOOKUP($C487,'ASDR FY2'!$A:$X,P$15,FALSE)/1000</f>
        <v>0</v>
      </c>
      <c r="Q487" s="9"/>
      <c r="R487" s="8">
        <f>SUM(F487,H487,J487,L487,N487,P487)</f>
        <v>1967.5548500000011</v>
      </c>
      <c r="S487" s="10"/>
      <c r="T487" s="8">
        <f>VLOOKUP($C487,'ASDR FY2'!$A:$X,T$14,FALSE)/1000</f>
        <v>1917.43355</v>
      </c>
    </row>
    <row r="488" spans="1:20" x14ac:dyDescent="0.25">
      <c r="A488" s="155">
        <f t="shared" si="12"/>
        <v>20</v>
      </c>
      <c r="B488" s="161"/>
      <c r="C488" s="155">
        <v>39910</v>
      </c>
      <c r="D488" s="150" t="s">
        <v>198</v>
      </c>
      <c r="F488" s="8">
        <f>VLOOKUP($C488,'ASDR FY2'!$A:$X,F$14,FALSE)/1000</f>
        <v>140.83512999999994</v>
      </c>
      <c r="G488" s="152"/>
      <c r="H488" s="8">
        <f>VLOOKUP($C488,'ASDR FY2'!$A:$X,H$14,FALSE)/1000</f>
        <v>11.57508</v>
      </c>
      <c r="I488" s="9"/>
      <c r="J488" s="8">
        <f>VLOOKUP($C488,'ASDR FY2'!$A:$X,J$14,FALSE)/1000</f>
        <v>0</v>
      </c>
      <c r="K488" s="10"/>
      <c r="L488" s="8">
        <f>VLOOKUP($C488,'ASDR FY2'!$A:$X,L$13,FALSE)/1000+VLOOKUP($C488,'ASDR FY2'!$A:$X,L$14,FALSE)/1000</f>
        <v>0</v>
      </c>
      <c r="M488" s="10"/>
      <c r="N488" s="8">
        <f>VLOOKUP($C488,'ASDR FY2'!$A:$X,N$13,FALSE)/1000+VLOOKUP($C488,'ASDR FY2'!$A:$X,N$14,FALSE)/1000</f>
        <v>0</v>
      </c>
      <c r="O488" s="8"/>
      <c r="P488" s="8">
        <f>VLOOKUP($C488,'ASDR FY2'!$A:$X,P$13,FALSE)/1000+VLOOKUP($C488,'ASDR FY2'!$A:$X,P$14,FALSE)/1000+VLOOKUP($C488,'ASDR FY2'!$A:$X,P$15,FALSE)/1000</f>
        <v>0</v>
      </c>
      <c r="Q488" s="9"/>
      <c r="R488" s="8">
        <f>SUM(F488,H488,J488,L488,N488,P488)</f>
        <v>152.41020999999995</v>
      </c>
      <c r="S488" s="10"/>
      <c r="T488" s="8">
        <f>VLOOKUP($C488,'ASDR FY2'!$A:$X,T$14,FALSE)/1000</f>
        <v>146.62267</v>
      </c>
    </row>
    <row r="489" spans="1:20" ht="13.8" thickBot="1" x14ac:dyDescent="0.3">
      <c r="A489" s="155">
        <f t="shared" si="12"/>
        <v>21</v>
      </c>
      <c r="B489" s="161"/>
      <c r="D489" s="188" t="s">
        <v>199</v>
      </c>
      <c r="F489" s="64">
        <f>SUM(F485:F488)</f>
        <v>5493.268299999987</v>
      </c>
      <c r="G489" s="31"/>
      <c r="H489" s="64">
        <f>SUM(H485:H488)</f>
        <v>689.49131999999997</v>
      </c>
      <c r="I489" s="15"/>
      <c r="J489" s="64">
        <f>SUM(J485:J488)</f>
        <v>0</v>
      </c>
      <c r="K489" s="15"/>
      <c r="L489" s="64">
        <f>SUM(L485:L488)</f>
        <v>0</v>
      </c>
      <c r="M489" s="15"/>
      <c r="N489" s="64">
        <f>SUM(N485:N488)</f>
        <v>0</v>
      </c>
      <c r="O489" s="65"/>
      <c r="P489" s="64">
        <f>SUM(P485:P488)</f>
        <v>0</v>
      </c>
      <c r="Q489" s="15"/>
      <c r="R489" s="64">
        <f>SUM(R485:R488)</f>
        <v>6182.759619999988</v>
      </c>
      <c r="S489" s="15"/>
      <c r="T489" s="64">
        <f>SUM(T485:T488)</f>
        <v>5838.0139599999993</v>
      </c>
    </row>
    <row r="490" spans="1:20" ht="13.8" thickTop="1" x14ac:dyDescent="0.25">
      <c r="A490" s="155">
        <f t="shared" si="12"/>
        <v>22</v>
      </c>
      <c r="B490" s="161"/>
      <c r="D490" s="188"/>
      <c r="H490" s="189"/>
      <c r="J490" s="189"/>
      <c r="L490" s="189"/>
      <c r="N490" s="189"/>
      <c r="O490" s="189"/>
      <c r="P490" s="189"/>
      <c r="Q490" s="152"/>
      <c r="R490" s="189"/>
      <c r="T490" s="189"/>
    </row>
    <row r="491" spans="1:20" x14ac:dyDescent="0.25">
      <c r="A491" s="155">
        <f t="shared" si="12"/>
        <v>23</v>
      </c>
      <c r="B491" s="161"/>
      <c r="D491" s="150" t="s">
        <v>200</v>
      </c>
      <c r="Q491" s="152"/>
    </row>
    <row r="492" spans="1:20" x14ac:dyDescent="0.25">
      <c r="A492" s="155">
        <f t="shared" si="12"/>
        <v>24</v>
      </c>
      <c r="B492" s="161"/>
      <c r="C492" s="155">
        <v>10110</v>
      </c>
      <c r="D492" s="150" t="s">
        <v>201</v>
      </c>
      <c r="F492" s="8">
        <f>VLOOKUP($C492,'ASDR FY2'!$A:$X,F$14,FALSE)/1000</f>
        <v>0</v>
      </c>
      <c r="G492" s="152"/>
      <c r="H492" s="8">
        <f>VLOOKUP($C492,'ASDR FY2'!$A:$X,H$14,FALSE)/1000</f>
        <v>0</v>
      </c>
      <c r="I492" s="9"/>
      <c r="J492" s="8">
        <f>VLOOKUP($C492,'ASDR FY2'!$A:$X,J$14,FALSE)/1000</f>
        <v>0</v>
      </c>
      <c r="K492" s="10"/>
      <c r="L492" s="8">
        <f>VLOOKUP($C492,'ASDR FY2'!$A:$X,L$13,FALSE)/1000+VLOOKUP($C492,'ASDR FY2'!$A:$X,L$14,FALSE)/1000</f>
        <v>0</v>
      </c>
      <c r="M492" s="10"/>
      <c r="N492" s="8">
        <f>VLOOKUP($C492,'ASDR FY2'!$A:$X,N$13,FALSE)/1000+VLOOKUP($C492,'ASDR FY2'!$A:$X,N$14,FALSE)/1000</f>
        <v>0</v>
      </c>
      <c r="O492" s="8"/>
      <c r="P492" s="8">
        <f>VLOOKUP($C492,'ASDR FY2'!$A:$X,P$13,FALSE)/1000+VLOOKUP($C492,'ASDR FY2'!$A:$X,P$14,FALSE)/1000+VLOOKUP($C492,'ASDR FY2'!$A:$X,P$15,FALSE)/1000</f>
        <v>0</v>
      </c>
      <c r="Q492" s="9"/>
      <c r="R492" s="8">
        <f>SUM(F492,H492,J492,L492,N492,P492)</f>
        <v>0</v>
      </c>
      <c r="S492" s="10"/>
      <c r="T492" s="8">
        <f>VLOOKUP($C492,'ASDR FY2'!$A:$X,T$14,FALSE)/1000</f>
        <v>0</v>
      </c>
    </row>
    <row r="493" spans="1:20" x14ac:dyDescent="0.25">
      <c r="A493" s="155">
        <f t="shared" si="12"/>
        <v>25</v>
      </c>
      <c r="B493" s="161"/>
      <c r="C493" s="155">
        <v>10112</v>
      </c>
      <c r="D493" s="150" t="s">
        <v>202</v>
      </c>
      <c r="F493" s="8">
        <f>VLOOKUP($C493,'ASDR FY2'!$A:$X,F$14,FALSE)/1000</f>
        <v>0</v>
      </c>
      <c r="G493" s="152"/>
      <c r="H493" s="8">
        <f>VLOOKUP($C493,'ASDR FY2'!$A:$X,H$14,FALSE)/1000</f>
        <v>0</v>
      </c>
      <c r="I493" s="9"/>
      <c r="J493" s="8">
        <f>VLOOKUP($C493,'ASDR FY2'!$A:$X,J$14,FALSE)/1000</f>
        <v>0</v>
      </c>
      <c r="K493" s="10"/>
      <c r="L493" s="8">
        <f>VLOOKUP($C493,'ASDR FY2'!$A:$X,L$13,FALSE)/1000+VLOOKUP($C493,'ASDR FY2'!$A:$X,L$14,FALSE)/1000</f>
        <v>0</v>
      </c>
      <c r="M493" s="10"/>
      <c r="N493" s="8">
        <f>VLOOKUP($C493,'ASDR FY2'!$A:$X,N$13,FALSE)/1000+VLOOKUP($C493,'ASDR FY2'!$A:$X,N$14,FALSE)/1000</f>
        <v>0</v>
      </c>
      <c r="O493" s="8"/>
      <c r="P493" s="8">
        <f>VLOOKUP($C493,'ASDR FY2'!$A:$X,P$13,FALSE)/1000+VLOOKUP($C493,'ASDR FY2'!$A:$X,P$14,FALSE)/1000+VLOOKUP($C493,'ASDR FY2'!$A:$X,P$15,FALSE)/1000</f>
        <v>0</v>
      </c>
      <c r="Q493" s="9"/>
      <c r="R493" s="8">
        <f>SUM(F493,H493,J493,L493,N493,P493)</f>
        <v>0</v>
      </c>
      <c r="S493" s="10"/>
      <c r="T493" s="8">
        <f>VLOOKUP($C493,'ASDR FY2'!$A:$X,T$14,FALSE)/1000</f>
        <v>0</v>
      </c>
    </row>
    <row r="494" spans="1:20" ht="13.8" thickBot="1" x14ac:dyDescent="0.3">
      <c r="A494" s="155">
        <f t="shared" si="12"/>
        <v>26</v>
      </c>
      <c r="B494" s="161"/>
      <c r="C494" s="155"/>
      <c r="D494" s="150" t="s">
        <v>203</v>
      </c>
      <c r="F494" s="64">
        <f>SUM(F492:F493)</f>
        <v>0</v>
      </c>
      <c r="H494" s="64">
        <f>SUM(H492:H493)</f>
        <v>0</v>
      </c>
      <c r="I494" s="15"/>
      <c r="J494" s="64">
        <f>SUM(J492:J493)</f>
        <v>0</v>
      </c>
      <c r="K494" s="15"/>
      <c r="L494" s="64">
        <f>SUM(L492:L493)</f>
        <v>0</v>
      </c>
      <c r="M494" s="15"/>
      <c r="N494" s="64">
        <f>SUM(N492:N493)</f>
        <v>0</v>
      </c>
      <c r="O494" s="15"/>
      <c r="P494" s="64">
        <f>SUM(P492:P493)</f>
        <v>0</v>
      </c>
      <c r="Q494" s="15"/>
      <c r="R494" s="64">
        <f>SUM(R492:R493)</f>
        <v>0</v>
      </c>
      <c r="T494" s="64">
        <f>SUM(T492:T493)</f>
        <v>0</v>
      </c>
    </row>
    <row r="495" spans="1:20" ht="13.8" thickTop="1" x14ac:dyDescent="0.25">
      <c r="A495" s="155">
        <f t="shared" si="12"/>
        <v>27</v>
      </c>
      <c r="B495" s="161"/>
      <c r="Q495" s="152"/>
    </row>
    <row r="496" spans="1:20" ht="13.8" thickBot="1" x14ac:dyDescent="0.3">
      <c r="A496" s="155">
        <f t="shared" si="12"/>
        <v>28</v>
      </c>
      <c r="B496" s="161"/>
      <c r="D496" s="190" t="s">
        <v>204</v>
      </c>
      <c r="F496" s="28">
        <f>F482+F476+F454+F489+F494</f>
        <v>3859853.1772200004</v>
      </c>
      <c r="H496" s="28">
        <f>H482+H476+H454+H489+H494</f>
        <v>553543.30747000012</v>
      </c>
      <c r="I496" s="5"/>
      <c r="J496" s="28">
        <f>J482+J476+J454+J489+J494</f>
        <v>-150203.56679000001</v>
      </c>
      <c r="K496" s="5"/>
      <c r="L496" s="28">
        <f>L482+L476+L454+L489+L494</f>
        <v>-43716.326350000003</v>
      </c>
      <c r="M496" s="5"/>
      <c r="N496" s="28">
        <f>N482+N476+N454+N489+N494</f>
        <v>4566.9791400000004</v>
      </c>
      <c r="O496" s="13"/>
      <c r="P496" s="28">
        <f>P482+P476+P454+P489+P494</f>
        <v>0</v>
      </c>
      <c r="Q496" s="13"/>
      <c r="R496" s="28">
        <f>R482+R476+R454+R489+R494</f>
        <v>4224043.5706900004</v>
      </c>
      <c r="S496" s="5"/>
      <c r="T496" s="28">
        <f>T482+T476+T454+T489+T494</f>
        <v>4042694.8295700001</v>
      </c>
    </row>
    <row r="497" spans="1:20" ht="13.8" thickTop="1" x14ac:dyDescent="0.25">
      <c r="A497" s="155">
        <f t="shared" si="12"/>
        <v>29</v>
      </c>
      <c r="B497" s="161"/>
      <c r="Q497" s="152"/>
    </row>
    <row r="498" spans="1:20" x14ac:dyDescent="0.25">
      <c r="A498" s="155">
        <f t="shared" si="12"/>
        <v>30</v>
      </c>
      <c r="B498" s="161"/>
      <c r="D498" s="173" t="s">
        <v>205</v>
      </c>
      <c r="Q498" s="152"/>
    </row>
    <row r="499" spans="1:20" x14ac:dyDescent="0.25">
      <c r="A499" s="155">
        <f t="shared" si="12"/>
        <v>31</v>
      </c>
      <c r="B499" s="161"/>
      <c r="C499" s="155">
        <v>11401</v>
      </c>
      <c r="D499" s="173" t="s">
        <v>206</v>
      </c>
      <c r="F499" s="8">
        <f>VLOOKUP($C499,'ASDR FY2'!$A:$X,F$14,FALSE)/1000</f>
        <v>5857.7488600000033</v>
      </c>
      <c r="G499" s="152"/>
      <c r="H499" s="8">
        <f>VLOOKUP($C499,'ASDR FY2'!$A:$X,H$14,FALSE)/1000</f>
        <v>185.74932000000001</v>
      </c>
      <c r="I499" s="9"/>
      <c r="J499" s="8">
        <f>VLOOKUP($C499,'ASDR FY2'!$A:$X,J$14,FALSE)/1000</f>
        <v>0</v>
      </c>
      <c r="K499" s="10"/>
      <c r="L499" s="8">
        <f>VLOOKUP($C499,'ASDR FY2'!$A:$X,L$13,FALSE)/1000+VLOOKUP($C499,'ASDR FY2'!$A:$X,L$14,FALSE)/1000</f>
        <v>0</v>
      </c>
      <c r="M499" s="10"/>
      <c r="N499" s="8">
        <f>VLOOKUP($C499,'ASDR FY2'!$A:$X,N$13,FALSE)/1000+VLOOKUP($C499,'ASDR FY2'!$A:$X,N$14,FALSE)/1000</f>
        <v>0</v>
      </c>
      <c r="O499" s="8"/>
      <c r="P499" s="8">
        <f>VLOOKUP($C499,'ASDR FY2'!$A:$X,P$13,FALSE)/1000+VLOOKUP($C499,'ASDR FY2'!$A:$X,P$14,FALSE)/1000+VLOOKUP($C499,'ASDR FY2'!$A:$X,P$15,FALSE)/1000</f>
        <v>0</v>
      </c>
      <c r="Q499" s="9"/>
      <c r="R499" s="8">
        <f>SUM(F499,H499,J499,L499,N499,P499)</f>
        <v>6043.4981800000032</v>
      </c>
      <c r="S499" s="10"/>
      <c r="T499" s="8">
        <f>VLOOKUP($C499,'ASDR FY2'!$A:$X,T$14,FALSE)/1000</f>
        <v>5950.6235199999992</v>
      </c>
    </row>
    <row r="500" spans="1:20" x14ac:dyDescent="0.25">
      <c r="A500" s="155">
        <f t="shared" si="12"/>
        <v>32</v>
      </c>
      <c r="B500" s="161"/>
      <c r="C500" s="155">
        <v>11402</v>
      </c>
      <c r="D500" s="173" t="s">
        <v>207</v>
      </c>
      <c r="F500" s="8">
        <f>VLOOKUP($C500,'ASDR FY2'!$A:$X,F$14,FALSE)/1000</f>
        <v>886.71492999999884</v>
      </c>
      <c r="G500" s="152"/>
      <c r="H500" s="8">
        <f>VLOOKUP($C500,'ASDR FY2'!$A:$X,H$14,FALSE)/1000</f>
        <v>41.900640000000003</v>
      </c>
      <c r="I500" s="9"/>
      <c r="J500" s="8">
        <f>VLOOKUP($C500,'ASDR FY2'!$A:$X,J$14,FALSE)/1000</f>
        <v>0</v>
      </c>
      <c r="K500" s="10"/>
      <c r="L500" s="8">
        <f>VLOOKUP($C500,'ASDR FY2'!$A:$X,L$13,FALSE)/1000+VLOOKUP($C500,'ASDR FY2'!$A:$X,L$14,FALSE)/1000</f>
        <v>0</v>
      </c>
      <c r="M500" s="10"/>
      <c r="N500" s="8">
        <f>VLOOKUP($C500,'ASDR FY2'!$A:$X,N$13,FALSE)/1000+VLOOKUP($C500,'ASDR FY2'!$A:$X,N$14,FALSE)/1000</f>
        <v>0</v>
      </c>
      <c r="O500" s="8"/>
      <c r="P500" s="8">
        <f>VLOOKUP($C500,'ASDR FY2'!$A:$X,P$13,FALSE)/1000+VLOOKUP($C500,'ASDR FY2'!$A:$X,P$14,FALSE)/1000+VLOOKUP($C500,'ASDR FY2'!$A:$X,P$15,FALSE)/1000</f>
        <v>0</v>
      </c>
      <c r="Q500" s="9"/>
      <c r="R500" s="8">
        <f>SUM(F500,H500,J500,L500,N500,P500)</f>
        <v>928.6155699999988</v>
      </c>
      <c r="S500" s="10"/>
      <c r="T500" s="8">
        <f>VLOOKUP($C500,'ASDR FY2'!$A:$X,T$14,FALSE)/1000</f>
        <v>907.66525000000001</v>
      </c>
    </row>
    <row r="501" spans="1:20" x14ac:dyDescent="0.25">
      <c r="A501" s="155">
        <f t="shared" si="12"/>
        <v>33</v>
      </c>
      <c r="B501" s="161"/>
      <c r="C501" s="155">
        <v>11403</v>
      </c>
      <c r="D501" s="150" t="s">
        <v>208</v>
      </c>
      <c r="F501" s="8">
        <f>VLOOKUP($C501,'ASDR FY2'!$A:$X,F$14,FALSE)/1000</f>
        <v>138.90237999999991</v>
      </c>
      <c r="G501" s="152"/>
      <c r="H501" s="8">
        <f>VLOOKUP($C501,'ASDR FY2'!$A:$X,H$14,FALSE)/1000</f>
        <v>9.0587999999999997</v>
      </c>
      <c r="I501" s="9"/>
      <c r="J501" s="8">
        <f>VLOOKUP($C501,'ASDR FY2'!$A:$X,J$14,FALSE)/1000</f>
        <v>0</v>
      </c>
      <c r="K501" s="10"/>
      <c r="L501" s="8">
        <f>VLOOKUP($C501,'ASDR FY2'!$A:$X,L$13,FALSE)/1000+VLOOKUP($C501,'ASDR FY2'!$A:$X,L$14,FALSE)/1000</f>
        <v>0</v>
      </c>
      <c r="M501" s="10"/>
      <c r="N501" s="8">
        <f>VLOOKUP($C501,'ASDR FY2'!$A:$X,N$13,FALSE)/1000+VLOOKUP($C501,'ASDR FY2'!$A:$X,N$14,FALSE)/1000</f>
        <v>0</v>
      </c>
      <c r="O501" s="8"/>
      <c r="P501" s="8">
        <f>VLOOKUP($C501,'ASDR FY2'!$A:$X,P$13,FALSE)/1000+VLOOKUP($C501,'ASDR FY2'!$A:$X,P$14,FALSE)/1000+VLOOKUP($C501,'ASDR FY2'!$A:$X,P$15,FALSE)/1000</f>
        <v>0</v>
      </c>
      <c r="Q501" s="9"/>
      <c r="R501" s="8">
        <f>SUM(F501,H501,J501,L501,N501,P501)</f>
        <v>147.9611799999999</v>
      </c>
      <c r="S501" s="10"/>
      <c r="T501" s="8">
        <f>VLOOKUP($C501,'ASDR FY2'!$A:$X,T$14,FALSE)/1000</f>
        <v>143.43178</v>
      </c>
    </row>
    <row r="502" spans="1:20" ht="13.8" thickBot="1" x14ac:dyDescent="0.3">
      <c r="A502" s="155">
        <f t="shared" si="12"/>
        <v>34</v>
      </c>
      <c r="B502" s="161"/>
      <c r="D502" s="173" t="s">
        <v>209</v>
      </c>
      <c r="F502" s="64">
        <f>SUM(F499:F501)</f>
        <v>6883.3661700000021</v>
      </c>
      <c r="G502" s="31"/>
      <c r="H502" s="64">
        <f>SUM(H499:H501)</f>
        <v>236.70876000000001</v>
      </c>
      <c r="I502" s="15"/>
      <c r="J502" s="64">
        <f>SUM(J499:J501)</f>
        <v>0</v>
      </c>
      <c r="K502" s="15"/>
      <c r="L502" s="64">
        <f>SUM(L499:L501)</f>
        <v>0</v>
      </c>
      <c r="M502" s="15"/>
      <c r="N502" s="64">
        <f>SUM(N499:N501)</f>
        <v>0</v>
      </c>
      <c r="O502" s="65"/>
      <c r="P502" s="64">
        <f>SUM(P499:P501)</f>
        <v>0</v>
      </c>
      <c r="Q502" s="15"/>
      <c r="R502" s="64">
        <f>SUM(R499:R501)</f>
        <v>7120.0749300000025</v>
      </c>
      <c r="S502" s="15"/>
      <c r="T502" s="64">
        <f>SUM(T499:T501)</f>
        <v>7001.7205499999991</v>
      </c>
    </row>
    <row r="503" spans="1:20" ht="13.8" thickTop="1" x14ac:dyDescent="0.25">
      <c r="A503" s="155">
        <f t="shared" si="12"/>
        <v>35</v>
      </c>
      <c r="B503" s="161"/>
      <c r="Q503" s="152"/>
    </row>
    <row r="504" spans="1:20" x14ac:dyDescent="0.25">
      <c r="A504" s="155">
        <f t="shared" si="12"/>
        <v>36</v>
      </c>
      <c r="B504" s="161"/>
      <c r="C504" s="155">
        <v>10200</v>
      </c>
      <c r="D504" s="17" t="s">
        <v>210</v>
      </c>
      <c r="F504" s="8">
        <f>VLOOKUP($C504,'ASDR FY2'!$A:$X,F$14,FALSE)/1000</f>
        <v>0</v>
      </c>
      <c r="G504" s="152"/>
      <c r="H504" s="8">
        <f>VLOOKUP($C504,'ASDR FY2'!$A:$X,H$14,FALSE)/1000</f>
        <v>0</v>
      </c>
      <c r="I504" s="9"/>
      <c r="J504" s="8">
        <f>VLOOKUP($C504,'ASDR FY2'!$A:$X,J$14,FALSE)/1000</f>
        <v>0</v>
      </c>
      <c r="K504" s="10"/>
      <c r="L504" s="8">
        <f>VLOOKUP($C504,'ASDR FY2'!$A:$X,L$13,FALSE)/1000+VLOOKUP($C504,'ASDR FY2'!$A:$X,L$14,FALSE)/1000</f>
        <v>0</v>
      </c>
      <c r="M504" s="10"/>
      <c r="N504" s="8">
        <f>VLOOKUP($C504,'ASDR FY2'!$A:$X,N$13,FALSE)/1000+VLOOKUP($C504,'ASDR FY2'!$A:$X,N$14,FALSE)/1000</f>
        <v>0</v>
      </c>
      <c r="O504" s="8"/>
      <c r="P504" s="8">
        <f>VLOOKUP($C504,'ASDR FY2'!$A:$X,P$13,FALSE)/1000+VLOOKUP($C504,'ASDR FY2'!$A:$X,P$14,FALSE)/1000+VLOOKUP($C504,'ASDR FY2'!$A:$X,P$15,FALSE)/1000</f>
        <v>0</v>
      </c>
      <c r="Q504" s="9"/>
      <c r="R504" s="8">
        <f>SUM(F504,H504,J504,L504,N504,P504)</f>
        <v>0</v>
      </c>
      <c r="S504" s="10"/>
      <c r="T504" s="8">
        <f>VLOOKUP($C504,'ASDR FY2'!$A:$X,T$14,FALSE)/1000</f>
        <v>0</v>
      </c>
    </row>
    <row r="505" spans="1:20" x14ac:dyDescent="0.25">
      <c r="A505" s="155">
        <f t="shared" si="12"/>
        <v>37</v>
      </c>
      <c r="B505" s="161"/>
      <c r="C505" s="155">
        <v>10501</v>
      </c>
      <c r="D505" s="36" t="s">
        <v>211</v>
      </c>
      <c r="F505" s="8">
        <f>VLOOKUP($C505,'ASDR FY2'!$A:$X,F$14,FALSE)/1000</f>
        <v>0</v>
      </c>
      <c r="G505" s="152"/>
      <c r="H505" s="8">
        <f>VLOOKUP($C505,'ASDR FY2'!$A:$X,H$14,FALSE)/1000</f>
        <v>0</v>
      </c>
      <c r="I505" s="9"/>
      <c r="J505" s="8">
        <f>VLOOKUP($C505,'ASDR FY2'!$A:$X,J$14,FALSE)/1000</f>
        <v>0</v>
      </c>
      <c r="K505" s="10"/>
      <c r="L505" s="8">
        <f>VLOOKUP($C505,'ASDR FY2'!$A:$X,L$13,FALSE)/1000+VLOOKUP($C505,'ASDR FY2'!$A:$X,L$14,FALSE)/1000</f>
        <v>0</v>
      </c>
      <c r="M505" s="10"/>
      <c r="N505" s="8">
        <f>VLOOKUP($C505,'ASDR FY2'!$A:$X,N$13,FALSE)/1000+VLOOKUP($C505,'ASDR FY2'!$A:$X,N$14,FALSE)/1000</f>
        <v>0</v>
      </c>
      <c r="O505" s="8"/>
      <c r="P505" s="8">
        <f>VLOOKUP($C505,'ASDR FY2'!$A:$X,P$13,FALSE)/1000+VLOOKUP($C505,'ASDR FY2'!$A:$X,P$14,FALSE)/1000+VLOOKUP($C505,'ASDR FY2'!$A:$X,P$15,FALSE)/1000</f>
        <v>0</v>
      </c>
      <c r="Q505" s="9"/>
      <c r="R505" s="8">
        <f>SUM(F505,H505,J505,L505,N505,P505)</f>
        <v>0</v>
      </c>
      <c r="S505" s="10"/>
      <c r="T505" s="8">
        <f>VLOOKUP($C505,'ASDR FY2'!$A:$X,T$14,FALSE)/1000</f>
        <v>0</v>
      </c>
    </row>
    <row r="506" spans="1:20" x14ac:dyDescent="0.25">
      <c r="A506" s="155">
        <f t="shared" si="12"/>
        <v>38</v>
      </c>
      <c r="B506" s="161"/>
      <c r="Q506" s="152"/>
    </row>
    <row r="507" spans="1:20" x14ac:dyDescent="0.25">
      <c r="A507" s="155">
        <f t="shared" si="12"/>
        <v>39</v>
      </c>
      <c r="B507" s="161"/>
      <c r="C507" s="155">
        <v>10803</v>
      </c>
      <c r="D507" s="150" t="s">
        <v>212</v>
      </c>
      <c r="F507" s="8">
        <f>VLOOKUP($C507,'ASDR FY2'!$A:$X,F$14,FALSE)/1000-F508</f>
        <v>75854.965759999963</v>
      </c>
      <c r="G507" s="152"/>
      <c r="H507" s="8">
        <f>VLOOKUP($C507,'ASDR FY2'!$A:$X,H$14,FALSE)/1000-H508</f>
        <v>2301.2224799999985</v>
      </c>
      <c r="I507" s="9"/>
      <c r="J507" s="8">
        <f>VLOOKUP($C507,'ASDR FY2'!$A:$X,J$14,FALSE)/1000-J508</f>
        <v>0</v>
      </c>
      <c r="K507" s="10"/>
      <c r="L507" s="8">
        <f>VLOOKUP($C507,'ASDR FY2'!$A:$X,L$13,FALSE)/1000+VLOOKUP($C507,'ASDR FY2'!$A:$X,L$14,FALSE)/1000-L508</f>
        <v>-33255.932999999997</v>
      </c>
      <c r="M507" s="10"/>
      <c r="N507" s="8">
        <f>VLOOKUP($C507,'ASDR FY2'!$A:$X,N$13,FALSE)/1000+VLOOKUP($C507,'ASDR FY2'!$A:$X,N$14,FALSE)/1000-N508</f>
        <v>0</v>
      </c>
      <c r="O507" s="8"/>
      <c r="P507" s="8">
        <f>VLOOKUP($C507,'ASDR FY2'!$A:$X,P$13,FALSE)/1000+VLOOKUP($C507,'ASDR FY2'!$A:$X,P$14,FALSE)/1000+VLOOKUP($C507,'ASDR FY2'!$A:$X,P$15,FALSE)/1000-P508</f>
        <v>33255.932999999997</v>
      </c>
      <c r="Q507" s="9"/>
      <c r="R507" s="8">
        <f>SUM(F507,H507,J507,L507,N507,P507)</f>
        <v>78156.188239999959</v>
      </c>
      <c r="S507" s="10"/>
      <c r="T507" s="8">
        <f>VLOOKUP($C507,'ASDR FY2'!$A:$X,T$14,FALSE)/1000-T508</f>
        <v>74601.274470000004</v>
      </c>
    </row>
    <row r="508" spans="1:20" x14ac:dyDescent="0.25">
      <c r="A508" s="155">
        <f t="shared" si="12"/>
        <v>40</v>
      </c>
      <c r="B508" s="161"/>
      <c r="D508" s="150" t="s">
        <v>213</v>
      </c>
      <c r="F508" s="8">
        <f>(37781961.08)/1000</f>
        <v>37781.961080000001</v>
      </c>
      <c r="H508" s="8">
        <f>(15141169.56)/1000</f>
        <v>15141.16956</v>
      </c>
      <c r="J508" s="8">
        <v>0</v>
      </c>
      <c r="L508" s="8">
        <v>0</v>
      </c>
      <c r="N508" s="8">
        <v>0</v>
      </c>
      <c r="P508" s="8">
        <v>0</v>
      </c>
      <c r="Q508" s="152"/>
      <c r="R508" s="8">
        <f>SUM(F508,H508,J508,L508,N508,P508)</f>
        <v>52923.130640000003</v>
      </c>
      <c r="T508" s="8">
        <f>SUM(F508,R508)/2</f>
        <v>45352.545859999998</v>
      </c>
    </row>
    <row r="509" spans="1:20" ht="13.8" thickBot="1" x14ac:dyDescent="0.3">
      <c r="A509" s="155">
        <f t="shared" si="12"/>
        <v>41</v>
      </c>
      <c r="B509" s="161"/>
      <c r="D509" s="150" t="s">
        <v>214</v>
      </c>
      <c r="F509" s="191">
        <f>SUM(F507:F508)</f>
        <v>113636.92683999997</v>
      </c>
      <c r="H509" s="191">
        <f>SUM(H507:H508)</f>
        <v>17442.392039999999</v>
      </c>
      <c r="J509" s="191">
        <f>SUM(J507:J508)</f>
        <v>0</v>
      </c>
      <c r="L509" s="191">
        <f>SUM(L507:L508)</f>
        <v>-33255.932999999997</v>
      </c>
      <c r="N509" s="191">
        <f>SUM(N507:N508)</f>
        <v>0</v>
      </c>
      <c r="P509" s="191">
        <f>SUM(P507:P508)</f>
        <v>33255.932999999997</v>
      </c>
      <c r="Q509" s="152"/>
      <c r="R509" s="191">
        <f>SUM(R507:R508)</f>
        <v>131079.31887999998</v>
      </c>
      <c r="T509" s="191">
        <f>SUM(T507:T508)</f>
        <v>119953.82033</v>
      </c>
    </row>
    <row r="510" spans="1:20" ht="13.8" thickTop="1" x14ac:dyDescent="0.25">
      <c r="A510" s="155">
        <f t="shared" si="12"/>
        <v>42</v>
      </c>
      <c r="B510" s="161"/>
      <c r="Q510" s="152"/>
    </row>
    <row r="511" spans="1:20" ht="13.8" thickBot="1" x14ac:dyDescent="0.3">
      <c r="A511" s="155">
        <f t="shared" si="12"/>
        <v>43</v>
      </c>
      <c r="B511" s="161"/>
      <c r="D511" s="165" t="s">
        <v>215</v>
      </c>
      <c r="E511" s="165"/>
      <c r="F511" s="28">
        <f>SUM(F496,F502,F504,F505,F509)</f>
        <v>3980373.4702300001</v>
      </c>
      <c r="H511" s="28">
        <f>SUM(H496,H502,H504,H505,H509)</f>
        <v>571222.40827000001</v>
      </c>
      <c r="I511" s="28"/>
      <c r="J511" s="28">
        <f>SUM(J496,J502,J504,J505,J509)</f>
        <v>-150203.56679000001</v>
      </c>
      <c r="K511" s="13"/>
      <c r="L511" s="28">
        <f>SUM(L496,L502,L504,L505,L509)</f>
        <v>-76972.259350000008</v>
      </c>
      <c r="M511" s="13"/>
      <c r="N511" s="28">
        <f>SUM(N496,N502,N504,N505,N509)</f>
        <v>4566.9791400000004</v>
      </c>
      <c r="O511" s="65"/>
      <c r="P511" s="28">
        <f>SUM(P496,P502,P504,P505,P509)</f>
        <v>33255.932999999997</v>
      </c>
      <c r="Q511" s="13"/>
      <c r="R511" s="28">
        <f>SUM(R496,R502,R504,R505,R509)</f>
        <v>4362242.9645000007</v>
      </c>
      <c r="S511" s="13"/>
      <c r="T511" s="28">
        <f>SUM(T496,T502,T504,T505,T509)</f>
        <v>4169650.3704500003</v>
      </c>
    </row>
    <row r="512" spans="1:20" ht="14.4" thickTop="1" thickBot="1" x14ac:dyDescent="0.3">
      <c r="A512" s="156">
        <f t="shared" si="12"/>
        <v>44</v>
      </c>
      <c r="B512" s="20" t="s">
        <v>60</v>
      </c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5"/>
      <c r="R512" s="147"/>
      <c r="S512" s="147"/>
      <c r="T512" s="147"/>
    </row>
    <row r="513" spans="1:20" x14ac:dyDescent="0.25">
      <c r="A513" s="150" t="str">
        <f>+$A$57</f>
        <v>Supporting Schedules:  B-10, B-11</v>
      </c>
      <c r="Q513" s="152"/>
      <c r="R513" s="150" t="str">
        <f>+$R$57</f>
        <v>Recap Schedules:  B-03, B-06</v>
      </c>
    </row>
    <row r="514" spans="1:20" ht="13.8" thickBot="1" x14ac:dyDescent="0.3">
      <c r="A514" s="147" t="str">
        <f>$A$1</f>
        <v>SCHEDULE B-09</v>
      </c>
      <c r="B514" s="147"/>
      <c r="C514" s="147"/>
      <c r="D514" s="147"/>
      <c r="E514" s="147"/>
      <c r="F514" s="147" t="str">
        <f>$F$1</f>
        <v>DEPRECIATION RESERVE BALANCES BY ACCOUNT AND SUB-ACCOUNT</v>
      </c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5"/>
      <c r="R514" s="147"/>
      <c r="S514" s="147"/>
      <c r="T514" s="147" t="str">
        <f>"Page 10 of " &amp; $R$1</f>
        <v>Page 10 of 30</v>
      </c>
    </row>
    <row r="515" spans="1:20" x14ac:dyDescent="0.25">
      <c r="A515" s="150" t="str">
        <f>$A$2</f>
        <v>FLORIDA PUBLIC SERVICE COMMISSION</v>
      </c>
      <c r="B515" s="170"/>
      <c r="E515" s="152" t="str">
        <f>$E$2</f>
        <v xml:space="preserve">                  EXPLANATION:</v>
      </c>
      <c r="F515" s="150" t="str">
        <f>IF($F$2="","",$F$2)</f>
        <v>Provide the depreciation reserve balances for each account or sub-account to which</v>
      </c>
      <c r="J515" s="149"/>
      <c r="K515" s="149"/>
      <c r="M515" s="149"/>
      <c r="N515" s="149"/>
      <c r="O515" s="149"/>
      <c r="P515" s="149"/>
      <c r="Q515" s="148"/>
      <c r="R515" s="150" t="str">
        <f>$R$2</f>
        <v>Type of data shown:</v>
      </c>
      <c r="T515" s="151"/>
    </row>
    <row r="516" spans="1:20" x14ac:dyDescent="0.25">
      <c r="B516" s="170"/>
      <c r="F516" s="150" t="str">
        <f>IF($F$3="","",$F$3)</f>
        <v>an individual depreciation rate is applied. (Include Amortization/Recovery amounts).</v>
      </c>
      <c r="J516" s="152"/>
      <c r="K516" s="151"/>
      <c r="N516" s="152"/>
      <c r="O516" s="152"/>
      <c r="P516" s="152"/>
      <c r="Q516" s="152" t="str">
        <f>IF($Q$3=0,"",$Q$3)</f>
        <v>XX</v>
      </c>
      <c r="R516" s="151" t="str">
        <f>$R$3</f>
        <v>Projected Test Year Ended 12/31/2025</v>
      </c>
      <c r="T516" s="152"/>
    </row>
    <row r="517" spans="1:20" x14ac:dyDescent="0.25">
      <c r="A517" s="150" t="str">
        <f>$A$4</f>
        <v>COMPANY: TAMPA ELECTRIC COMPANY</v>
      </c>
      <c r="B517" s="170"/>
      <c r="F517" s="150" t="str">
        <f>IF(+$F$4="","",$F$4)</f>
        <v/>
      </c>
      <c r="J517" s="152"/>
      <c r="K517" s="151"/>
      <c r="L517" s="152"/>
      <c r="Q517" s="152" t="str">
        <f>IF($Q$4=0,"",$Q$4)</f>
        <v/>
      </c>
      <c r="R517" s="151" t="str">
        <f>$R$4</f>
        <v>Projected Prior Year Ended 12/31/2024</v>
      </c>
      <c r="T517" s="152"/>
    </row>
    <row r="518" spans="1:20" x14ac:dyDescent="0.25">
      <c r="B518" s="170"/>
      <c r="F518" s="150" t="str">
        <f>IF(+$F$5="","",$F$5)</f>
        <v/>
      </c>
      <c r="J518" s="152"/>
      <c r="K518" s="151"/>
      <c r="L518" s="152"/>
      <c r="Q518" s="152" t="str">
        <f>IF($Q$5=0,"",$Q$5)</f>
        <v/>
      </c>
      <c r="R518" s="151" t="str">
        <f>$R$5</f>
        <v>Historical Prior Year Ended 12/31/2023</v>
      </c>
      <c r="T518" s="152"/>
    </row>
    <row r="519" spans="1:20" x14ac:dyDescent="0.25">
      <c r="B519" s="170"/>
      <c r="J519" s="152"/>
      <c r="K519" s="151"/>
      <c r="L519" s="152"/>
      <c r="Q519" s="152"/>
      <c r="R519" s="151" t="str">
        <f>$R$6</f>
        <v>Witness: C. Aldazabal / N. Allis / J. Chronister</v>
      </c>
      <c r="T519" s="152"/>
    </row>
    <row r="520" spans="1:20" ht="13.8" thickBot="1" x14ac:dyDescent="0.3">
      <c r="A520" s="147" t="str">
        <f>A$7</f>
        <v>DOCKET No. 20240026-EI</v>
      </c>
      <c r="B520" s="171"/>
      <c r="C520" s="147"/>
      <c r="D520" s="147"/>
      <c r="E520" s="147"/>
      <c r="F520" s="147" t="str">
        <f>IF(+$F$7="","",$F$7)</f>
        <v/>
      </c>
      <c r="G520" s="147"/>
      <c r="H520" s="156" t="str">
        <f>IF($H$7="","",$H$7)</f>
        <v>(Dollars in 000's)</v>
      </c>
      <c r="I520" s="147"/>
      <c r="J520" s="147"/>
      <c r="K520" s="147"/>
      <c r="L520" s="147"/>
      <c r="M520" s="147"/>
      <c r="N520" s="147"/>
      <c r="O520" s="147"/>
      <c r="P520" s="147"/>
      <c r="Q520" s="145"/>
      <c r="R520" s="147" t="str">
        <f>$R$7</f>
        <v xml:space="preserve">             / R. Latta / K. Stryker / C. Whitworth</v>
      </c>
      <c r="S520" s="147"/>
      <c r="T520" s="147"/>
    </row>
    <row r="521" spans="1:20" x14ac:dyDescent="0.25">
      <c r="A521" s="155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4"/>
      <c r="R521" s="153"/>
      <c r="S521" s="153"/>
      <c r="T521" s="153"/>
    </row>
    <row r="522" spans="1:20" x14ac:dyDescent="0.25">
      <c r="A522" s="155"/>
      <c r="C522" s="153" t="s">
        <v>13</v>
      </c>
      <c r="D522" s="153" t="s">
        <v>14</v>
      </c>
      <c r="E522" s="153"/>
      <c r="F522" s="153" t="s">
        <v>15</v>
      </c>
      <c r="G522" s="153"/>
      <c r="H522" s="153" t="s">
        <v>16</v>
      </c>
      <c r="I522" s="153"/>
      <c r="J522" s="155" t="s">
        <v>17</v>
      </c>
      <c r="K522" s="155"/>
      <c r="L522" s="153" t="s">
        <v>18</v>
      </c>
      <c r="M522" s="153"/>
      <c r="N522" s="153" t="s">
        <v>19</v>
      </c>
      <c r="O522" s="153"/>
      <c r="P522" s="153" t="s">
        <v>20</v>
      </c>
      <c r="Q522" s="154"/>
      <c r="R522" s="153" t="s">
        <v>21</v>
      </c>
      <c r="S522" s="153"/>
      <c r="T522" s="153" t="s">
        <v>22</v>
      </c>
    </row>
    <row r="523" spans="1:20" x14ac:dyDescent="0.25">
      <c r="A523" s="155"/>
      <c r="C523" s="155" t="s">
        <v>23</v>
      </c>
      <c r="D523" s="155" t="s">
        <v>23</v>
      </c>
      <c r="F523" s="155" t="s">
        <v>24</v>
      </c>
      <c r="G523" s="155"/>
      <c r="H523" s="153" t="s">
        <v>25</v>
      </c>
      <c r="I523" s="155"/>
      <c r="J523" s="153"/>
      <c r="K523" s="155"/>
      <c r="L523" s="155"/>
      <c r="M523" s="155"/>
      <c r="Q523" s="152"/>
      <c r="R523" s="155" t="s">
        <v>24</v>
      </c>
      <c r="T523" s="155"/>
    </row>
    <row r="524" spans="1:20" x14ac:dyDescent="0.25">
      <c r="A524" s="155" t="s">
        <v>26</v>
      </c>
      <c r="B524" s="155"/>
      <c r="C524" s="155" t="s">
        <v>27</v>
      </c>
      <c r="D524" s="155" t="s">
        <v>27</v>
      </c>
      <c r="E524" s="153"/>
      <c r="F524" s="155" t="s">
        <v>28</v>
      </c>
      <c r="G524" s="155"/>
      <c r="H524" s="155" t="s">
        <v>28</v>
      </c>
      <c r="I524" s="155"/>
      <c r="J524" s="155"/>
      <c r="K524" s="153"/>
      <c r="L524" s="155" t="s">
        <v>29</v>
      </c>
      <c r="M524" s="151"/>
      <c r="N524" s="155" t="s">
        <v>29</v>
      </c>
      <c r="O524" s="155"/>
      <c r="P524" s="155" t="s">
        <v>30</v>
      </c>
      <c r="Q524" s="154"/>
      <c r="R524" s="153" t="s">
        <v>28</v>
      </c>
      <c r="S524" s="153"/>
      <c r="T524" s="155" t="s">
        <v>31</v>
      </c>
    </row>
    <row r="525" spans="1:20" ht="13.8" thickBot="1" x14ac:dyDescent="0.3">
      <c r="A525" s="156" t="s">
        <v>32</v>
      </c>
      <c r="B525" s="156"/>
      <c r="C525" s="156" t="s">
        <v>33</v>
      </c>
      <c r="D525" s="156" t="s">
        <v>34</v>
      </c>
      <c r="E525" s="156"/>
      <c r="F525" s="157" t="s">
        <v>35</v>
      </c>
      <c r="G525" s="157"/>
      <c r="H525" s="157" t="s">
        <v>36</v>
      </c>
      <c r="I525" s="158"/>
      <c r="J525" s="157" t="s">
        <v>37</v>
      </c>
      <c r="K525" s="158"/>
      <c r="L525" s="158" t="s">
        <v>38</v>
      </c>
      <c r="M525" s="159"/>
      <c r="N525" s="159" t="s">
        <v>39</v>
      </c>
      <c r="O525" s="159"/>
      <c r="P525" s="159" t="s">
        <v>40</v>
      </c>
      <c r="Q525" s="160"/>
      <c r="R525" s="159" t="s">
        <v>41</v>
      </c>
      <c r="S525" s="159"/>
      <c r="T525" s="159" t="s">
        <v>42</v>
      </c>
    </row>
    <row r="526" spans="1:20" x14ac:dyDescent="0.25">
      <c r="A526" s="155">
        <v>1</v>
      </c>
      <c r="B526" s="161"/>
      <c r="Q526" s="152"/>
    </row>
    <row r="527" spans="1:20" x14ac:dyDescent="0.25">
      <c r="A527" s="155">
        <f>A526+1</f>
        <v>2</v>
      </c>
      <c r="B527" s="161"/>
      <c r="Q527" s="152"/>
    </row>
    <row r="528" spans="1:20" x14ac:dyDescent="0.25">
      <c r="A528" s="155">
        <f t="shared" ref="A528:A569" si="13">A527+1</f>
        <v>3</v>
      </c>
      <c r="B528" s="161"/>
      <c r="D528" s="150" t="s">
        <v>79</v>
      </c>
      <c r="F528" s="5">
        <f>F133</f>
        <v>554930.87777000014</v>
      </c>
      <c r="G528" s="5"/>
      <c r="H528" s="5">
        <f>H133</f>
        <v>59405.932760000003</v>
      </c>
      <c r="I528" s="5"/>
      <c r="J528" s="5">
        <f>J133</f>
        <v>-3724.44238</v>
      </c>
      <c r="K528" s="5"/>
      <c r="L528" s="5">
        <f>L133</f>
        <v>-1716.3317199999999</v>
      </c>
      <c r="M528" s="5"/>
      <c r="N528" s="5">
        <f>N133</f>
        <v>0</v>
      </c>
      <c r="O528" s="5"/>
      <c r="P528" s="5">
        <f>P133</f>
        <v>0</v>
      </c>
      <c r="Q528" s="13"/>
      <c r="R528" s="5">
        <f>R133</f>
        <v>608896.03643000009</v>
      </c>
      <c r="S528" s="5"/>
      <c r="T528" s="5">
        <f>T133</f>
        <v>582206.34025999997</v>
      </c>
    </row>
    <row r="529" spans="1:20" x14ac:dyDescent="0.25">
      <c r="A529" s="155">
        <f t="shared" si="13"/>
        <v>4</v>
      </c>
      <c r="B529" s="161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13"/>
      <c r="R529" s="5"/>
      <c r="S529" s="5"/>
      <c r="T529" s="5"/>
    </row>
    <row r="530" spans="1:20" x14ac:dyDescent="0.25">
      <c r="A530" s="155">
        <f t="shared" si="13"/>
        <v>5</v>
      </c>
      <c r="B530" s="161"/>
      <c r="D530" s="150" t="s">
        <v>133</v>
      </c>
      <c r="F530" s="11">
        <f>F379</f>
        <v>1375326.2892100001</v>
      </c>
      <c r="G530" s="5"/>
      <c r="H530" s="11">
        <f>H379</f>
        <v>219936.23558000001</v>
      </c>
      <c r="I530" s="5"/>
      <c r="J530" s="11">
        <f>J379</f>
        <v>-22082.575860000001</v>
      </c>
      <c r="K530" s="5"/>
      <c r="L530" s="11">
        <f>L379</f>
        <v>-6710.6127800000004</v>
      </c>
      <c r="M530" s="5"/>
      <c r="N530" s="11">
        <f>N379</f>
        <v>0</v>
      </c>
      <c r="O530" s="37"/>
      <c r="P530" s="11">
        <f>P379</f>
        <v>0</v>
      </c>
      <c r="Q530" s="13"/>
      <c r="R530" s="11">
        <f>R379</f>
        <v>1566469.3361500001</v>
      </c>
      <c r="S530" s="5"/>
      <c r="T530" s="11">
        <f>T379</f>
        <v>1471881.7228200003</v>
      </c>
    </row>
    <row r="531" spans="1:20" x14ac:dyDescent="0.25">
      <c r="A531" s="155">
        <f t="shared" si="13"/>
        <v>6</v>
      </c>
      <c r="B531" s="161"/>
      <c r="F531" s="18"/>
      <c r="G531" s="5"/>
      <c r="H531" s="18"/>
      <c r="I531" s="5"/>
      <c r="J531" s="18"/>
      <c r="K531" s="5"/>
      <c r="L531" s="18"/>
      <c r="M531" s="5"/>
      <c r="N531" s="18"/>
      <c r="O531" s="5"/>
      <c r="P531" s="18"/>
      <c r="Q531" s="13"/>
      <c r="R531" s="18"/>
      <c r="S531" s="5"/>
      <c r="T531" s="18"/>
    </row>
    <row r="532" spans="1:20" ht="13.8" thickBot="1" x14ac:dyDescent="0.3">
      <c r="A532" s="155">
        <f t="shared" si="13"/>
        <v>7</v>
      </c>
      <c r="B532" s="161"/>
      <c r="D532" s="150" t="s">
        <v>134</v>
      </c>
      <c r="F532" s="19">
        <f>SUM(F528,F530)</f>
        <v>1930257.1669800002</v>
      </c>
      <c r="G532" s="5"/>
      <c r="H532" s="19">
        <f>SUM(H528,H530)</f>
        <v>279342.16834000003</v>
      </c>
      <c r="I532" s="5"/>
      <c r="J532" s="19">
        <f>SUM(J528,J530)</f>
        <v>-25807.018240000001</v>
      </c>
      <c r="K532" s="5"/>
      <c r="L532" s="19">
        <f>SUM(L528,L530)</f>
        <v>-8426.9444999999996</v>
      </c>
      <c r="M532" s="5"/>
      <c r="N532" s="19">
        <f>SUM(N528,N530)</f>
        <v>0</v>
      </c>
      <c r="O532" s="5"/>
      <c r="P532" s="19">
        <f>SUM(P528,P530)</f>
        <v>0</v>
      </c>
      <c r="Q532" s="13"/>
      <c r="R532" s="19">
        <f>SUM(R528,R530)</f>
        <v>2175365.3725800002</v>
      </c>
      <c r="S532" s="5"/>
      <c r="T532" s="19">
        <f>SUM(T528,T530)</f>
        <v>2054088.0630800002</v>
      </c>
    </row>
    <row r="533" spans="1:20" ht="13.8" thickTop="1" x14ac:dyDescent="0.25">
      <c r="A533" s="155">
        <f t="shared" si="13"/>
        <v>8</v>
      </c>
      <c r="B533" s="161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13"/>
      <c r="R533" s="5"/>
      <c r="S533" s="5"/>
      <c r="T533" s="5"/>
    </row>
    <row r="534" spans="1:20" x14ac:dyDescent="0.25">
      <c r="A534" s="155">
        <f t="shared" si="13"/>
        <v>9</v>
      </c>
      <c r="B534" s="161"/>
      <c r="D534" s="150" t="s">
        <v>147</v>
      </c>
      <c r="F534" s="5">
        <f>F395</f>
        <v>304582.18604000018</v>
      </c>
      <c r="G534" s="5"/>
      <c r="H534" s="5">
        <f>H395</f>
        <v>34258.116600000008</v>
      </c>
      <c r="I534" s="5"/>
      <c r="J534" s="5">
        <f>J395</f>
        <v>-17107.140590000003</v>
      </c>
      <c r="K534" s="5"/>
      <c r="L534" s="5">
        <f>L395</f>
        <v>-2925.05044</v>
      </c>
      <c r="M534" s="5"/>
      <c r="N534" s="5">
        <f>N395</f>
        <v>0</v>
      </c>
      <c r="O534" s="5"/>
      <c r="P534" s="5">
        <f>P395</f>
        <v>0</v>
      </c>
      <c r="Q534" s="13"/>
      <c r="R534" s="5">
        <f>R395</f>
        <v>318808.11161000014</v>
      </c>
      <c r="S534" s="5"/>
      <c r="T534" s="5">
        <f>T395</f>
        <v>314672.16447000002</v>
      </c>
    </row>
    <row r="535" spans="1:20" x14ac:dyDescent="0.25">
      <c r="A535" s="155">
        <f t="shared" si="13"/>
        <v>10</v>
      </c>
      <c r="B535" s="161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13"/>
      <c r="R535" s="5"/>
      <c r="S535" s="5"/>
      <c r="T535" s="5"/>
    </row>
    <row r="536" spans="1:20" x14ac:dyDescent="0.25">
      <c r="A536" s="155">
        <f t="shared" si="13"/>
        <v>11</v>
      </c>
      <c r="B536" s="161"/>
      <c r="D536" s="150" t="s">
        <v>158</v>
      </c>
      <c r="F536" s="5">
        <f>F430</f>
        <v>1249015.15447</v>
      </c>
      <c r="G536" s="5"/>
      <c r="H536" s="5">
        <f>H430</f>
        <v>156846.65659</v>
      </c>
      <c r="I536" s="5"/>
      <c r="J536" s="5">
        <f>J430</f>
        <v>-60324.266820000004</v>
      </c>
      <c r="K536" s="5"/>
      <c r="L536" s="5">
        <f>L430</f>
        <v>-31939.247520000001</v>
      </c>
      <c r="M536" s="5"/>
      <c r="N536" s="5">
        <f>N430</f>
        <v>3531.7791400000001</v>
      </c>
      <c r="O536" s="5"/>
      <c r="P536" s="5">
        <f>P430</f>
        <v>0</v>
      </c>
      <c r="Q536" s="13"/>
      <c r="R536" s="5">
        <f>R430</f>
        <v>1317130.0758600002</v>
      </c>
      <c r="S536" s="5"/>
      <c r="T536" s="5">
        <f>T430</f>
        <v>1283180.1421699997</v>
      </c>
    </row>
    <row r="537" spans="1:20" x14ac:dyDescent="0.25">
      <c r="A537" s="155">
        <f t="shared" si="13"/>
        <v>12</v>
      </c>
      <c r="B537" s="161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13"/>
      <c r="R537" s="5"/>
      <c r="S537" s="5"/>
      <c r="T537" s="5"/>
    </row>
    <row r="538" spans="1:20" x14ac:dyDescent="0.25">
      <c r="A538" s="155">
        <f t="shared" si="13"/>
        <v>13</v>
      </c>
      <c r="B538" s="161"/>
      <c r="D538" s="150" t="s">
        <v>178</v>
      </c>
      <c r="F538" s="11">
        <f>F452</f>
        <v>193714.32814</v>
      </c>
      <c r="G538" s="5"/>
      <c r="H538" s="11">
        <f>H452</f>
        <v>42615.342149999997</v>
      </c>
      <c r="I538" s="5"/>
      <c r="J538" s="11">
        <f>J452</f>
        <v>-42164.662830000001</v>
      </c>
      <c r="K538" s="5"/>
      <c r="L538" s="11">
        <f>L452</f>
        <v>-425.08389</v>
      </c>
      <c r="M538" s="5"/>
      <c r="N538" s="11">
        <f>N452</f>
        <v>1035.2</v>
      </c>
      <c r="O538" s="37"/>
      <c r="P538" s="11">
        <f>P452</f>
        <v>0</v>
      </c>
      <c r="Q538" s="13"/>
      <c r="R538" s="11">
        <f>R452</f>
        <v>194775.12356999997</v>
      </c>
      <c r="S538" s="5"/>
      <c r="T538" s="11">
        <f>T452</f>
        <v>192445.31579000002</v>
      </c>
    </row>
    <row r="539" spans="1:20" x14ac:dyDescent="0.25">
      <c r="A539" s="155">
        <f t="shared" si="13"/>
        <v>14</v>
      </c>
      <c r="B539" s="161"/>
      <c r="F539" s="18"/>
      <c r="G539" s="5"/>
      <c r="H539" s="18"/>
      <c r="I539" s="5"/>
      <c r="J539" s="18"/>
      <c r="K539" s="5"/>
      <c r="L539" s="18"/>
      <c r="M539" s="5"/>
      <c r="N539" s="18"/>
      <c r="O539" s="5"/>
      <c r="P539" s="18"/>
      <c r="Q539" s="13"/>
      <c r="R539" s="18"/>
      <c r="S539" s="5"/>
      <c r="T539" s="18"/>
    </row>
    <row r="540" spans="1:20" ht="13.8" thickBot="1" x14ac:dyDescent="0.3">
      <c r="A540" s="155">
        <f t="shared" si="13"/>
        <v>15</v>
      </c>
      <c r="B540" s="161"/>
      <c r="D540" s="172" t="s">
        <v>179</v>
      </c>
      <c r="F540" s="19">
        <f>SUM(F532,F534,F536,F538)</f>
        <v>3677568.8356300001</v>
      </c>
      <c r="G540" s="5"/>
      <c r="H540" s="19">
        <f>SUM(H532,H534,H536,H538)</f>
        <v>513062.28368000005</v>
      </c>
      <c r="I540" s="5"/>
      <c r="J540" s="19">
        <f>SUM(J532,J534,J536,J538)</f>
        <v>-145403.08848000001</v>
      </c>
      <c r="K540" s="5"/>
      <c r="L540" s="19">
        <f>SUM(L532,L534,L536,L538)</f>
        <v>-43716.326350000003</v>
      </c>
      <c r="M540" s="5"/>
      <c r="N540" s="19">
        <f>SUM(N532,N534,N536,N538)</f>
        <v>4566.9791400000004</v>
      </c>
      <c r="O540" s="5"/>
      <c r="P540" s="19">
        <f>SUM(P532,P534,P536,P538)</f>
        <v>0</v>
      </c>
      <c r="Q540" s="13"/>
      <c r="R540" s="19">
        <f>SUM(R532,R534,R536,R538)</f>
        <v>4006078.6836200003</v>
      </c>
      <c r="S540" s="5"/>
      <c r="T540" s="19">
        <f>SUM(T532,T534,T536,T538)</f>
        <v>3844385.6855099997</v>
      </c>
    </row>
    <row r="541" spans="1:20" ht="13.8" thickTop="1" x14ac:dyDescent="0.25">
      <c r="A541" s="155">
        <f t="shared" si="13"/>
        <v>16</v>
      </c>
      <c r="B541" s="161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13"/>
      <c r="R541" s="5"/>
      <c r="S541" s="5"/>
      <c r="T541" s="5"/>
    </row>
    <row r="542" spans="1:20" x14ac:dyDescent="0.25">
      <c r="A542" s="155">
        <f t="shared" si="13"/>
        <v>17</v>
      </c>
      <c r="B542" s="161"/>
      <c r="D542" s="30" t="s">
        <v>216</v>
      </c>
      <c r="F542" s="5">
        <f>F476</f>
        <v>0</v>
      </c>
      <c r="G542" s="5"/>
      <c r="H542" s="5">
        <f>H476</f>
        <v>0</v>
      </c>
      <c r="I542" s="5"/>
      <c r="J542" s="5">
        <f>J476</f>
        <v>0</v>
      </c>
      <c r="K542" s="5"/>
      <c r="L542" s="5">
        <f>L476</f>
        <v>0</v>
      </c>
      <c r="M542" s="5"/>
      <c r="N542" s="5">
        <f>N476</f>
        <v>0</v>
      </c>
      <c r="O542" s="5"/>
      <c r="P542" s="5">
        <f>P476</f>
        <v>0</v>
      </c>
      <c r="Q542" s="13"/>
      <c r="R542" s="5">
        <f>R476</f>
        <v>0</v>
      </c>
      <c r="S542" s="5"/>
      <c r="T542" s="5">
        <f>T476</f>
        <v>0</v>
      </c>
    </row>
    <row r="543" spans="1:20" x14ac:dyDescent="0.25">
      <c r="A543" s="155">
        <f t="shared" si="13"/>
        <v>18</v>
      </c>
      <c r="B543" s="161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13"/>
      <c r="R543" s="5"/>
      <c r="S543" s="5"/>
      <c r="T543" s="5"/>
    </row>
    <row r="544" spans="1:20" x14ac:dyDescent="0.25">
      <c r="A544" s="155">
        <f t="shared" si="13"/>
        <v>19</v>
      </c>
      <c r="B544" s="161"/>
      <c r="D544" s="173" t="s">
        <v>193</v>
      </c>
      <c r="F544" s="37">
        <f>F482</f>
        <v>176791.07329000006</v>
      </c>
      <c r="G544" s="5"/>
      <c r="H544" s="37">
        <f>H482</f>
        <v>39791.532470000006</v>
      </c>
      <c r="I544" s="37"/>
      <c r="J544" s="37">
        <f>J482</f>
        <v>-4800.4783099999995</v>
      </c>
      <c r="K544" s="37"/>
      <c r="L544" s="37">
        <f>L482</f>
        <v>0</v>
      </c>
      <c r="M544" s="37"/>
      <c r="N544" s="37">
        <f>N482</f>
        <v>0</v>
      </c>
      <c r="O544" s="37"/>
      <c r="P544" s="37">
        <f>P482</f>
        <v>0</v>
      </c>
      <c r="Q544" s="65"/>
      <c r="R544" s="37">
        <f>R482</f>
        <v>211782.12745000006</v>
      </c>
      <c r="S544" s="37"/>
      <c r="T544" s="37">
        <f>T482</f>
        <v>192471.13009999998</v>
      </c>
    </row>
    <row r="545" spans="1:20" x14ac:dyDescent="0.25">
      <c r="A545" s="155">
        <f t="shared" si="13"/>
        <v>20</v>
      </c>
      <c r="B545" s="161"/>
      <c r="D545" s="173"/>
      <c r="F545" s="37"/>
      <c r="G545" s="5"/>
      <c r="H545" s="37"/>
      <c r="I545" s="5"/>
      <c r="J545" s="37"/>
      <c r="K545" s="5"/>
      <c r="L545" s="37"/>
      <c r="M545" s="5"/>
      <c r="N545" s="37"/>
      <c r="O545" s="37"/>
      <c r="P545" s="37"/>
      <c r="Q545" s="13"/>
      <c r="R545" s="37"/>
      <c r="S545" s="5"/>
      <c r="T545" s="37"/>
    </row>
    <row r="546" spans="1:20" x14ac:dyDescent="0.25">
      <c r="A546" s="155">
        <f t="shared" si="13"/>
        <v>21</v>
      </c>
      <c r="B546" s="161"/>
      <c r="D546" s="188" t="s">
        <v>199</v>
      </c>
      <c r="F546" s="37">
        <f>F489</f>
        <v>5493.268299999987</v>
      </c>
      <c r="H546" s="37">
        <f>H489</f>
        <v>689.49131999999997</v>
      </c>
      <c r="I546" s="37"/>
      <c r="J546" s="37">
        <f>J489</f>
        <v>0</v>
      </c>
      <c r="K546" s="37"/>
      <c r="L546" s="37">
        <f>L489</f>
        <v>0</v>
      </c>
      <c r="M546" s="37"/>
      <c r="N546" s="37">
        <f>N489</f>
        <v>0</v>
      </c>
      <c r="O546" s="37"/>
      <c r="P546" s="37">
        <f>P489</f>
        <v>0</v>
      </c>
      <c r="Q546" s="65"/>
      <c r="R546" s="37">
        <f>R489</f>
        <v>6182.759619999988</v>
      </c>
      <c r="S546" s="37"/>
      <c r="T546" s="37">
        <f>T489</f>
        <v>5838.0139599999993</v>
      </c>
    </row>
    <row r="547" spans="1:20" x14ac:dyDescent="0.25">
      <c r="A547" s="155">
        <f t="shared" si="13"/>
        <v>22</v>
      </c>
      <c r="B547" s="161"/>
      <c r="Q547" s="152"/>
    </row>
    <row r="548" spans="1:20" x14ac:dyDescent="0.25">
      <c r="A548" s="155">
        <f t="shared" si="13"/>
        <v>23</v>
      </c>
      <c r="B548" s="161"/>
      <c r="D548" s="150" t="s">
        <v>203</v>
      </c>
      <c r="F548" s="11">
        <f>F494</f>
        <v>0</v>
      </c>
      <c r="G548" s="5"/>
      <c r="H548" s="11">
        <f>H494</f>
        <v>0</v>
      </c>
      <c r="I548" s="5"/>
      <c r="J548" s="11">
        <f>J494</f>
        <v>0</v>
      </c>
      <c r="K548" s="5"/>
      <c r="L548" s="11">
        <f>L494</f>
        <v>0</v>
      </c>
      <c r="M548" s="5"/>
      <c r="N548" s="11">
        <f>N494</f>
        <v>0</v>
      </c>
      <c r="O548" s="37"/>
      <c r="P548" s="11">
        <f>P494</f>
        <v>0</v>
      </c>
      <c r="Q548" s="13"/>
      <c r="R548" s="11">
        <f>R494</f>
        <v>0</v>
      </c>
      <c r="S548" s="5"/>
      <c r="T548" s="11">
        <f>T494</f>
        <v>0</v>
      </c>
    </row>
    <row r="549" spans="1:20" x14ac:dyDescent="0.25">
      <c r="A549" s="155">
        <f t="shared" si="13"/>
        <v>24</v>
      </c>
      <c r="B549" s="161"/>
      <c r="F549" s="175"/>
      <c r="H549" s="175"/>
      <c r="J549" s="175"/>
      <c r="L549" s="175"/>
      <c r="N549" s="175"/>
      <c r="P549" s="175"/>
      <c r="Q549" s="152"/>
      <c r="R549" s="175"/>
      <c r="T549" s="175"/>
    </row>
    <row r="550" spans="1:20" ht="13.8" thickBot="1" x14ac:dyDescent="0.3">
      <c r="A550" s="155">
        <f t="shared" si="13"/>
        <v>25</v>
      </c>
      <c r="B550" s="161"/>
      <c r="D550" s="190" t="s">
        <v>204</v>
      </c>
      <c r="F550" s="19">
        <f>SUM(F540,F542,F544,F546,F548)</f>
        <v>3859853.1772200004</v>
      </c>
      <c r="G550" s="5"/>
      <c r="H550" s="19">
        <f>SUM(H540,H542,H544,H546,H548)</f>
        <v>553543.30747000012</v>
      </c>
      <c r="I550" s="5"/>
      <c r="J550" s="19">
        <f>SUM(J540,J542,J544,J546,J548)</f>
        <v>-150203.56679000001</v>
      </c>
      <c r="K550" s="5"/>
      <c r="L550" s="19">
        <f>SUM(L540,L542,L544,L546,L548)</f>
        <v>-43716.326350000003</v>
      </c>
      <c r="M550" s="5"/>
      <c r="N550" s="19">
        <f>SUM(N540,N542,N544,N546,N548)</f>
        <v>4566.9791400000004</v>
      </c>
      <c r="O550" s="5"/>
      <c r="P550" s="19">
        <f>SUM(P540,P542,P544,P546,P548)</f>
        <v>0</v>
      </c>
      <c r="Q550" s="13"/>
      <c r="R550" s="19">
        <f>SUM(R540,R542,R544,R546,R548)</f>
        <v>4224043.5706900004</v>
      </c>
      <c r="S550" s="5"/>
      <c r="T550" s="19">
        <f>SUM(T540,T542,T544,T546,T548)</f>
        <v>4042694.8295700001</v>
      </c>
    </row>
    <row r="551" spans="1:20" ht="13.8" thickTop="1" x14ac:dyDescent="0.25">
      <c r="A551" s="155">
        <f t="shared" si="13"/>
        <v>26</v>
      </c>
      <c r="B551" s="161"/>
      <c r="Q551" s="152"/>
    </row>
    <row r="552" spans="1:20" x14ac:dyDescent="0.25">
      <c r="A552" s="155">
        <f t="shared" si="13"/>
        <v>27</v>
      </c>
      <c r="B552" s="161"/>
      <c r="D552" s="173" t="s">
        <v>209</v>
      </c>
      <c r="F552" s="192">
        <f>F502</f>
        <v>6883.3661700000021</v>
      </c>
      <c r="H552" s="192">
        <f>H502</f>
        <v>236.70876000000001</v>
      </c>
      <c r="J552" s="192">
        <f>J502</f>
        <v>0</v>
      </c>
      <c r="K552" s="5"/>
      <c r="L552" s="192">
        <f>L502</f>
        <v>0</v>
      </c>
      <c r="M552" s="5"/>
      <c r="N552" s="192">
        <f>N502</f>
        <v>0</v>
      </c>
      <c r="O552" s="192"/>
      <c r="P552" s="192">
        <f>P502</f>
        <v>0</v>
      </c>
      <c r="Q552" s="13"/>
      <c r="R552" s="192">
        <f>R502</f>
        <v>7120.0749300000025</v>
      </c>
      <c r="S552" s="5"/>
      <c r="T552" s="192">
        <f>T502</f>
        <v>7001.7205499999991</v>
      </c>
    </row>
    <row r="553" spans="1:20" x14ac:dyDescent="0.25">
      <c r="A553" s="155">
        <f t="shared" si="13"/>
        <v>28</v>
      </c>
      <c r="B553" s="161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13"/>
      <c r="R553" s="5"/>
      <c r="S553" s="5"/>
      <c r="T553" s="5"/>
    </row>
    <row r="554" spans="1:20" x14ac:dyDescent="0.25">
      <c r="A554" s="155">
        <f t="shared" si="13"/>
        <v>29</v>
      </c>
      <c r="B554" s="161"/>
      <c r="D554" s="17" t="s">
        <v>210</v>
      </c>
      <c r="F554" s="5">
        <f>F504</f>
        <v>0</v>
      </c>
      <c r="G554" s="5"/>
      <c r="H554" s="5">
        <f>H504</f>
        <v>0</v>
      </c>
      <c r="I554" s="5"/>
      <c r="J554" s="5">
        <f>J504</f>
        <v>0</v>
      </c>
      <c r="K554" s="5"/>
      <c r="L554" s="5">
        <f>L504</f>
        <v>0</v>
      </c>
      <c r="M554" s="5"/>
      <c r="N554" s="5">
        <f>N504</f>
        <v>0</v>
      </c>
      <c r="O554" s="5"/>
      <c r="P554" s="5">
        <f>P504</f>
        <v>0</v>
      </c>
      <c r="Q554" s="13"/>
      <c r="R554" s="5">
        <f>R504</f>
        <v>0</v>
      </c>
      <c r="S554" s="5"/>
      <c r="T554" s="5">
        <f>T504</f>
        <v>0</v>
      </c>
    </row>
    <row r="555" spans="1:20" x14ac:dyDescent="0.25">
      <c r="A555" s="155">
        <f t="shared" si="13"/>
        <v>30</v>
      </c>
      <c r="B555" s="161"/>
      <c r="Q555" s="152"/>
    </row>
    <row r="556" spans="1:20" x14ac:dyDescent="0.25">
      <c r="A556" s="155">
        <f t="shared" si="13"/>
        <v>31</v>
      </c>
      <c r="B556" s="161"/>
      <c r="D556" s="150" t="s">
        <v>211</v>
      </c>
      <c r="F556" s="5">
        <f>F505</f>
        <v>0</v>
      </c>
      <c r="H556" s="5">
        <f>H505</f>
        <v>0</v>
      </c>
      <c r="J556" s="5">
        <f>J505</f>
        <v>0</v>
      </c>
      <c r="L556" s="5">
        <f>L505</f>
        <v>0</v>
      </c>
      <c r="N556" s="5">
        <f>N505</f>
        <v>0</v>
      </c>
      <c r="O556" s="5"/>
      <c r="P556" s="5">
        <f>P505</f>
        <v>0</v>
      </c>
      <c r="Q556" s="152"/>
      <c r="R556" s="5">
        <f>R505</f>
        <v>0</v>
      </c>
      <c r="T556" s="5">
        <f>T505</f>
        <v>0</v>
      </c>
    </row>
    <row r="557" spans="1:20" x14ac:dyDescent="0.25">
      <c r="A557" s="155">
        <f t="shared" si="13"/>
        <v>32</v>
      </c>
      <c r="B557" s="161"/>
      <c r="Q557" s="152"/>
    </row>
    <row r="558" spans="1:20" x14ac:dyDescent="0.25">
      <c r="A558" s="155">
        <f t="shared" si="13"/>
        <v>33</v>
      </c>
      <c r="B558" s="161"/>
      <c r="D558" s="150" t="s">
        <v>214</v>
      </c>
      <c r="F558" s="189">
        <f>F509</f>
        <v>113636.92683999997</v>
      </c>
      <c r="H558" s="189">
        <f>H509</f>
        <v>17442.392039999999</v>
      </c>
      <c r="J558" s="189">
        <f>J509</f>
        <v>0</v>
      </c>
      <c r="L558" s="189">
        <f>L509</f>
        <v>-33255.932999999997</v>
      </c>
      <c r="N558" s="189">
        <f>N509</f>
        <v>0</v>
      </c>
      <c r="P558" s="189">
        <f>P509</f>
        <v>33255.932999999997</v>
      </c>
      <c r="Q558" s="152"/>
      <c r="R558" s="189">
        <f>R509</f>
        <v>131079.31887999998</v>
      </c>
      <c r="T558" s="189">
        <f>T509</f>
        <v>119953.82033</v>
      </c>
    </row>
    <row r="559" spans="1:20" x14ac:dyDescent="0.25">
      <c r="A559" s="155">
        <f t="shared" si="13"/>
        <v>34</v>
      </c>
      <c r="B559" s="161"/>
      <c r="F559" s="18"/>
      <c r="G559" s="5"/>
      <c r="H559" s="18"/>
      <c r="I559" s="5"/>
      <c r="J559" s="18"/>
      <c r="K559" s="5"/>
      <c r="L559" s="18"/>
      <c r="M559" s="5"/>
      <c r="N559" s="18"/>
      <c r="O559" s="37"/>
      <c r="P559" s="18"/>
      <c r="Q559" s="13"/>
      <c r="R559" s="18"/>
      <c r="S559" s="5"/>
      <c r="T559" s="18"/>
    </row>
    <row r="560" spans="1:20" ht="13.8" thickBot="1" x14ac:dyDescent="0.3">
      <c r="A560" s="155">
        <f t="shared" si="13"/>
        <v>35</v>
      </c>
      <c r="B560" s="161"/>
      <c r="D560" s="165" t="s">
        <v>215</v>
      </c>
      <c r="F560" s="19">
        <f>SUM(F550,F552,F554,F556,F558)</f>
        <v>3980373.4702300001</v>
      </c>
      <c r="G560" s="5"/>
      <c r="H560" s="19">
        <f>SUM(H550,H552,H554,H556,H558)</f>
        <v>571222.40827000001</v>
      </c>
      <c r="I560" s="5"/>
      <c r="J560" s="19">
        <f>SUM(J550,J552,J554,J556,J558)</f>
        <v>-150203.56679000001</v>
      </c>
      <c r="L560" s="19">
        <f>SUM(L550,L552,L554,L556,L558)</f>
        <v>-76972.259350000008</v>
      </c>
      <c r="N560" s="19">
        <f>SUM(N550,N552,N554,N556,N558)</f>
        <v>4566.9791400000004</v>
      </c>
      <c r="O560" s="37"/>
      <c r="P560" s="19">
        <f>SUM(P550,P552,P554,P556,P558)</f>
        <v>33255.932999999997</v>
      </c>
      <c r="Q560" s="152"/>
      <c r="R560" s="19">
        <f>SUM(R550,R552,R554,R556,R558)</f>
        <v>4362242.9645000007</v>
      </c>
      <c r="T560" s="19">
        <f>SUM(T550,T552,T554,T556,T558)</f>
        <v>4169650.3704500003</v>
      </c>
    </row>
    <row r="561" spans="1:20" ht="13.8" thickTop="1" x14ac:dyDescent="0.25">
      <c r="A561" s="155">
        <f t="shared" si="13"/>
        <v>36</v>
      </c>
      <c r="B561" s="161"/>
      <c r="F561" s="189">
        <f>F560-F511</f>
        <v>0</v>
      </c>
      <c r="H561" s="189">
        <f>H560-H511</f>
        <v>0</v>
      </c>
      <c r="J561" s="189">
        <f>J560-J511</f>
        <v>0</v>
      </c>
      <c r="L561" s="189">
        <f>L560-L511</f>
        <v>0</v>
      </c>
      <c r="N561" s="189">
        <f>N560-N511</f>
        <v>0</v>
      </c>
      <c r="P561" s="189">
        <f>P560-P511</f>
        <v>0</v>
      </c>
      <c r="Q561" s="152"/>
      <c r="R561" s="189">
        <f>R560-R511</f>
        <v>0</v>
      </c>
      <c r="T561" s="189">
        <f>T560-T511</f>
        <v>0</v>
      </c>
    </row>
    <row r="562" spans="1:20" x14ac:dyDescent="0.25">
      <c r="A562" s="155">
        <f t="shared" si="13"/>
        <v>37</v>
      </c>
      <c r="B562" s="161"/>
      <c r="F562" s="189">
        <f>F560-('ASDR FY2'!K333)/1000</f>
        <v>0</v>
      </c>
      <c r="H562" s="189">
        <f>H560-('ASDR FY2'!L333)/1000</f>
        <v>0</v>
      </c>
      <c r="J562" s="189">
        <f>J560-('ASDR FY2'!M333)/1000</f>
        <v>0</v>
      </c>
      <c r="L562" s="5">
        <f>L560-('ASDR FY2'!N333)/1000-('ASDR FY2'!O333)/1000</f>
        <v>-2.9103830456733704E-11</v>
      </c>
      <c r="N562" s="5">
        <f>N560-('ASDR FY2'!P333)/1000-('ASDR FY2'!Q333)/1000</f>
        <v>9.0949470177292824E-13</v>
      </c>
      <c r="P562" s="189">
        <f>P560-('ASDR FY2'!R333)/1000-('ASDR FY2'!S333)/1000-('ASDR FY2'!T333)/1000</f>
        <v>0</v>
      </c>
      <c r="Q562" s="152"/>
      <c r="R562" s="189">
        <f>R560-('ASDR FY2'!U333)/1000</f>
        <v>0</v>
      </c>
      <c r="T562" s="189">
        <f>T560-('ASDR FY2'!V333)/1000</f>
        <v>0</v>
      </c>
    </row>
    <row r="563" spans="1:20" x14ac:dyDescent="0.25">
      <c r="A563" s="155">
        <f t="shared" si="13"/>
        <v>38</v>
      </c>
      <c r="B563" s="161"/>
      <c r="Q563" s="152"/>
    </row>
    <row r="564" spans="1:20" x14ac:dyDescent="0.25">
      <c r="A564" s="155">
        <f t="shared" si="13"/>
        <v>39</v>
      </c>
      <c r="B564" s="169"/>
      <c r="Q564" s="152"/>
    </row>
    <row r="565" spans="1:20" x14ac:dyDescent="0.25">
      <c r="A565" s="155">
        <f t="shared" si="13"/>
        <v>40</v>
      </c>
      <c r="B565" s="169"/>
      <c r="Q565" s="152"/>
    </row>
    <row r="566" spans="1:20" x14ac:dyDescent="0.25">
      <c r="A566" s="155">
        <f t="shared" si="13"/>
        <v>41</v>
      </c>
      <c r="B566" s="169"/>
      <c r="Q566" s="152"/>
    </row>
    <row r="567" spans="1:20" x14ac:dyDescent="0.25">
      <c r="A567" s="155">
        <f t="shared" si="13"/>
        <v>42</v>
      </c>
      <c r="B567" s="169"/>
      <c r="Q567" s="152"/>
    </row>
    <row r="568" spans="1:20" x14ac:dyDescent="0.25">
      <c r="A568" s="155">
        <f t="shared" si="13"/>
        <v>43</v>
      </c>
      <c r="B568" s="169"/>
      <c r="Q568" s="152"/>
    </row>
    <row r="569" spans="1:20" ht="13.8" thickBot="1" x14ac:dyDescent="0.3">
      <c r="A569" s="156">
        <f t="shared" si="13"/>
        <v>44</v>
      </c>
      <c r="B569" s="20" t="s">
        <v>60</v>
      </c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5"/>
      <c r="R569" s="147"/>
      <c r="S569" s="147"/>
      <c r="T569" s="147"/>
    </row>
    <row r="570" spans="1:20" x14ac:dyDescent="0.25">
      <c r="A570" s="150" t="str">
        <f>+$A$57</f>
        <v>Supporting Schedules:  B-10, B-11</v>
      </c>
      <c r="Q570" s="152"/>
      <c r="R570" s="150" t="str">
        <f>+$R$57</f>
        <v>Recap Schedules:  B-03, B-06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4496-12C2-409C-B04D-706BDE95A638}">
  <sheetPr codeName="Sheet41">
    <tabColor theme="6" tint="-0.499984740745262"/>
  </sheetPr>
  <dimension ref="A1:X344"/>
  <sheetViews>
    <sheetView workbookViewId="0">
      <pane ySplit="5" topLeftCell="A306" activePane="bottomLeft" state="frozen"/>
      <selection pane="bottomLeft" activeCell="B348" sqref="B348"/>
    </sheetView>
  </sheetViews>
  <sheetFormatPr defaultColWidth="9.44140625" defaultRowHeight="14.4" x14ac:dyDescent="0.3"/>
  <cols>
    <col min="1" max="1" width="12.44140625" style="137" customWidth="1"/>
    <col min="2" max="2" width="35.5546875" style="137" bestFit="1" customWidth="1"/>
    <col min="3" max="3" width="15.109375" style="137" bestFit="1" customWidth="1"/>
    <col min="4" max="4" width="14.109375" style="137" bestFit="1" customWidth="1"/>
    <col min="5" max="5" width="12.88671875" style="137" bestFit="1" customWidth="1"/>
    <col min="6" max="6" width="9.5546875" style="137" bestFit="1" customWidth="1"/>
    <col min="7" max="7" width="11.5546875" style="137" bestFit="1" customWidth="1"/>
    <col min="8" max="9" width="15.109375" style="137" bestFit="1" customWidth="1"/>
    <col min="10" max="10" width="9.5546875" style="137" bestFit="1" customWidth="1"/>
    <col min="11" max="11" width="14.6640625" style="137" bestFit="1" customWidth="1"/>
    <col min="12" max="12" width="12.6640625" style="137" bestFit="1" customWidth="1"/>
    <col min="13" max="13" width="12.88671875" style="137" bestFit="1" customWidth="1"/>
    <col min="14" max="14" width="13.5546875" style="137" bestFit="1" customWidth="1"/>
    <col min="15" max="15" width="10.6640625" style="137" bestFit="1" customWidth="1"/>
    <col min="16" max="16" width="14.5546875" style="137" bestFit="1" customWidth="1"/>
    <col min="17" max="17" width="11.6640625" style="137" bestFit="1" customWidth="1"/>
    <col min="18" max="18" width="9.5546875" style="137" bestFit="1" customWidth="1"/>
    <col min="19" max="19" width="11.6640625" style="137" bestFit="1" customWidth="1"/>
    <col min="20" max="20" width="9.6640625" style="137" bestFit="1" customWidth="1"/>
    <col min="21" max="22" width="14.6640625" style="137" bestFit="1" customWidth="1"/>
    <col min="23" max="23" width="9.5546875" style="137" bestFit="1" customWidth="1"/>
    <col min="24" max="24" width="7.5546875" style="137" bestFit="1" customWidth="1"/>
    <col min="25" max="16384" width="9.44140625" style="137"/>
  </cols>
  <sheetData>
    <row r="1" spans="1:24" ht="17.399999999999999" x14ac:dyDescent="0.3">
      <c r="A1" s="136" t="s">
        <v>217</v>
      </c>
      <c r="B1" s="136"/>
    </row>
    <row r="2" spans="1:24" x14ac:dyDescent="0.3">
      <c r="C2" s="74"/>
      <c r="D2" s="75" t="s">
        <v>218</v>
      </c>
      <c r="E2" s="76" t="s">
        <v>218</v>
      </c>
      <c r="F2" s="77" t="s">
        <v>218</v>
      </c>
      <c r="G2" s="78" t="s">
        <v>218</v>
      </c>
      <c r="H2" s="74"/>
      <c r="I2" s="74"/>
      <c r="J2" s="79"/>
      <c r="K2" s="74"/>
      <c r="L2" s="75" t="s">
        <v>218</v>
      </c>
      <c r="M2" s="76" t="s">
        <v>218</v>
      </c>
      <c r="N2" s="80" t="s">
        <v>218</v>
      </c>
      <c r="O2" s="80" t="s">
        <v>218</v>
      </c>
      <c r="P2" s="80" t="s">
        <v>218</v>
      </c>
      <c r="Q2" s="80" t="s">
        <v>218</v>
      </c>
      <c r="R2" s="77" t="s">
        <v>218</v>
      </c>
      <c r="S2" s="78" t="s">
        <v>218</v>
      </c>
      <c r="T2" s="78" t="s">
        <v>218</v>
      </c>
      <c r="U2" s="74"/>
      <c r="V2" s="74"/>
      <c r="W2" s="79"/>
      <c r="X2" s="94"/>
    </row>
    <row r="3" spans="1:24" x14ac:dyDescent="0.3">
      <c r="A3" s="81"/>
      <c r="B3" s="81"/>
      <c r="C3" s="74" t="s">
        <v>219</v>
      </c>
      <c r="D3" s="75" t="s">
        <v>219</v>
      </c>
      <c r="E3" s="76" t="s">
        <v>219</v>
      </c>
      <c r="F3" s="77" t="s">
        <v>219</v>
      </c>
      <c r="G3" s="78" t="s">
        <v>219</v>
      </c>
      <c r="H3" s="74" t="s">
        <v>219</v>
      </c>
      <c r="I3" s="74" t="s">
        <v>219</v>
      </c>
      <c r="J3" s="79" t="s">
        <v>220</v>
      </c>
      <c r="K3" s="74" t="s">
        <v>221</v>
      </c>
      <c r="L3" s="75" t="s">
        <v>221</v>
      </c>
      <c r="M3" s="76" t="s">
        <v>221</v>
      </c>
      <c r="N3" s="80" t="s">
        <v>221</v>
      </c>
      <c r="O3" s="80" t="s">
        <v>221</v>
      </c>
      <c r="P3" s="80" t="s">
        <v>221</v>
      </c>
      <c r="Q3" s="80" t="s">
        <v>221</v>
      </c>
      <c r="R3" s="77" t="s">
        <v>219</v>
      </c>
      <c r="S3" s="78" t="s">
        <v>219</v>
      </c>
      <c r="T3" s="78" t="s">
        <v>219</v>
      </c>
      <c r="U3" s="74" t="s">
        <v>219</v>
      </c>
      <c r="V3" s="74" t="s">
        <v>219</v>
      </c>
      <c r="W3" s="79" t="s">
        <v>222</v>
      </c>
      <c r="X3" s="94">
        <v>2025</v>
      </c>
    </row>
    <row r="4" spans="1:24" x14ac:dyDescent="0.3">
      <c r="A4" s="81"/>
      <c r="B4" s="81"/>
      <c r="C4" s="38">
        <v>2024</v>
      </c>
      <c r="D4" s="75" t="s">
        <v>223</v>
      </c>
      <c r="E4" s="76" t="s">
        <v>223</v>
      </c>
      <c r="F4" s="77" t="s">
        <v>223</v>
      </c>
      <c r="G4" s="78" t="s">
        <v>223</v>
      </c>
      <c r="H4" s="38">
        <v>2025</v>
      </c>
      <c r="I4" s="38">
        <v>2025</v>
      </c>
      <c r="J4" s="79" t="s">
        <v>224</v>
      </c>
      <c r="K4" s="38">
        <v>2024</v>
      </c>
      <c r="L4" s="75" t="s">
        <v>223</v>
      </c>
      <c r="M4" s="76" t="s">
        <v>223</v>
      </c>
      <c r="N4" s="80" t="s">
        <v>223</v>
      </c>
      <c r="O4" s="80" t="s">
        <v>223</v>
      </c>
      <c r="P4" s="80" t="s">
        <v>223</v>
      </c>
      <c r="Q4" s="80" t="s">
        <v>223</v>
      </c>
      <c r="R4" s="77" t="s">
        <v>223</v>
      </c>
      <c r="S4" s="78" t="s">
        <v>223</v>
      </c>
      <c r="T4" s="78" t="s">
        <v>223</v>
      </c>
      <c r="U4" s="38">
        <v>2025</v>
      </c>
      <c r="V4" s="38">
        <v>2025</v>
      </c>
      <c r="W4" s="79" t="s">
        <v>224</v>
      </c>
      <c r="X4" s="94" t="s">
        <v>225</v>
      </c>
    </row>
    <row r="5" spans="1:24" x14ac:dyDescent="0.3">
      <c r="A5" s="82" t="s">
        <v>226</v>
      </c>
      <c r="B5" s="83" t="s">
        <v>227</v>
      </c>
      <c r="C5" s="39" t="s">
        <v>224</v>
      </c>
      <c r="D5" s="84" t="s">
        <v>228</v>
      </c>
      <c r="E5" s="85" t="s">
        <v>37</v>
      </c>
      <c r="F5" s="86" t="s">
        <v>229</v>
      </c>
      <c r="G5" s="87" t="s">
        <v>230</v>
      </c>
      <c r="H5" s="82" t="s">
        <v>224</v>
      </c>
      <c r="I5" s="82" t="s">
        <v>231</v>
      </c>
      <c r="J5" s="88" t="s">
        <v>232</v>
      </c>
      <c r="K5" s="40" t="s">
        <v>224</v>
      </c>
      <c r="L5" s="84" t="s">
        <v>233</v>
      </c>
      <c r="M5" s="85" t="s">
        <v>37</v>
      </c>
      <c r="N5" s="89" t="s">
        <v>234</v>
      </c>
      <c r="O5" s="89" t="s">
        <v>235</v>
      </c>
      <c r="P5" s="89" t="s">
        <v>236</v>
      </c>
      <c r="Q5" s="89" t="s">
        <v>237</v>
      </c>
      <c r="R5" s="86" t="s">
        <v>229</v>
      </c>
      <c r="S5" s="87" t="s">
        <v>230</v>
      </c>
      <c r="T5" s="87" t="s">
        <v>238</v>
      </c>
      <c r="U5" s="82" t="s">
        <v>224</v>
      </c>
      <c r="V5" s="82" t="s">
        <v>231</v>
      </c>
      <c r="W5" s="88" t="s">
        <v>232</v>
      </c>
      <c r="X5" s="94" t="s">
        <v>239</v>
      </c>
    </row>
    <row r="6" spans="1:24" x14ac:dyDescent="0.3">
      <c r="A6" s="74">
        <v>10501</v>
      </c>
      <c r="B6" s="90" t="s">
        <v>240</v>
      </c>
      <c r="C6" s="138">
        <v>64262399.530000001</v>
      </c>
      <c r="D6" s="138">
        <v>6502552.7400000002</v>
      </c>
      <c r="E6" s="138">
        <v>0</v>
      </c>
      <c r="F6" s="138">
        <v>0</v>
      </c>
      <c r="G6" s="138">
        <v>0</v>
      </c>
      <c r="H6" s="138">
        <v>70764952.269999996</v>
      </c>
      <c r="I6" s="138">
        <v>69494543.310000002</v>
      </c>
      <c r="J6" s="139">
        <v>0</v>
      </c>
      <c r="K6" s="138">
        <v>0</v>
      </c>
      <c r="L6" s="138">
        <v>0</v>
      </c>
      <c r="M6" s="138">
        <v>0</v>
      </c>
      <c r="N6" s="138">
        <v>0</v>
      </c>
      <c r="O6" s="91"/>
      <c r="P6" s="138">
        <v>0</v>
      </c>
      <c r="Q6" s="91"/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9">
        <v>0</v>
      </c>
      <c r="X6" s="130">
        <v>0</v>
      </c>
    </row>
    <row r="7" spans="1:24" x14ac:dyDescent="0.3">
      <c r="A7" s="74">
        <v>10803</v>
      </c>
      <c r="B7" s="90" t="s">
        <v>241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9">
        <v>0</v>
      </c>
      <c r="K7" s="138">
        <v>113636926.83999996</v>
      </c>
      <c r="L7" s="138">
        <v>17442392.039999999</v>
      </c>
      <c r="M7" s="138">
        <v>0</v>
      </c>
      <c r="N7" s="138">
        <v>-33255933</v>
      </c>
      <c r="O7" s="91"/>
      <c r="P7" s="138">
        <v>0</v>
      </c>
      <c r="Q7" s="91"/>
      <c r="R7" s="138">
        <v>0</v>
      </c>
      <c r="S7" s="138">
        <v>33255933</v>
      </c>
      <c r="T7" s="138">
        <v>0</v>
      </c>
      <c r="U7" s="138">
        <v>131079318.87999997</v>
      </c>
      <c r="V7" s="138">
        <v>119953820.33</v>
      </c>
      <c r="W7" s="139">
        <v>0</v>
      </c>
      <c r="X7" s="131">
        <v>0</v>
      </c>
    </row>
    <row r="8" spans="1:24" x14ac:dyDescent="0.3">
      <c r="A8" s="74">
        <v>10804</v>
      </c>
      <c r="B8" s="90" t="s">
        <v>242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9">
        <v>0</v>
      </c>
      <c r="K8" s="138">
        <v>0</v>
      </c>
      <c r="L8" s="138">
        <v>0</v>
      </c>
      <c r="M8" s="138">
        <v>0</v>
      </c>
      <c r="N8" s="138">
        <v>0</v>
      </c>
      <c r="O8" s="91"/>
      <c r="P8" s="138">
        <v>0</v>
      </c>
      <c r="Q8" s="91"/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139">
        <v>0</v>
      </c>
      <c r="X8" s="130">
        <v>0</v>
      </c>
    </row>
    <row r="9" spans="1:24" x14ac:dyDescent="0.3">
      <c r="A9" s="74">
        <v>10850</v>
      </c>
      <c r="B9" s="90" t="s">
        <v>243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9">
        <v>0</v>
      </c>
      <c r="K9" s="138">
        <v>0</v>
      </c>
      <c r="L9" s="138">
        <v>0</v>
      </c>
      <c r="M9" s="138">
        <v>0</v>
      </c>
      <c r="N9" s="138">
        <v>0</v>
      </c>
      <c r="O9" s="91"/>
      <c r="P9" s="138">
        <v>0</v>
      </c>
      <c r="Q9" s="91"/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9">
        <v>0</v>
      </c>
      <c r="X9" s="130">
        <v>0</v>
      </c>
    </row>
    <row r="10" spans="1:24" x14ac:dyDescent="0.3">
      <c r="A10" s="74">
        <v>10851</v>
      </c>
      <c r="B10" s="90" t="s">
        <v>244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9">
        <v>0</v>
      </c>
      <c r="K10" s="138">
        <v>0</v>
      </c>
      <c r="L10" s="138">
        <v>0</v>
      </c>
      <c r="M10" s="138">
        <v>0</v>
      </c>
      <c r="N10" s="138">
        <v>0</v>
      </c>
      <c r="O10" s="91"/>
      <c r="P10" s="138">
        <v>0</v>
      </c>
      <c r="Q10" s="91"/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39">
        <v>0</v>
      </c>
      <c r="X10" s="130">
        <v>0</v>
      </c>
    </row>
    <row r="11" spans="1:24" x14ac:dyDescent="0.3">
      <c r="A11" s="74">
        <v>10852</v>
      </c>
      <c r="B11" s="90" t="s">
        <v>245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9">
        <v>0</v>
      </c>
      <c r="K11" s="138">
        <v>0</v>
      </c>
      <c r="L11" s="138">
        <v>0</v>
      </c>
      <c r="M11" s="138">
        <v>0</v>
      </c>
      <c r="N11" s="138">
        <v>0</v>
      </c>
      <c r="O11" s="91"/>
      <c r="P11" s="138">
        <v>0</v>
      </c>
      <c r="Q11" s="91"/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9">
        <v>0</v>
      </c>
      <c r="X11" s="130">
        <v>0</v>
      </c>
    </row>
    <row r="12" spans="1:24" x14ac:dyDescent="0.3">
      <c r="A12" s="74">
        <v>10853</v>
      </c>
      <c r="B12" s="90" t="s">
        <v>246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9">
        <v>0</v>
      </c>
      <c r="K12" s="138">
        <v>0</v>
      </c>
      <c r="L12" s="138">
        <v>0</v>
      </c>
      <c r="M12" s="138">
        <v>0</v>
      </c>
      <c r="N12" s="138">
        <v>0</v>
      </c>
      <c r="O12" s="91"/>
      <c r="P12" s="138">
        <v>0</v>
      </c>
      <c r="Q12" s="91"/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9">
        <v>0</v>
      </c>
      <c r="X12" s="130">
        <v>0</v>
      </c>
    </row>
    <row r="13" spans="1:24" x14ac:dyDescent="0.3">
      <c r="A13" s="74">
        <v>10854</v>
      </c>
      <c r="B13" s="90" t="s">
        <v>247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9">
        <v>0</v>
      </c>
      <c r="K13" s="138">
        <v>0</v>
      </c>
      <c r="L13" s="138">
        <v>0</v>
      </c>
      <c r="M13" s="138">
        <v>0</v>
      </c>
      <c r="N13" s="138">
        <v>0</v>
      </c>
      <c r="O13" s="91"/>
      <c r="P13" s="138">
        <v>0</v>
      </c>
      <c r="Q13" s="91"/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9">
        <v>0</v>
      </c>
      <c r="X13" s="130">
        <v>0</v>
      </c>
    </row>
    <row r="14" spans="1:24" x14ac:dyDescent="0.3">
      <c r="A14" s="74">
        <v>10855</v>
      </c>
      <c r="B14" s="90" t="s">
        <v>248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9">
        <v>0</v>
      </c>
      <c r="K14" s="138">
        <v>0</v>
      </c>
      <c r="L14" s="138">
        <v>0</v>
      </c>
      <c r="M14" s="138">
        <v>0</v>
      </c>
      <c r="N14" s="138">
        <v>0</v>
      </c>
      <c r="O14" s="91"/>
      <c r="P14" s="138">
        <v>0</v>
      </c>
      <c r="Q14" s="91"/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9">
        <v>0</v>
      </c>
      <c r="X14" s="130">
        <v>0</v>
      </c>
    </row>
    <row r="15" spans="1:24" x14ac:dyDescent="0.3">
      <c r="A15" s="74">
        <v>10856</v>
      </c>
      <c r="B15" s="90" t="s">
        <v>249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9">
        <v>0</v>
      </c>
      <c r="K15" s="138">
        <v>0</v>
      </c>
      <c r="L15" s="138">
        <v>0</v>
      </c>
      <c r="M15" s="138">
        <v>0</v>
      </c>
      <c r="N15" s="138">
        <v>0</v>
      </c>
      <c r="O15" s="91"/>
      <c r="P15" s="138">
        <v>0</v>
      </c>
      <c r="Q15" s="91"/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9">
        <v>0</v>
      </c>
      <c r="X15" s="130">
        <v>0</v>
      </c>
    </row>
    <row r="16" spans="1:24" x14ac:dyDescent="0.3">
      <c r="A16" s="74">
        <v>11401</v>
      </c>
      <c r="B16" s="90" t="s">
        <v>250</v>
      </c>
      <c r="C16" s="138">
        <v>6182810</v>
      </c>
      <c r="D16" s="138">
        <v>0</v>
      </c>
      <c r="E16" s="138">
        <v>0</v>
      </c>
      <c r="F16" s="138">
        <v>0</v>
      </c>
      <c r="G16" s="138">
        <v>0</v>
      </c>
      <c r="H16" s="138">
        <v>6182810</v>
      </c>
      <c r="I16" s="138">
        <v>6182810</v>
      </c>
      <c r="J16" s="139">
        <v>0</v>
      </c>
      <c r="K16" s="138">
        <v>5857748.8600000031</v>
      </c>
      <c r="L16" s="138">
        <v>185749.32</v>
      </c>
      <c r="M16" s="138">
        <v>0</v>
      </c>
      <c r="N16" s="138">
        <v>0</v>
      </c>
      <c r="O16" s="91"/>
      <c r="P16" s="138">
        <v>0</v>
      </c>
      <c r="Q16" s="91"/>
      <c r="R16" s="138">
        <v>0</v>
      </c>
      <c r="S16" s="138">
        <v>0</v>
      </c>
      <c r="T16" s="138">
        <v>0</v>
      </c>
      <c r="U16" s="138">
        <v>6043498.1800000034</v>
      </c>
      <c r="V16" s="138">
        <v>5950623.5199999996</v>
      </c>
      <c r="W16" s="139">
        <v>0</v>
      </c>
      <c r="X16" s="130">
        <v>3.0042864005201501E-2</v>
      </c>
    </row>
    <row r="17" spans="1:24" x14ac:dyDescent="0.3">
      <c r="A17" s="74">
        <v>11402</v>
      </c>
      <c r="B17" s="90" t="s">
        <v>251</v>
      </c>
      <c r="C17" s="138">
        <v>960040.88</v>
      </c>
      <c r="D17" s="138">
        <v>0</v>
      </c>
      <c r="E17" s="138">
        <v>0</v>
      </c>
      <c r="F17" s="138">
        <v>0</v>
      </c>
      <c r="G17" s="138">
        <v>0</v>
      </c>
      <c r="H17" s="138">
        <v>960040.88</v>
      </c>
      <c r="I17" s="138">
        <v>960040.88</v>
      </c>
      <c r="J17" s="139">
        <v>0</v>
      </c>
      <c r="K17" s="138">
        <v>886714.92999999889</v>
      </c>
      <c r="L17" s="138">
        <v>41900.639999999999</v>
      </c>
      <c r="M17" s="138">
        <v>0</v>
      </c>
      <c r="N17" s="138">
        <v>0</v>
      </c>
      <c r="O17" s="91"/>
      <c r="P17" s="138">
        <v>0</v>
      </c>
      <c r="Q17" s="91"/>
      <c r="R17" s="138">
        <v>0</v>
      </c>
      <c r="S17" s="138">
        <v>0</v>
      </c>
      <c r="T17" s="138">
        <v>0</v>
      </c>
      <c r="U17" s="138">
        <v>928615.5699999989</v>
      </c>
      <c r="V17" s="138">
        <v>907665.25</v>
      </c>
      <c r="W17" s="139">
        <v>0</v>
      </c>
      <c r="X17" s="130">
        <v>4.3644641465684197E-2</v>
      </c>
    </row>
    <row r="18" spans="1:24" x14ac:dyDescent="0.3">
      <c r="A18" s="74">
        <v>11403</v>
      </c>
      <c r="B18" s="90" t="s">
        <v>252</v>
      </c>
      <c r="C18" s="138">
        <v>341971.88</v>
      </c>
      <c r="D18" s="138">
        <v>0</v>
      </c>
      <c r="E18" s="138">
        <v>0</v>
      </c>
      <c r="F18" s="138">
        <v>0</v>
      </c>
      <c r="G18" s="138">
        <v>0</v>
      </c>
      <c r="H18" s="138">
        <v>341971.88</v>
      </c>
      <c r="I18" s="138">
        <v>341971.88</v>
      </c>
      <c r="J18" s="139">
        <v>0</v>
      </c>
      <c r="K18" s="138">
        <v>138902.37999999992</v>
      </c>
      <c r="L18" s="138">
        <v>9058.7999999999993</v>
      </c>
      <c r="M18" s="138">
        <v>0</v>
      </c>
      <c r="N18" s="138">
        <v>0</v>
      </c>
      <c r="O18" s="91"/>
      <c r="P18" s="138">
        <v>0</v>
      </c>
      <c r="Q18" s="91"/>
      <c r="R18" s="138">
        <v>0</v>
      </c>
      <c r="S18" s="138">
        <v>0</v>
      </c>
      <c r="T18" s="138">
        <v>0</v>
      </c>
      <c r="U18" s="138">
        <v>147961.17999999991</v>
      </c>
      <c r="V18" s="138">
        <v>143431.78</v>
      </c>
      <c r="W18" s="139">
        <v>0</v>
      </c>
      <c r="X18" s="130">
        <v>2.64898973564727E-2</v>
      </c>
    </row>
    <row r="19" spans="1:24" x14ac:dyDescent="0.3">
      <c r="A19" s="74">
        <v>12100</v>
      </c>
      <c r="B19" s="90" t="s">
        <v>253</v>
      </c>
      <c r="C19" s="138">
        <v>949583.1</v>
      </c>
      <c r="D19" s="138">
        <v>0</v>
      </c>
      <c r="E19" s="138">
        <v>0</v>
      </c>
      <c r="F19" s="138">
        <v>0</v>
      </c>
      <c r="G19" s="138">
        <v>0</v>
      </c>
      <c r="H19" s="138">
        <v>949583.1</v>
      </c>
      <c r="I19" s="138">
        <v>949583.1</v>
      </c>
      <c r="J19" s="139">
        <v>0</v>
      </c>
      <c r="K19" s="138">
        <v>0</v>
      </c>
      <c r="L19" s="138">
        <v>0</v>
      </c>
      <c r="M19" s="138">
        <v>0</v>
      </c>
      <c r="N19" s="138">
        <v>0</v>
      </c>
      <c r="O19" s="91"/>
      <c r="P19" s="138">
        <v>0</v>
      </c>
      <c r="Q19" s="91"/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9">
        <v>0</v>
      </c>
      <c r="X19" s="130">
        <v>0</v>
      </c>
    </row>
    <row r="20" spans="1:24" x14ac:dyDescent="0.3">
      <c r="A20" s="74">
        <v>12112</v>
      </c>
      <c r="B20" s="90" t="s">
        <v>254</v>
      </c>
      <c r="C20" s="138">
        <v>15066332.599999987</v>
      </c>
      <c r="D20" s="138">
        <v>1573115.45</v>
      </c>
      <c r="E20" s="138">
        <v>-628733.69999999995</v>
      </c>
      <c r="F20" s="138">
        <v>0</v>
      </c>
      <c r="G20" s="138">
        <v>0</v>
      </c>
      <c r="H20" s="138">
        <v>16010714.349999987</v>
      </c>
      <c r="I20" s="138">
        <v>15553205.550000001</v>
      </c>
      <c r="J20" s="139">
        <v>0</v>
      </c>
      <c r="K20" s="138">
        <v>7366687.8200000003</v>
      </c>
      <c r="L20" s="138">
        <v>1039510.35</v>
      </c>
      <c r="M20" s="138">
        <v>-628733.69999999995</v>
      </c>
      <c r="N20" s="138">
        <v>0</v>
      </c>
      <c r="O20" s="91"/>
      <c r="P20" s="138">
        <v>0</v>
      </c>
      <c r="Q20" s="91"/>
      <c r="R20" s="138">
        <v>0</v>
      </c>
      <c r="S20" s="138">
        <v>0</v>
      </c>
      <c r="T20" s="138">
        <v>0</v>
      </c>
      <c r="U20" s="138">
        <v>7777464.4699999997</v>
      </c>
      <c r="V20" s="138">
        <v>7584067.4699999997</v>
      </c>
      <c r="W20" s="139">
        <v>0</v>
      </c>
      <c r="X20" s="130">
        <v>6.7000000000000004E-2</v>
      </c>
    </row>
    <row r="21" spans="1:24" x14ac:dyDescent="0.3">
      <c r="A21" s="74">
        <v>12114</v>
      </c>
      <c r="B21" s="90" t="s">
        <v>255</v>
      </c>
      <c r="C21" s="138">
        <v>788335.22999999975</v>
      </c>
      <c r="D21" s="138">
        <v>82795.55</v>
      </c>
      <c r="E21" s="138">
        <v>-22684.26</v>
      </c>
      <c r="F21" s="138">
        <v>0</v>
      </c>
      <c r="G21" s="138">
        <v>0</v>
      </c>
      <c r="H21" s="138">
        <v>848446.51999999979</v>
      </c>
      <c r="I21" s="138">
        <v>823219.19</v>
      </c>
      <c r="J21" s="139">
        <v>0</v>
      </c>
      <c r="K21" s="138">
        <v>449940.02999999997</v>
      </c>
      <c r="L21" s="138">
        <v>55014.83</v>
      </c>
      <c r="M21" s="138">
        <v>-22684.26</v>
      </c>
      <c r="N21" s="138">
        <v>0</v>
      </c>
      <c r="O21" s="91"/>
      <c r="P21" s="138">
        <v>0</v>
      </c>
      <c r="Q21" s="91"/>
      <c r="R21" s="138">
        <v>0</v>
      </c>
      <c r="S21" s="138">
        <v>0</v>
      </c>
      <c r="T21" s="138">
        <v>0</v>
      </c>
      <c r="U21" s="138">
        <v>482270.6</v>
      </c>
      <c r="V21" s="138">
        <v>470698.59</v>
      </c>
      <c r="W21" s="139">
        <v>0</v>
      </c>
      <c r="X21" s="130">
        <v>6.7000000000000004E-2</v>
      </c>
    </row>
    <row r="22" spans="1:24" x14ac:dyDescent="0.3">
      <c r="A22" s="74">
        <v>12122</v>
      </c>
      <c r="B22" s="90" t="s">
        <v>256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9">
        <v>0</v>
      </c>
      <c r="K22" s="138">
        <v>0</v>
      </c>
      <c r="L22" s="138">
        <v>0</v>
      </c>
      <c r="M22" s="138">
        <v>0</v>
      </c>
      <c r="N22" s="138">
        <v>0</v>
      </c>
      <c r="O22" s="91"/>
      <c r="P22" s="138">
        <v>0</v>
      </c>
      <c r="Q22" s="91"/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9">
        <v>0</v>
      </c>
      <c r="X22" s="130">
        <v>0</v>
      </c>
    </row>
    <row r="23" spans="1:24" x14ac:dyDescent="0.3">
      <c r="A23" s="74">
        <v>12126</v>
      </c>
      <c r="B23" s="90" t="s">
        <v>257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9">
        <v>0</v>
      </c>
      <c r="K23" s="138">
        <v>0</v>
      </c>
      <c r="L23" s="138">
        <v>0</v>
      </c>
      <c r="M23" s="138">
        <v>0</v>
      </c>
      <c r="N23" s="138">
        <v>0</v>
      </c>
      <c r="O23" s="91"/>
      <c r="P23" s="138">
        <v>0</v>
      </c>
      <c r="Q23" s="91"/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9">
        <v>0</v>
      </c>
      <c r="X23" s="130">
        <v>0</v>
      </c>
    </row>
    <row r="24" spans="1:24" x14ac:dyDescent="0.3">
      <c r="A24" s="74">
        <v>12127</v>
      </c>
      <c r="B24" s="90" t="s">
        <v>258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9">
        <v>0</v>
      </c>
      <c r="K24" s="138">
        <v>0</v>
      </c>
      <c r="L24" s="138">
        <v>0</v>
      </c>
      <c r="M24" s="138">
        <v>0</v>
      </c>
      <c r="N24" s="138">
        <v>0</v>
      </c>
      <c r="O24" s="91"/>
      <c r="P24" s="138">
        <v>0</v>
      </c>
      <c r="Q24" s="91"/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9">
        <v>0</v>
      </c>
      <c r="X24" s="130">
        <v>0</v>
      </c>
    </row>
    <row r="25" spans="1:24" x14ac:dyDescent="0.3">
      <c r="A25" s="74">
        <v>12130</v>
      </c>
      <c r="B25" s="90" t="s">
        <v>259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9">
        <v>0</v>
      </c>
      <c r="K25" s="138">
        <v>0</v>
      </c>
      <c r="L25" s="138">
        <v>0</v>
      </c>
      <c r="M25" s="138">
        <v>0</v>
      </c>
      <c r="N25" s="138">
        <v>0</v>
      </c>
      <c r="O25" s="91"/>
      <c r="P25" s="138">
        <v>0</v>
      </c>
      <c r="Q25" s="91"/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9">
        <v>0</v>
      </c>
      <c r="X25" s="130">
        <v>0</v>
      </c>
    </row>
    <row r="26" spans="1:24" x14ac:dyDescent="0.3">
      <c r="A26" s="74">
        <v>12188</v>
      </c>
      <c r="B26" s="90" t="s">
        <v>260</v>
      </c>
      <c r="C26" s="138">
        <v>2916216.8600000003</v>
      </c>
      <c r="D26" s="138">
        <v>-0.04</v>
      </c>
      <c r="E26" s="138">
        <v>0</v>
      </c>
      <c r="F26" s="138">
        <v>0</v>
      </c>
      <c r="G26" s="138">
        <v>0</v>
      </c>
      <c r="H26" s="138">
        <v>2916216.8200000003</v>
      </c>
      <c r="I26" s="138">
        <v>2916216.83</v>
      </c>
      <c r="J26" s="139">
        <v>0</v>
      </c>
      <c r="K26" s="138">
        <v>52973.029999999992</v>
      </c>
      <c r="L26" s="138">
        <v>96235.199999999997</v>
      </c>
      <c r="M26" s="138">
        <v>0</v>
      </c>
      <c r="N26" s="138">
        <v>0</v>
      </c>
      <c r="O26" s="91"/>
      <c r="P26" s="138">
        <v>0</v>
      </c>
      <c r="Q26" s="91"/>
      <c r="R26" s="138">
        <v>0</v>
      </c>
      <c r="S26" s="138">
        <v>0</v>
      </c>
      <c r="T26" s="138">
        <v>0</v>
      </c>
      <c r="U26" s="138">
        <v>149208.22999999998</v>
      </c>
      <c r="V26" s="138">
        <v>101090.63</v>
      </c>
      <c r="W26" s="139">
        <v>0</v>
      </c>
      <c r="X26" s="130">
        <v>3.3000000000000002E-2</v>
      </c>
    </row>
    <row r="27" spans="1:24" x14ac:dyDescent="0.3">
      <c r="A27" s="74">
        <v>12199</v>
      </c>
      <c r="B27" s="90" t="s">
        <v>261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9">
        <v>0</v>
      </c>
      <c r="K27" s="138">
        <v>0</v>
      </c>
      <c r="L27" s="138">
        <v>0</v>
      </c>
      <c r="M27" s="138">
        <v>0</v>
      </c>
      <c r="N27" s="138">
        <v>0</v>
      </c>
      <c r="O27" s="91"/>
      <c r="P27" s="138">
        <v>0</v>
      </c>
      <c r="Q27" s="91"/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139">
        <v>0</v>
      </c>
      <c r="X27" s="130">
        <v>0</v>
      </c>
    </row>
    <row r="28" spans="1:24" x14ac:dyDescent="0.3">
      <c r="A28" s="74">
        <v>30300</v>
      </c>
      <c r="B28" s="90" t="s">
        <v>262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9">
        <v>0</v>
      </c>
      <c r="K28" s="138">
        <v>0</v>
      </c>
      <c r="L28" s="138">
        <v>0</v>
      </c>
      <c r="M28" s="138">
        <v>0</v>
      </c>
      <c r="N28" s="138">
        <v>0</v>
      </c>
      <c r="O28" s="91"/>
      <c r="P28" s="138">
        <v>0</v>
      </c>
      <c r="Q28" s="91"/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9">
        <v>0</v>
      </c>
      <c r="X28" s="130">
        <v>0</v>
      </c>
    </row>
    <row r="29" spans="1:24" x14ac:dyDescent="0.3">
      <c r="A29" s="74">
        <v>30301</v>
      </c>
      <c r="B29" s="90" t="s">
        <v>263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9">
        <v>0</v>
      </c>
      <c r="K29" s="138">
        <v>0</v>
      </c>
      <c r="L29" s="138">
        <v>0</v>
      </c>
      <c r="M29" s="138">
        <v>0</v>
      </c>
      <c r="N29" s="138">
        <v>0</v>
      </c>
      <c r="O29" s="91"/>
      <c r="P29" s="138">
        <v>0</v>
      </c>
      <c r="Q29" s="91"/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9">
        <v>0</v>
      </c>
      <c r="X29" s="130">
        <v>0</v>
      </c>
    </row>
    <row r="30" spans="1:24" x14ac:dyDescent="0.3">
      <c r="A30" s="74">
        <v>30302</v>
      </c>
      <c r="B30" s="90" t="s">
        <v>264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9">
        <v>0</v>
      </c>
      <c r="K30" s="138">
        <v>0</v>
      </c>
      <c r="L30" s="138">
        <v>0</v>
      </c>
      <c r="M30" s="138">
        <v>0</v>
      </c>
      <c r="N30" s="138">
        <v>0</v>
      </c>
      <c r="O30" s="91"/>
      <c r="P30" s="138">
        <v>0</v>
      </c>
      <c r="Q30" s="91"/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9">
        <v>0</v>
      </c>
      <c r="X30" s="130">
        <v>0</v>
      </c>
    </row>
    <row r="31" spans="1:24" x14ac:dyDescent="0.3">
      <c r="A31" s="74">
        <v>30315</v>
      </c>
      <c r="B31" s="90" t="s">
        <v>265</v>
      </c>
      <c r="C31" s="138">
        <v>577595317.85000014</v>
      </c>
      <c r="D31" s="138">
        <v>83861887.680000007</v>
      </c>
      <c r="E31" s="138">
        <v>-4800478.3099999996</v>
      </c>
      <c r="F31" s="138">
        <v>0</v>
      </c>
      <c r="G31" s="138">
        <v>0</v>
      </c>
      <c r="H31" s="138">
        <v>656656727.22000027</v>
      </c>
      <c r="I31" s="138">
        <v>596630121.51999998</v>
      </c>
      <c r="J31" s="139">
        <v>0</v>
      </c>
      <c r="K31" s="138">
        <v>176428182.05000007</v>
      </c>
      <c r="L31" s="138">
        <v>39639069.590000004</v>
      </c>
      <c r="M31" s="138">
        <v>-4800478.3099999996</v>
      </c>
      <c r="N31" s="138">
        <v>0</v>
      </c>
      <c r="O31" s="91"/>
      <c r="P31" s="138">
        <v>0</v>
      </c>
      <c r="Q31" s="91"/>
      <c r="R31" s="138">
        <v>0</v>
      </c>
      <c r="S31" s="138">
        <v>0</v>
      </c>
      <c r="T31" s="138">
        <v>0</v>
      </c>
      <c r="U31" s="138">
        <v>211266773.33000007</v>
      </c>
      <c r="V31" s="138">
        <v>192032007.41999999</v>
      </c>
      <c r="W31" s="139">
        <v>0</v>
      </c>
      <c r="X31" s="130">
        <v>6.7000000000000004E-2</v>
      </c>
    </row>
    <row r="32" spans="1:24" x14ac:dyDescent="0.3">
      <c r="A32" s="74">
        <v>30399</v>
      </c>
      <c r="B32" s="90" t="s">
        <v>266</v>
      </c>
      <c r="C32" s="138">
        <v>4620086.03</v>
      </c>
      <c r="D32" s="138">
        <v>0</v>
      </c>
      <c r="E32" s="138">
        <v>0</v>
      </c>
      <c r="F32" s="138">
        <v>0</v>
      </c>
      <c r="G32" s="138">
        <v>0</v>
      </c>
      <c r="H32" s="138">
        <v>4620086.03</v>
      </c>
      <c r="I32" s="138">
        <v>4620086.03</v>
      </c>
      <c r="J32" s="139">
        <v>0</v>
      </c>
      <c r="K32" s="138">
        <v>362891.23999999987</v>
      </c>
      <c r="L32" s="138">
        <v>152462.88</v>
      </c>
      <c r="M32" s="138">
        <v>0</v>
      </c>
      <c r="N32" s="138">
        <v>0</v>
      </c>
      <c r="O32" s="91"/>
      <c r="P32" s="138">
        <v>0</v>
      </c>
      <c r="Q32" s="91"/>
      <c r="R32" s="138">
        <v>0</v>
      </c>
      <c r="S32" s="138">
        <v>0</v>
      </c>
      <c r="T32" s="138">
        <v>0</v>
      </c>
      <c r="U32" s="138">
        <v>515354.11999999988</v>
      </c>
      <c r="V32" s="138">
        <v>439122.68</v>
      </c>
      <c r="W32" s="139">
        <v>0</v>
      </c>
      <c r="X32" s="130">
        <v>3.3000000000000002E-2</v>
      </c>
    </row>
    <row r="33" spans="1:24" x14ac:dyDescent="0.3">
      <c r="A33" s="74">
        <v>31001</v>
      </c>
      <c r="B33" s="90" t="s">
        <v>267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9">
        <v>0</v>
      </c>
      <c r="K33" s="138">
        <v>0</v>
      </c>
      <c r="L33" s="138">
        <v>0</v>
      </c>
      <c r="M33" s="138">
        <v>0</v>
      </c>
      <c r="N33" s="138">
        <v>0</v>
      </c>
      <c r="O33" s="91"/>
      <c r="P33" s="138">
        <v>0</v>
      </c>
      <c r="Q33" s="91"/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9">
        <v>0</v>
      </c>
      <c r="X33" s="130">
        <v>0</v>
      </c>
    </row>
    <row r="34" spans="1:24" x14ac:dyDescent="0.3">
      <c r="A34" s="74">
        <v>31011</v>
      </c>
      <c r="B34" s="90" t="s">
        <v>268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9">
        <v>0</v>
      </c>
      <c r="K34" s="138">
        <v>0</v>
      </c>
      <c r="L34" s="138">
        <v>0</v>
      </c>
      <c r="M34" s="138">
        <v>0</v>
      </c>
      <c r="N34" s="138">
        <v>0</v>
      </c>
      <c r="O34" s="91"/>
      <c r="P34" s="138">
        <v>0</v>
      </c>
      <c r="Q34" s="91"/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9">
        <v>0</v>
      </c>
      <c r="X34" s="130">
        <v>0</v>
      </c>
    </row>
    <row r="35" spans="1:24" x14ac:dyDescent="0.3">
      <c r="A35" s="74">
        <v>31040</v>
      </c>
      <c r="B35" s="90" t="s">
        <v>269</v>
      </c>
      <c r="C35" s="138">
        <v>6923628.5099999998</v>
      </c>
      <c r="D35" s="138">
        <v>0</v>
      </c>
      <c r="E35" s="138">
        <v>0</v>
      </c>
      <c r="F35" s="138">
        <v>0</v>
      </c>
      <c r="G35" s="138">
        <v>0</v>
      </c>
      <c r="H35" s="138">
        <v>6923628.5099999998</v>
      </c>
      <c r="I35" s="138">
        <v>6923628.5099999998</v>
      </c>
      <c r="J35" s="139">
        <v>0</v>
      </c>
      <c r="K35" s="138">
        <v>0</v>
      </c>
      <c r="L35" s="138">
        <v>0</v>
      </c>
      <c r="M35" s="138">
        <v>0</v>
      </c>
      <c r="N35" s="138">
        <v>0</v>
      </c>
      <c r="O35" s="91"/>
      <c r="P35" s="138">
        <v>0</v>
      </c>
      <c r="Q35" s="91"/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9">
        <v>0</v>
      </c>
      <c r="X35" s="130">
        <v>0</v>
      </c>
    </row>
    <row r="36" spans="1:24" x14ac:dyDescent="0.3">
      <c r="A36" s="74">
        <v>31101</v>
      </c>
      <c r="B36" s="90" t="s">
        <v>270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9">
        <v>0</v>
      </c>
      <c r="K36" s="138">
        <v>0</v>
      </c>
      <c r="L36" s="138">
        <v>0</v>
      </c>
      <c r="M36" s="138">
        <v>0</v>
      </c>
      <c r="N36" s="138">
        <v>0</v>
      </c>
      <c r="O36" s="91"/>
      <c r="P36" s="138">
        <v>0</v>
      </c>
      <c r="Q36" s="91"/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9">
        <v>0</v>
      </c>
      <c r="X36" s="130">
        <v>0</v>
      </c>
    </row>
    <row r="37" spans="1:24" x14ac:dyDescent="0.3">
      <c r="A37" s="74">
        <v>31130</v>
      </c>
      <c r="B37" s="90" t="s">
        <v>271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9">
        <v>0</v>
      </c>
      <c r="K37" s="138">
        <v>0</v>
      </c>
      <c r="L37" s="138">
        <v>0</v>
      </c>
      <c r="M37" s="138">
        <v>0</v>
      </c>
      <c r="N37" s="138">
        <v>0</v>
      </c>
      <c r="O37" s="91"/>
      <c r="P37" s="138">
        <v>0</v>
      </c>
      <c r="Q37" s="91"/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9">
        <v>0</v>
      </c>
      <c r="X37" s="130">
        <v>0</v>
      </c>
    </row>
    <row r="38" spans="1:24" x14ac:dyDescent="0.3">
      <c r="A38" s="74">
        <v>31131</v>
      </c>
      <c r="B38" s="90" t="s">
        <v>272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9">
        <v>0</v>
      </c>
      <c r="K38" s="138">
        <v>0</v>
      </c>
      <c r="L38" s="138">
        <v>0</v>
      </c>
      <c r="M38" s="138">
        <v>0</v>
      </c>
      <c r="N38" s="138">
        <v>0</v>
      </c>
      <c r="O38" s="91"/>
      <c r="P38" s="138">
        <v>0</v>
      </c>
      <c r="Q38" s="91"/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9">
        <v>0</v>
      </c>
      <c r="X38" s="130">
        <v>0</v>
      </c>
    </row>
    <row r="39" spans="1:24" x14ac:dyDescent="0.3">
      <c r="A39" s="74">
        <v>31132</v>
      </c>
      <c r="B39" s="90" t="s">
        <v>273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9">
        <v>0</v>
      </c>
      <c r="K39" s="138">
        <v>0</v>
      </c>
      <c r="L39" s="138">
        <v>0</v>
      </c>
      <c r="M39" s="138">
        <v>0</v>
      </c>
      <c r="N39" s="138">
        <v>0</v>
      </c>
      <c r="O39" s="91"/>
      <c r="P39" s="138">
        <v>0</v>
      </c>
      <c r="Q39" s="91"/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39">
        <v>0</v>
      </c>
      <c r="X39" s="130">
        <v>0</v>
      </c>
    </row>
    <row r="40" spans="1:24" x14ac:dyDescent="0.3">
      <c r="A40" s="74">
        <v>31133</v>
      </c>
      <c r="B40" s="90" t="s">
        <v>274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9">
        <v>0</v>
      </c>
      <c r="K40" s="138">
        <v>0</v>
      </c>
      <c r="L40" s="138">
        <v>0</v>
      </c>
      <c r="M40" s="138">
        <v>0</v>
      </c>
      <c r="N40" s="138">
        <v>0</v>
      </c>
      <c r="O40" s="91"/>
      <c r="P40" s="138">
        <v>0</v>
      </c>
      <c r="Q40" s="91"/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9">
        <v>0</v>
      </c>
      <c r="X40" s="130">
        <v>0</v>
      </c>
    </row>
    <row r="41" spans="1:24" x14ac:dyDescent="0.3">
      <c r="A41" s="74">
        <v>31134</v>
      </c>
      <c r="B41" s="90" t="s">
        <v>275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9">
        <v>0</v>
      </c>
      <c r="K41" s="138">
        <v>0</v>
      </c>
      <c r="L41" s="138">
        <v>0</v>
      </c>
      <c r="M41" s="138">
        <v>0</v>
      </c>
      <c r="N41" s="138">
        <v>0</v>
      </c>
      <c r="O41" s="91"/>
      <c r="P41" s="138">
        <v>0</v>
      </c>
      <c r="Q41" s="91"/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9">
        <v>0</v>
      </c>
      <c r="X41" s="130">
        <v>0</v>
      </c>
    </row>
    <row r="42" spans="1:24" x14ac:dyDescent="0.3">
      <c r="A42" s="74">
        <v>31140</v>
      </c>
      <c r="B42" s="90" t="s">
        <v>276</v>
      </c>
      <c r="C42" s="138">
        <v>280963525.30000001</v>
      </c>
      <c r="D42" s="138">
        <v>0</v>
      </c>
      <c r="E42" s="138">
        <v>0</v>
      </c>
      <c r="F42" s="138">
        <v>0</v>
      </c>
      <c r="G42" s="138">
        <v>0</v>
      </c>
      <c r="H42" s="138">
        <v>280963525.30000001</v>
      </c>
      <c r="I42" s="138">
        <v>280963525.30000001</v>
      </c>
      <c r="J42" s="139">
        <v>0</v>
      </c>
      <c r="K42" s="138">
        <v>72424455.289999992</v>
      </c>
      <c r="L42" s="138">
        <v>7080280.7999999998</v>
      </c>
      <c r="M42" s="138">
        <v>0</v>
      </c>
      <c r="N42" s="138">
        <v>0</v>
      </c>
      <c r="O42" s="91"/>
      <c r="P42" s="138">
        <v>0</v>
      </c>
      <c r="Q42" s="91"/>
      <c r="R42" s="138">
        <v>0</v>
      </c>
      <c r="S42" s="138">
        <v>0</v>
      </c>
      <c r="T42" s="138">
        <v>0</v>
      </c>
      <c r="U42" s="138">
        <v>79504736.089999989</v>
      </c>
      <c r="V42" s="138">
        <v>75964595.689999998</v>
      </c>
      <c r="W42" s="139">
        <v>0</v>
      </c>
      <c r="X42" s="130">
        <v>2.52E-2</v>
      </c>
    </row>
    <row r="43" spans="1:24" x14ac:dyDescent="0.3">
      <c r="A43" s="74">
        <v>31141</v>
      </c>
      <c r="B43" s="90" t="s">
        <v>277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9">
        <v>0</v>
      </c>
      <c r="K43" s="138">
        <v>0</v>
      </c>
      <c r="L43" s="138">
        <v>0</v>
      </c>
      <c r="M43" s="138">
        <v>0</v>
      </c>
      <c r="N43" s="138">
        <v>0</v>
      </c>
      <c r="O43" s="91"/>
      <c r="P43" s="138">
        <v>0</v>
      </c>
      <c r="Q43" s="91"/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9">
        <v>0</v>
      </c>
      <c r="X43" s="130">
        <v>0</v>
      </c>
    </row>
    <row r="44" spans="1:24" x14ac:dyDescent="0.3">
      <c r="A44" s="74">
        <v>31142</v>
      </c>
      <c r="B44" s="90" t="s">
        <v>278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9">
        <v>0</v>
      </c>
      <c r="K44" s="138">
        <v>0</v>
      </c>
      <c r="L44" s="138">
        <v>0</v>
      </c>
      <c r="M44" s="138">
        <v>0</v>
      </c>
      <c r="N44" s="138">
        <v>0</v>
      </c>
      <c r="O44" s="91"/>
      <c r="P44" s="138">
        <v>0</v>
      </c>
      <c r="Q44" s="91"/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139">
        <v>0</v>
      </c>
      <c r="X44" s="130">
        <v>0</v>
      </c>
    </row>
    <row r="45" spans="1:24" x14ac:dyDescent="0.3">
      <c r="A45" s="74">
        <v>31143</v>
      </c>
      <c r="B45" s="90" t="s">
        <v>279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9">
        <v>0</v>
      </c>
      <c r="K45" s="138">
        <v>0</v>
      </c>
      <c r="L45" s="138">
        <v>0</v>
      </c>
      <c r="M45" s="138">
        <v>0</v>
      </c>
      <c r="N45" s="138">
        <v>0</v>
      </c>
      <c r="O45" s="91"/>
      <c r="P45" s="138">
        <v>0</v>
      </c>
      <c r="Q45" s="91"/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9">
        <v>0</v>
      </c>
      <c r="X45" s="130">
        <v>0</v>
      </c>
    </row>
    <row r="46" spans="1:24" x14ac:dyDescent="0.3">
      <c r="A46" s="74">
        <v>31144</v>
      </c>
      <c r="B46" s="90" t="s">
        <v>280</v>
      </c>
      <c r="C46" s="138">
        <v>55902236.31000001</v>
      </c>
      <c r="D46" s="138">
        <v>0</v>
      </c>
      <c r="E46" s="138">
        <v>0</v>
      </c>
      <c r="F46" s="138">
        <v>0</v>
      </c>
      <c r="G46" s="138">
        <v>0</v>
      </c>
      <c r="H46" s="138">
        <v>55902236.31000001</v>
      </c>
      <c r="I46" s="138">
        <v>55902236.310000002</v>
      </c>
      <c r="J46" s="139">
        <v>0</v>
      </c>
      <c r="K46" s="138">
        <v>27319473.670000017</v>
      </c>
      <c r="L46" s="138">
        <v>1950988.08</v>
      </c>
      <c r="M46" s="138">
        <v>0</v>
      </c>
      <c r="N46" s="138">
        <v>0</v>
      </c>
      <c r="O46" s="91"/>
      <c r="P46" s="138">
        <v>0</v>
      </c>
      <c r="Q46" s="91"/>
      <c r="R46" s="138">
        <v>0</v>
      </c>
      <c r="S46" s="138">
        <v>0</v>
      </c>
      <c r="T46" s="138">
        <v>0</v>
      </c>
      <c r="U46" s="138">
        <v>29270461.750000015</v>
      </c>
      <c r="V46" s="138">
        <v>28294967.710000001</v>
      </c>
      <c r="W46" s="139">
        <v>0</v>
      </c>
      <c r="X46" s="130">
        <v>3.49E-2</v>
      </c>
    </row>
    <row r="47" spans="1:24" x14ac:dyDescent="0.3">
      <c r="A47" s="74">
        <v>31145</v>
      </c>
      <c r="B47" s="90" t="s">
        <v>281</v>
      </c>
      <c r="C47" s="138">
        <v>31998663.150000006</v>
      </c>
      <c r="D47" s="138">
        <v>0</v>
      </c>
      <c r="E47" s="138">
        <v>0</v>
      </c>
      <c r="F47" s="138">
        <v>0</v>
      </c>
      <c r="G47" s="138">
        <v>0</v>
      </c>
      <c r="H47" s="138">
        <v>31998663.150000006</v>
      </c>
      <c r="I47" s="138">
        <v>31998663.149999999</v>
      </c>
      <c r="J47" s="139">
        <v>0</v>
      </c>
      <c r="K47" s="138">
        <v>19373050.54000001</v>
      </c>
      <c r="L47" s="138">
        <v>1116753.3600000001</v>
      </c>
      <c r="M47" s="138">
        <v>0</v>
      </c>
      <c r="N47" s="138">
        <v>0</v>
      </c>
      <c r="O47" s="91"/>
      <c r="P47" s="138">
        <v>0</v>
      </c>
      <c r="Q47" s="91"/>
      <c r="R47" s="138">
        <v>0</v>
      </c>
      <c r="S47" s="138">
        <v>0</v>
      </c>
      <c r="T47" s="138">
        <v>0</v>
      </c>
      <c r="U47" s="138">
        <v>20489803.90000001</v>
      </c>
      <c r="V47" s="138">
        <v>19931427.219999999</v>
      </c>
      <c r="W47" s="139">
        <v>0</v>
      </c>
      <c r="X47" s="130">
        <v>3.49E-2</v>
      </c>
    </row>
    <row r="48" spans="1:24" x14ac:dyDescent="0.3">
      <c r="A48" s="74">
        <v>31146</v>
      </c>
      <c r="B48" s="90" t="s">
        <v>282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9">
        <v>0</v>
      </c>
      <c r="K48" s="138">
        <v>0</v>
      </c>
      <c r="L48" s="138">
        <v>0</v>
      </c>
      <c r="M48" s="138">
        <v>0</v>
      </c>
      <c r="N48" s="138">
        <v>0</v>
      </c>
      <c r="O48" s="91"/>
      <c r="P48" s="138">
        <v>0</v>
      </c>
      <c r="Q48" s="91"/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39">
        <v>0</v>
      </c>
      <c r="X48" s="130">
        <v>0</v>
      </c>
    </row>
    <row r="49" spans="1:24" x14ac:dyDescent="0.3">
      <c r="A49" s="74">
        <v>31151</v>
      </c>
      <c r="B49" s="90" t="s">
        <v>283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9">
        <v>0</v>
      </c>
      <c r="K49" s="138">
        <v>0</v>
      </c>
      <c r="L49" s="138">
        <v>0</v>
      </c>
      <c r="M49" s="138">
        <v>0</v>
      </c>
      <c r="N49" s="138">
        <v>0</v>
      </c>
      <c r="O49" s="91"/>
      <c r="P49" s="138">
        <v>0</v>
      </c>
      <c r="Q49" s="91"/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9">
        <v>0</v>
      </c>
      <c r="X49" s="130">
        <v>0</v>
      </c>
    </row>
    <row r="50" spans="1:24" x14ac:dyDescent="0.3">
      <c r="A50" s="74">
        <v>31152</v>
      </c>
      <c r="B50" s="90" t="s">
        <v>284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9">
        <v>0</v>
      </c>
      <c r="K50" s="138">
        <v>0</v>
      </c>
      <c r="L50" s="138">
        <v>0</v>
      </c>
      <c r="M50" s="138">
        <v>0</v>
      </c>
      <c r="N50" s="138">
        <v>0</v>
      </c>
      <c r="O50" s="91"/>
      <c r="P50" s="138">
        <v>0</v>
      </c>
      <c r="Q50" s="91"/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39">
        <v>0</v>
      </c>
      <c r="X50" s="130">
        <v>0</v>
      </c>
    </row>
    <row r="51" spans="1:24" x14ac:dyDescent="0.3">
      <c r="A51" s="74">
        <v>31153</v>
      </c>
      <c r="B51" s="90" t="s">
        <v>285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9">
        <v>0</v>
      </c>
      <c r="K51" s="138">
        <v>0</v>
      </c>
      <c r="L51" s="138">
        <v>0</v>
      </c>
      <c r="M51" s="138">
        <v>0</v>
      </c>
      <c r="N51" s="138">
        <v>0</v>
      </c>
      <c r="O51" s="91"/>
      <c r="P51" s="138">
        <v>0</v>
      </c>
      <c r="Q51" s="91"/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30">
        <v>0</v>
      </c>
    </row>
    <row r="52" spans="1:24" x14ac:dyDescent="0.3">
      <c r="A52" s="74">
        <v>31154</v>
      </c>
      <c r="B52" s="90" t="s">
        <v>286</v>
      </c>
      <c r="C52" s="138">
        <v>16995428.25</v>
      </c>
      <c r="D52" s="138">
        <v>0</v>
      </c>
      <c r="E52" s="138">
        <v>0</v>
      </c>
      <c r="F52" s="138">
        <v>0</v>
      </c>
      <c r="G52" s="138">
        <v>0</v>
      </c>
      <c r="H52" s="138">
        <v>16995428.25</v>
      </c>
      <c r="I52" s="138">
        <v>16995428.25</v>
      </c>
      <c r="J52" s="139">
        <v>0</v>
      </c>
      <c r="K52" s="138">
        <v>7340803.75</v>
      </c>
      <c r="L52" s="138">
        <v>593140.43999999994</v>
      </c>
      <c r="M52" s="138">
        <v>0</v>
      </c>
      <c r="N52" s="138">
        <v>0</v>
      </c>
      <c r="O52" s="91"/>
      <c r="P52" s="138">
        <v>0</v>
      </c>
      <c r="Q52" s="91"/>
      <c r="R52" s="138">
        <v>0</v>
      </c>
      <c r="S52" s="138">
        <v>0</v>
      </c>
      <c r="T52" s="138">
        <v>0</v>
      </c>
      <c r="U52" s="138">
        <v>7933944.1899999995</v>
      </c>
      <c r="V52" s="138">
        <v>7637373.9699999997</v>
      </c>
      <c r="W52" s="139">
        <v>0</v>
      </c>
      <c r="X52" s="130">
        <v>3.49E-2</v>
      </c>
    </row>
    <row r="53" spans="1:24" x14ac:dyDescent="0.3">
      <c r="A53" s="74">
        <v>31175</v>
      </c>
      <c r="B53" s="90" t="s">
        <v>287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9">
        <v>0</v>
      </c>
      <c r="K53" s="138">
        <v>0</v>
      </c>
      <c r="L53" s="138">
        <v>0</v>
      </c>
      <c r="M53" s="138">
        <v>0</v>
      </c>
      <c r="N53" s="138">
        <v>0</v>
      </c>
      <c r="O53" s="91"/>
      <c r="P53" s="138">
        <v>0</v>
      </c>
      <c r="Q53" s="91"/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9">
        <v>0</v>
      </c>
      <c r="X53" s="130">
        <v>0</v>
      </c>
    </row>
    <row r="54" spans="1:24" x14ac:dyDescent="0.3">
      <c r="A54" s="74">
        <v>31178</v>
      </c>
      <c r="B54" s="90" t="s">
        <v>288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9">
        <v>0</v>
      </c>
      <c r="K54" s="138">
        <v>0</v>
      </c>
      <c r="L54" s="138">
        <v>0</v>
      </c>
      <c r="M54" s="138">
        <v>0</v>
      </c>
      <c r="N54" s="138">
        <v>0</v>
      </c>
      <c r="O54" s="91"/>
      <c r="P54" s="138">
        <v>0</v>
      </c>
      <c r="Q54" s="91"/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9">
        <v>0</v>
      </c>
      <c r="X54" s="130">
        <v>0</v>
      </c>
    </row>
    <row r="55" spans="1:24" x14ac:dyDescent="0.3">
      <c r="A55" s="74">
        <v>31179</v>
      </c>
      <c r="B55" s="90" t="s">
        <v>289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9">
        <v>0</v>
      </c>
      <c r="K55" s="138">
        <v>0</v>
      </c>
      <c r="L55" s="138">
        <v>0</v>
      </c>
      <c r="M55" s="138">
        <v>0</v>
      </c>
      <c r="N55" s="138">
        <v>0</v>
      </c>
      <c r="O55" s="91"/>
      <c r="P55" s="138">
        <v>0</v>
      </c>
      <c r="Q55" s="91"/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9">
        <v>0</v>
      </c>
      <c r="X55" s="130">
        <v>0</v>
      </c>
    </row>
    <row r="56" spans="1:24" x14ac:dyDescent="0.3">
      <c r="A56" s="74">
        <v>31230</v>
      </c>
      <c r="B56" s="90" t="s">
        <v>290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138">
        <v>0</v>
      </c>
      <c r="J56" s="139">
        <v>0</v>
      </c>
      <c r="K56" s="138">
        <v>0</v>
      </c>
      <c r="L56" s="138">
        <v>0</v>
      </c>
      <c r="M56" s="138">
        <v>0</v>
      </c>
      <c r="N56" s="138">
        <v>0</v>
      </c>
      <c r="O56" s="91"/>
      <c r="P56" s="138">
        <v>0</v>
      </c>
      <c r="Q56" s="91"/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9">
        <v>0</v>
      </c>
      <c r="X56" s="130">
        <v>0</v>
      </c>
    </row>
    <row r="57" spans="1:24" x14ac:dyDescent="0.3">
      <c r="A57" s="74">
        <v>31231</v>
      </c>
      <c r="B57" s="90" t="s">
        <v>291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9">
        <v>0</v>
      </c>
      <c r="K57" s="138">
        <v>0</v>
      </c>
      <c r="L57" s="138">
        <v>0</v>
      </c>
      <c r="M57" s="138">
        <v>0</v>
      </c>
      <c r="N57" s="138">
        <v>0</v>
      </c>
      <c r="O57" s="91"/>
      <c r="P57" s="138">
        <v>0</v>
      </c>
      <c r="Q57" s="91"/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9">
        <v>0</v>
      </c>
      <c r="X57" s="130">
        <v>0</v>
      </c>
    </row>
    <row r="58" spans="1:24" x14ac:dyDescent="0.3">
      <c r="A58" s="74">
        <v>31232</v>
      </c>
      <c r="B58" s="90" t="s">
        <v>292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9">
        <v>0</v>
      </c>
      <c r="K58" s="138">
        <v>0</v>
      </c>
      <c r="L58" s="138">
        <v>0</v>
      </c>
      <c r="M58" s="138">
        <v>0</v>
      </c>
      <c r="N58" s="138">
        <v>0</v>
      </c>
      <c r="O58" s="91"/>
      <c r="P58" s="138">
        <v>0</v>
      </c>
      <c r="Q58" s="91"/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9">
        <v>0</v>
      </c>
      <c r="X58" s="130">
        <v>0</v>
      </c>
    </row>
    <row r="59" spans="1:24" x14ac:dyDescent="0.3">
      <c r="A59" s="74">
        <v>31240</v>
      </c>
      <c r="B59" s="90" t="s">
        <v>293</v>
      </c>
      <c r="C59" s="138">
        <v>197728668.46999997</v>
      </c>
      <c r="D59" s="138">
        <v>5357065.62</v>
      </c>
      <c r="E59" s="138">
        <v>-1071413.0900000001</v>
      </c>
      <c r="F59" s="138">
        <v>0</v>
      </c>
      <c r="G59" s="138">
        <v>0</v>
      </c>
      <c r="H59" s="138">
        <v>202014320.99999997</v>
      </c>
      <c r="I59" s="138">
        <v>199557615.38999999</v>
      </c>
      <c r="J59" s="139">
        <v>0</v>
      </c>
      <c r="K59" s="138">
        <v>50486989.93500001</v>
      </c>
      <c r="L59" s="138">
        <v>7595345.1100000003</v>
      </c>
      <c r="M59" s="138">
        <v>-1071413.0900000001</v>
      </c>
      <c r="N59" s="138">
        <v>-548245.75</v>
      </c>
      <c r="O59" s="91"/>
      <c r="P59" s="138">
        <v>0</v>
      </c>
      <c r="Q59" s="91"/>
      <c r="R59" s="138">
        <v>0</v>
      </c>
      <c r="S59" s="138">
        <v>0</v>
      </c>
      <c r="T59" s="138">
        <v>0</v>
      </c>
      <c r="U59" s="138">
        <v>56462676.205000006</v>
      </c>
      <c r="V59" s="138">
        <v>53547756.219999999</v>
      </c>
      <c r="W59" s="139">
        <v>4.999987781047821E-3</v>
      </c>
      <c r="X59" s="130">
        <v>3.8100000000000002E-2</v>
      </c>
    </row>
    <row r="60" spans="1:24" x14ac:dyDescent="0.3">
      <c r="A60" s="74">
        <v>31241</v>
      </c>
      <c r="B60" s="90" t="s">
        <v>294</v>
      </c>
      <c r="C60" s="138">
        <v>0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138">
        <v>0</v>
      </c>
      <c r="J60" s="139">
        <v>0</v>
      </c>
      <c r="K60" s="138">
        <v>0</v>
      </c>
      <c r="L60" s="138">
        <v>0</v>
      </c>
      <c r="M60" s="138">
        <v>0</v>
      </c>
      <c r="N60" s="138">
        <v>0</v>
      </c>
      <c r="O60" s="91"/>
      <c r="P60" s="138">
        <v>0</v>
      </c>
      <c r="Q60" s="91"/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30">
        <v>0</v>
      </c>
    </row>
    <row r="61" spans="1:24" x14ac:dyDescent="0.3">
      <c r="A61" s="74">
        <v>31242</v>
      </c>
      <c r="B61" s="90" t="s">
        <v>295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9">
        <v>0</v>
      </c>
      <c r="K61" s="138">
        <v>0</v>
      </c>
      <c r="L61" s="138">
        <v>0</v>
      </c>
      <c r="M61" s="138">
        <v>0</v>
      </c>
      <c r="N61" s="138">
        <v>0</v>
      </c>
      <c r="O61" s="91"/>
      <c r="P61" s="138">
        <v>0</v>
      </c>
      <c r="Q61" s="91"/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9">
        <v>0</v>
      </c>
      <c r="X61" s="130">
        <v>0</v>
      </c>
    </row>
    <row r="62" spans="1:24" x14ac:dyDescent="0.3">
      <c r="A62" s="74">
        <v>31243</v>
      </c>
      <c r="B62" s="90" t="s">
        <v>296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9">
        <v>0</v>
      </c>
      <c r="K62" s="138">
        <v>0</v>
      </c>
      <c r="L62" s="138">
        <v>0</v>
      </c>
      <c r="M62" s="138">
        <v>0</v>
      </c>
      <c r="N62" s="138">
        <v>0</v>
      </c>
      <c r="O62" s="91"/>
      <c r="P62" s="138">
        <v>0</v>
      </c>
      <c r="Q62" s="91"/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9">
        <v>0</v>
      </c>
      <c r="X62" s="130">
        <v>0</v>
      </c>
    </row>
    <row r="63" spans="1:24" x14ac:dyDescent="0.3">
      <c r="A63" s="74">
        <v>31244</v>
      </c>
      <c r="B63" s="90" t="s">
        <v>297</v>
      </c>
      <c r="C63" s="138">
        <v>315953309.90499985</v>
      </c>
      <c r="D63" s="138">
        <v>3285059.34</v>
      </c>
      <c r="E63" s="138">
        <v>-657011.86</v>
      </c>
      <c r="F63" s="138">
        <v>0</v>
      </c>
      <c r="G63" s="138">
        <v>0</v>
      </c>
      <c r="H63" s="138">
        <v>318581357.38499981</v>
      </c>
      <c r="I63" s="138">
        <v>316923751.88999999</v>
      </c>
      <c r="J63" s="139">
        <v>0</v>
      </c>
      <c r="K63" s="138">
        <v>117102393.98499998</v>
      </c>
      <c r="L63" s="138">
        <v>17043066.280000001</v>
      </c>
      <c r="M63" s="138">
        <v>-657011.86</v>
      </c>
      <c r="N63" s="138">
        <v>-302050.63</v>
      </c>
      <c r="O63" s="91"/>
      <c r="P63" s="138">
        <v>0</v>
      </c>
      <c r="Q63" s="91"/>
      <c r="R63" s="138">
        <v>0</v>
      </c>
      <c r="S63" s="138">
        <v>0</v>
      </c>
      <c r="T63" s="138">
        <v>0</v>
      </c>
      <c r="U63" s="138">
        <v>133186397.77499999</v>
      </c>
      <c r="V63" s="138">
        <v>125203501.81999999</v>
      </c>
      <c r="W63" s="139">
        <v>0</v>
      </c>
      <c r="X63" s="130">
        <v>5.3800000000000001E-2</v>
      </c>
    </row>
    <row r="64" spans="1:24" x14ac:dyDescent="0.3">
      <c r="A64" s="74">
        <v>31245</v>
      </c>
      <c r="B64" s="90" t="s">
        <v>298</v>
      </c>
      <c r="C64" s="138">
        <v>197144713.0399999</v>
      </c>
      <c r="D64" s="138">
        <v>575002.88</v>
      </c>
      <c r="E64" s="138">
        <v>-115000.58</v>
      </c>
      <c r="F64" s="138">
        <v>0</v>
      </c>
      <c r="G64" s="138">
        <v>0</v>
      </c>
      <c r="H64" s="138">
        <v>197604715.33999988</v>
      </c>
      <c r="I64" s="138">
        <v>197292965.18000001</v>
      </c>
      <c r="J64" s="139">
        <v>-4.999995231628418E-3</v>
      </c>
      <c r="K64" s="138">
        <v>80754234.110000014</v>
      </c>
      <c r="L64" s="138">
        <v>10612963.85</v>
      </c>
      <c r="M64" s="138">
        <v>-115000.58</v>
      </c>
      <c r="N64" s="138">
        <v>-7869.48</v>
      </c>
      <c r="O64" s="91"/>
      <c r="P64" s="138">
        <v>0</v>
      </c>
      <c r="Q64" s="91"/>
      <c r="R64" s="138">
        <v>0</v>
      </c>
      <c r="S64" s="138">
        <v>0</v>
      </c>
      <c r="T64" s="138">
        <v>0</v>
      </c>
      <c r="U64" s="138">
        <v>91244327.900000006</v>
      </c>
      <c r="V64" s="138">
        <v>86017606.680000007</v>
      </c>
      <c r="W64" s="139">
        <v>0</v>
      </c>
      <c r="X64" s="130">
        <v>5.3800000000000001E-2</v>
      </c>
    </row>
    <row r="65" spans="1:24" x14ac:dyDescent="0.3">
      <c r="A65" s="74">
        <v>31246</v>
      </c>
      <c r="B65" s="90" t="s">
        <v>299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9">
        <v>0</v>
      </c>
      <c r="K65" s="138">
        <v>0</v>
      </c>
      <c r="L65" s="138">
        <v>0</v>
      </c>
      <c r="M65" s="138">
        <v>0</v>
      </c>
      <c r="N65" s="138">
        <v>0</v>
      </c>
      <c r="O65" s="91"/>
      <c r="P65" s="138">
        <v>0</v>
      </c>
      <c r="Q65" s="91"/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9">
        <v>0</v>
      </c>
      <c r="X65" s="130">
        <v>0</v>
      </c>
    </row>
    <row r="66" spans="1:24" x14ac:dyDescent="0.3">
      <c r="A66" s="74">
        <v>31247</v>
      </c>
      <c r="B66" s="90" t="s">
        <v>300</v>
      </c>
      <c r="C66" s="138">
        <v>10156523.809999999</v>
      </c>
      <c r="D66" s="138">
        <v>0</v>
      </c>
      <c r="E66" s="138">
        <v>0</v>
      </c>
      <c r="F66" s="138">
        <v>0</v>
      </c>
      <c r="G66" s="138">
        <v>0</v>
      </c>
      <c r="H66" s="138">
        <v>10156523.809999999</v>
      </c>
      <c r="I66" s="138">
        <v>10156523.810000001</v>
      </c>
      <c r="J66" s="139">
        <v>0</v>
      </c>
      <c r="K66" s="138">
        <v>10187109.649999999</v>
      </c>
      <c r="L66" s="138">
        <v>0</v>
      </c>
      <c r="M66" s="138">
        <v>0</v>
      </c>
      <c r="N66" s="138">
        <v>0</v>
      </c>
      <c r="O66" s="91"/>
      <c r="P66" s="138">
        <v>0</v>
      </c>
      <c r="Q66" s="91"/>
      <c r="R66" s="138">
        <v>0</v>
      </c>
      <c r="S66" s="138">
        <v>0</v>
      </c>
      <c r="T66" s="138">
        <v>0</v>
      </c>
      <c r="U66" s="138">
        <v>10187109.649999999</v>
      </c>
      <c r="V66" s="138">
        <v>10187109.65</v>
      </c>
      <c r="W66" s="139">
        <v>0</v>
      </c>
      <c r="X66" s="130">
        <v>0.2</v>
      </c>
    </row>
    <row r="67" spans="1:24" x14ac:dyDescent="0.3">
      <c r="A67" s="74">
        <v>31251</v>
      </c>
      <c r="B67" s="90" t="s">
        <v>301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138">
        <v>0</v>
      </c>
      <c r="J67" s="139">
        <v>0</v>
      </c>
      <c r="K67" s="138">
        <v>0</v>
      </c>
      <c r="L67" s="138">
        <v>0</v>
      </c>
      <c r="M67" s="138">
        <v>0</v>
      </c>
      <c r="N67" s="138">
        <v>0</v>
      </c>
      <c r="O67" s="91"/>
      <c r="P67" s="138">
        <v>0</v>
      </c>
      <c r="Q67" s="91"/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9">
        <v>0</v>
      </c>
      <c r="X67" s="130">
        <v>0</v>
      </c>
    </row>
    <row r="68" spans="1:24" x14ac:dyDescent="0.3">
      <c r="A68" s="74">
        <v>31252</v>
      </c>
      <c r="B68" s="90" t="s">
        <v>302</v>
      </c>
      <c r="C68" s="138">
        <v>0</v>
      </c>
      <c r="D68" s="138">
        <v>0</v>
      </c>
      <c r="E68" s="138">
        <v>0</v>
      </c>
      <c r="F68" s="138">
        <v>0</v>
      </c>
      <c r="G68" s="138">
        <v>0</v>
      </c>
      <c r="H68" s="138">
        <v>0</v>
      </c>
      <c r="I68" s="138">
        <v>0</v>
      </c>
      <c r="J68" s="139">
        <v>0</v>
      </c>
      <c r="K68" s="138">
        <v>0</v>
      </c>
      <c r="L68" s="138">
        <v>0</v>
      </c>
      <c r="M68" s="138">
        <v>0</v>
      </c>
      <c r="N68" s="138">
        <v>0</v>
      </c>
      <c r="O68" s="91"/>
      <c r="P68" s="138">
        <v>0</v>
      </c>
      <c r="Q68" s="91"/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9">
        <v>0</v>
      </c>
      <c r="X68" s="130">
        <v>0</v>
      </c>
    </row>
    <row r="69" spans="1:24" x14ac:dyDescent="0.3">
      <c r="A69" s="74">
        <v>31253</v>
      </c>
      <c r="B69" s="90" t="s">
        <v>303</v>
      </c>
      <c r="C69" s="138">
        <v>0</v>
      </c>
      <c r="D69" s="138">
        <v>0</v>
      </c>
      <c r="E69" s="138">
        <v>0</v>
      </c>
      <c r="F69" s="138">
        <v>0</v>
      </c>
      <c r="G69" s="138">
        <v>0</v>
      </c>
      <c r="H69" s="138">
        <v>0</v>
      </c>
      <c r="I69" s="138">
        <v>0</v>
      </c>
      <c r="J69" s="139">
        <v>0</v>
      </c>
      <c r="K69" s="138">
        <v>0</v>
      </c>
      <c r="L69" s="138">
        <v>0</v>
      </c>
      <c r="M69" s="138">
        <v>0</v>
      </c>
      <c r="N69" s="138">
        <v>0</v>
      </c>
      <c r="O69" s="91"/>
      <c r="P69" s="138">
        <v>0</v>
      </c>
      <c r="Q69" s="91"/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9">
        <v>0</v>
      </c>
      <c r="X69" s="130">
        <v>0</v>
      </c>
    </row>
    <row r="70" spans="1:24" x14ac:dyDescent="0.3">
      <c r="A70" s="74">
        <v>31254</v>
      </c>
      <c r="B70" s="90" t="s">
        <v>304</v>
      </c>
      <c r="C70" s="138">
        <v>40267602.585000001</v>
      </c>
      <c r="D70" s="138">
        <v>0</v>
      </c>
      <c r="E70" s="138">
        <v>0</v>
      </c>
      <c r="F70" s="138">
        <v>0</v>
      </c>
      <c r="G70" s="138">
        <v>0</v>
      </c>
      <c r="H70" s="138">
        <v>40267602.585000001</v>
      </c>
      <c r="I70" s="138">
        <v>40267602.590000004</v>
      </c>
      <c r="J70" s="139">
        <v>0</v>
      </c>
      <c r="K70" s="138">
        <v>16146175.740000011</v>
      </c>
      <c r="L70" s="138">
        <v>2166396.96</v>
      </c>
      <c r="M70" s="138">
        <v>0</v>
      </c>
      <c r="N70" s="138">
        <v>0</v>
      </c>
      <c r="O70" s="91"/>
      <c r="P70" s="138">
        <v>0</v>
      </c>
      <c r="Q70" s="91"/>
      <c r="R70" s="138">
        <v>0</v>
      </c>
      <c r="S70" s="138">
        <v>0</v>
      </c>
      <c r="T70" s="138">
        <v>0</v>
      </c>
      <c r="U70" s="138">
        <v>18312572.70000001</v>
      </c>
      <c r="V70" s="138">
        <v>17229374.219999999</v>
      </c>
      <c r="W70" s="139">
        <v>0</v>
      </c>
      <c r="X70" s="130">
        <v>5.3800000000000001E-2</v>
      </c>
    </row>
    <row r="71" spans="1:24" x14ac:dyDescent="0.3">
      <c r="A71" s="74">
        <v>31275</v>
      </c>
      <c r="B71" s="90" t="s">
        <v>305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0</v>
      </c>
      <c r="J71" s="139">
        <v>0</v>
      </c>
      <c r="K71" s="138">
        <v>0</v>
      </c>
      <c r="L71" s="138">
        <v>0</v>
      </c>
      <c r="M71" s="138">
        <v>0</v>
      </c>
      <c r="N71" s="138">
        <v>0</v>
      </c>
      <c r="O71" s="91"/>
      <c r="P71" s="138">
        <v>0</v>
      </c>
      <c r="Q71" s="91"/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9">
        <v>0</v>
      </c>
      <c r="X71" s="130">
        <v>0</v>
      </c>
    </row>
    <row r="72" spans="1:24" x14ac:dyDescent="0.3">
      <c r="A72" s="74">
        <v>31430</v>
      </c>
      <c r="B72" s="90" t="s">
        <v>306</v>
      </c>
      <c r="C72" s="138">
        <v>0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  <c r="J72" s="139">
        <v>0</v>
      </c>
      <c r="K72" s="138">
        <v>0</v>
      </c>
      <c r="L72" s="138">
        <v>0</v>
      </c>
      <c r="M72" s="138">
        <v>0</v>
      </c>
      <c r="N72" s="138">
        <v>0</v>
      </c>
      <c r="O72" s="91"/>
      <c r="P72" s="138">
        <v>0</v>
      </c>
      <c r="Q72" s="91"/>
      <c r="R72" s="138">
        <v>0</v>
      </c>
      <c r="S72" s="138">
        <v>0</v>
      </c>
      <c r="T72" s="138">
        <v>0</v>
      </c>
      <c r="U72" s="138">
        <v>0</v>
      </c>
      <c r="V72" s="138">
        <v>0</v>
      </c>
      <c r="W72" s="139">
        <v>0</v>
      </c>
      <c r="X72" s="130">
        <v>0</v>
      </c>
    </row>
    <row r="73" spans="1:24" x14ac:dyDescent="0.3">
      <c r="A73" s="74">
        <v>31431</v>
      </c>
      <c r="B73" s="90" t="s">
        <v>307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9">
        <v>0</v>
      </c>
      <c r="K73" s="138">
        <v>0</v>
      </c>
      <c r="L73" s="138">
        <v>0</v>
      </c>
      <c r="M73" s="138">
        <v>0</v>
      </c>
      <c r="N73" s="138">
        <v>0</v>
      </c>
      <c r="O73" s="91"/>
      <c r="P73" s="138">
        <v>0</v>
      </c>
      <c r="Q73" s="91"/>
      <c r="R73" s="138">
        <v>0</v>
      </c>
      <c r="S73" s="138">
        <v>0</v>
      </c>
      <c r="T73" s="138">
        <v>0</v>
      </c>
      <c r="U73" s="138">
        <v>0</v>
      </c>
      <c r="V73" s="138">
        <v>0</v>
      </c>
      <c r="W73" s="139">
        <v>0</v>
      </c>
      <c r="X73" s="130">
        <v>0</v>
      </c>
    </row>
    <row r="74" spans="1:24" x14ac:dyDescent="0.3">
      <c r="A74" s="74">
        <v>31432</v>
      </c>
      <c r="B74" s="90" t="s">
        <v>308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9">
        <v>0</v>
      </c>
      <c r="K74" s="138">
        <v>0</v>
      </c>
      <c r="L74" s="138">
        <v>0</v>
      </c>
      <c r="M74" s="138">
        <v>0</v>
      </c>
      <c r="N74" s="138">
        <v>0</v>
      </c>
      <c r="O74" s="91"/>
      <c r="P74" s="138">
        <v>0</v>
      </c>
      <c r="Q74" s="91"/>
      <c r="R74" s="138">
        <v>0</v>
      </c>
      <c r="S74" s="138">
        <v>0</v>
      </c>
      <c r="T74" s="138">
        <v>0</v>
      </c>
      <c r="U74" s="138">
        <v>0</v>
      </c>
      <c r="V74" s="138">
        <v>0</v>
      </c>
      <c r="W74" s="139">
        <v>0</v>
      </c>
      <c r="X74" s="130">
        <v>0</v>
      </c>
    </row>
    <row r="75" spans="1:24" x14ac:dyDescent="0.3">
      <c r="A75" s="74">
        <v>31433</v>
      </c>
      <c r="B75" s="90" t="s">
        <v>309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138">
        <v>0</v>
      </c>
      <c r="J75" s="139">
        <v>0</v>
      </c>
      <c r="K75" s="138">
        <v>0</v>
      </c>
      <c r="L75" s="138">
        <v>0</v>
      </c>
      <c r="M75" s="138">
        <v>0</v>
      </c>
      <c r="N75" s="138">
        <v>0</v>
      </c>
      <c r="O75" s="91"/>
      <c r="P75" s="138">
        <v>0</v>
      </c>
      <c r="Q75" s="91"/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9">
        <v>0</v>
      </c>
      <c r="X75" s="130">
        <v>0</v>
      </c>
    </row>
    <row r="76" spans="1:24" x14ac:dyDescent="0.3">
      <c r="A76" s="74">
        <v>31434</v>
      </c>
      <c r="B76" s="90" t="s">
        <v>310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138">
        <v>0</v>
      </c>
      <c r="J76" s="139">
        <v>0</v>
      </c>
      <c r="K76" s="138">
        <v>0</v>
      </c>
      <c r="L76" s="138">
        <v>0</v>
      </c>
      <c r="M76" s="138">
        <v>0</v>
      </c>
      <c r="N76" s="138">
        <v>0</v>
      </c>
      <c r="O76" s="91"/>
      <c r="P76" s="138">
        <v>0</v>
      </c>
      <c r="Q76" s="91"/>
      <c r="R76" s="138">
        <v>0</v>
      </c>
      <c r="S76" s="138">
        <v>0</v>
      </c>
      <c r="T76" s="138">
        <v>0</v>
      </c>
      <c r="U76" s="138">
        <v>0</v>
      </c>
      <c r="V76" s="138">
        <v>0</v>
      </c>
      <c r="W76" s="139">
        <v>0</v>
      </c>
      <c r="X76" s="130">
        <v>0</v>
      </c>
    </row>
    <row r="77" spans="1:24" x14ac:dyDescent="0.3">
      <c r="A77" s="74">
        <v>31440</v>
      </c>
      <c r="B77" s="90" t="s">
        <v>311</v>
      </c>
      <c r="C77" s="138">
        <v>28785796.029999997</v>
      </c>
      <c r="D77" s="138">
        <v>5357065.62</v>
      </c>
      <c r="E77" s="138">
        <v>-1071413.0900000001</v>
      </c>
      <c r="F77" s="138">
        <v>0</v>
      </c>
      <c r="G77" s="138">
        <v>0</v>
      </c>
      <c r="H77" s="138">
        <v>33071448.559999999</v>
      </c>
      <c r="I77" s="138">
        <v>30614742.949999999</v>
      </c>
      <c r="J77" s="139">
        <v>0</v>
      </c>
      <c r="K77" s="138">
        <v>954130.38500000094</v>
      </c>
      <c r="L77" s="138">
        <v>1185990.68</v>
      </c>
      <c r="M77" s="138">
        <v>-1071413.0900000001</v>
      </c>
      <c r="N77" s="138">
        <v>-548245.75</v>
      </c>
      <c r="O77" s="91"/>
      <c r="P77" s="138">
        <v>0</v>
      </c>
      <c r="Q77" s="91"/>
      <c r="R77" s="138">
        <v>0</v>
      </c>
      <c r="S77" s="138">
        <v>0</v>
      </c>
      <c r="T77" s="138">
        <v>0</v>
      </c>
      <c r="U77" s="138">
        <v>520462.22500000079</v>
      </c>
      <c r="V77" s="138">
        <v>809922.62</v>
      </c>
      <c r="W77" s="139">
        <v>5.0000005285255611E-3</v>
      </c>
      <c r="X77" s="130">
        <v>3.9E-2</v>
      </c>
    </row>
    <row r="78" spans="1:24" x14ac:dyDescent="0.3">
      <c r="A78" s="74">
        <v>31441</v>
      </c>
      <c r="B78" s="90" t="s">
        <v>312</v>
      </c>
      <c r="C78" s="138">
        <v>0</v>
      </c>
      <c r="D78" s="138">
        <v>0</v>
      </c>
      <c r="E78" s="138">
        <v>0</v>
      </c>
      <c r="F78" s="138">
        <v>0</v>
      </c>
      <c r="G78" s="138">
        <v>0</v>
      </c>
      <c r="H78" s="138">
        <v>0</v>
      </c>
      <c r="I78" s="138">
        <v>0</v>
      </c>
      <c r="J78" s="139">
        <v>0</v>
      </c>
      <c r="K78" s="138">
        <v>0</v>
      </c>
      <c r="L78" s="138">
        <v>0</v>
      </c>
      <c r="M78" s="138">
        <v>0</v>
      </c>
      <c r="N78" s="138">
        <v>0</v>
      </c>
      <c r="O78" s="91"/>
      <c r="P78" s="138">
        <v>0</v>
      </c>
      <c r="Q78" s="91"/>
      <c r="R78" s="138">
        <v>0</v>
      </c>
      <c r="S78" s="138">
        <v>0</v>
      </c>
      <c r="T78" s="138">
        <v>0</v>
      </c>
      <c r="U78" s="138">
        <v>0</v>
      </c>
      <c r="V78" s="138">
        <v>0</v>
      </c>
      <c r="W78" s="139">
        <v>0</v>
      </c>
      <c r="X78" s="130">
        <v>0</v>
      </c>
    </row>
    <row r="79" spans="1:24" x14ac:dyDescent="0.3">
      <c r="A79" s="74">
        <v>31442</v>
      </c>
      <c r="B79" s="90" t="s">
        <v>313</v>
      </c>
      <c r="C79" s="138">
        <v>0</v>
      </c>
      <c r="D79" s="138">
        <v>0</v>
      </c>
      <c r="E79" s="138">
        <v>0</v>
      </c>
      <c r="F79" s="138">
        <v>0</v>
      </c>
      <c r="G79" s="138">
        <v>0</v>
      </c>
      <c r="H79" s="138">
        <v>0</v>
      </c>
      <c r="I79" s="138">
        <v>0</v>
      </c>
      <c r="J79" s="139">
        <v>0</v>
      </c>
      <c r="K79" s="138">
        <v>0</v>
      </c>
      <c r="L79" s="138">
        <v>0</v>
      </c>
      <c r="M79" s="138">
        <v>0</v>
      </c>
      <c r="N79" s="138">
        <v>0</v>
      </c>
      <c r="O79" s="91"/>
      <c r="P79" s="138">
        <v>0</v>
      </c>
      <c r="Q79" s="91"/>
      <c r="R79" s="138">
        <v>0</v>
      </c>
      <c r="S79" s="138">
        <v>0</v>
      </c>
      <c r="T79" s="138">
        <v>0</v>
      </c>
      <c r="U79" s="138">
        <v>0</v>
      </c>
      <c r="V79" s="138">
        <v>0</v>
      </c>
      <c r="W79" s="139">
        <v>0</v>
      </c>
      <c r="X79" s="130">
        <v>0</v>
      </c>
    </row>
    <row r="80" spans="1:24" x14ac:dyDescent="0.3">
      <c r="A80" s="74">
        <v>31443</v>
      </c>
      <c r="B80" s="90" t="s">
        <v>314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8">
        <v>0</v>
      </c>
      <c r="I80" s="138">
        <v>0</v>
      </c>
      <c r="J80" s="139">
        <v>0</v>
      </c>
      <c r="K80" s="138">
        <v>0</v>
      </c>
      <c r="L80" s="138">
        <v>0</v>
      </c>
      <c r="M80" s="138">
        <v>0</v>
      </c>
      <c r="N80" s="138">
        <v>0</v>
      </c>
      <c r="O80" s="91"/>
      <c r="P80" s="138">
        <v>0</v>
      </c>
      <c r="Q80" s="91"/>
      <c r="R80" s="138">
        <v>0</v>
      </c>
      <c r="S80" s="138">
        <v>0</v>
      </c>
      <c r="T80" s="138">
        <v>0</v>
      </c>
      <c r="U80" s="138">
        <v>0</v>
      </c>
      <c r="V80" s="138">
        <v>0</v>
      </c>
      <c r="W80" s="139">
        <v>0</v>
      </c>
      <c r="X80" s="130">
        <v>0</v>
      </c>
    </row>
    <row r="81" spans="1:24" x14ac:dyDescent="0.3">
      <c r="A81" s="74">
        <v>31444</v>
      </c>
      <c r="B81" s="90" t="s">
        <v>315</v>
      </c>
      <c r="C81" s="138">
        <v>120281000.42500004</v>
      </c>
      <c r="D81" s="138">
        <v>3285059.34</v>
      </c>
      <c r="E81" s="138">
        <v>-657011.86</v>
      </c>
      <c r="F81" s="138">
        <v>0</v>
      </c>
      <c r="G81" s="138">
        <v>0</v>
      </c>
      <c r="H81" s="138">
        <v>122909047.90500005</v>
      </c>
      <c r="I81" s="138">
        <v>121251442.41</v>
      </c>
      <c r="J81" s="139">
        <v>0</v>
      </c>
      <c r="K81" s="138">
        <v>53046999.285000034</v>
      </c>
      <c r="L81" s="138">
        <v>5643880.1900000004</v>
      </c>
      <c r="M81" s="138">
        <v>-657011.86</v>
      </c>
      <c r="N81" s="138">
        <v>-302050.63</v>
      </c>
      <c r="O81" s="91"/>
      <c r="P81" s="138">
        <v>0</v>
      </c>
      <c r="Q81" s="91"/>
      <c r="R81" s="138">
        <v>0</v>
      </c>
      <c r="S81" s="138">
        <v>0</v>
      </c>
      <c r="T81" s="138">
        <v>0</v>
      </c>
      <c r="U81" s="138">
        <v>57731816.985000029</v>
      </c>
      <c r="V81" s="138">
        <v>55450091.729999997</v>
      </c>
      <c r="W81" s="139">
        <v>0</v>
      </c>
      <c r="X81" s="130">
        <v>4.6600000000000003E-2</v>
      </c>
    </row>
    <row r="82" spans="1:24" x14ac:dyDescent="0.3">
      <c r="A82" s="74">
        <v>31530</v>
      </c>
      <c r="B82" s="90" t="s">
        <v>316</v>
      </c>
      <c r="C82" s="138">
        <v>0</v>
      </c>
      <c r="D82" s="138">
        <v>0</v>
      </c>
      <c r="E82" s="138">
        <v>0</v>
      </c>
      <c r="F82" s="138">
        <v>0</v>
      </c>
      <c r="G82" s="138">
        <v>0</v>
      </c>
      <c r="H82" s="138">
        <v>0</v>
      </c>
      <c r="I82" s="138">
        <v>0</v>
      </c>
      <c r="J82" s="139">
        <v>0</v>
      </c>
      <c r="K82" s="138">
        <v>0</v>
      </c>
      <c r="L82" s="138">
        <v>0</v>
      </c>
      <c r="M82" s="138">
        <v>0</v>
      </c>
      <c r="N82" s="138">
        <v>0</v>
      </c>
      <c r="O82" s="91"/>
      <c r="P82" s="138">
        <v>0</v>
      </c>
      <c r="Q82" s="91"/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9">
        <v>0</v>
      </c>
      <c r="X82" s="130">
        <v>0</v>
      </c>
    </row>
    <row r="83" spans="1:24" x14ac:dyDescent="0.3">
      <c r="A83" s="74">
        <v>31531</v>
      </c>
      <c r="B83" s="90" t="s">
        <v>317</v>
      </c>
      <c r="C83" s="138">
        <v>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138">
        <v>0</v>
      </c>
      <c r="J83" s="139">
        <v>0</v>
      </c>
      <c r="K83" s="138">
        <v>0</v>
      </c>
      <c r="L83" s="138">
        <v>0</v>
      </c>
      <c r="M83" s="138">
        <v>0</v>
      </c>
      <c r="N83" s="138">
        <v>0</v>
      </c>
      <c r="O83" s="91"/>
      <c r="P83" s="138">
        <v>0</v>
      </c>
      <c r="Q83" s="91"/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9">
        <v>0</v>
      </c>
      <c r="X83" s="130">
        <v>0</v>
      </c>
    </row>
    <row r="84" spans="1:24" x14ac:dyDescent="0.3">
      <c r="A84" s="74">
        <v>31532</v>
      </c>
      <c r="B84" s="90" t="s">
        <v>318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138">
        <v>0</v>
      </c>
      <c r="J84" s="139">
        <v>0</v>
      </c>
      <c r="K84" s="138">
        <v>0</v>
      </c>
      <c r="L84" s="138">
        <v>0</v>
      </c>
      <c r="M84" s="138">
        <v>0</v>
      </c>
      <c r="N84" s="138">
        <v>0</v>
      </c>
      <c r="O84" s="91"/>
      <c r="P84" s="138">
        <v>0</v>
      </c>
      <c r="Q84" s="91"/>
      <c r="R84" s="138">
        <v>0</v>
      </c>
      <c r="S84" s="138">
        <v>0</v>
      </c>
      <c r="T84" s="138">
        <v>0</v>
      </c>
      <c r="U84" s="138">
        <v>0</v>
      </c>
      <c r="V84" s="138">
        <v>0</v>
      </c>
      <c r="W84" s="139">
        <v>0</v>
      </c>
      <c r="X84" s="130">
        <v>0</v>
      </c>
    </row>
    <row r="85" spans="1:24" x14ac:dyDescent="0.3">
      <c r="A85" s="74">
        <v>31533</v>
      </c>
      <c r="B85" s="90" t="s">
        <v>319</v>
      </c>
      <c r="C85" s="138">
        <v>0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138">
        <v>0</v>
      </c>
      <c r="J85" s="139">
        <v>0</v>
      </c>
      <c r="K85" s="138">
        <v>0</v>
      </c>
      <c r="L85" s="138">
        <v>0</v>
      </c>
      <c r="M85" s="138">
        <v>0</v>
      </c>
      <c r="N85" s="138">
        <v>0</v>
      </c>
      <c r="O85" s="91"/>
      <c r="P85" s="138">
        <v>0</v>
      </c>
      <c r="Q85" s="91"/>
      <c r="R85" s="138">
        <v>0</v>
      </c>
      <c r="S85" s="138">
        <v>0</v>
      </c>
      <c r="T85" s="138">
        <v>0</v>
      </c>
      <c r="U85" s="138">
        <v>0</v>
      </c>
      <c r="V85" s="138">
        <v>0</v>
      </c>
      <c r="W85" s="139">
        <v>0</v>
      </c>
      <c r="X85" s="130">
        <v>0</v>
      </c>
    </row>
    <row r="86" spans="1:24" x14ac:dyDescent="0.3">
      <c r="A86" s="74">
        <v>31534</v>
      </c>
      <c r="B86" s="90" t="s">
        <v>320</v>
      </c>
      <c r="C86" s="138">
        <v>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138">
        <v>0</v>
      </c>
      <c r="J86" s="139">
        <v>0</v>
      </c>
      <c r="K86" s="138">
        <v>0</v>
      </c>
      <c r="L86" s="138">
        <v>0</v>
      </c>
      <c r="M86" s="138">
        <v>0</v>
      </c>
      <c r="N86" s="138">
        <v>0</v>
      </c>
      <c r="O86" s="91"/>
      <c r="P86" s="138">
        <v>0</v>
      </c>
      <c r="Q86" s="91"/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9">
        <v>0</v>
      </c>
      <c r="X86" s="130">
        <v>0</v>
      </c>
    </row>
    <row r="87" spans="1:24" x14ac:dyDescent="0.3">
      <c r="A87" s="74">
        <v>31540</v>
      </c>
      <c r="B87" s="90" t="s">
        <v>321</v>
      </c>
      <c r="C87" s="138">
        <v>43980094.719999999</v>
      </c>
      <c r="D87" s="138">
        <v>0</v>
      </c>
      <c r="E87" s="138">
        <v>0</v>
      </c>
      <c r="F87" s="138">
        <v>0</v>
      </c>
      <c r="G87" s="138">
        <v>0</v>
      </c>
      <c r="H87" s="138">
        <v>43980094.719999999</v>
      </c>
      <c r="I87" s="138">
        <v>43980094.719999999</v>
      </c>
      <c r="J87" s="139">
        <v>0</v>
      </c>
      <c r="K87" s="138">
        <v>19711999.14000003</v>
      </c>
      <c r="L87" s="138">
        <v>949970.04</v>
      </c>
      <c r="M87" s="138">
        <v>0</v>
      </c>
      <c r="N87" s="138">
        <v>0</v>
      </c>
      <c r="O87" s="91"/>
      <c r="P87" s="138">
        <v>0</v>
      </c>
      <c r="Q87" s="91"/>
      <c r="R87" s="138">
        <v>0</v>
      </c>
      <c r="S87" s="138">
        <v>0</v>
      </c>
      <c r="T87" s="138">
        <v>0</v>
      </c>
      <c r="U87" s="138">
        <v>20661969.18000003</v>
      </c>
      <c r="V87" s="138">
        <v>20186984.16</v>
      </c>
      <c r="W87" s="139">
        <v>0</v>
      </c>
      <c r="X87" s="130">
        <v>2.1600000000000001E-2</v>
      </c>
    </row>
    <row r="88" spans="1:24" x14ac:dyDescent="0.3">
      <c r="A88" s="74">
        <v>31541</v>
      </c>
      <c r="B88" s="90" t="s">
        <v>322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138">
        <v>0</v>
      </c>
      <c r="J88" s="139">
        <v>0</v>
      </c>
      <c r="K88" s="138">
        <v>0</v>
      </c>
      <c r="L88" s="138">
        <v>0</v>
      </c>
      <c r="M88" s="138">
        <v>0</v>
      </c>
      <c r="N88" s="138">
        <v>0</v>
      </c>
      <c r="O88" s="91"/>
      <c r="P88" s="138">
        <v>0</v>
      </c>
      <c r="Q88" s="91"/>
      <c r="R88" s="138">
        <v>0</v>
      </c>
      <c r="S88" s="138">
        <v>0</v>
      </c>
      <c r="T88" s="138">
        <v>0</v>
      </c>
      <c r="U88" s="138">
        <v>0</v>
      </c>
      <c r="V88" s="138">
        <v>0</v>
      </c>
      <c r="W88" s="139">
        <v>0</v>
      </c>
      <c r="X88" s="130">
        <v>0</v>
      </c>
    </row>
    <row r="89" spans="1:24" x14ac:dyDescent="0.3">
      <c r="A89" s="74">
        <v>31542</v>
      </c>
      <c r="B89" s="90" t="s">
        <v>323</v>
      </c>
      <c r="C89" s="138">
        <v>0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138">
        <v>0</v>
      </c>
      <c r="J89" s="139">
        <v>0</v>
      </c>
      <c r="K89" s="138">
        <v>0</v>
      </c>
      <c r="L89" s="138">
        <v>0</v>
      </c>
      <c r="M89" s="138">
        <v>0</v>
      </c>
      <c r="N89" s="138">
        <v>0</v>
      </c>
      <c r="O89" s="91"/>
      <c r="P89" s="138">
        <v>0</v>
      </c>
      <c r="Q89" s="91"/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9">
        <v>0</v>
      </c>
      <c r="X89" s="130">
        <v>0</v>
      </c>
    </row>
    <row r="90" spans="1:24" x14ac:dyDescent="0.3">
      <c r="A90" s="74">
        <v>31543</v>
      </c>
      <c r="B90" s="90" t="s">
        <v>324</v>
      </c>
      <c r="C90" s="138">
        <v>0</v>
      </c>
      <c r="D90" s="138">
        <v>0</v>
      </c>
      <c r="E90" s="138">
        <v>0</v>
      </c>
      <c r="F90" s="138">
        <v>0</v>
      </c>
      <c r="G90" s="138">
        <v>0</v>
      </c>
      <c r="H90" s="138">
        <v>0</v>
      </c>
      <c r="I90" s="138">
        <v>0</v>
      </c>
      <c r="J90" s="139">
        <v>0</v>
      </c>
      <c r="K90" s="138">
        <v>0</v>
      </c>
      <c r="L90" s="138">
        <v>0</v>
      </c>
      <c r="M90" s="138">
        <v>0</v>
      </c>
      <c r="N90" s="138">
        <v>0</v>
      </c>
      <c r="O90" s="91"/>
      <c r="P90" s="138">
        <v>0</v>
      </c>
      <c r="Q90" s="91"/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9">
        <v>0</v>
      </c>
      <c r="X90" s="130">
        <v>0</v>
      </c>
    </row>
    <row r="91" spans="1:24" x14ac:dyDescent="0.3">
      <c r="A91" s="74">
        <v>31544</v>
      </c>
      <c r="B91" s="90" t="s">
        <v>325</v>
      </c>
      <c r="C91" s="138">
        <v>52859494.079999998</v>
      </c>
      <c r="D91" s="138">
        <v>0</v>
      </c>
      <c r="E91" s="138">
        <v>0</v>
      </c>
      <c r="F91" s="138">
        <v>0</v>
      </c>
      <c r="G91" s="138">
        <v>0</v>
      </c>
      <c r="H91" s="138">
        <v>52859494.079999998</v>
      </c>
      <c r="I91" s="138">
        <v>52859494.079999998</v>
      </c>
      <c r="J91" s="139">
        <v>0</v>
      </c>
      <c r="K91" s="138">
        <v>34250240.040000007</v>
      </c>
      <c r="L91" s="138">
        <v>1480065.84</v>
      </c>
      <c r="M91" s="138">
        <v>0</v>
      </c>
      <c r="N91" s="138">
        <v>0</v>
      </c>
      <c r="O91" s="91"/>
      <c r="P91" s="138">
        <v>0</v>
      </c>
      <c r="Q91" s="91"/>
      <c r="R91" s="138">
        <v>0</v>
      </c>
      <c r="S91" s="138">
        <v>0</v>
      </c>
      <c r="T91" s="138">
        <v>0</v>
      </c>
      <c r="U91" s="138">
        <v>35730305.88000001</v>
      </c>
      <c r="V91" s="138">
        <v>34990272.960000001</v>
      </c>
      <c r="W91" s="139">
        <v>0</v>
      </c>
      <c r="X91" s="130">
        <v>2.7999999999999997E-2</v>
      </c>
    </row>
    <row r="92" spans="1:24" x14ac:dyDescent="0.3">
      <c r="A92" s="74">
        <v>31545</v>
      </c>
      <c r="B92" s="90" t="s">
        <v>326</v>
      </c>
      <c r="C92" s="138">
        <v>26849743.93</v>
      </c>
      <c r="D92" s="138">
        <v>575002.88</v>
      </c>
      <c r="E92" s="138">
        <v>-115000.58</v>
      </c>
      <c r="F92" s="138">
        <v>0</v>
      </c>
      <c r="G92" s="138">
        <v>0</v>
      </c>
      <c r="H92" s="138">
        <v>27309746.23</v>
      </c>
      <c r="I92" s="138">
        <v>26997996.07</v>
      </c>
      <c r="J92" s="139">
        <v>-4.9999989569187164E-3</v>
      </c>
      <c r="K92" s="138">
        <v>17640077.5</v>
      </c>
      <c r="L92" s="138">
        <v>755216.5</v>
      </c>
      <c r="M92" s="138">
        <v>-115000.58</v>
      </c>
      <c r="N92" s="138">
        <v>-7869.48</v>
      </c>
      <c r="O92" s="91"/>
      <c r="P92" s="138">
        <v>0</v>
      </c>
      <c r="Q92" s="91"/>
      <c r="R92" s="138">
        <v>0</v>
      </c>
      <c r="S92" s="138">
        <v>0</v>
      </c>
      <c r="T92" s="138">
        <v>0</v>
      </c>
      <c r="U92" s="138">
        <v>18272423.940000001</v>
      </c>
      <c r="V92" s="138">
        <v>17975589.02</v>
      </c>
      <c r="W92" s="139">
        <v>0</v>
      </c>
      <c r="X92" s="130">
        <v>2.7999999999999997E-2</v>
      </c>
    </row>
    <row r="93" spans="1:24" x14ac:dyDescent="0.3">
      <c r="A93" s="74">
        <v>31546</v>
      </c>
      <c r="B93" s="90" t="s">
        <v>327</v>
      </c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  <c r="I93" s="138">
        <v>0</v>
      </c>
      <c r="J93" s="139">
        <v>0</v>
      </c>
      <c r="K93" s="138">
        <v>0</v>
      </c>
      <c r="L93" s="138">
        <v>0</v>
      </c>
      <c r="M93" s="138">
        <v>0</v>
      </c>
      <c r="N93" s="138">
        <v>0</v>
      </c>
      <c r="O93" s="91"/>
      <c r="P93" s="138">
        <v>0</v>
      </c>
      <c r="Q93" s="91"/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9">
        <v>0</v>
      </c>
      <c r="X93" s="130">
        <v>0</v>
      </c>
    </row>
    <row r="94" spans="1:24" x14ac:dyDescent="0.3">
      <c r="A94" s="74">
        <v>31551</v>
      </c>
      <c r="B94" s="90" t="s">
        <v>328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9">
        <v>0</v>
      </c>
      <c r="K94" s="138">
        <v>0</v>
      </c>
      <c r="L94" s="138">
        <v>0</v>
      </c>
      <c r="M94" s="138">
        <v>0</v>
      </c>
      <c r="N94" s="138">
        <v>0</v>
      </c>
      <c r="O94" s="91"/>
      <c r="P94" s="138">
        <v>0</v>
      </c>
      <c r="Q94" s="91"/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9">
        <v>0</v>
      </c>
      <c r="X94" s="130">
        <v>0</v>
      </c>
    </row>
    <row r="95" spans="1:24" x14ac:dyDescent="0.3">
      <c r="A95" s="74">
        <v>31552</v>
      </c>
      <c r="B95" s="90" t="s">
        <v>329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9">
        <v>0</v>
      </c>
      <c r="K95" s="138">
        <v>0</v>
      </c>
      <c r="L95" s="138">
        <v>0</v>
      </c>
      <c r="M95" s="138">
        <v>0</v>
      </c>
      <c r="N95" s="138">
        <v>0</v>
      </c>
      <c r="O95" s="91"/>
      <c r="P95" s="138">
        <v>0</v>
      </c>
      <c r="Q95" s="91"/>
      <c r="R95" s="138">
        <v>0</v>
      </c>
      <c r="S95" s="138">
        <v>0</v>
      </c>
      <c r="T95" s="138">
        <v>0</v>
      </c>
      <c r="U95" s="138">
        <v>0</v>
      </c>
      <c r="V95" s="138">
        <v>0</v>
      </c>
      <c r="W95" s="139">
        <v>0</v>
      </c>
      <c r="X95" s="130">
        <v>0</v>
      </c>
    </row>
    <row r="96" spans="1:24" x14ac:dyDescent="0.3">
      <c r="A96" s="74">
        <v>31553</v>
      </c>
      <c r="B96" s="90" t="s">
        <v>330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  <c r="I96" s="138">
        <v>0</v>
      </c>
      <c r="J96" s="139">
        <v>0</v>
      </c>
      <c r="K96" s="138">
        <v>0</v>
      </c>
      <c r="L96" s="138">
        <v>0</v>
      </c>
      <c r="M96" s="138">
        <v>0</v>
      </c>
      <c r="N96" s="138">
        <v>0</v>
      </c>
      <c r="O96" s="91"/>
      <c r="P96" s="138">
        <v>0</v>
      </c>
      <c r="Q96" s="91"/>
      <c r="R96" s="138">
        <v>0</v>
      </c>
      <c r="S96" s="138">
        <v>0</v>
      </c>
      <c r="T96" s="138">
        <v>0</v>
      </c>
      <c r="U96" s="138">
        <v>0</v>
      </c>
      <c r="V96" s="138">
        <v>0</v>
      </c>
      <c r="W96" s="139">
        <v>0</v>
      </c>
      <c r="X96" s="130">
        <v>0</v>
      </c>
    </row>
    <row r="97" spans="1:24" x14ac:dyDescent="0.3">
      <c r="A97" s="74">
        <v>31554</v>
      </c>
      <c r="B97" s="90" t="s">
        <v>331</v>
      </c>
      <c r="C97" s="138">
        <v>15495565.484999999</v>
      </c>
      <c r="D97" s="138">
        <v>0</v>
      </c>
      <c r="E97" s="138">
        <v>0</v>
      </c>
      <c r="F97" s="138">
        <v>0</v>
      </c>
      <c r="G97" s="138">
        <v>0</v>
      </c>
      <c r="H97" s="138">
        <v>15495565.484999999</v>
      </c>
      <c r="I97" s="138">
        <v>15495565.49</v>
      </c>
      <c r="J97" s="139">
        <v>0</v>
      </c>
      <c r="K97" s="138">
        <v>10029918.600000015</v>
      </c>
      <c r="L97" s="138">
        <v>433875.84</v>
      </c>
      <c r="M97" s="138">
        <v>0</v>
      </c>
      <c r="N97" s="138">
        <v>0</v>
      </c>
      <c r="O97" s="91"/>
      <c r="P97" s="138">
        <v>0</v>
      </c>
      <c r="Q97" s="91"/>
      <c r="R97" s="138">
        <v>0</v>
      </c>
      <c r="S97" s="138">
        <v>0</v>
      </c>
      <c r="T97" s="138">
        <v>0</v>
      </c>
      <c r="U97" s="138">
        <v>10463794.440000014</v>
      </c>
      <c r="V97" s="138">
        <v>10246856.52</v>
      </c>
      <c r="W97" s="139">
        <v>0</v>
      </c>
      <c r="X97" s="130">
        <v>2.7999999999999997E-2</v>
      </c>
    </row>
    <row r="98" spans="1:24" x14ac:dyDescent="0.3">
      <c r="A98" s="74">
        <v>31601</v>
      </c>
      <c r="B98" s="90" t="s">
        <v>332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  <c r="I98" s="138">
        <v>0</v>
      </c>
      <c r="J98" s="139">
        <v>0</v>
      </c>
      <c r="K98" s="138">
        <v>0</v>
      </c>
      <c r="L98" s="138">
        <v>0</v>
      </c>
      <c r="M98" s="138">
        <v>0</v>
      </c>
      <c r="N98" s="138">
        <v>0</v>
      </c>
      <c r="O98" s="91"/>
      <c r="P98" s="138">
        <v>0</v>
      </c>
      <c r="Q98" s="91"/>
      <c r="R98" s="138">
        <v>0</v>
      </c>
      <c r="S98" s="138">
        <v>0</v>
      </c>
      <c r="T98" s="138">
        <v>0</v>
      </c>
      <c r="U98" s="138">
        <v>0</v>
      </c>
      <c r="V98" s="138">
        <v>0</v>
      </c>
      <c r="W98" s="139">
        <v>0</v>
      </c>
      <c r="X98" s="130">
        <v>0</v>
      </c>
    </row>
    <row r="99" spans="1:24" x14ac:dyDescent="0.3">
      <c r="A99" s="74">
        <v>31617</v>
      </c>
      <c r="B99" s="90" t="s">
        <v>333</v>
      </c>
      <c r="C99" s="138">
        <v>0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138">
        <v>0</v>
      </c>
      <c r="J99" s="139">
        <v>0</v>
      </c>
      <c r="K99" s="138">
        <v>0</v>
      </c>
      <c r="L99" s="138">
        <v>0</v>
      </c>
      <c r="M99" s="138">
        <v>0</v>
      </c>
      <c r="N99" s="138">
        <v>0</v>
      </c>
      <c r="O99" s="91"/>
      <c r="P99" s="138">
        <v>0</v>
      </c>
      <c r="Q99" s="91"/>
      <c r="R99" s="138">
        <v>0</v>
      </c>
      <c r="S99" s="138">
        <v>0</v>
      </c>
      <c r="T99" s="138">
        <v>0</v>
      </c>
      <c r="U99" s="138">
        <v>0</v>
      </c>
      <c r="V99" s="138">
        <v>0</v>
      </c>
      <c r="W99" s="139">
        <v>0</v>
      </c>
      <c r="X99" s="130">
        <v>0</v>
      </c>
    </row>
    <row r="100" spans="1:24" x14ac:dyDescent="0.3">
      <c r="A100" s="74">
        <v>31630</v>
      </c>
      <c r="B100" s="90" t="s">
        <v>334</v>
      </c>
      <c r="C100" s="138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138">
        <v>0</v>
      </c>
      <c r="J100" s="139">
        <v>0</v>
      </c>
      <c r="K100" s="138">
        <v>0</v>
      </c>
      <c r="L100" s="138">
        <v>0</v>
      </c>
      <c r="M100" s="138">
        <v>0</v>
      </c>
      <c r="N100" s="138">
        <v>0</v>
      </c>
      <c r="O100" s="91"/>
      <c r="P100" s="138">
        <v>0</v>
      </c>
      <c r="Q100" s="91"/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9">
        <v>0</v>
      </c>
      <c r="X100" s="130">
        <v>0</v>
      </c>
    </row>
    <row r="101" spans="1:24" x14ac:dyDescent="0.3">
      <c r="A101" s="74">
        <v>31631</v>
      </c>
      <c r="B101" s="90" t="s">
        <v>335</v>
      </c>
      <c r="C101" s="138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  <c r="I101" s="138">
        <v>0</v>
      </c>
      <c r="J101" s="139">
        <v>0</v>
      </c>
      <c r="K101" s="138">
        <v>0</v>
      </c>
      <c r="L101" s="138">
        <v>0</v>
      </c>
      <c r="M101" s="138">
        <v>0</v>
      </c>
      <c r="N101" s="138">
        <v>0</v>
      </c>
      <c r="O101" s="91"/>
      <c r="P101" s="138">
        <v>0</v>
      </c>
      <c r="Q101" s="91"/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9">
        <v>0</v>
      </c>
      <c r="X101" s="130">
        <v>0</v>
      </c>
    </row>
    <row r="102" spans="1:24" x14ac:dyDescent="0.3">
      <c r="A102" s="74">
        <v>31632</v>
      </c>
      <c r="B102" s="90" t="s">
        <v>336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  <c r="I102" s="138">
        <v>0</v>
      </c>
      <c r="J102" s="139">
        <v>0</v>
      </c>
      <c r="K102" s="138">
        <v>0</v>
      </c>
      <c r="L102" s="138">
        <v>0</v>
      </c>
      <c r="M102" s="138">
        <v>0</v>
      </c>
      <c r="N102" s="138">
        <v>0</v>
      </c>
      <c r="O102" s="91"/>
      <c r="P102" s="138">
        <v>0</v>
      </c>
      <c r="Q102" s="91"/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9">
        <v>0</v>
      </c>
      <c r="X102" s="130">
        <v>0</v>
      </c>
    </row>
    <row r="103" spans="1:24" x14ac:dyDescent="0.3">
      <c r="A103" s="74">
        <v>31633</v>
      </c>
      <c r="B103" s="90" t="s">
        <v>337</v>
      </c>
      <c r="C103" s="138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  <c r="I103" s="138">
        <v>0</v>
      </c>
      <c r="J103" s="139">
        <v>0</v>
      </c>
      <c r="K103" s="138">
        <v>0</v>
      </c>
      <c r="L103" s="138">
        <v>0</v>
      </c>
      <c r="M103" s="138">
        <v>0</v>
      </c>
      <c r="N103" s="138">
        <v>0</v>
      </c>
      <c r="O103" s="91"/>
      <c r="P103" s="138">
        <v>0</v>
      </c>
      <c r="Q103" s="91"/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9">
        <v>0</v>
      </c>
      <c r="X103" s="130">
        <v>0</v>
      </c>
    </row>
    <row r="104" spans="1:24" x14ac:dyDescent="0.3">
      <c r="A104" s="74">
        <v>31634</v>
      </c>
      <c r="B104" s="90" t="s">
        <v>338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138">
        <v>0</v>
      </c>
      <c r="J104" s="139">
        <v>0</v>
      </c>
      <c r="K104" s="138">
        <v>0</v>
      </c>
      <c r="L104" s="138">
        <v>0</v>
      </c>
      <c r="M104" s="138">
        <v>0</v>
      </c>
      <c r="N104" s="138">
        <v>0</v>
      </c>
      <c r="O104" s="91"/>
      <c r="P104" s="138">
        <v>0</v>
      </c>
      <c r="Q104" s="91"/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9">
        <v>0</v>
      </c>
      <c r="X104" s="130">
        <v>0</v>
      </c>
    </row>
    <row r="105" spans="1:24" x14ac:dyDescent="0.3">
      <c r="A105" s="74">
        <v>31640</v>
      </c>
      <c r="B105" s="90" t="s">
        <v>339</v>
      </c>
      <c r="C105" s="138">
        <v>26448498.799999997</v>
      </c>
      <c r="D105" s="138">
        <v>0</v>
      </c>
      <c r="E105" s="138">
        <v>0</v>
      </c>
      <c r="F105" s="138">
        <v>0</v>
      </c>
      <c r="G105" s="138">
        <v>0</v>
      </c>
      <c r="H105" s="138">
        <v>26448498.799999997</v>
      </c>
      <c r="I105" s="138">
        <v>26448498.800000001</v>
      </c>
      <c r="J105" s="139">
        <v>0</v>
      </c>
      <c r="K105" s="138">
        <v>11794161.239999993</v>
      </c>
      <c r="L105" s="138">
        <v>534259.68000000005</v>
      </c>
      <c r="M105" s="138">
        <v>0</v>
      </c>
      <c r="N105" s="138">
        <v>0</v>
      </c>
      <c r="O105" s="91"/>
      <c r="P105" s="138">
        <v>0</v>
      </c>
      <c r="Q105" s="91"/>
      <c r="R105" s="138">
        <v>0</v>
      </c>
      <c r="S105" s="138">
        <v>0</v>
      </c>
      <c r="T105" s="138">
        <v>0</v>
      </c>
      <c r="U105" s="138">
        <v>12328420.919999992</v>
      </c>
      <c r="V105" s="138">
        <v>12061291.08</v>
      </c>
      <c r="W105" s="139">
        <v>0</v>
      </c>
      <c r="X105" s="130">
        <v>2.0199999999999999E-2</v>
      </c>
    </row>
    <row r="106" spans="1:24" x14ac:dyDescent="0.3">
      <c r="A106" s="74">
        <v>31641</v>
      </c>
      <c r="B106" s="90" t="s">
        <v>340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  <c r="I106" s="138">
        <v>0</v>
      </c>
      <c r="J106" s="139">
        <v>0</v>
      </c>
      <c r="K106" s="138">
        <v>0</v>
      </c>
      <c r="L106" s="138">
        <v>0</v>
      </c>
      <c r="M106" s="138">
        <v>0</v>
      </c>
      <c r="N106" s="138">
        <v>0</v>
      </c>
      <c r="O106" s="91"/>
      <c r="P106" s="138">
        <v>0</v>
      </c>
      <c r="Q106" s="91"/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9">
        <v>0</v>
      </c>
      <c r="X106" s="130">
        <v>0</v>
      </c>
    </row>
    <row r="107" spans="1:24" x14ac:dyDescent="0.3">
      <c r="A107" s="74">
        <v>31642</v>
      </c>
      <c r="B107" s="90" t="s">
        <v>341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  <c r="I107" s="138">
        <v>0</v>
      </c>
      <c r="J107" s="139">
        <v>0</v>
      </c>
      <c r="K107" s="138">
        <v>0</v>
      </c>
      <c r="L107" s="138">
        <v>0</v>
      </c>
      <c r="M107" s="138">
        <v>0</v>
      </c>
      <c r="N107" s="138">
        <v>0</v>
      </c>
      <c r="O107" s="91"/>
      <c r="P107" s="138">
        <v>0</v>
      </c>
      <c r="Q107" s="91"/>
      <c r="R107" s="138">
        <v>0</v>
      </c>
      <c r="S107" s="138">
        <v>0</v>
      </c>
      <c r="T107" s="138">
        <v>0</v>
      </c>
      <c r="U107" s="138">
        <v>0</v>
      </c>
      <c r="V107" s="138">
        <v>0</v>
      </c>
      <c r="W107" s="139">
        <v>0</v>
      </c>
      <c r="X107" s="130">
        <v>0</v>
      </c>
    </row>
    <row r="108" spans="1:24" x14ac:dyDescent="0.3">
      <c r="A108" s="74">
        <v>31643</v>
      </c>
      <c r="B108" s="90" t="s">
        <v>342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139">
        <v>0</v>
      </c>
      <c r="K108" s="138">
        <v>0</v>
      </c>
      <c r="L108" s="138">
        <v>0</v>
      </c>
      <c r="M108" s="138">
        <v>0</v>
      </c>
      <c r="N108" s="138">
        <v>0</v>
      </c>
      <c r="O108" s="91"/>
      <c r="P108" s="138">
        <v>0</v>
      </c>
      <c r="Q108" s="91"/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9">
        <v>0</v>
      </c>
      <c r="X108" s="130">
        <v>0</v>
      </c>
    </row>
    <row r="109" spans="1:24" x14ac:dyDescent="0.3">
      <c r="A109" s="74">
        <v>31644</v>
      </c>
      <c r="B109" s="90" t="s">
        <v>343</v>
      </c>
      <c r="C109" s="138">
        <v>5865811.79</v>
      </c>
      <c r="D109" s="138">
        <v>0</v>
      </c>
      <c r="E109" s="138">
        <v>0</v>
      </c>
      <c r="F109" s="138">
        <v>0</v>
      </c>
      <c r="G109" s="138">
        <v>0</v>
      </c>
      <c r="H109" s="138">
        <v>5865811.79</v>
      </c>
      <c r="I109" s="138">
        <v>5865811.79</v>
      </c>
      <c r="J109" s="139">
        <v>0</v>
      </c>
      <c r="K109" s="138">
        <v>4399680.9099999964</v>
      </c>
      <c r="L109" s="138">
        <v>112623.6</v>
      </c>
      <c r="M109" s="138">
        <v>0</v>
      </c>
      <c r="N109" s="138">
        <v>0</v>
      </c>
      <c r="O109" s="91"/>
      <c r="P109" s="138">
        <v>0</v>
      </c>
      <c r="Q109" s="91"/>
      <c r="R109" s="138">
        <v>0</v>
      </c>
      <c r="S109" s="138">
        <v>0</v>
      </c>
      <c r="T109" s="138">
        <v>0</v>
      </c>
      <c r="U109" s="138">
        <v>4512304.5099999961</v>
      </c>
      <c r="V109" s="138">
        <v>4455992.71</v>
      </c>
      <c r="W109" s="139">
        <v>0</v>
      </c>
      <c r="X109" s="130">
        <v>1.9199999999999998E-2</v>
      </c>
    </row>
    <row r="110" spans="1:24" x14ac:dyDescent="0.3">
      <c r="A110" s="74">
        <v>31645</v>
      </c>
      <c r="B110" s="90" t="s">
        <v>344</v>
      </c>
      <c r="C110" s="138">
        <v>1694847.9500000002</v>
      </c>
      <c r="D110" s="138">
        <v>0</v>
      </c>
      <c r="E110" s="138">
        <v>0</v>
      </c>
      <c r="F110" s="138">
        <v>0</v>
      </c>
      <c r="G110" s="138">
        <v>0</v>
      </c>
      <c r="H110" s="138">
        <v>1694847.9500000002</v>
      </c>
      <c r="I110" s="138">
        <v>1694847.95</v>
      </c>
      <c r="J110" s="139">
        <v>0</v>
      </c>
      <c r="K110" s="138">
        <v>1278883.3199999977</v>
      </c>
      <c r="L110" s="138">
        <v>32541.119999999999</v>
      </c>
      <c r="M110" s="138">
        <v>0</v>
      </c>
      <c r="N110" s="138">
        <v>0</v>
      </c>
      <c r="O110" s="91"/>
      <c r="P110" s="138">
        <v>0</v>
      </c>
      <c r="Q110" s="91"/>
      <c r="R110" s="138">
        <v>0</v>
      </c>
      <c r="S110" s="138">
        <v>0</v>
      </c>
      <c r="T110" s="138">
        <v>0</v>
      </c>
      <c r="U110" s="138">
        <v>1311424.4399999978</v>
      </c>
      <c r="V110" s="138">
        <v>1295153.8799999999</v>
      </c>
      <c r="W110" s="139">
        <v>0</v>
      </c>
      <c r="X110" s="130">
        <v>1.9199999999999998E-2</v>
      </c>
    </row>
    <row r="111" spans="1:24" x14ac:dyDescent="0.3">
      <c r="A111" s="74">
        <v>31646</v>
      </c>
      <c r="B111" s="90" t="s">
        <v>345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  <c r="I111" s="138">
        <v>0</v>
      </c>
      <c r="J111" s="139">
        <v>0</v>
      </c>
      <c r="K111" s="138">
        <v>0</v>
      </c>
      <c r="L111" s="138">
        <v>0</v>
      </c>
      <c r="M111" s="138">
        <v>0</v>
      </c>
      <c r="N111" s="138">
        <v>0</v>
      </c>
      <c r="O111" s="91"/>
      <c r="P111" s="138">
        <v>0</v>
      </c>
      <c r="Q111" s="91"/>
      <c r="R111" s="138">
        <v>0</v>
      </c>
      <c r="S111" s="138">
        <v>0</v>
      </c>
      <c r="T111" s="138">
        <v>0</v>
      </c>
      <c r="U111" s="138">
        <v>0</v>
      </c>
      <c r="V111" s="138">
        <v>0</v>
      </c>
      <c r="W111" s="139">
        <v>0</v>
      </c>
      <c r="X111" s="130">
        <v>0</v>
      </c>
    </row>
    <row r="112" spans="1:24" x14ac:dyDescent="0.3">
      <c r="A112" s="74">
        <v>31647</v>
      </c>
      <c r="B112" s="90" t="s">
        <v>346</v>
      </c>
      <c r="C112" s="138">
        <v>765494.25000000023</v>
      </c>
      <c r="D112" s="138">
        <v>0</v>
      </c>
      <c r="E112" s="138">
        <v>-37591.32</v>
      </c>
      <c r="F112" s="138">
        <v>0</v>
      </c>
      <c r="G112" s="138">
        <v>0</v>
      </c>
      <c r="H112" s="138">
        <v>727902.93000000028</v>
      </c>
      <c r="I112" s="138">
        <v>736139.37</v>
      </c>
      <c r="J112" s="139">
        <v>0</v>
      </c>
      <c r="K112" s="138">
        <v>312572.24000000005</v>
      </c>
      <c r="L112" s="138">
        <v>105366.11</v>
      </c>
      <c r="M112" s="138">
        <v>-37591.32</v>
      </c>
      <c r="N112" s="138">
        <v>0</v>
      </c>
      <c r="O112" s="91"/>
      <c r="P112" s="138">
        <v>0</v>
      </c>
      <c r="Q112" s="91"/>
      <c r="R112" s="138">
        <v>0</v>
      </c>
      <c r="S112" s="138">
        <v>0</v>
      </c>
      <c r="T112" s="138">
        <v>0</v>
      </c>
      <c r="U112" s="138">
        <v>380347.03</v>
      </c>
      <c r="V112" s="138">
        <v>336339.82</v>
      </c>
      <c r="W112" s="139">
        <v>0</v>
      </c>
      <c r="X112" s="130">
        <v>0.14300000000000002</v>
      </c>
    </row>
    <row r="113" spans="1:24" x14ac:dyDescent="0.3">
      <c r="A113" s="74">
        <v>31651</v>
      </c>
      <c r="B113" s="90" t="s">
        <v>347</v>
      </c>
      <c r="C113" s="138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138">
        <v>0</v>
      </c>
      <c r="J113" s="139">
        <v>0</v>
      </c>
      <c r="K113" s="138">
        <v>0</v>
      </c>
      <c r="L113" s="138">
        <v>0</v>
      </c>
      <c r="M113" s="138">
        <v>0</v>
      </c>
      <c r="N113" s="138">
        <v>0</v>
      </c>
      <c r="O113" s="91"/>
      <c r="P113" s="138">
        <v>0</v>
      </c>
      <c r="Q113" s="91"/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9">
        <v>0</v>
      </c>
      <c r="X113" s="130">
        <v>0</v>
      </c>
    </row>
    <row r="114" spans="1:24" x14ac:dyDescent="0.3">
      <c r="A114" s="74">
        <v>31652</v>
      </c>
      <c r="B114" s="90" t="s">
        <v>348</v>
      </c>
      <c r="C114" s="138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138">
        <v>0</v>
      </c>
      <c r="J114" s="139">
        <v>0</v>
      </c>
      <c r="K114" s="138">
        <v>0</v>
      </c>
      <c r="L114" s="138">
        <v>0</v>
      </c>
      <c r="M114" s="138">
        <v>0</v>
      </c>
      <c r="N114" s="138">
        <v>0</v>
      </c>
      <c r="O114" s="91"/>
      <c r="P114" s="138">
        <v>0</v>
      </c>
      <c r="Q114" s="91"/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9">
        <v>0</v>
      </c>
      <c r="X114" s="130">
        <v>0</v>
      </c>
    </row>
    <row r="115" spans="1:24" x14ac:dyDescent="0.3">
      <c r="A115" s="74">
        <v>31653</v>
      </c>
      <c r="B115" s="90" t="s">
        <v>349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  <c r="I115" s="138">
        <v>0</v>
      </c>
      <c r="J115" s="139">
        <v>0</v>
      </c>
      <c r="K115" s="138">
        <v>0</v>
      </c>
      <c r="L115" s="138">
        <v>0</v>
      </c>
      <c r="M115" s="138">
        <v>0</v>
      </c>
      <c r="N115" s="138">
        <v>0</v>
      </c>
      <c r="O115" s="91"/>
      <c r="P115" s="138">
        <v>0</v>
      </c>
      <c r="Q115" s="91"/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9">
        <v>0</v>
      </c>
      <c r="X115" s="130">
        <v>0</v>
      </c>
    </row>
    <row r="116" spans="1:24" x14ac:dyDescent="0.3">
      <c r="A116" s="74">
        <v>31654</v>
      </c>
      <c r="B116" s="90" t="s">
        <v>350</v>
      </c>
      <c r="C116" s="138">
        <v>687934.36</v>
      </c>
      <c r="D116" s="138">
        <v>0</v>
      </c>
      <c r="E116" s="138">
        <v>0</v>
      </c>
      <c r="F116" s="138">
        <v>0</v>
      </c>
      <c r="G116" s="138">
        <v>0</v>
      </c>
      <c r="H116" s="138">
        <v>687934.36</v>
      </c>
      <c r="I116" s="138">
        <v>687934.36</v>
      </c>
      <c r="J116" s="139">
        <v>0</v>
      </c>
      <c r="K116" s="138">
        <v>377528.43999999983</v>
      </c>
      <c r="L116" s="138">
        <v>13208.28</v>
      </c>
      <c r="M116" s="138">
        <v>0</v>
      </c>
      <c r="N116" s="138">
        <v>0</v>
      </c>
      <c r="O116" s="91"/>
      <c r="P116" s="138">
        <v>0</v>
      </c>
      <c r="Q116" s="91"/>
      <c r="R116" s="138">
        <v>0</v>
      </c>
      <c r="S116" s="138">
        <v>0</v>
      </c>
      <c r="T116" s="138">
        <v>0</v>
      </c>
      <c r="U116" s="138">
        <v>390736.71999999986</v>
      </c>
      <c r="V116" s="138">
        <v>384132.58</v>
      </c>
      <c r="W116" s="139">
        <v>0</v>
      </c>
      <c r="X116" s="130">
        <v>1.9199999999999998E-2</v>
      </c>
    </row>
    <row r="117" spans="1:24" x14ac:dyDescent="0.3">
      <c r="A117" s="74">
        <v>31700</v>
      </c>
      <c r="B117" s="90" t="s">
        <v>351</v>
      </c>
      <c r="C117" s="138">
        <v>5602918.4799999967</v>
      </c>
      <c r="D117" s="138">
        <v>0</v>
      </c>
      <c r="E117" s="138">
        <v>0</v>
      </c>
      <c r="F117" s="138">
        <v>0</v>
      </c>
      <c r="G117" s="138">
        <v>0</v>
      </c>
      <c r="H117" s="138">
        <v>5602918.4799999967</v>
      </c>
      <c r="I117" s="138">
        <v>5602918.4800000004</v>
      </c>
      <c r="J117" s="139">
        <v>0</v>
      </c>
      <c r="K117" s="138">
        <v>1504338.839999988</v>
      </c>
      <c r="L117" s="138">
        <v>156881.76</v>
      </c>
      <c r="M117" s="138">
        <v>0</v>
      </c>
      <c r="N117" s="138">
        <v>0</v>
      </c>
      <c r="O117" s="91"/>
      <c r="P117" s="138">
        <v>0</v>
      </c>
      <c r="Q117" s="91"/>
      <c r="R117" s="138">
        <v>0</v>
      </c>
      <c r="S117" s="138">
        <v>0</v>
      </c>
      <c r="T117" s="138">
        <v>0</v>
      </c>
      <c r="U117" s="138">
        <v>1661220.599999988</v>
      </c>
      <c r="V117" s="138">
        <v>1582779.72</v>
      </c>
      <c r="W117" s="139">
        <v>0</v>
      </c>
      <c r="X117" s="130">
        <v>2.7999999999999997E-2</v>
      </c>
    </row>
    <row r="118" spans="1:24" x14ac:dyDescent="0.3">
      <c r="A118" s="74">
        <v>34028</v>
      </c>
      <c r="B118" s="90" t="s">
        <v>352</v>
      </c>
      <c r="C118" s="138">
        <v>0</v>
      </c>
      <c r="D118" s="138">
        <v>0</v>
      </c>
      <c r="E118" s="138">
        <v>0</v>
      </c>
      <c r="F118" s="138">
        <v>0</v>
      </c>
      <c r="G118" s="138">
        <v>0</v>
      </c>
      <c r="H118" s="138">
        <v>0</v>
      </c>
      <c r="I118" s="138">
        <v>0</v>
      </c>
      <c r="J118" s="139">
        <v>0</v>
      </c>
      <c r="K118" s="138">
        <v>0</v>
      </c>
      <c r="L118" s="138">
        <v>0</v>
      </c>
      <c r="M118" s="138">
        <v>0</v>
      </c>
      <c r="N118" s="138">
        <v>0</v>
      </c>
      <c r="O118" s="91"/>
      <c r="P118" s="138">
        <v>0</v>
      </c>
      <c r="Q118" s="91"/>
      <c r="R118" s="138">
        <v>0</v>
      </c>
      <c r="S118" s="138">
        <v>0</v>
      </c>
      <c r="T118" s="138">
        <v>0</v>
      </c>
      <c r="U118" s="138">
        <v>0</v>
      </c>
      <c r="V118" s="138">
        <v>0</v>
      </c>
      <c r="W118" s="139">
        <v>0</v>
      </c>
      <c r="X118" s="130">
        <v>0</v>
      </c>
    </row>
    <row r="119" spans="1:24" x14ac:dyDescent="0.3">
      <c r="A119" s="74">
        <v>34030</v>
      </c>
      <c r="B119" s="90" t="s">
        <v>353</v>
      </c>
      <c r="C119" s="138">
        <v>1592891.05</v>
      </c>
      <c r="D119" s="138">
        <v>0</v>
      </c>
      <c r="E119" s="138">
        <v>0</v>
      </c>
      <c r="F119" s="138">
        <v>0</v>
      </c>
      <c r="G119" s="138">
        <v>0</v>
      </c>
      <c r="H119" s="138">
        <v>1592891.05</v>
      </c>
      <c r="I119" s="138">
        <v>1592891.05</v>
      </c>
      <c r="J119" s="139">
        <v>0</v>
      </c>
      <c r="K119" s="138">
        <v>0</v>
      </c>
      <c r="L119" s="138">
        <v>0</v>
      </c>
      <c r="M119" s="138">
        <v>0</v>
      </c>
      <c r="N119" s="138">
        <v>0</v>
      </c>
      <c r="O119" s="91"/>
      <c r="P119" s="138">
        <v>0</v>
      </c>
      <c r="Q119" s="91"/>
      <c r="R119" s="138">
        <v>0</v>
      </c>
      <c r="S119" s="138">
        <v>0</v>
      </c>
      <c r="T119" s="138">
        <v>0</v>
      </c>
      <c r="U119" s="138">
        <v>0</v>
      </c>
      <c r="V119" s="138">
        <v>0</v>
      </c>
      <c r="W119" s="139">
        <v>0</v>
      </c>
      <c r="X119" s="130">
        <v>0</v>
      </c>
    </row>
    <row r="120" spans="1:24" x14ac:dyDescent="0.3">
      <c r="A120" s="74">
        <v>34042</v>
      </c>
      <c r="B120" s="90" t="s">
        <v>354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9">
        <v>0</v>
      </c>
      <c r="K120" s="138">
        <v>0</v>
      </c>
      <c r="L120" s="138">
        <v>0</v>
      </c>
      <c r="M120" s="138">
        <v>0</v>
      </c>
      <c r="N120" s="138">
        <v>0</v>
      </c>
      <c r="O120" s="91"/>
      <c r="P120" s="138">
        <v>0</v>
      </c>
      <c r="Q120" s="91"/>
      <c r="R120" s="138">
        <v>0</v>
      </c>
      <c r="S120" s="138">
        <v>0</v>
      </c>
      <c r="T120" s="138">
        <v>0</v>
      </c>
      <c r="U120" s="138">
        <v>0</v>
      </c>
      <c r="V120" s="138">
        <v>0</v>
      </c>
      <c r="W120" s="139">
        <v>0</v>
      </c>
      <c r="X120" s="130">
        <v>0</v>
      </c>
    </row>
    <row r="121" spans="1:24" x14ac:dyDescent="0.3">
      <c r="A121" s="74">
        <v>34081</v>
      </c>
      <c r="B121" s="90" t="s">
        <v>355</v>
      </c>
      <c r="C121" s="138">
        <v>18197341.469999999</v>
      </c>
      <c r="D121" s="138">
        <v>0</v>
      </c>
      <c r="E121" s="138">
        <v>0</v>
      </c>
      <c r="F121" s="138">
        <v>0</v>
      </c>
      <c r="G121" s="138">
        <v>0</v>
      </c>
      <c r="H121" s="138">
        <v>18197341.469999999</v>
      </c>
      <c r="I121" s="138">
        <v>18197341.469999999</v>
      </c>
      <c r="J121" s="139">
        <v>0</v>
      </c>
      <c r="K121" s="138">
        <v>0</v>
      </c>
      <c r="L121" s="138">
        <v>0</v>
      </c>
      <c r="M121" s="138">
        <v>0</v>
      </c>
      <c r="N121" s="138">
        <v>0</v>
      </c>
      <c r="O121" s="91"/>
      <c r="P121" s="138">
        <v>0</v>
      </c>
      <c r="Q121" s="91"/>
      <c r="R121" s="138">
        <v>0</v>
      </c>
      <c r="S121" s="138">
        <v>0</v>
      </c>
      <c r="T121" s="138">
        <v>0</v>
      </c>
      <c r="U121" s="138">
        <v>0</v>
      </c>
      <c r="V121" s="138">
        <v>0</v>
      </c>
      <c r="W121" s="139">
        <v>0</v>
      </c>
      <c r="X121" s="130">
        <v>0</v>
      </c>
    </row>
    <row r="122" spans="1:24" x14ac:dyDescent="0.3">
      <c r="A122" s="74">
        <v>34099</v>
      </c>
      <c r="B122" s="90" t="s">
        <v>356</v>
      </c>
      <c r="C122" s="138">
        <v>174163367.94</v>
      </c>
      <c r="D122" s="138">
        <v>15362126.26</v>
      </c>
      <c r="E122" s="138">
        <v>0</v>
      </c>
      <c r="F122" s="138">
        <v>0</v>
      </c>
      <c r="G122" s="138">
        <v>0</v>
      </c>
      <c r="H122" s="138">
        <v>189525494.19999999</v>
      </c>
      <c r="I122" s="138">
        <v>175345069.96000001</v>
      </c>
      <c r="J122" s="139">
        <v>0</v>
      </c>
      <c r="K122" s="138">
        <v>0</v>
      </c>
      <c r="L122" s="138">
        <v>0</v>
      </c>
      <c r="M122" s="138">
        <v>0</v>
      </c>
      <c r="N122" s="138">
        <v>0</v>
      </c>
      <c r="O122" s="91"/>
      <c r="P122" s="138">
        <v>0</v>
      </c>
      <c r="Q122" s="91"/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9">
        <v>0</v>
      </c>
      <c r="X122" s="130">
        <v>0</v>
      </c>
    </row>
    <row r="123" spans="1:24" x14ac:dyDescent="0.3">
      <c r="A123" s="74">
        <v>34120</v>
      </c>
      <c r="B123" s="90" t="s">
        <v>357</v>
      </c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  <c r="I123" s="138">
        <v>0</v>
      </c>
      <c r="J123" s="139">
        <v>0</v>
      </c>
      <c r="K123" s="138">
        <v>0</v>
      </c>
      <c r="L123" s="138">
        <v>0</v>
      </c>
      <c r="M123" s="138">
        <v>0</v>
      </c>
      <c r="N123" s="138">
        <v>0</v>
      </c>
      <c r="O123" s="91"/>
      <c r="P123" s="138">
        <v>0</v>
      </c>
      <c r="Q123" s="91"/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9">
        <v>0</v>
      </c>
      <c r="X123" s="130">
        <v>2.2000000000000002E-2</v>
      </c>
    </row>
    <row r="124" spans="1:24" x14ac:dyDescent="0.3">
      <c r="A124" s="74">
        <v>34128</v>
      </c>
      <c r="B124" s="90" t="s">
        <v>358</v>
      </c>
      <c r="C124" s="138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  <c r="I124" s="138">
        <v>0</v>
      </c>
      <c r="J124" s="139">
        <v>0</v>
      </c>
      <c r="K124" s="138">
        <v>0</v>
      </c>
      <c r="L124" s="138">
        <v>0</v>
      </c>
      <c r="M124" s="138">
        <v>0</v>
      </c>
      <c r="N124" s="138">
        <v>0</v>
      </c>
      <c r="O124" s="91"/>
      <c r="P124" s="138">
        <v>0</v>
      </c>
      <c r="Q124" s="91"/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9">
        <v>0</v>
      </c>
      <c r="X124" s="130">
        <v>0</v>
      </c>
    </row>
    <row r="125" spans="1:24" x14ac:dyDescent="0.3">
      <c r="A125" s="74">
        <v>34130</v>
      </c>
      <c r="B125" s="90" t="s">
        <v>359</v>
      </c>
      <c r="C125" s="138">
        <v>112232113.92</v>
      </c>
      <c r="D125" s="138">
        <v>0</v>
      </c>
      <c r="E125" s="138">
        <v>0</v>
      </c>
      <c r="F125" s="138">
        <v>0</v>
      </c>
      <c r="G125" s="138">
        <v>0</v>
      </c>
      <c r="H125" s="138">
        <v>112232113.92</v>
      </c>
      <c r="I125" s="138">
        <v>112232113.92</v>
      </c>
      <c r="J125" s="139">
        <v>0</v>
      </c>
      <c r="K125" s="138">
        <v>27560672.960000008</v>
      </c>
      <c r="L125" s="138">
        <v>4152588.24</v>
      </c>
      <c r="M125" s="138">
        <v>0</v>
      </c>
      <c r="N125" s="138">
        <v>0</v>
      </c>
      <c r="O125" s="91"/>
      <c r="P125" s="138">
        <v>0</v>
      </c>
      <c r="Q125" s="91"/>
      <c r="R125" s="138">
        <v>0</v>
      </c>
      <c r="S125" s="138">
        <v>0</v>
      </c>
      <c r="T125" s="138">
        <v>0</v>
      </c>
      <c r="U125" s="138">
        <v>31713261.20000001</v>
      </c>
      <c r="V125" s="138">
        <v>29636967.079999998</v>
      </c>
      <c r="W125" s="139">
        <v>0</v>
      </c>
      <c r="X125" s="130">
        <v>3.7000000000000005E-2</v>
      </c>
    </row>
    <row r="126" spans="1:24" x14ac:dyDescent="0.3">
      <c r="A126" s="74">
        <v>34131</v>
      </c>
      <c r="B126" s="90" t="s">
        <v>360</v>
      </c>
      <c r="C126" s="138">
        <v>21253120.770000003</v>
      </c>
      <c r="D126" s="138">
        <v>0</v>
      </c>
      <c r="E126" s="138">
        <v>0</v>
      </c>
      <c r="F126" s="138">
        <v>0</v>
      </c>
      <c r="G126" s="138">
        <v>0</v>
      </c>
      <c r="H126" s="138">
        <v>21253120.770000003</v>
      </c>
      <c r="I126" s="138">
        <v>21253120.77</v>
      </c>
      <c r="J126" s="139">
        <v>0</v>
      </c>
      <c r="K126" s="138">
        <v>9609725.6199999861</v>
      </c>
      <c r="L126" s="138">
        <v>1041402.96</v>
      </c>
      <c r="M126" s="138">
        <v>0</v>
      </c>
      <c r="N126" s="138">
        <v>0</v>
      </c>
      <c r="O126" s="91"/>
      <c r="P126" s="138">
        <v>0</v>
      </c>
      <c r="Q126" s="91"/>
      <c r="R126" s="138">
        <v>0</v>
      </c>
      <c r="S126" s="138">
        <v>0</v>
      </c>
      <c r="T126" s="138">
        <v>0</v>
      </c>
      <c r="U126" s="138">
        <v>10651128.579999987</v>
      </c>
      <c r="V126" s="138">
        <v>10130427.1</v>
      </c>
      <c r="W126" s="139">
        <v>0</v>
      </c>
      <c r="X126" s="130">
        <v>4.9000000000000002E-2</v>
      </c>
    </row>
    <row r="127" spans="1:24" x14ac:dyDescent="0.3">
      <c r="A127" s="74">
        <v>34132</v>
      </c>
      <c r="B127" s="90" t="s">
        <v>361</v>
      </c>
      <c r="C127" s="138">
        <v>27131136.169999998</v>
      </c>
      <c r="D127" s="138">
        <v>0</v>
      </c>
      <c r="E127" s="138">
        <v>0</v>
      </c>
      <c r="F127" s="138">
        <v>0</v>
      </c>
      <c r="G127" s="138">
        <v>0</v>
      </c>
      <c r="H127" s="138">
        <v>27131136.169999998</v>
      </c>
      <c r="I127" s="138">
        <v>27131136.170000002</v>
      </c>
      <c r="J127" s="139">
        <v>0</v>
      </c>
      <c r="K127" s="138">
        <v>14552664.960000016</v>
      </c>
      <c r="L127" s="138">
        <v>1150360.2</v>
      </c>
      <c r="M127" s="138">
        <v>0</v>
      </c>
      <c r="N127" s="138">
        <v>0</v>
      </c>
      <c r="O127" s="91"/>
      <c r="P127" s="138">
        <v>0</v>
      </c>
      <c r="Q127" s="91"/>
      <c r="R127" s="138">
        <v>0</v>
      </c>
      <c r="S127" s="138">
        <v>0</v>
      </c>
      <c r="T127" s="138">
        <v>0</v>
      </c>
      <c r="U127" s="138">
        <v>15703025.160000015</v>
      </c>
      <c r="V127" s="138">
        <v>15127845.060000001</v>
      </c>
      <c r="W127" s="139">
        <v>0</v>
      </c>
      <c r="X127" s="130">
        <v>4.24E-2</v>
      </c>
    </row>
    <row r="128" spans="1:24" x14ac:dyDescent="0.3">
      <c r="A128" s="74">
        <v>34133</v>
      </c>
      <c r="B128" s="90" t="s">
        <v>362</v>
      </c>
      <c r="C128" s="138">
        <v>656349.29</v>
      </c>
      <c r="D128" s="138">
        <v>0</v>
      </c>
      <c r="E128" s="138">
        <v>0</v>
      </c>
      <c r="F128" s="138">
        <v>0</v>
      </c>
      <c r="G128" s="138">
        <v>0</v>
      </c>
      <c r="H128" s="138">
        <v>656349.29</v>
      </c>
      <c r="I128" s="138">
        <v>656349.29</v>
      </c>
      <c r="J128" s="139">
        <v>0</v>
      </c>
      <c r="K128" s="138">
        <v>75171.190000000031</v>
      </c>
      <c r="L128" s="138">
        <v>27829.200000000001</v>
      </c>
      <c r="M128" s="138">
        <v>0</v>
      </c>
      <c r="N128" s="138">
        <v>0</v>
      </c>
      <c r="O128" s="91"/>
      <c r="P128" s="138">
        <v>0</v>
      </c>
      <c r="Q128" s="91"/>
      <c r="R128" s="138">
        <v>0</v>
      </c>
      <c r="S128" s="138">
        <v>0</v>
      </c>
      <c r="T128" s="138">
        <v>0</v>
      </c>
      <c r="U128" s="138">
        <v>103000.39000000003</v>
      </c>
      <c r="V128" s="138">
        <v>89085.79</v>
      </c>
      <c r="W128" s="139">
        <v>0</v>
      </c>
      <c r="X128" s="130">
        <v>4.24E-2</v>
      </c>
    </row>
    <row r="129" spans="1:24" x14ac:dyDescent="0.3">
      <c r="A129" s="74">
        <v>34134</v>
      </c>
      <c r="B129" s="90" t="s">
        <v>363</v>
      </c>
      <c r="C129" s="138">
        <v>242333.96</v>
      </c>
      <c r="D129" s="138">
        <v>0</v>
      </c>
      <c r="E129" s="138">
        <v>0</v>
      </c>
      <c r="F129" s="138">
        <v>0</v>
      </c>
      <c r="G129" s="138">
        <v>0</v>
      </c>
      <c r="H129" s="138">
        <v>242333.96</v>
      </c>
      <c r="I129" s="138">
        <v>242333.96</v>
      </c>
      <c r="J129" s="139">
        <v>0</v>
      </c>
      <c r="K129" s="138">
        <v>-73139.029999999941</v>
      </c>
      <c r="L129" s="138">
        <v>14661.24</v>
      </c>
      <c r="M129" s="138">
        <v>0</v>
      </c>
      <c r="N129" s="138">
        <v>0</v>
      </c>
      <c r="O129" s="91"/>
      <c r="P129" s="138">
        <v>0</v>
      </c>
      <c r="Q129" s="91"/>
      <c r="R129" s="138">
        <v>0</v>
      </c>
      <c r="S129" s="138">
        <v>0</v>
      </c>
      <c r="T129" s="138">
        <v>0</v>
      </c>
      <c r="U129" s="138">
        <v>-58477.789999999943</v>
      </c>
      <c r="V129" s="138">
        <v>-65808.41</v>
      </c>
      <c r="W129" s="139">
        <v>0</v>
      </c>
      <c r="X129" s="130">
        <v>6.0499999999999998E-2</v>
      </c>
    </row>
    <row r="130" spans="1:24" x14ac:dyDescent="0.3">
      <c r="A130" s="74">
        <v>34135</v>
      </c>
      <c r="B130" s="90" t="s">
        <v>364</v>
      </c>
      <c r="C130" s="138">
        <v>793114.26</v>
      </c>
      <c r="D130" s="138">
        <v>0</v>
      </c>
      <c r="E130" s="138">
        <v>0</v>
      </c>
      <c r="F130" s="138">
        <v>0</v>
      </c>
      <c r="G130" s="138">
        <v>0</v>
      </c>
      <c r="H130" s="138">
        <v>793114.26</v>
      </c>
      <c r="I130" s="138">
        <v>793114.26</v>
      </c>
      <c r="J130" s="139">
        <v>0</v>
      </c>
      <c r="K130" s="138">
        <v>-27676.379999999997</v>
      </c>
      <c r="L130" s="138">
        <v>38545.32</v>
      </c>
      <c r="M130" s="138">
        <v>0</v>
      </c>
      <c r="N130" s="138">
        <v>0</v>
      </c>
      <c r="O130" s="91"/>
      <c r="P130" s="138">
        <v>0</v>
      </c>
      <c r="Q130" s="91"/>
      <c r="R130" s="138">
        <v>0</v>
      </c>
      <c r="S130" s="138">
        <v>0</v>
      </c>
      <c r="T130" s="138">
        <v>0</v>
      </c>
      <c r="U130" s="138">
        <v>10868.940000000002</v>
      </c>
      <c r="V130" s="138">
        <v>-8403.7199999999993</v>
      </c>
      <c r="W130" s="139">
        <v>0</v>
      </c>
      <c r="X130" s="130">
        <v>4.8600000000000004E-2</v>
      </c>
    </row>
    <row r="131" spans="1:24" x14ac:dyDescent="0.3">
      <c r="A131" s="74">
        <v>34136</v>
      </c>
      <c r="B131" s="90" t="s">
        <v>365</v>
      </c>
      <c r="C131" s="138">
        <v>2656231.54</v>
      </c>
      <c r="D131" s="138">
        <v>0</v>
      </c>
      <c r="E131" s="138">
        <v>0</v>
      </c>
      <c r="F131" s="138">
        <v>0</v>
      </c>
      <c r="G131" s="138">
        <v>0</v>
      </c>
      <c r="H131" s="138">
        <v>2656231.54</v>
      </c>
      <c r="I131" s="138">
        <v>2656231.54</v>
      </c>
      <c r="J131" s="139">
        <v>0</v>
      </c>
      <c r="K131" s="138">
        <v>695087.72000000114</v>
      </c>
      <c r="L131" s="138">
        <v>96155.64</v>
      </c>
      <c r="M131" s="138">
        <v>0</v>
      </c>
      <c r="N131" s="138">
        <v>0</v>
      </c>
      <c r="O131" s="91"/>
      <c r="P131" s="138">
        <v>0</v>
      </c>
      <c r="Q131" s="91"/>
      <c r="R131" s="138">
        <v>0</v>
      </c>
      <c r="S131" s="138">
        <v>0</v>
      </c>
      <c r="T131" s="138">
        <v>0</v>
      </c>
      <c r="U131" s="138">
        <v>791243.36000000115</v>
      </c>
      <c r="V131" s="138">
        <v>743165.54</v>
      </c>
      <c r="W131" s="139">
        <v>0</v>
      </c>
      <c r="X131" s="130">
        <v>3.6200000000000003E-2</v>
      </c>
    </row>
    <row r="132" spans="1:24" x14ac:dyDescent="0.3">
      <c r="A132" s="74">
        <v>34141</v>
      </c>
      <c r="B132" s="90" t="s">
        <v>366</v>
      </c>
      <c r="C132" s="138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  <c r="I132" s="138">
        <v>0</v>
      </c>
      <c r="J132" s="139">
        <v>0</v>
      </c>
      <c r="K132" s="138">
        <v>0</v>
      </c>
      <c r="L132" s="138">
        <v>0</v>
      </c>
      <c r="M132" s="138">
        <v>0</v>
      </c>
      <c r="N132" s="138">
        <v>0</v>
      </c>
      <c r="O132" s="91"/>
      <c r="P132" s="138">
        <v>0</v>
      </c>
      <c r="Q132" s="91"/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9">
        <v>0</v>
      </c>
      <c r="X132" s="130">
        <v>0</v>
      </c>
    </row>
    <row r="133" spans="1:24" x14ac:dyDescent="0.3">
      <c r="A133" s="74">
        <v>34142</v>
      </c>
      <c r="B133" s="90" t="s">
        <v>367</v>
      </c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  <c r="I133" s="138">
        <v>0</v>
      </c>
      <c r="J133" s="139">
        <v>0</v>
      </c>
      <c r="K133" s="138">
        <v>0</v>
      </c>
      <c r="L133" s="138">
        <v>0</v>
      </c>
      <c r="M133" s="138">
        <v>0</v>
      </c>
      <c r="N133" s="138">
        <v>0</v>
      </c>
      <c r="O133" s="91"/>
      <c r="P133" s="138">
        <v>0</v>
      </c>
      <c r="Q133" s="91"/>
      <c r="R133" s="138">
        <v>0</v>
      </c>
      <c r="S133" s="138">
        <v>0</v>
      </c>
      <c r="T133" s="138">
        <v>0</v>
      </c>
      <c r="U133" s="138">
        <v>0</v>
      </c>
      <c r="V133" s="138">
        <v>0</v>
      </c>
      <c r="W133" s="139">
        <v>0</v>
      </c>
      <c r="X133" s="130">
        <v>0</v>
      </c>
    </row>
    <row r="134" spans="1:24" x14ac:dyDescent="0.3">
      <c r="A134" s="74">
        <v>34143</v>
      </c>
      <c r="B134" s="90" t="s">
        <v>368</v>
      </c>
      <c r="C134" s="138">
        <v>2290548.98</v>
      </c>
      <c r="D134" s="138">
        <v>0</v>
      </c>
      <c r="E134" s="138">
        <v>0</v>
      </c>
      <c r="F134" s="138">
        <v>0</v>
      </c>
      <c r="G134" s="138">
        <v>0</v>
      </c>
      <c r="H134" s="138">
        <v>2290548.98</v>
      </c>
      <c r="I134" s="138">
        <v>2290548.98</v>
      </c>
      <c r="J134" s="139">
        <v>0</v>
      </c>
      <c r="K134" s="138">
        <v>1537836.1399999992</v>
      </c>
      <c r="L134" s="138">
        <v>78565.8</v>
      </c>
      <c r="M134" s="138">
        <v>0</v>
      </c>
      <c r="N134" s="138">
        <v>0</v>
      </c>
      <c r="O134" s="91"/>
      <c r="P134" s="138">
        <v>0</v>
      </c>
      <c r="Q134" s="91"/>
      <c r="R134" s="138">
        <v>0</v>
      </c>
      <c r="S134" s="138">
        <v>0</v>
      </c>
      <c r="T134" s="138">
        <v>0</v>
      </c>
      <c r="U134" s="138">
        <v>1616401.9399999992</v>
      </c>
      <c r="V134" s="138">
        <v>1577119.04</v>
      </c>
      <c r="W134" s="139">
        <v>0</v>
      </c>
      <c r="X134" s="130">
        <v>3.4300000000000004E-2</v>
      </c>
    </row>
    <row r="135" spans="1:24" x14ac:dyDescent="0.3">
      <c r="A135" s="74">
        <v>34144</v>
      </c>
      <c r="B135" s="90" t="s">
        <v>369</v>
      </c>
      <c r="C135" s="138">
        <v>3335882.55</v>
      </c>
      <c r="D135" s="138">
        <v>0</v>
      </c>
      <c r="E135" s="138">
        <v>0</v>
      </c>
      <c r="F135" s="138">
        <v>0</v>
      </c>
      <c r="G135" s="138">
        <v>0</v>
      </c>
      <c r="H135" s="138">
        <v>3335882.55</v>
      </c>
      <c r="I135" s="138">
        <v>3335882.55</v>
      </c>
      <c r="J135" s="139">
        <v>0</v>
      </c>
      <c r="K135" s="138">
        <v>1049697.2600000002</v>
      </c>
      <c r="L135" s="138">
        <v>112752.84</v>
      </c>
      <c r="M135" s="138">
        <v>0</v>
      </c>
      <c r="N135" s="138">
        <v>0</v>
      </c>
      <c r="O135" s="91"/>
      <c r="P135" s="138">
        <v>0</v>
      </c>
      <c r="Q135" s="91"/>
      <c r="R135" s="138">
        <v>0</v>
      </c>
      <c r="S135" s="138">
        <v>0</v>
      </c>
      <c r="T135" s="138">
        <v>0</v>
      </c>
      <c r="U135" s="138">
        <v>1162450.1000000003</v>
      </c>
      <c r="V135" s="138">
        <v>1106073.68</v>
      </c>
      <c r="W135" s="139">
        <v>0</v>
      </c>
      <c r="X135" s="130">
        <v>3.3799999999999997E-2</v>
      </c>
    </row>
    <row r="136" spans="1:24" x14ac:dyDescent="0.3">
      <c r="A136" s="74">
        <v>34145</v>
      </c>
      <c r="B136" s="90" t="s">
        <v>370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  <c r="I136" s="138">
        <v>0</v>
      </c>
      <c r="J136" s="139">
        <v>0</v>
      </c>
      <c r="K136" s="138">
        <v>0</v>
      </c>
      <c r="L136" s="138">
        <v>0</v>
      </c>
      <c r="M136" s="138">
        <v>0</v>
      </c>
      <c r="N136" s="138">
        <v>0</v>
      </c>
      <c r="O136" s="91"/>
      <c r="P136" s="138">
        <v>0</v>
      </c>
      <c r="Q136" s="91"/>
      <c r="R136" s="138">
        <v>0</v>
      </c>
      <c r="S136" s="138">
        <v>0</v>
      </c>
      <c r="T136" s="138">
        <v>0</v>
      </c>
      <c r="U136" s="138">
        <v>0</v>
      </c>
      <c r="V136" s="138">
        <v>0</v>
      </c>
      <c r="W136" s="139">
        <v>0</v>
      </c>
      <c r="X136" s="130">
        <v>2.2000000000000002E-2</v>
      </c>
    </row>
    <row r="137" spans="1:24" x14ac:dyDescent="0.3">
      <c r="A137" s="74">
        <v>34146</v>
      </c>
      <c r="B137" s="90" t="s">
        <v>371</v>
      </c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  <c r="I137" s="138">
        <v>0</v>
      </c>
      <c r="J137" s="139">
        <v>0</v>
      </c>
      <c r="K137" s="138">
        <v>0</v>
      </c>
      <c r="L137" s="138">
        <v>0</v>
      </c>
      <c r="M137" s="138">
        <v>0</v>
      </c>
      <c r="N137" s="138">
        <v>0</v>
      </c>
      <c r="O137" s="91"/>
      <c r="P137" s="138">
        <v>0</v>
      </c>
      <c r="Q137" s="91"/>
      <c r="R137" s="138">
        <v>0</v>
      </c>
      <c r="S137" s="138">
        <v>0</v>
      </c>
      <c r="T137" s="138">
        <v>0</v>
      </c>
      <c r="U137" s="138">
        <v>0</v>
      </c>
      <c r="V137" s="138">
        <v>0</v>
      </c>
      <c r="W137" s="139">
        <v>0</v>
      </c>
      <c r="X137" s="130">
        <v>2.2000000000000002E-2</v>
      </c>
    </row>
    <row r="138" spans="1:24" x14ac:dyDescent="0.3">
      <c r="A138" s="74">
        <v>34180</v>
      </c>
      <c r="B138" s="90" t="s">
        <v>372</v>
      </c>
      <c r="C138" s="138">
        <v>193028877.69000003</v>
      </c>
      <c r="D138" s="138">
        <v>0</v>
      </c>
      <c r="E138" s="138">
        <v>0</v>
      </c>
      <c r="F138" s="138">
        <v>0</v>
      </c>
      <c r="G138" s="138">
        <v>0</v>
      </c>
      <c r="H138" s="138">
        <v>193028877.69000003</v>
      </c>
      <c r="I138" s="138">
        <v>193028877.69</v>
      </c>
      <c r="J138" s="139">
        <v>0</v>
      </c>
      <c r="K138" s="138">
        <v>67242114.899999991</v>
      </c>
      <c r="L138" s="138">
        <v>5752260.5999999996</v>
      </c>
      <c r="M138" s="138">
        <v>0</v>
      </c>
      <c r="N138" s="138">
        <v>0</v>
      </c>
      <c r="O138" s="91"/>
      <c r="P138" s="138">
        <v>0</v>
      </c>
      <c r="Q138" s="91"/>
      <c r="R138" s="138">
        <v>0</v>
      </c>
      <c r="S138" s="138">
        <v>0</v>
      </c>
      <c r="T138" s="138">
        <v>0</v>
      </c>
      <c r="U138" s="138">
        <v>72994375.499999985</v>
      </c>
      <c r="V138" s="138">
        <v>70118245.200000003</v>
      </c>
      <c r="W138" s="139">
        <v>0</v>
      </c>
      <c r="X138" s="130">
        <v>2.98E-2</v>
      </c>
    </row>
    <row r="139" spans="1:24" x14ac:dyDescent="0.3">
      <c r="A139" s="74">
        <v>34181</v>
      </c>
      <c r="B139" s="90" t="s">
        <v>373</v>
      </c>
      <c r="C139" s="138">
        <v>53101275.780000016</v>
      </c>
      <c r="D139" s="138">
        <v>0</v>
      </c>
      <c r="E139" s="138">
        <v>0</v>
      </c>
      <c r="F139" s="138">
        <v>0</v>
      </c>
      <c r="G139" s="138">
        <v>0</v>
      </c>
      <c r="H139" s="138">
        <v>53101275.780000016</v>
      </c>
      <c r="I139" s="138">
        <v>53101275.780000001</v>
      </c>
      <c r="J139" s="139">
        <v>0</v>
      </c>
      <c r="K139" s="138">
        <v>28571969.029999975</v>
      </c>
      <c r="L139" s="138">
        <v>2601962.52</v>
      </c>
      <c r="M139" s="138">
        <v>0</v>
      </c>
      <c r="N139" s="138">
        <v>0</v>
      </c>
      <c r="O139" s="91"/>
      <c r="P139" s="138">
        <v>0</v>
      </c>
      <c r="Q139" s="91"/>
      <c r="R139" s="138">
        <v>0</v>
      </c>
      <c r="S139" s="138">
        <v>0</v>
      </c>
      <c r="T139" s="138">
        <v>0</v>
      </c>
      <c r="U139" s="138">
        <v>31173931.549999975</v>
      </c>
      <c r="V139" s="138">
        <v>29872950.289999999</v>
      </c>
      <c r="W139" s="139">
        <v>0</v>
      </c>
      <c r="X139" s="130">
        <v>4.9000000000000002E-2</v>
      </c>
    </row>
    <row r="140" spans="1:24" x14ac:dyDescent="0.3">
      <c r="A140" s="74">
        <v>34182</v>
      </c>
      <c r="B140" s="90" t="s">
        <v>374</v>
      </c>
      <c r="C140" s="138">
        <v>2342155.2899999996</v>
      </c>
      <c r="D140" s="138">
        <v>0</v>
      </c>
      <c r="E140" s="138">
        <v>0</v>
      </c>
      <c r="F140" s="138">
        <v>0</v>
      </c>
      <c r="G140" s="138">
        <v>0</v>
      </c>
      <c r="H140" s="138">
        <v>2342155.2899999996</v>
      </c>
      <c r="I140" s="138">
        <v>2342155.29</v>
      </c>
      <c r="J140" s="139">
        <v>0</v>
      </c>
      <c r="K140" s="138">
        <v>1331510.5799999984</v>
      </c>
      <c r="L140" s="138">
        <v>52932.72</v>
      </c>
      <c r="M140" s="138">
        <v>0</v>
      </c>
      <c r="N140" s="138">
        <v>0</v>
      </c>
      <c r="O140" s="91"/>
      <c r="P140" s="138">
        <v>0</v>
      </c>
      <c r="Q140" s="91"/>
      <c r="R140" s="138">
        <v>0</v>
      </c>
      <c r="S140" s="138">
        <v>0</v>
      </c>
      <c r="T140" s="138">
        <v>0</v>
      </c>
      <c r="U140" s="138">
        <v>1384443.2999999984</v>
      </c>
      <c r="V140" s="138">
        <v>1357976.94</v>
      </c>
      <c r="W140" s="139">
        <v>0</v>
      </c>
      <c r="X140" s="130">
        <v>2.2599999999999999E-2</v>
      </c>
    </row>
    <row r="141" spans="1:24" x14ac:dyDescent="0.3">
      <c r="A141" s="74">
        <v>34183</v>
      </c>
      <c r="B141" s="90" t="s">
        <v>375</v>
      </c>
      <c r="C141" s="138">
        <v>10708676.690000001</v>
      </c>
      <c r="D141" s="138">
        <v>0</v>
      </c>
      <c r="E141" s="138">
        <v>0</v>
      </c>
      <c r="F141" s="138">
        <v>0</v>
      </c>
      <c r="G141" s="138">
        <v>0</v>
      </c>
      <c r="H141" s="138">
        <v>10708676.690000001</v>
      </c>
      <c r="I141" s="138">
        <v>10708676.689999999</v>
      </c>
      <c r="J141" s="139">
        <v>0</v>
      </c>
      <c r="K141" s="138">
        <v>6000960.3099999996</v>
      </c>
      <c r="L141" s="138">
        <v>243087</v>
      </c>
      <c r="M141" s="138">
        <v>0</v>
      </c>
      <c r="N141" s="138">
        <v>0</v>
      </c>
      <c r="O141" s="91"/>
      <c r="P141" s="138">
        <v>0</v>
      </c>
      <c r="Q141" s="91"/>
      <c r="R141" s="138">
        <v>0</v>
      </c>
      <c r="S141" s="138">
        <v>0</v>
      </c>
      <c r="T141" s="138">
        <v>0</v>
      </c>
      <c r="U141" s="138">
        <v>6244047.3099999996</v>
      </c>
      <c r="V141" s="138">
        <v>6122503.8099999996</v>
      </c>
      <c r="W141" s="139">
        <v>0</v>
      </c>
      <c r="X141" s="130">
        <v>2.2700000000000001E-2</v>
      </c>
    </row>
    <row r="142" spans="1:24" x14ac:dyDescent="0.3">
      <c r="A142" s="74">
        <v>34184</v>
      </c>
      <c r="B142" s="90" t="s">
        <v>376</v>
      </c>
      <c r="C142" s="138">
        <v>5812062.1499999994</v>
      </c>
      <c r="D142" s="138">
        <v>0</v>
      </c>
      <c r="E142" s="138">
        <v>0</v>
      </c>
      <c r="F142" s="138">
        <v>0</v>
      </c>
      <c r="G142" s="138">
        <v>0</v>
      </c>
      <c r="H142" s="138">
        <v>5812062.1499999994</v>
      </c>
      <c r="I142" s="138">
        <v>5812062.1500000004</v>
      </c>
      <c r="J142" s="139">
        <v>0</v>
      </c>
      <c r="K142" s="138">
        <v>2397493.3800000036</v>
      </c>
      <c r="L142" s="138">
        <v>159250.56</v>
      </c>
      <c r="M142" s="138">
        <v>0</v>
      </c>
      <c r="N142" s="138">
        <v>0</v>
      </c>
      <c r="O142" s="91"/>
      <c r="P142" s="138">
        <v>0</v>
      </c>
      <c r="Q142" s="91"/>
      <c r="R142" s="138">
        <v>0</v>
      </c>
      <c r="S142" s="138">
        <v>0</v>
      </c>
      <c r="T142" s="138">
        <v>0</v>
      </c>
      <c r="U142" s="138">
        <v>2556743.9400000037</v>
      </c>
      <c r="V142" s="138">
        <v>2477118.66</v>
      </c>
      <c r="W142" s="139">
        <v>0</v>
      </c>
      <c r="X142" s="130">
        <v>2.7400000000000001E-2</v>
      </c>
    </row>
    <row r="143" spans="1:24" x14ac:dyDescent="0.3">
      <c r="A143" s="74">
        <v>34185</v>
      </c>
      <c r="B143" s="90" t="s">
        <v>377</v>
      </c>
      <c r="C143" s="138">
        <v>5746580.1100000003</v>
      </c>
      <c r="D143" s="138">
        <v>0</v>
      </c>
      <c r="E143" s="138">
        <v>0</v>
      </c>
      <c r="F143" s="138">
        <v>0</v>
      </c>
      <c r="G143" s="138">
        <v>0</v>
      </c>
      <c r="H143" s="138">
        <v>5746580.1100000003</v>
      </c>
      <c r="I143" s="138">
        <v>5746580.1100000003</v>
      </c>
      <c r="J143" s="139">
        <v>0</v>
      </c>
      <c r="K143" s="138">
        <v>2424266.6999999988</v>
      </c>
      <c r="L143" s="138">
        <v>156306.96</v>
      </c>
      <c r="M143" s="138">
        <v>0</v>
      </c>
      <c r="N143" s="138">
        <v>0</v>
      </c>
      <c r="O143" s="91"/>
      <c r="P143" s="138">
        <v>0</v>
      </c>
      <c r="Q143" s="91"/>
      <c r="R143" s="138">
        <v>0</v>
      </c>
      <c r="S143" s="138">
        <v>0</v>
      </c>
      <c r="T143" s="138">
        <v>0</v>
      </c>
      <c r="U143" s="138">
        <v>2580573.6599999988</v>
      </c>
      <c r="V143" s="138">
        <v>2502420.1800000002</v>
      </c>
      <c r="W143" s="139">
        <v>0</v>
      </c>
      <c r="X143" s="130">
        <v>2.7200000000000002E-2</v>
      </c>
    </row>
    <row r="144" spans="1:24" x14ac:dyDescent="0.3">
      <c r="A144" s="74">
        <v>34186</v>
      </c>
      <c r="B144" s="90" t="s">
        <v>378</v>
      </c>
      <c r="C144" s="138">
        <v>13374554.050000001</v>
      </c>
      <c r="D144" s="138">
        <v>1291111.07</v>
      </c>
      <c r="E144" s="138">
        <v>-258222.22</v>
      </c>
      <c r="F144" s="138">
        <v>0</v>
      </c>
      <c r="G144" s="138">
        <v>0</v>
      </c>
      <c r="H144" s="138">
        <v>14407442.9</v>
      </c>
      <c r="I144" s="138">
        <v>13593049.77</v>
      </c>
      <c r="J144" s="139">
        <v>0</v>
      </c>
      <c r="K144" s="138">
        <v>4266581.8700000066</v>
      </c>
      <c r="L144" s="138">
        <v>396287.85</v>
      </c>
      <c r="M144" s="138">
        <v>-258222.22</v>
      </c>
      <c r="N144" s="138">
        <v>-108888.9</v>
      </c>
      <c r="O144" s="91"/>
      <c r="P144" s="138">
        <v>0</v>
      </c>
      <c r="Q144" s="91"/>
      <c r="R144" s="138">
        <v>0</v>
      </c>
      <c r="S144" s="138">
        <v>0</v>
      </c>
      <c r="T144" s="138">
        <v>0</v>
      </c>
      <c r="U144" s="138">
        <v>4295758.6000000061</v>
      </c>
      <c r="V144" s="138">
        <v>4353951.88</v>
      </c>
      <c r="W144" s="139">
        <v>0</v>
      </c>
      <c r="X144" s="130">
        <v>2.9300000000000003E-2</v>
      </c>
    </row>
    <row r="145" spans="1:24" x14ac:dyDescent="0.3">
      <c r="A145" s="74">
        <v>34198</v>
      </c>
      <c r="B145" s="90" t="s">
        <v>379</v>
      </c>
      <c r="C145" s="138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  <c r="I145" s="138">
        <v>0</v>
      </c>
      <c r="J145" s="139">
        <v>0</v>
      </c>
      <c r="K145" s="138">
        <v>0</v>
      </c>
      <c r="L145" s="138">
        <v>0</v>
      </c>
      <c r="M145" s="138">
        <v>0</v>
      </c>
      <c r="N145" s="138">
        <v>0</v>
      </c>
      <c r="O145" s="91"/>
      <c r="P145" s="138">
        <v>0</v>
      </c>
      <c r="Q145" s="91"/>
      <c r="R145" s="138">
        <v>0</v>
      </c>
      <c r="S145" s="138">
        <v>0</v>
      </c>
      <c r="T145" s="138">
        <v>0</v>
      </c>
      <c r="U145" s="138">
        <v>0</v>
      </c>
      <c r="V145" s="138">
        <v>0</v>
      </c>
      <c r="W145" s="139">
        <v>0</v>
      </c>
      <c r="X145" s="130">
        <v>3.3300000000000003E-2</v>
      </c>
    </row>
    <row r="146" spans="1:24" x14ac:dyDescent="0.3">
      <c r="A146" s="74">
        <v>34199</v>
      </c>
      <c r="B146" s="90" t="s">
        <v>380</v>
      </c>
      <c r="C146" s="138">
        <v>470718920.08000004</v>
      </c>
      <c r="D146" s="138">
        <v>0</v>
      </c>
      <c r="E146" s="138">
        <v>0</v>
      </c>
      <c r="F146" s="138">
        <v>0</v>
      </c>
      <c r="G146" s="138">
        <v>0</v>
      </c>
      <c r="H146" s="138">
        <v>470718920.08000004</v>
      </c>
      <c r="I146" s="138">
        <v>470718920.07999998</v>
      </c>
      <c r="J146" s="139">
        <v>0</v>
      </c>
      <c r="K146" s="138">
        <v>54082009.740000002</v>
      </c>
      <c r="L146" s="138">
        <v>15863227.560000001</v>
      </c>
      <c r="M146" s="138">
        <v>0</v>
      </c>
      <c r="N146" s="138">
        <v>0</v>
      </c>
      <c r="O146" s="91"/>
      <c r="P146" s="138">
        <v>0</v>
      </c>
      <c r="Q146" s="91"/>
      <c r="R146" s="138">
        <v>0</v>
      </c>
      <c r="S146" s="138">
        <v>0</v>
      </c>
      <c r="T146" s="138">
        <v>0</v>
      </c>
      <c r="U146" s="138">
        <v>69945237.299999997</v>
      </c>
      <c r="V146" s="138">
        <v>62013623.520000003</v>
      </c>
      <c r="W146" s="139">
        <v>0</v>
      </c>
      <c r="X146" s="130">
        <v>3.3700000000000001E-2</v>
      </c>
    </row>
    <row r="147" spans="1:24" x14ac:dyDescent="0.3">
      <c r="A147" s="74">
        <v>34220</v>
      </c>
      <c r="B147" s="90" t="s">
        <v>381</v>
      </c>
      <c r="C147" s="138">
        <v>0</v>
      </c>
      <c r="D147" s="138">
        <v>53790116.170000002</v>
      </c>
      <c r="E147" s="138">
        <v>0</v>
      </c>
      <c r="F147" s="138">
        <v>0</v>
      </c>
      <c r="G147" s="138">
        <v>0</v>
      </c>
      <c r="H147" s="138">
        <v>53790116.170000002</v>
      </c>
      <c r="I147" s="138">
        <v>36099210.57</v>
      </c>
      <c r="J147" s="139">
        <v>0</v>
      </c>
      <c r="K147" s="138">
        <v>0</v>
      </c>
      <c r="L147" s="138">
        <v>761749.3</v>
      </c>
      <c r="M147" s="138">
        <v>0</v>
      </c>
      <c r="N147" s="138">
        <v>0</v>
      </c>
      <c r="O147" s="91"/>
      <c r="P147" s="138">
        <v>0</v>
      </c>
      <c r="Q147" s="91"/>
      <c r="R147" s="138">
        <v>0</v>
      </c>
      <c r="S147" s="138">
        <v>0</v>
      </c>
      <c r="T147" s="138">
        <v>0</v>
      </c>
      <c r="U147" s="138">
        <v>761749.3</v>
      </c>
      <c r="V147" s="138">
        <v>261886.81</v>
      </c>
      <c r="W147" s="139">
        <v>0</v>
      </c>
      <c r="X147" s="130">
        <v>2.2000000000000002E-2</v>
      </c>
    </row>
    <row r="148" spans="1:24" x14ac:dyDescent="0.3">
      <c r="A148" s="74">
        <v>34228</v>
      </c>
      <c r="B148" s="90" t="s">
        <v>382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  <c r="I148" s="138">
        <v>0</v>
      </c>
      <c r="J148" s="139">
        <v>0</v>
      </c>
      <c r="K148" s="138">
        <v>0</v>
      </c>
      <c r="L148" s="138">
        <v>0</v>
      </c>
      <c r="M148" s="138">
        <v>0</v>
      </c>
      <c r="N148" s="138">
        <v>0</v>
      </c>
      <c r="O148" s="91"/>
      <c r="P148" s="138">
        <v>0</v>
      </c>
      <c r="Q148" s="91"/>
      <c r="R148" s="138">
        <v>0</v>
      </c>
      <c r="S148" s="138">
        <v>0</v>
      </c>
      <c r="T148" s="138">
        <v>0</v>
      </c>
      <c r="U148" s="138">
        <v>0</v>
      </c>
      <c r="V148" s="138">
        <v>0</v>
      </c>
      <c r="W148" s="139">
        <v>0</v>
      </c>
      <c r="X148" s="130">
        <v>0</v>
      </c>
    </row>
    <row r="149" spans="1:24" x14ac:dyDescent="0.3">
      <c r="A149" s="74">
        <v>34230</v>
      </c>
      <c r="B149" s="90" t="s">
        <v>383</v>
      </c>
      <c r="C149" s="138">
        <v>41315289.07</v>
      </c>
      <c r="D149" s="138">
        <v>8972430.3900000006</v>
      </c>
      <c r="E149" s="138">
        <v>-1794486.08</v>
      </c>
      <c r="F149" s="138">
        <v>0</v>
      </c>
      <c r="G149" s="138">
        <v>0</v>
      </c>
      <c r="H149" s="138">
        <v>48493233.380000003</v>
      </c>
      <c r="I149" s="138">
        <v>45243593.82</v>
      </c>
      <c r="J149" s="139">
        <v>-5.0000101327896118E-3</v>
      </c>
      <c r="K149" s="138">
        <v>4083940.739999996</v>
      </c>
      <c r="L149" s="138">
        <v>1915840.89</v>
      </c>
      <c r="M149" s="138">
        <v>-1794486.08</v>
      </c>
      <c r="N149" s="138">
        <v>-50000</v>
      </c>
      <c r="O149" s="91"/>
      <c r="P149" s="138">
        <v>0</v>
      </c>
      <c r="Q149" s="91"/>
      <c r="R149" s="138">
        <v>0</v>
      </c>
      <c r="S149" s="138">
        <v>0</v>
      </c>
      <c r="T149" s="138">
        <v>0</v>
      </c>
      <c r="U149" s="138">
        <v>4155295.5499999961</v>
      </c>
      <c r="V149" s="138">
        <v>4014239.17</v>
      </c>
      <c r="W149" s="139">
        <v>0</v>
      </c>
      <c r="X149" s="130">
        <v>4.2599999999999999E-2</v>
      </c>
    </row>
    <row r="150" spans="1:24" x14ac:dyDescent="0.3">
      <c r="A150" s="74">
        <v>34231</v>
      </c>
      <c r="B150" s="90" t="s">
        <v>384</v>
      </c>
      <c r="C150" s="138">
        <v>90649036.199999973</v>
      </c>
      <c r="D150" s="138">
        <v>17523903.68</v>
      </c>
      <c r="E150" s="138">
        <v>-3504780.74</v>
      </c>
      <c r="F150" s="138">
        <v>0</v>
      </c>
      <c r="G150" s="138">
        <v>0</v>
      </c>
      <c r="H150" s="138">
        <v>104668159.13999997</v>
      </c>
      <c r="I150" s="138">
        <v>97775274.159999996</v>
      </c>
      <c r="J150" s="139">
        <v>0</v>
      </c>
      <c r="K150" s="138">
        <v>38098120.839999981</v>
      </c>
      <c r="L150" s="138">
        <v>4578160.8499999996</v>
      </c>
      <c r="M150" s="138">
        <v>-3504780.74</v>
      </c>
      <c r="N150" s="138">
        <v>-112204.15</v>
      </c>
      <c r="O150" s="91"/>
      <c r="P150" s="138">
        <v>0</v>
      </c>
      <c r="Q150" s="91"/>
      <c r="R150" s="138">
        <v>0</v>
      </c>
      <c r="S150" s="138">
        <v>0</v>
      </c>
      <c r="T150" s="138">
        <v>0</v>
      </c>
      <c r="U150" s="138">
        <v>39059296.799999982</v>
      </c>
      <c r="V150" s="138">
        <v>38502885.350000001</v>
      </c>
      <c r="W150" s="139">
        <v>0</v>
      </c>
      <c r="X150" s="130">
        <v>4.7100000000000003E-2</v>
      </c>
    </row>
    <row r="151" spans="1:24" x14ac:dyDescent="0.3">
      <c r="A151" s="74">
        <v>34232</v>
      </c>
      <c r="B151" s="90" t="s">
        <v>385</v>
      </c>
      <c r="C151" s="138">
        <v>142690124.315</v>
      </c>
      <c r="D151" s="138">
        <v>5985489.5</v>
      </c>
      <c r="E151" s="138">
        <v>-1197097.8999999999</v>
      </c>
      <c r="F151" s="138">
        <v>0</v>
      </c>
      <c r="G151" s="138">
        <v>0</v>
      </c>
      <c r="H151" s="138">
        <v>147478515.91499999</v>
      </c>
      <c r="I151" s="138">
        <v>144286029.88</v>
      </c>
      <c r="J151" s="139">
        <v>0</v>
      </c>
      <c r="K151" s="138">
        <v>41339893.114999965</v>
      </c>
      <c r="L151" s="138">
        <v>8065119.4000000004</v>
      </c>
      <c r="M151" s="138">
        <v>-1197097.8999999999</v>
      </c>
      <c r="N151" s="138">
        <v>-1225000</v>
      </c>
      <c r="O151" s="91"/>
      <c r="P151" s="138">
        <v>0</v>
      </c>
      <c r="Q151" s="91"/>
      <c r="R151" s="138">
        <v>0</v>
      </c>
      <c r="S151" s="138">
        <v>0</v>
      </c>
      <c r="T151" s="138">
        <v>0</v>
      </c>
      <c r="U151" s="138">
        <v>46982914.614999965</v>
      </c>
      <c r="V151" s="138">
        <v>44248025.609999999</v>
      </c>
      <c r="W151" s="139">
        <v>0</v>
      </c>
      <c r="X151" s="130">
        <v>5.5999999999999994E-2</v>
      </c>
    </row>
    <row r="152" spans="1:24" x14ac:dyDescent="0.3">
      <c r="A152" s="74">
        <v>34233</v>
      </c>
      <c r="B152" s="90" t="s">
        <v>386</v>
      </c>
      <c r="C152" s="138">
        <v>4701026.2849999992</v>
      </c>
      <c r="D152" s="138">
        <v>0</v>
      </c>
      <c r="E152" s="138">
        <v>0</v>
      </c>
      <c r="F152" s="138">
        <v>0</v>
      </c>
      <c r="G152" s="138">
        <v>0</v>
      </c>
      <c r="H152" s="138">
        <v>4701026.2849999992</v>
      </c>
      <c r="I152" s="138">
        <v>4701026.29</v>
      </c>
      <c r="J152" s="139">
        <v>0</v>
      </c>
      <c r="K152" s="138">
        <v>1093320.219999999</v>
      </c>
      <c r="L152" s="138">
        <v>151843.20000000001</v>
      </c>
      <c r="M152" s="138">
        <v>0</v>
      </c>
      <c r="N152" s="138">
        <v>0</v>
      </c>
      <c r="O152" s="91"/>
      <c r="P152" s="138">
        <v>0</v>
      </c>
      <c r="Q152" s="91"/>
      <c r="R152" s="138">
        <v>0</v>
      </c>
      <c r="S152" s="138">
        <v>0</v>
      </c>
      <c r="T152" s="138">
        <v>0</v>
      </c>
      <c r="U152" s="138">
        <v>1245163.419999999</v>
      </c>
      <c r="V152" s="138">
        <v>1169241.82</v>
      </c>
      <c r="W152" s="139">
        <v>0</v>
      </c>
      <c r="X152" s="130">
        <v>3.2300000000000002E-2</v>
      </c>
    </row>
    <row r="153" spans="1:24" x14ac:dyDescent="0.3">
      <c r="A153" s="74">
        <v>34234</v>
      </c>
      <c r="B153" s="90" t="s">
        <v>387</v>
      </c>
      <c r="C153" s="138">
        <v>3384097.5599999996</v>
      </c>
      <c r="D153" s="138">
        <v>0</v>
      </c>
      <c r="E153" s="138">
        <v>0</v>
      </c>
      <c r="F153" s="138">
        <v>0</v>
      </c>
      <c r="G153" s="138">
        <v>0</v>
      </c>
      <c r="H153" s="138">
        <v>3384097.5599999996</v>
      </c>
      <c r="I153" s="138">
        <v>3384097.56</v>
      </c>
      <c r="J153" s="139">
        <v>0</v>
      </c>
      <c r="K153" s="138">
        <v>1414628.3200000017</v>
      </c>
      <c r="L153" s="138">
        <v>95093.16</v>
      </c>
      <c r="M153" s="138">
        <v>0</v>
      </c>
      <c r="N153" s="138">
        <v>0</v>
      </c>
      <c r="O153" s="91"/>
      <c r="P153" s="138">
        <v>0</v>
      </c>
      <c r="Q153" s="91"/>
      <c r="R153" s="138">
        <v>0</v>
      </c>
      <c r="S153" s="138">
        <v>0</v>
      </c>
      <c r="T153" s="138">
        <v>0</v>
      </c>
      <c r="U153" s="138">
        <v>1509721.4800000016</v>
      </c>
      <c r="V153" s="138">
        <v>1462174.9</v>
      </c>
      <c r="W153" s="139">
        <v>0</v>
      </c>
      <c r="X153" s="130">
        <v>2.81E-2</v>
      </c>
    </row>
    <row r="154" spans="1:24" x14ac:dyDescent="0.3">
      <c r="A154" s="74">
        <v>34235</v>
      </c>
      <c r="B154" s="90" t="s">
        <v>388</v>
      </c>
      <c r="C154" s="138">
        <v>2224655.6949999998</v>
      </c>
      <c r="D154" s="138">
        <v>0</v>
      </c>
      <c r="E154" s="138">
        <v>0</v>
      </c>
      <c r="F154" s="138">
        <v>0</v>
      </c>
      <c r="G154" s="138">
        <v>0</v>
      </c>
      <c r="H154" s="138">
        <v>2224655.6949999998</v>
      </c>
      <c r="I154" s="138">
        <v>2224655.7000000002</v>
      </c>
      <c r="J154" s="139">
        <v>0</v>
      </c>
      <c r="K154" s="138">
        <v>844700.81000000029</v>
      </c>
      <c r="L154" s="138">
        <v>67851.960000000006</v>
      </c>
      <c r="M154" s="138">
        <v>0</v>
      </c>
      <c r="N154" s="138">
        <v>0</v>
      </c>
      <c r="O154" s="91"/>
      <c r="P154" s="138">
        <v>0</v>
      </c>
      <c r="Q154" s="91"/>
      <c r="R154" s="138">
        <v>0</v>
      </c>
      <c r="S154" s="138">
        <v>0</v>
      </c>
      <c r="T154" s="138">
        <v>0</v>
      </c>
      <c r="U154" s="138">
        <v>912552.77000000025</v>
      </c>
      <c r="V154" s="138">
        <v>878626.79</v>
      </c>
      <c r="W154" s="139">
        <v>0</v>
      </c>
      <c r="X154" s="130">
        <v>3.0499999999999999E-2</v>
      </c>
    </row>
    <row r="155" spans="1:24" x14ac:dyDescent="0.3">
      <c r="A155" s="74">
        <v>34236</v>
      </c>
      <c r="B155" s="90" t="s">
        <v>389</v>
      </c>
      <c r="C155" s="138">
        <v>1562890.97</v>
      </c>
      <c r="D155" s="138">
        <v>0</v>
      </c>
      <c r="E155" s="138">
        <v>0</v>
      </c>
      <c r="F155" s="138">
        <v>0</v>
      </c>
      <c r="G155" s="138">
        <v>0</v>
      </c>
      <c r="H155" s="138">
        <v>1562890.97</v>
      </c>
      <c r="I155" s="138">
        <v>1562890.97</v>
      </c>
      <c r="J155" s="139">
        <v>0</v>
      </c>
      <c r="K155" s="138">
        <v>635398.15999999922</v>
      </c>
      <c r="L155" s="138">
        <v>44386.080000000002</v>
      </c>
      <c r="M155" s="138">
        <v>0</v>
      </c>
      <c r="N155" s="138">
        <v>0</v>
      </c>
      <c r="O155" s="91"/>
      <c r="P155" s="138">
        <v>0</v>
      </c>
      <c r="Q155" s="91"/>
      <c r="R155" s="138">
        <v>0</v>
      </c>
      <c r="S155" s="138">
        <v>0</v>
      </c>
      <c r="T155" s="138">
        <v>0</v>
      </c>
      <c r="U155" s="138">
        <v>679784.23999999918</v>
      </c>
      <c r="V155" s="138">
        <v>657591.19999999995</v>
      </c>
      <c r="W155" s="139">
        <v>0</v>
      </c>
      <c r="X155" s="130">
        <v>2.8399999999999998E-2</v>
      </c>
    </row>
    <row r="156" spans="1:24" x14ac:dyDescent="0.3">
      <c r="A156" s="74">
        <v>34241</v>
      </c>
      <c r="B156" s="90" t="s">
        <v>390</v>
      </c>
      <c r="C156" s="138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  <c r="I156" s="138">
        <v>0</v>
      </c>
      <c r="J156" s="139">
        <v>0</v>
      </c>
      <c r="K156" s="138">
        <v>0</v>
      </c>
      <c r="L156" s="138">
        <v>0</v>
      </c>
      <c r="M156" s="138">
        <v>0</v>
      </c>
      <c r="N156" s="138">
        <v>0</v>
      </c>
      <c r="O156" s="91"/>
      <c r="P156" s="138">
        <v>0</v>
      </c>
      <c r="Q156" s="91"/>
      <c r="R156" s="138">
        <v>0</v>
      </c>
      <c r="S156" s="138">
        <v>0</v>
      </c>
      <c r="T156" s="138">
        <v>0</v>
      </c>
      <c r="U156" s="138">
        <v>0</v>
      </c>
      <c r="V156" s="138">
        <v>0</v>
      </c>
      <c r="W156" s="139">
        <v>0</v>
      </c>
      <c r="X156" s="130">
        <v>0</v>
      </c>
    </row>
    <row r="157" spans="1:24" x14ac:dyDescent="0.3">
      <c r="A157" s="74">
        <v>34242</v>
      </c>
      <c r="B157" s="90" t="s">
        <v>391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  <c r="I157" s="138">
        <v>0</v>
      </c>
      <c r="J157" s="139">
        <v>0</v>
      </c>
      <c r="K157" s="138">
        <v>0</v>
      </c>
      <c r="L157" s="138">
        <v>0</v>
      </c>
      <c r="M157" s="138">
        <v>0</v>
      </c>
      <c r="N157" s="138">
        <v>0</v>
      </c>
      <c r="O157" s="91"/>
      <c r="P157" s="138">
        <v>0</v>
      </c>
      <c r="Q157" s="91"/>
      <c r="R157" s="138">
        <v>0</v>
      </c>
      <c r="S157" s="138">
        <v>0</v>
      </c>
      <c r="T157" s="138">
        <v>0</v>
      </c>
      <c r="U157" s="138">
        <v>0</v>
      </c>
      <c r="V157" s="138">
        <v>0</v>
      </c>
      <c r="W157" s="139">
        <v>0</v>
      </c>
      <c r="X157" s="130">
        <v>0</v>
      </c>
    </row>
    <row r="158" spans="1:24" x14ac:dyDescent="0.3">
      <c r="A158" s="74">
        <v>34243</v>
      </c>
      <c r="B158" s="90" t="s">
        <v>392</v>
      </c>
      <c r="C158" s="138">
        <v>3578328.7149999999</v>
      </c>
      <c r="D158" s="138">
        <v>22673.64</v>
      </c>
      <c r="E158" s="138">
        <v>0</v>
      </c>
      <c r="F158" s="138">
        <v>0</v>
      </c>
      <c r="G158" s="138">
        <v>0</v>
      </c>
      <c r="H158" s="138">
        <v>3601002.355</v>
      </c>
      <c r="I158" s="138">
        <v>3590537.6</v>
      </c>
      <c r="J158" s="139">
        <v>-5.0000003539025784E-3</v>
      </c>
      <c r="K158" s="138">
        <v>1581137.0800000003</v>
      </c>
      <c r="L158" s="138">
        <v>79690.559999999998</v>
      </c>
      <c r="M158" s="138">
        <v>0</v>
      </c>
      <c r="N158" s="138">
        <v>-269950.2</v>
      </c>
      <c r="O158" s="91"/>
      <c r="P158" s="138">
        <v>0</v>
      </c>
      <c r="Q158" s="91"/>
      <c r="R158" s="138">
        <v>0</v>
      </c>
      <c r="S158" s="138">
        <v>0</v>
      </c>
      <c r="T158" s="138">
        <v>0</v>
      </c>
      <c r="U158" s="138">
        <v>1390877.4400000004</v>
      </c>
      <c r="V158" s="138">
        <v>1485949.19</v>
      </c>
      <c r="W158" s="139">
        <v>0</v>
      </c>
      <c r="X158" s="130">
        <v>2.2200000000000001E-2</v>
      </c>
    </row>
    <row r="159" spans="1:24" x14ac:dyDescent="0.3">
      <c r="A159" s="74">
        <v>34244</v>
      </c>
      <c r="B159" s="90" t="s">
        <v>393</v>
      </c>
      <c r="C159" s="138">
        <v>3722741.3250000007</v>
      </c>
      <c r="D159" s="138">
        <v>0</v>
      </c>
      <c r="E159" s="138">
        <v>0</v>
      </c>
      <c r="F159" s="138">
        <v>0</v>
      </c>
      <c r="G159" s="138">
        <v>0</v>
      </c>
      <c r="H159" s="138">
        <v>3722741.3250000007</v>
      </c>
      <c r="I159" s="138">
        <v>3722741.33</v>
      </c>
      <c r="J159" s="139">
        <v>0</v>
      </c>
      <c r="K159" s="138">
        <v>669545.61000000045</v>
      </c>
      <c r="L159" s="138">
        <v>165662.04</v>
      </c>
      <c r="M159" s="138">
        <v>0</v>
      </c>
      <c r="N159" s="138">
        <v>0</v>
      </c>
      <c r="O159" s="91"/>
      <c r="P159" s="138">
        <v>0</v>
      </c>
      <c r="Q159" s="91"/>
      <c r="R159" s="138">
        <v>0</v>
      </c>
      <c r="S159" s="138">
        <v>0</v>
      </c>
      <c r="T159" s="138">
        <v>0</v>
      </c>
      <c r="U159" s="138">
        <v>835207.65000000049</v>
      </c>
      <c r="V159" s="138">
        <v>752376.63</v>
      </c>
      <c r="W159" s="139">
        <v>0</v>
      </c>
      <c r="X159" s="130">
        <v>4.4500000000000005E-2</v>
      </c>
    </row>
    <row r="160" spans="1:24" x14ac:dyDescent="0.3">
      <c r="A160" s="74">
        <v>34245</v>
      </c>
      <c r="B160" s="90" t="s">
        <v>394</v>
      </c>
      <c r="C160" s="138">
        <v>307028.13</v>
      </c>
      <c r="D160" s="138">
        <v>202500</v>
      </c>
      <c r="E160" s="138">
        <v>0</v>
      </c>
      <c r="F160" s="138">
        <v>0</v>
      </c>
      <c r="G160" s="138">
        <v>0</v>
      </c>
      <c r="H160" s="138">
        <v>509528.13</v>
      </c>
      <c r="I160" s="138">
        <v>391835.82</v>
      </c>
      <c r="J160" s="139">
        <v>0</v>
      </c>
      <c r="K160" s="138">
        <v>-15387.880000000001</v>
      </c>
      <c r="L160" s="138">
        <v>14440.65</v>
      </c>
      <c r="M160" s="138">
        <v>0</v>
      </c>
      <c r="N160" s="138">
        <v>-20000</v>
      </c>
      <c r="O160" s="91"/>
      <c r="P160" s="138">
        <v>0</v>
      </c>
      <c r="Q160" s="91"/>
      <c r="R160" s="138">
        <v>0</v>
      </c>
      <c r="S160" s="138">
        <v>0</v>
      </c>
      <c r="T160" s="138">
        <v>0</v>
      </c>
      <c r="U160" s="138">
        <v>-20947.230000000003</v>
      </c>
      <c r="V160" s="138">
        <v>-18885.39</v>
      </c>
      <c r="W160" s="139">
        <v>0</v>
      </c>
      <c r="X160" s="130">
        <v>3.78E-2</v>
      </c>
    </row>
    <row r="161" spans="1:24" x14ac:dyDescent="0.3">
      <c r="A161" s="74">
        <v>34246</v>
      </c>
      <c r="B161" s="90" t="s">
        <v>395</v>
      </c>
      <c r="C161" s="138">
        <v>388113.42500000016</v>
      </c>
      <c r="D161" s="138">
        <v>0</v>
      </c>
      <c r="E161" s="138">
        <v>0</v>
      </c>
      <c r="F161" s="138">
        <v>0</v>
      </c>
      <c r="G161" s="138">
        <v>0</v>
      </c>
      <c r="H161" s="138">
        <v>388113.42500000016</v>
      </c>
      <c r="I161" s="138">
        <v>388113.43</v>
      </c>
      <c r="J161" s="139">
        <v>0</v>
      </c>
      <c r="K161" s="138">
        <v>-15044.130000000001</v>
      </c>
      <c r="L161" s="138">
        <v>14166.12</v>
      </c>
      <c r="M161" s="138">
        <v>0</v>
      </c>
      <c r="N161" s="138">
        <v>0</v>
      </c>
      <c r="O161" s="91"/>
      <c r="P161" s="138">
        <v>0</v>
      </c>
      <c r="Q161" s="91"/>
      <c r="R161" s="138">
        <v>0</v>
      </c>
      <c r="S161" s="138">
        <v>0</v>
      </c>
      <c r="T161" s="138">
        <v>0</v>
      </c>
      <c r="U161" s="138">
        <v>-878.01000000000022</v>
      </c>
      <c r="V161" s="138">
        <v>-7961.07</v>
      </c>
      <c r="W161" s="139">
        <v>1.5916157281026244E-12</v>
      </c>
      <c r="X161" s="130">
        <v>3.6499999999999998E-2</v>
      </c>
    </row>
    <row r="162" spans="1:24" x14ac:dyDescent="0.3">
      <c r="A162" s="74">
        <v>34280</v>
      </c>
      <c r="B162" s="90" t="s">
        <v>396</v>
      </c>
      <c r="C162" s="138">
        <v>12463388.849999996</v>
      </c>
      <c r="D162" s="138">
        <v>3094842.98</v>
      </c>
      <c r="E162" s="138">
        <v>-618968.59</v>
      </c>
      <c r="F162" s="138">
        <v>0</v>
      </c>
      <c r="G162" s="138">
        <v>0</v>
      </c>
      <c r="H162" s="138">
        <v>14939263.239999996</v>
      </c>
      <c r="I162" s="138">
        <v>13157136.470000001</v>
      </c>
      <c r="J162" s="139">
        <v>-5.0000008195638657E-3</v>
      </c>
      <c r="K162" s="138">
        <v>3981107.2900000005</v>
      </c>
      <c r="L162" s="138">
        <v>413674.3</v>
      </c>
      <c r="M162" s="138">
        <v>-618968.59</v>
      </c>
      <c r="N162" s="138">
        <v>-238333.34</v>
      </c>
      <c r="O162" s="91"/>
      <c r="P162" s="138">
        <v>0</v>
      </c>
      <c r="Q162" s="91"/>
      <c r="R162" s="138">
        <v>0</v>
      </c>
      <c r="S162" s="138">
        <v>0</v>
      </c>
      <c r="T162" s="138">
        <v>0</v>
      </c>
      <c r="U162" s="138">
        <v>3537479.6600000011</v>
      </c>
      <c r="V162" s="138">
        <v>3898106.62</v>
      </c>
      <c r="W162" s="139">
        <v>0</v>
      </c>
      <c r="X162" s="130">
        <v>3.1800000000000002E-2</v>
      </c>
    </row>
    <row r="163" spans="1:24" x14ac:dyDescent="0.3">
      <c r="A163" s="74">
        <v>34281</v>
      </c>
      <c r="B163" s="90" t="s">
        <v>397</v>
      </c>
      <c r="C163" s="138">
        <v>249190687.45500001</v>
      </c>
      <c r="D163" s="138">
        <v>41699077.409999996</v>
      </c>
      <c r="E163" s="138">
        <v>-282925.78000000003</v>
      </c>
      <c r="F163" s="138">
        <v>0</v>
      </c>
      <c r="G163" s="138">
        <v>0</v>
      </c>
      <c r="H163" s="138">
        <v>290606839.08500004</v>
      </c>
      <c r="I163" s="138">
        <v>274202644.38</v>
      </c>
      <c r="J163" s="139">
        <v>-5.0000548362731934E-3</v>
      </c>
      <c r="K163" s="138">
        <v>153401051.44999993</v>
      </c>
      <c r="L163" s="138">
        <v>10176768.939999999</v>
      </c>
      <c r="M163" s="138">
        <v>-282925.78000000003</v>
      </c>
      <c r="N163" s="138">
        <v>-98333.23</v>
      </c>
      <c r="O163" s="91"/>
      <c r="P163" s="138">
        <v>0</v>
      </c>
      <c r="Q163" s="91"/>
      <c r="R163" s="138">
        <v>0</v>
      </c>
      <c r="S163" s="138">
        <v>0</v>
      </c>
      <c r="T163" s="138">
        <v>0</v>
      </c>
      <c r="U163" s="138">
        <v>163196561.37999994</v>
      </c>
      <c r="V163" s="138">
        <v>158218001.62</v>
      </c>
      <c r="W163" s="139">
        <v>4.999995231628418E-3</v>
      </c>
      <c r="X163" s="130">
        <v>3.73E-2</v>
      </c>
    </row>
    <row r="164" spans="1:24" x14ac:dyDescent="0.3">
      <c r="A164" s="74">
        <v>34282</v>
      </c>
      <c r="B164" s="90" t="s">
        <v>398</v>
      </c>
      <c r="C164" s="138">
        <v>3721240.5999999996</v>
      </c>
      <c r="D164" s="138">
        <v>5122430.82</v>
      </c>
      <c r="E164" s="138">
        <v>-1024486.19</v>
      </c>
      <c r="F164" s="138">
        <v>0</v>
      </c>
      <c r="G164" s="138">
        <v>0</v>
      </c>
      <c r="H164" s="138">
        <v>7819185.2300000004</v>
      </c>
      <c r="I164" s="138">
        <v>4238123.0599999996</v>
      </c>
      <c r="J164" s="139">
        <v>-5.0000026822090149E-3</v>
      </c>
      <c r="K164" s="138">
        <v>454514.10999999964</v>
      </c>
      <c r="L164" s="138">
        <v>121342.79</v>
      </c>
      <c r="M164" s="138">
        <v>-1024486.19</v>
      </c>
      <c r="N164" s="138">
        <v>-52133.4</v>
      </c>
      <c r="O164" s="91"/>
      <c r="P164" s="138">
        <v>0</v>
      </c>
      <c r="Q164" s="91"/>
      <c r="R164" s="138">
        <v>0</v>
      </c>
      <c r="S164" s="138">
        <v>0</v>
      </c>
      <c r="T164" s="138">
        <v>0</v>
      </c>
      <c r="U164" s="138">
        <v>-500762.69000000029</v>
      </c>
      <c r="V164" s="138">
        <v>357825.41</v>
      </c>
      <c r="W164" s="139">
        <v>0</v>
      </c>
      <c r="X164" s="130">
        <v>3.0800000000000001E-2</v>
      </c>
    </row>
    <row r="165" spans="1:24" x14ac:dyDescent="0.3">
      <c r="A165" s="74">
        <v>34283</v>
      </c>
      <c r="B165" s="90" t="s">
        <v>399</v>
      </c>
      <c r="C165" s="138">
        <v>1847091.01</v>
      </c>
      <c r="D165" s="138">
        <v>1949801.76</v>
      </c>
      <c r="E165" s="138">
        <v>-389960.35</v>
      </c>
      <c r="F165" s="138">
        <v>0</v>
      </c>
      <c r="G165" s="138">
        <v>0</v>
      </c>
      <c r="H165" s="138">
        <v>3406932.42</v>
      </c>
      <c r="I165" s="138">
        <v>1967078.81</v>
      </c>
      <c r="J165" s="139">
        <v>0</v>
      </c>
      <c r="K165" s="138">
        <v>563166.31999999948</v>
      </c>
      <c r="L165" s="138">
        <v>47285.52</v>
      </c>
      <c r="M165" s="138">
        <v>-389960.35</v>
      </c>
      <c r="N165" s="138">
        <v>0</v>
      </c>
      <c r="O165" s="91"/>
      <c r="P165" s="138">
        <v>0</v>
      </c>
      <c r="Q165" s="91"/>
      <c r="R165" s="138">
        <v>0</v>
      </c>
      <c r="S165" s="138">
        <v>0</v>
      </c>
      <c r="T165" s="138">
        <v>0</v>
      </c>
      <c r="U165" s="138">
        <v>220491.48999999953</v>
      </c>
      <c r="V165" s="138">
        <v>556812.13</v>
      </c>
      <c r="W165" s="139">
        <v>-4.3655745685100555E-10</v>
      </c>
      <c r="X165" s="130">
        <v>2.5600000000000001E-2</v>
      </c>
    </row>
    <row r="166" spans="1:24" x14ac:dyDescent="0.3">
      <c r="A166" s="74">
        <v>34284</v>
      </c>
      <c r="B166" s="90" t="s">
        <v>400</v>
      </c>
      <c r="C166" s="138">
        <v>2710665.564999999</v>
      </c>
      <c r="D166" s="138">
        <v>3206910.65</v>
      </c>
      <c r="E166" s="138">
        <v>-641382.13</v>
      </c>
      <c r="F166" s="138">
        <v>0</v>
      </c>
      <c r="G166" s="138">
        <v>0</v>
      </c>
      <c r="H166" s="138">
        <v>5276194.084999999</v>
      </c>
      <c r="I166" s="138">
        <v>2908013.91</v>
      </c>
      <c r="J166" s="139">
        <v>-4.999999888241291E-3</v>
      </c>
      <c r="K166" s="138">
        <v>289986.77000000025</v>
      </c>
      <c r="L166" s="138">
        <v>105173.88</v>
      </c>
      <c r="M166" s="138">
        <v>-641382.13</v>
      </c>
      <c r="N166" s="138">
        <v>0</v>
      </c>
      <c r="O166" s="91"/>
      <c r="P166" s="138">
        <v>0</v>
      </c>
      <c r="Q166" s="91"/>
      <c r="R166" s="138">
        <v>0</v>
      </c>
      <c r="S166" s="138">
        <v>0</v>
      </c>
      <c r="T166" s="138">
        <v>0</v>
      </c>
      <c r="U166" s="138">
        <v>-246221.47999999975</v>
      </c>
      <c r="V166" s="138">
        <v>293236.62</v>
      </c>
      <c r="W166" s="139">
        <v>0</v>
      </c>
      <c r="X166" s="130">
        <v>3.8800000000000001E-2</v>
      </c>
    </row>
    <row r="167" spans="1:24" x14ac:dyDescent="0.3">
      <c r="A167" s="74">
        <v>34285</v>
      </c>
      <c r="B167" s="90" t="s">
        <v>401</v>
      </c>
      <c r="C167" s="138">
        <v>3090954.2100000004</v>
      </c>
      <c r="D167" s="138">
        <v>3543064.53</v>
      </c>
      <c r="E167" s="138">
        <v>-708612.91</v>
      </c>
      <c r="F167" s="138">
        <v>0</v>
      </c>
      <c r="G167" s="138">
        <v>0</v>
      </c>
      <c r="H167" s="138">
        <v>5925405.8300000001</v>
      </c>
      <c r="I167" s="138">
        <v>3437805.12</v>
      </c>
      <c r="J167" s="139">
        <v>0</v>
      </c>
      <c r="K167" s="138">
        <v>821501.3899999992</v>
      </c>
      <c r="L167" s="138">
        <v>101114.82</v>
      </c>
      <c r="M167" s="138">
        <v>-708612.91</v>
      </c>
      <c r="N167" s="138">
        <v>0</v>
      </c>
      <c r="O167" s="91"/>
      <c r="P167" s="138">
        <v>0</v>
      </c>
      <c r="Q167" s="91"/>
      <c r="R167" s="138">
        <v>0</v>
      </c>
      <c r="S167" s="138">
        <v>0</v>
      </c>
      <c r="T167" s="138">
        <v>0</v>
      </c>
      <c r="U167" s="138">
        <v>214003.29999999923</v>
      </c>
      <c r="V167" s="138">
        <v>783498.1</v>
      </c>
      <c r="W167" s="139">
        <v>0</v>
      </c>
      <c r="X167" s="130">
        <v>3.1300000000000001E-2</v>
      </c>
    </row>
    <row r="168" spans="1:24" x14ac:dyDescent="0.3">
      <c r="A168" s="74">
        <v>34286</v>
      </c>
      <c r="B168" s="90" t="s">
        <v>402</v>
      </c>
      <c r="C168" s="138">
        <v>215270346.14499995</v>
      </c>
      <c r="D168" s="138">
        <v>3629358.14</v>
      </c>
      <c r="E168" s="138">
        <v>-725871.64</v>
      </c>
      <c r="F168" s="138">
        <v>0</v>
      </c>
      <c r="G168" s="138">
        <v>0</v>
      </c>
      <c r="H168" s="138">
        <v>218173832.64499995</v>
      </c>
      <c r="I168" s="138">
        <v>215839674.16999999</v>
      </c>
      <c r="J168" s="139">
        <v>0</v>
      </c>
      <c r="K168" s="138">
        <v>46404921.260000035</v>
      </c>
      <c r="L168" s="138">
        <v>7267241.9299999997</v>
      </c>
      <c r="M168" s="138">
        <v>-725871.64</v>
      </c>
      <c r="N168" s="138">
        <v>-1234907.6200000001</v>
      </c>
      <c r="O168" s="91"/>
      <c r="P168" s="138">
        <v>0</v>
      </c>
      <c r="Q168" s="91"/>
      <c r="R168" s="138">
        <v>0</v>
      </c>
      <c r="S168" s="138">
        <v>0</v>
      </c>
      <c r="T168" s="138">
        <v>0</v>
      </c>
      <c r="U168" s="138">
        <v>51711383.930000037</v>
      </c>
      <c r="V168" s="138">
        <v>49276651.200000003</v>
      </c>
      <c r="W168" s="139">
        <v>0</v>
      </c>
      <c r="X168" s="130">
        <v>3.3700000000000001E-2</v>
      </c>
    </row>
    <row r="169" spans="1:24" x14ac:dyDescent="0.3">
      <c r="A169" s="74">
        <v>34287</v>
      </c>
      <c r="B169" s="90" t="s">
        <v>403</v>
      </c>
      <c r="C169" s="138">
        <v>0</v>
      </c>
      <c r="D169" s="138">
        <v>0</v>
      </c>
      <c r="E169" s="138">
        <v>0</v>
      </c>
      <c r="F169" s="138">
        <v>0</v>
      </c>
      <c r="G169" s="138">
        <v>0</v>
      </c>
      <c r="H169" s="138">
        <v>0</v>
      </c>
      <c r="I169" s="138">
        <v>0</v>
      </c>
      <c r="J169" s="139">
        <v>0</v>
      </c>
      <c r="K169" s="138">
        <v>0</v>
      </c>
      <c r="L169" s="138">
        <v>0</v>
      </c>
      <c r="M169" s="138">
        <v>0</v>
      </c>
      <c r="N169" s="138">
        <v>0</v>
      </c>
      <c r="O169" s="91"/>
      <c r="P169" s="138">
        <v>0</v>
      </c>
      <c r="Q169" s="91"/>
      <c r="R169" s="138">
        <v>0</v>
      </c>
      <c r="S169" s="138">
        <v>0</v>
      </c>
      <c r="T169" s="138">
        <v>0</v>
      </c>
      <c r="U169" s="138">
        <v>0</v>
      </c>
      <c r="V169" s="138">
        <v>0</v>
      </c>
      <c r="W169" s="139">
        <v>0</v>
      </c>
      <c r="X169" s="130">
        <v>0.2</v>
      </c>
    </row>
    <row r="170" spans="1:24" x14ac:dyDescent="0.3">
      <c r="A170" s="74">
        <v>34320</v>
      </c>
      <c r="B170" s="90" t="s">
        <v>404</v>
      </c>
      <c r="C170" s="138">
        <v>0</v>
      </c>
      <c r="D170" s="138">
        <v>53790116.170000002</v>
      </c>
      <c r="E170" s="138">
        <v>0</v>
      </c>
      <c r="F170" s="138">
        <v>0</v>
      </c>
      <c r="G170" s="138">
        <v>0</v>
      </c>
      <c r="H170" s="138">
        <v>53790116.170000002</v>
      </c>
      <c r="I170" s="138">
        <v>36099210.57</v>
      </c>
      <c r="J170" s="139">
        <v>0</v>
      </c>
      <c r="K170" s="138">
        <v>0</v>
      </c>
      <c r="L170" s="138">
        <v>720199.34</v>
      </c>
      <c r="M170" s="138">
        <v>0</v>
      </c>
      <c r="N170" s="138">
        <v>0</v>
      </c>
      <c r="O170" s="91"/>
      <c r="P170" s="138">
        <v>0</v>
      </c>
      <c r="Q170" s="91"/>
      <c r="R170" s="138">
        <v>0</v>
      </c>
      <c r="S170" s="138">
        <v>0</v>
      </c>
      <c r="T170" s="138">
        <v>0</v>
      </c>
      <c r="U170" s="138">
        <v>720199.34</v>
      </c>
      <c r="V170" s="138">
        <v>247602.08</v>
      </c>
      <c r="W170" s="139">
        <v>0</v>
      </c>
      <c r="X170" s="130">
        <v>2.0799999999999999E-2</v>
      </c>
    </row>
    <row r="171" spans="1:24" x14ac:dyDescent="0.3">
      <c r="A171" s="74">
        <v>34328</v>
      </c>
      <c r="B171" s="90" t="s">
        <v>405</v>
      </c>
      <c r="C171" s="138">
        <v>0</v>
      </c>
      <c r="D171" s="138">
        <v>0</v>
      </c>
      <c r="E171" s="138">
        <v>0</v>
      </c>
      <c r="F171" s="138">
        <v>0</v>
      </c>
      <c r="G171" s="138">
        <v>0</v>
      </c>
      <c r="H171" s="138">
        <v>0</v>
      </c>
      <c r="I171" s="138">
        <v>0</v>
      </c>
      <c r="J171" s="139">
        <v>0</v>
      </c>
      <c r="K171" s="138">
        <v>0</v>
      </c>
      <c r="L171" s="138">
        <v>0</v>
      </c>
      <c r="M171" s="138">
        <v>0</v>
      </c>
      <c r="N171" s="138">
        <v>0</v>
      </c>
      <c r="O171" s="91"/>
      <c r="P171" s="138">
        <v>0</v>
      </c>
      <c r="Q171" s="91"/>
      <c r="R171" s="138">
        <v>0</v>
      </c>
      <c r="S171" s="138">
        <v>0</v>
      </c>
      <c r="T171" s="138">
        <v>0</v>
      </c>
      <c r="U171" s="138">
        <v>0</v>
      </c>
      <c r="V171" s="138">
        <v>0</v>
      </c>
      <c r="W171" s="139">
        <v>0</v>
      </c>
      <c r="X171" s="130">
        <v>0</v>
      </c>
    </row>
    <row r="172" spans="1:24" x14ac:dyDescent="0.3">
      <c r="A172" s="74">
        <v>34330</v>
      </c>
      <c r="B172" s="90" t="s">
        <v>406</v>
      </c>
      <c r="C172" s="138">
        <v>56329274.839999996</v>
      </c>
      <c r="D172" s="138">
        <v>8972430.3900000006</v>
      </c>
      <c r="E172" s="138">
        <v>-1794486.08</v>
      </c>
      <c r="F172" s="138">
        <v>0</v>
      </c>
      <c r="G172" s="138">
        <v>0</v>
      </c>
      <c r="H172" s="138">
        <v>63507219.149999999</v>
      </c>
      <c r="I172" s="138">
        <v>60257579.590000004</v>
      </c>
      <c r="J172" s="139">
        <v>-5.0000101327896118E-3</v>
      </c>
      <c r="K172" s="138">
        <v>14254042.050000012</v>
      </c>
      <c r="L172" s="138">
        <v>3281276.66</v>
      </c>
      <c r="M172" s="138">
        <v>-1794486.08</v>
      </c>
      <c r="N172" s="138">
        <v>-50000</v>
      </c>
      <c r="O172" s="91"/>
      <c r="P172" s="138">
        <v>0</v>
      </c>
      <c r="Q172" s="91"/>
      <c r="R172" s="138">
        <v>0</v>
      </c>
      <c r="S172" s="138">
        <v>0</v>
      </c>
      <c r="T172" s="138">
        <v>0</v>
      </c>
      <c r="U172" s="138">
        <v>15690832.630000012</v>
      </c>
      <c r="V172" s="138">
        <v>14861222.58</v>
      </c>
      <c r="W172" s="139">
        <v>0</v>
      </c>
      <c r="X172" s="130">
        <v>5.4699999999999999E-2</v>
      </c>
    </row>
    <row r="173" spans="1:24" x14ac:dyDescent="0.3">
      <c r="A173" s="74">
        <v>34331</v>
      </c>
      <c r="B173" s="90" t="s">
        <v>407</v>
      </c>
      <c r="C173" s="138">
        <v>257142960.82999992</v>
      </c>
      <c r="D173" s="138">
        <v>17523903.68</v>
      </c>
      <c r="E173" s="138">
        <v>-3504780.74</v>
      </c>
      <c r="F173" s="138">
        <v>0</v>
      </c>
      <c r="G173" s="138">
        <v>0</v>
      </c>
      <c r="H173" s="138">
        <v>271162083.76999992</v>
      </c>
      <c r="I173" s="138">
        <v>264269198.78999999</v>
      </c>
      <c r="J173" s="139">
        <v>0</v>
      </c>
      <c r="K173" s="138">
        <v>105037292.93999995</v>
      </c>
      <c r="L173" s="138">
        <v>13633020.720000001</v>
      </c>
      <c r="M173" s="138">
        <v>-3504780.74</v>
      </c>
      <c r="N173" s="138">
        <v>-112204.15</v>
      </c>
      <c r="O173" s="91"/>
      <c r="P173" s="138">
        <v>0</v>
      </c>
      <c r="Q173" s="91"/>
      <c r="R173" s="138">
        <v>0</v>
      </c>
      <c r="S173" s="138">
        <v>0</v>
      </c>
      <c r="T173" s="138">
        <v>0</v>
      </c>
      <c r="U173" s="138">
        <v>115053328.76999995</v>
      </c>
      <c r="V173" s="138">
        <v>109964930.92</v>
      </c>
      <c r="W173" s="139">
        <v>0</v>
      </c>
      <c r="X173" s="130">
        <v>5.1699999999999996E-2</v>
      </c>
    </row>
    <row r="174" spans="1:24" x14ac:dyDescent="0.3">
      <c r="A174" s="74">
        <v>34332</v>
      </c>
      <c r="B174" s="90" t="s">
        <v>408</v>
      </c>
      <c r="C174" s="138">
        <v>325379582.98500013</v>
      </c>
      <c r="D174" s="138">
        <v>5985489.5</v>
      </c>
      <c r="E174" s="138">
        <v>-1197097.8999999999</v>
      </c>
      <c r="F174" s="138">
        <v>0</v>
      </c>
      <c r="G174" s="138">
        <v>0</v>
      </c>
      <c r="H174" s="138">
        <v>330167974.58500016</v>
      </c>
      <c r="I174" s="138">
        <v>326975488.55000001</v>
      </c>
      <c r="J174" s="139">
        <v>0</v>
      </c>
      <c r="K174" s="138">
        <v>127467801.04499994</v>
      </c>
      <c r="L174" s="138">
        <v>17642310.219999999</v>
      </c>
      <c r="M174" s="138">
        <v>-1197097.8999999999</v>
      </c>
      <c r="N174" s="138">
        <v>-1225000</v>
      </c>
      <c r="O174" s="91"/>
      <c r="P174" s="138">
        <v>0</v>
      </c>
      <c r="Q174" s="91"/>
      <c r="R174" s="138">
        <v>0</v>
      </c>
      <c r="S174" s="138">
        <v>0</v>
      </c>
      <c r="T174" s="138">
        <v>0</v>
      </c>
      <c r="U174" s="138">
        <v>142688013.36499992</v>
      </c>
      <c r="V174" s="138">
        <v>135165197.52000001</v>
      </c>
      <c r="W174" s="139">
        <v>0</v>
      </c>
      <c r="X174" s="130">
        <v>5.4000000000000006E-2</v>
      </c>
    </row>
    <row r="175" spans="1:24" x14ac:dyDescent="0.3">
      <c r="A175" s="74">
        <v>34333</v>
      </c>
      <c r="B175" s="90" t="s">
        <v>409</v>
      </c>
      <c r="C175" s="138">
        <v>16800143.014999993</v>
      </c>
      <c r="D175" s="138">
        <v>0</v>
      </c>
      <c r="E175" s="138">
        <v>0</v>
      </c>
      <c r="F175" s="138">
        <v>0</v>
      </c>
      <c r="G175" s="138">
        <v>0</v>
      </c>
      <c r="H175" s="138">
        <v>16800143.014999993</v>
      </c>
      <c r="I175" s="138">
        <v>16800143.02</v>
      </c>
      <c r="J175" s="139">
        <v>0</v>
      </c>
      <c r="K175" s="138">
        <v>9023420.4900000058</v>
      </c>
      <c r="L175" s="138">
        <v>356163</v>
      </c>
      <c r="M175" s="138">
        <v>0</v>
      </c>
      <c r="N175" s="138">
        <v>0</v>
      </c>
      <c r="O175" s="91"/>
      <c r="P175" s="138">
        <v>0</v>
      </c>
      <c r="Q175" s="91"/>
      <c r="R175" s="138">
        <v>0</v>
      </c>
      <c r="S175" s="138">
        <v>0</v>
      </c>
      <c r="T175" s="138">
        <v>0</v>
      </c>
      <c r="U175" s="138">
        <v>9379583.4900000058</v>
      </c>
      <c r="V175" s="138">
        <v>9201501.9900000002</v>
      </c>
      <c r="W175" s="139">
        <v>0</v>
      </c>
      <c r="X175" s="130">
        <v>2.12E-2</v>
      </c>
    </row>
    <row r="176" spans="1:24" x14ac:dyDescent="0.3">
      <c r="A176" s="74">
        <v>34334</v>
      </c>
      <c r="B176" s="90" t="s">
        <v>410</v>
      </c>
      <c r="C176" s="138">
        <v>16052104.970000001</v>
      </c>
      <c r="D176" s="138">
        <v>0</v>
      </c>
      <c r="E176" s="138">
        <v>0</v>
      </c>
      <c r="F176" s="138">
        <v>0</v>
      </c>
      <c r="G176" s="138">
        <v>0</v>
      </c>
      <c r="H176" s="138">
        <v>16052104.970000001</v>
      </c>
      <c r="I176" s="138">
        <v>16052104.970000001</v>
      </c>
      <c r="J176" s="139">
        <v>0</v>
      </c>
      <c r="K176" s="138">
        <v>9491777.7400000058</v>
      </c>
      <c r="L176" s="138">
        <v>329068.2</v>
      </c>
      <c r="M176" s="138">
        <v>0</v>
      </c>
      <c r="N176" s="138">
        <v>0</v>
      </c>
      <c r="O176" s="91"/>
      <c r="P176" s="138">
        <v>0</v>
      </c>
      <c r="Q176" s="91"/>
      <c r="R176" s="138">
        <v>0</v>
      </c>
      <c r="S176" s="138">
        <v>0</v>
      </c>
      <c r="T176" s="138">
        <v>0</v>
      </c>
      <c r="U176" s="138">
        <v>9820845.9400000051</v>
      </c>
      <c r="V176" s="138">
        <v>9656311.8399999999</v>
      </c>
      <c r="W176" s="139">
        <v>0</v>
      </c>
      <c r="X176" s="130">
        <v>2.0499999999999997E-2</v>
      </c>
    </row>
    <row r="177" spans="1:24" x14ac:dyDescent="0.3">
      <c r="A177" s="74">
        <v>34335</v>
      </c>
      <c r="B177" s="90" t="s">
        <v>411</v>
      </c>
      <c r="C177" s="138">
        <v>18801752.445</v>
      </c>
      <c r="D177" s="138">
        <v>0</v>
      </c>
      <c r="E177" s="138">
        <v>0</v>
      </c>
      <c r="F177" s="138">
        <v>0</v>
      </c>
      <c r="G177" s="138">
        <v>0</v>
      </c>
      <c r="H177" s="138">
        <v>18801752.445</v>
      </c>
      <c r="I177" s="138">
        <v>18801752.449999999</v>
      </c>
      <c r="J177" s="139">
        <v>0</v>
      </c>
      <c r="K177" s="138">
        <v>11929082.48</v>
      </c>
      <c r="L177" s="138">
        <v>389196.24</v>
      </c>
      <c r="M177" s="138">
        <v>0</v>
      </c>
      <c r="N177" s="138">
        <v>0</v>
      </c>
      <c r="O177" s="91"/>
      <c r="P177" s="138">
        <v>0</v>
      </c>
      <c r="Q177" s="91"/>
      <c r="R177" s="138">
        <v>0</v>
      </c>
      <c r="S177" s="138">
        <v>0</v>
      </c>
      <c r="T177" s="138">
        <v>0</v>
      </c>
      <c r="U177" s="138">
        <v>12318278.720000001</v>
      </c>
      <c r="V177" s="138">
        <v>12123680.6</v>
      </c>
      <c r="W177" s="139">
        <v>0</v>
      </c>
      <c r="X177" s="130">
        <v>2.07E-2</v>
      </c>
    </row>
    <row r="178" spans="1:24" x14ac:dyDescent="0.3">
      <c r="A178" s="74">
        <v>34336</v>
      </c>
      <c r="B178" s="90" t="s">
        <v>412</v>
      </c>
      <c r="C178" s="138">
        <v>17542092.239999998</v>
      </c>
      <c r="D178" s="138">
        <v>0</v>
      </c>
      <c r="E178" s="138">
        <v>0</v>
      </c>
      <c r="F178" s="138">
        <v>0</v>
      </c>
      <c r="G178" s="138">
        <v>0</v>
      </c>
      <c r="H178" s="138">
        <v>17542092.239999998</v>
      </c>
      <c r="I178" s="138">
        <v>17542092.239999998</v>
      </c>
      <c r="J178" s="139">
        <v>0</v>
      </c>
      <c r="K178" s="138">
        <v>11493965.270000007</v>
      </c>
      <c r="L178" s="138">
        <v>315757.68</v>
      </c>
      <c r="M178" s="138">
        <v>0</v>
      </c>
      <c r="N178" s="138">
        <v>0</v>
      </c>
      <c r="O178" s="91"/>
      <c r="P178" s="138">
        <v>0</v>
      </c>
      <c r="Q178" s="91"/>
      <c r="R178" s="138">
        <v>0</v>
      </c>
      <c r="S178" s="138">
        <v>0</v>
      </c>
      <c r="T178" s="138">
        <v>0</v>
      </c>
      <c r="U178" s="138">
        <v>11809722.950000007</v>
      </c>
      <c r="V178" s="138">
        <v>11651844.109999999</v>
      </c>
      <c r="W178" s="139">
        <v>0</v>
      </c>
      <c r="X178" s="130">
        <v>1.8000000000000002E-2</v>
      </c>
    </row>
    <row r="179" spans="1:24" x14ac:dyDescent="0.3">
      <c r="A179" s="74">
        <v>34341</v>
      </c>
      <c r="B179" s="90" t="s">
        <v>413</v>
      </c>
      <c r="C179" s="138">
        <v>0</v>
      </c>
      <c r="D179" s="138">
        <v>0</v>
      </c>
      <c r="E179" s="138">
        <v>0</v>
      </c>
      <c r="F179" s="138">
        <v>0</v>
      </c>
      <c r="G179" s="138">
        <v>0</v>
      </c>
      <c r="H179" s="138">
        <v>0</v>
      </c>
      <c r="I179" s="138">
        <v>0</v>
      </c>
      <c r="J179" s="139">
        <v>0</v>
      </c>
      <c r="K179" s="138">
        <v>0</v>
      </c>
      <c r="L179" s="138">
        <v>0</v>
      </c>
      <c r="M179" s="138">
        <v>0</v>
      </c>
      <c r="N179" s="138">
        <v>0</v>
      </c>
      <c r="O179" s="91"/>
      <c r="P179" s="138">
        <v>0</v>
      </c>
      <c r="Q179" s="91"/>
      <c r="R179" s="138">
        <v>0</v>
      </c>
      <c r="S179" s="138">
        <v>0</v>
      </c>
      <c r="T179" s="138">
        <v>0</v>
      </c>
      <c r="U179" s="138">
        <v>0</v>
      </c>
      <c r="V179" s="138">
        <v>0</v>
      </c>
      <c r="W179" s="139">
        <v>0</v>
      </c>
      <c r="X179" s="130">
        <v>0</v>
      </c>
    </row>
    <row r="180" spans="1:24" x14ac:dyDescent="0.3">
      <c r="A180" s="74">
        <v>34342</v>
      </c>
      <c r="B180" s="90" t="s">
        <v>414</v>
      </c>
      <c r="C180" s="138">
        <v>0</v>
      </c>
      <c r="D180" s="138">
        <v>0</v>
      </c>
      <c r="E180" s="138">
        <v>0</v>
      </c>
      <c r="F180" s="138">
        <v>0</v>
      </c>
      <c r="G180" s="138">
        <v>0</v>
      </c>
      <c r="H180" s="138">
        <v>0</v>
      </c>
      <c r="I180" s="138">
        <v>0</v>
      </c>
      <c r="J180" s="139">
        <v>0</v>
      </c>
      <c r="K180" s="138">
        <v>0</v>
      </c>
      <c r="L180" s="138">
        <v>0</v>
      </c>
      <c r="M180" s="138">
        <v>0</v>
      </c>
      <c r="N180" s="138">
        <v>0</v>
      </c>
      <c r="O180" s="91"/>
      <c r="P180" s="138">
        <v>0</v>
      </c>
      <c r="Q180" s="91"/>
      <c r="R180" s="138">
        <v>0</v>
      </c>
      <c r="S180" s="138">
        <v>0</v>
      </c>
      <c r="T180" s="138">
        <v>0</v>
      </c>
      <c r="U180" s="138">
        <v>0</v>
      </c>
      <c r="V180" s="138">
        <v>0</v>
      </c>
      <c r="W180" s="139">
        <v>0</v>
      </c>
      <c r="X180" s="130">
        <v>0</v>
      </c>
    </row>
    <row r="181" spans="1:24" x14ac:dyDescent="0.3">
      <c r="A181" s="74">
        <v>34343</v>
      </c>
      <c r="B181" s="90" t="s">
        <v>415</v>
      </c>
      <c r="C181" s="138">
        <v>459235396.42500007</v>
      </c>
      <c r="D181" s="138">
        <v>22673.64</v>
      </c>
      <c r="E181" s="138">
        <v>0</v>
      </c>
      <c r="F181" s="138">
        <v>0</v>
      </c>
      <c r="G181" s="138">
        <v>0</v>
      </c>
      <c r="H181" s="138">
        <v>459258070.06500006</v>
      </c>
      <c r="I181" s="138">
        <v>459247605.31</v>
      </c>
      <c r="J181" s="139">
        <v>-4.999995231628418E-3</v>
      </c>
      <c r="K181" s="138">
        <v>19813608.059999999</v>
      </c>
      <c r="L181" s="138">
        <v>16716581.1</v>
      </c>
      <c r="M181" s="138">
        <v>0</v>
      </c>
      <c r="N181" s="138">
        <v>-269950.2</v>
      </c>
      <c r="O181" s="91"/>
      <c r="P181" s="138">
        <v>0</v>
      </c>
      <c r="Q181" s="91"/>
      <c r="R181" s="138">
        <v>0</v>
      </c>
      <c r="S181" s="138">
        <v>0</v>
      </c>
      <c r="T181" s="138">
        <v>0</v>
      </c>
      <c r="U181" s="138">
        <v>36260238.959999993</v>
      </c>
      <c r="V181" s="138">
        <v>28036828.289999999</v>
      </c>
      <c r="W181" s="139">
        <v>0</v>
      </c>
      <c r="X181" s="130">
        <v>3.6400000000000002E-2</v>
      </c>
    </row>
    <row r="182" spans="1:24" x14ac:dyDescent="0.3">
      <c r="A182" s="74">
        <v>34344</v>
      </c>
      <c r="B182" s="90" t="s">
        <v>416</v>
      </c>
      <c r="C182" s="138">
        <v>21710268.795000002</v>
      </c>
      <c r="D182" s="138">
        <v>0</v>
      </c>
      <c r="E182" s="138">
        <v>0</v>
      </c>
      <c r="F182" s="138">
        <v>0</v>
      </c>
      <c r="G182" s="138">
        <v>0</v>
      </c>
      <c r="H182" s="138">
        <v>21710268.795000002</v>
      </c>
      <c r="I182" s="138">
        <v>21710268.800000001</v>
      </c>
      <c r="J182" s="139">
        <v>0</v>
      </c>
      <c r="K182" s="138">
        <v>11147576.739999995</v>
      </c>
      <c r="L182" s="138">
        <v>590519.28</v>
      </c>
      <c r="M182" s="138">
        <v>0</v>
      </c>
      <c r="N182" s="138">
        <v>0</v>
      </c>
      <c r="O182" s="91"/>
      <c r="P182" s="138">
        <v>0</v>
      </c>
      <c r="Q182" s="91"/>
      <c r="R182" s="138">
        <v>0</v>
      </c>
      <c r="S182" s="138">
        <v>0</v>
      </c>
      <c r="T182" s="138">
        <v>0</v>
      </c>
      <c r="U182" s="138">
        <v>11738096.019999994</v>
      </c>
      <c r="V182" s="138">
        <v>11442836.380000001</v>
      </c>
      <c r="W182" s="139">
        <v>0</v>
      </c>
      <c r="X182" s="130">
        <v>2.7200000000000002E-2</v>
      </c>
    </row>
    <row r="183" spans="1:24" x14ac:dyDescent="0.3">
      <c r="A183" s="74">
        <v>34345</v>
      </c>
      <c r="B183" s="90" t="s">
        <v>417</v>
      </c>
      <c r="C183" s="138">
        <v>176825383.25000009</v>
      </c>
      <c r="D183" s="138">
        <v>202500</v>
      </c>
      <c r="E183" s="138">
        <v>0</v>
      </c>
      <c r="F183" s="138">
        <v>0</v>
      </c>
      <c r="G183" s="138">
        <v>0</v>
      </c>
      <c r="H183" s="138">
        <v>177027883.25000009</v>
      </c>
      <c r="I183" s="138">
        <v>176910190.94</v>
      </c>
      <c r="J183" s="139">
        <v>0</v>
      </c>
      <c r="K183" s="138">
        <v>14396000.979999999</v>
      </c>
      <c r="L183" s="138">
        <v>6191513.4299999997</v>
      </c>
      <c r="M183" s="138">
        <v>0</v>
      </c>
      <c r="N183" s="138">
        <v>-20000</v>
      </c>
      <c r="O183" s="91"/>
      <c r="P183" s="138">
        <v>0</v>
      </c>
      <c r="Q183" s="91"/>
      <c r="R183" s="138">
        <v>0</v>
      </c>
      <c r="S183" s="138">
        <v>0</v>
      </c>
      <c r="T183" s="138">
        <v>0</v>
      </c>
      <c r="U183" s="138">
        <v>20567514.409999996</v>
      </c>
      <c r="V183" s="138">
        <v>17481093.02</v>
      </c>
      <c r="W183" s="139">
        <v>0</v>
      </c>
      <c r="X183" s="130">
        <v>3.5000000000000003E-2</v>
      </c>
    </row>
    <row r="184" spans="1:24" x14ac:dyDescent="0.3">
      <c r="A184" s="74">
        <v>34346</v>
      </c>
      <c r="B184" s="90" t="s">
        <v>418</v>
      </c>
      <c r="C184" s="138">
        <v>175636432.62500012</v>
      </c>
      <c r="D184" s="138">
        <v>0</v>
      </c>
      <c r="E184" s="138">
        <v>0</v>
      </c>
      <c r="F184" s="138">
        <v>0</v>
      </c>
      <c r="G184" s="138">
        <v>0</v>
      </c>
      <c r="H184" s="138">
        <v>175636432.62500012</v>
      </c>
      <c r="I184" s="138">
        <v>175636432.63</v>
      </c>
      <c r="J184" s="139">
        <v>0</v>
      </c>
      <c r="K184" s="138">
        <v>14305937.169999998</v>
      </c>
      <c r="L184" s="138">
        <v>6147275.1600000001</v>
      </c>
      <c r="M184" s="138">
        <v>0</v>
      </c>
      <c r="N184" s="138">
        <v>0</v>
      </c>
      <c r="O184" s="91"/>
      <c r="P184" s="138">
        <v>0</v>
      </c>
      <c r="Q184" s="91"/>
      <c r="R184" s="138">
        <v>0</v>
      </c>
      <c r="S184" s="138">
        <v>0</v>
      </c>
      <c r="T184" s="138">
        <v>0</v>
      </c>
      <c r="U184" s="138">
        <v>20453212.329999998</v>
      </c>
      <c r="V184" s="138">
        <v>17379574.75</v>
      </c>
      <c r="W184" s="139">
        <v>0</v>
      </c>
      <c r="X184" s="130">
        <v>3.5000000000000003E-2</v>
      </c>
    </row>
    <row r="185" spans="1:24" x14ac:dyDescent="0.3">
      <c r="A185" s="74">
        <v>34352</v>
      </c>
      <c r="B185" s="90" t="s">
        <v>419</v>
      </c>
      <c r="C185" s="138">
        <v>0</v>
      </c>
      <c r="D185" s="138">
        <v>0</v>
      </c>
      <c r="E185" s="138">
        <v>0</v>
      </c>
      <c r="F185" s="138">
        <v>0</v>
      </c>
      <c r="G185" s="138">
        <v>0</v>
      </c>
      <c r="H185" s="138">
        <v>0</v>
      </c>
      <c r="I185" s="138">
        <v>0</v>
      </c>
      <c r="J185" s="139">
        <v>0</v>
      </c>
      <c r="K185" s="138">
        <v>0</v>
      </c>
      <c r="L185" s="138">
        <v>0</v>
      </c>
      <c r="M185" s="138">
        <v>0</v>
      </c>
      <c r="N185" s="138">
        <v>0</v>
      </c>
      <c r="O185" s="91"/>
      <c r="P185" s="138">
        <v>0</v>
      </c>
      <c r="Q185" s="91"/>
      <c r="R185" s="138">
        <v>0</v>
      </c>
      <c r="S185" s="138">
        <v>0</v>
      </c>
      <c r="T185" s="138">
        <v>0</v>
      </c>
      <c r="U185" s="138">
        <v>0</v>
      </c>
      <c r="V185" s="138">
        <v>0</v>
      </c>
      <c r="W185" s="139">
        <v>0</v>
      </c>
      <c r="X185" s="130">
        <v>0</v>
      </c>
    </row>
    <row r="186" spans="1:24" x14ac:dyDescent="0.3">
      <c r="A186" s="74">
        <v>34380</v>
      </c>
      <c r="B186" s="90" t="s">
        <v>420</v>
      </c>
      <c r="C186" s="138">
        <v>13374221.219999995</v>
      </c>
      <c r="D186" s="138">
        <v>3094842.98</v>
      </c>
      <c r="E186" s="138">
        <v>-618968.59</v>
      </c>
      <c r="F186" s="138">
        <v>0</v>
      </c>
      <c r="G186" s="138">
        <v>0</v>
      </c>
      <c r="H186" s="138">
        <v>15850095.609999996</v>
      </c>
      <c r="I186" s="138">
        <v>14067968.84</v>
      </c>
      <c r="J186" s="139">
        <v>-5.0000008195638657E-3</v>
      </c>
      <c r="K186" s="138">
        <v>2663150.1200000015</v>
      </c>
      <c r="L186" s="138">
        <v>526155.56000000006</v>
      </c>
      <c r="M186" s="138">
        <v>-618968.59</v>
      </c>
      <c r="N186" s="138">
        <v>-238333.34</v>
      </c>
      <c r="O186" s="91"/>
      <c r="P186" s="138">
        <v>0</v>
      </c>
      <c r="Q186" s="91"/>
      <c r="R186" s="138">
        <v>0</v>
      </c>
      <c r="S186" s="138">
        <v>0</v>
      </c>
      <c r="T186" s="138">
        <v>0</v>
      </c>
      <c r="U186" s="138">
        <v>2332003.7500000019</v>
      </c>
      <c r="V186" s="138">
        <v>2635807.2599999998</v>
      </c>
      <c r="W186" s="139">
        <v>0</v>
      </c>
      <c r="X186" s="130">
        <v>3.78E-2</v>
      </c>
    </row>
    <row r="187" spans="1:24" x14ac:dyDescent="0.3">
      <c r="A187" s="74">
        <v>34381</v>
      </c>
      <c r="B187" s="90" t="s">
        <v>421</v>
      </c>
      <c r="C187" s="138">
        <v>164019280.71499991</v>
      </c>
      <c r="D187" s="138">
        <v>41699077.409999996</v>
      </c>
      <c r="E187" s="138">
        <v>-282925.78000000003</v>
      </c>
      <c r="F187" s="138">
        <v>0</v>
      </c>
      <c r="G187" s="138">
        <v>0</v>
      </c>
      <c r="H187" s="138">
        <v>205435432.34499991</v>
      </c>
      <c r="I187" s="138">
        <v>189031237.63999999</v>
      </c>
      <c r="J187" s="139">
        <v>-4.9998462200164795E-3</v>
      </c>
      <c r="K187" s="138">
        <v>91770284.029999986</v>
      </c>
      <c r="L187" s="138">
        <v>8032028.6799999997</v>
      </c>
      <c r="M187" s="138">
        <v>-282925.78000000003</v>
      </c>
      <c r="N187" s="138">
        <v>-98333.23</v>
      </c>
      <c r="O187" s="91"/>
      <c r="P187" s="138">
        <v>0</v>
      </c>
      <c r="Q187" s="91"/>
      <c r="R187" s="138">
        <v>0</v>
      </c>
      <c r="S187" s="138">
        <v>0</v>
      </c>
      <c r="T187" s="138">
        <v>0</v>
      </c>
      <c r="U187" s="138">
        <v>99421053.699999973</v>
      </c>
      <c r="V187" s="138">
        <v>95489877.969999999</v>
      </c>
      <c r="W187" s="139">
        <v>4.999995231628418E-3</v>
      </c>
      <c r="X187" s="130">
        <v>4.2800000000000005E-2</v>
      </c>
    </row>
    <row r="188" spans="1:24" x14ac:dyDescent="0.3">
      <c r="A188" s="74">
        <v>34382</v>
      </c>
      <c r="B188" s="90" t="s">
        <v>422</v>
      </c>
      <c r="C188" s="138">
        <v>37467329.220000029</v>
      </c>
      <c r="D188" s="138">
        <v>5122430.82</v>
      </c>
      <c r="E188" s="138">
        <v>-1024486.19</v>
      </c>
      <c r="F188" s="138">
        <v>0</v>
      </c>
      <c r="G188" s="138">
        <v>0</v>
      </c>
      <c r="H188" s="138">
        <v>41565273.850000031</v>
      </c>
      <c r="I188" s="138">
        <v>37984211.68</v>
      </c>
      <c r="J188" s="139">
        <v>-4.9999803304672241E-3</v>
      </c>
      <c r="K188" s="138">
        <v>10409071.580000006</v>
      </c>
      <c r="L188" s="138">
        <v>1477282.95</v>
      </c>
      <c r="M188" s="138">
        <v>-1024486.19</v>
      </c>
      <c r="N188" s="138">
        <v>-52133.4</v>
      </c>
      <c r="O188" s="91"/>
      <c r="P188" s="138">
        <v>0</v>
      </c>
      <c r="Q188" s="91"/>
      <c r="R188" s="138">
        <v>0</v>
      </c>
      <c r="S188" s="138">
        <v>0</v>
      </c>
      <c r="T188" s="138">
        <v>0</v>
      </c>
      <c r="U188" s="138">
        <v>10809734.940000005</v>
      </c>
      <c r="V188" s="138">
        <v>10989787.67</v>
      </c>
      <c r="W188" s="139">
        <v>1.4901161193847656E-8</v>
      </c>
      <c r="X188" s="130">
        <v>3.9199999999999999E-2</v>
      </c>
    </row>
    <row r="189" spans="1:24" x14ac:dyDescent="0.3">
      <c r="A189" s="74">
        <v>34383</v>
      </c>
      <c r="B189" s="90" t="s">
        <v>423</v>
      </c>
      <c r="C189" s="138">
        <v>38711529.969999999</v>
      </c>
      <c r="D189" s="138">
        <v>1949801.76</v>
      </c>
      <c r="E189" s="138">
        <v>-389960.35</v>
      </c>
      <c r="F189" s="138">
        <v>0</v>
      </c>
      <c r="G189" s="138">
        <v>0</v>
      </c>
      <c r="H189" s="138">
        <v>40271371.379999995</v>
      </c>
      <c r="I189" s="138">
        <v>38831517.770000003</v>
      </c>
      <c r="J189" s="139">
        <v>0</v>
      </c>
      <c r="K189" s="138">
        <v>23362826.240000024</v>
      </c>
      <c r="L189" s="138">
        <v>874880.52</v>
      </c>
      <c r="M189" s="138">
        <v>-389960.35</v>
      </c>
      <c r="N189" s="138">
        <v>0</v>
      </c>
      <c r="O189" s="91"/>
      <c r="P189" s="138">
        <v>0</v>
      </c>
      <c r="Q189" s="91"/>
      <c r="R189" s="138">
        <v>0</v>
      </c>
      <c r="S189" s="138">
        <v>0</v>
      </c>
      <c r="T189" s="138">
        <v>0</v>
      </c>
      <c r="U189" s="138">
        <v>23847746.410000023</v>
      </c>
      <c r="V189" s="138">
        <v>23770269.550000001</v>
      </c>
      <c r="W189" s="139">
        <v>0</v>
      </c>
      <c r="X189" s="130">
        <v>2.2599999999999999E-2</v>
      </c>
    </row>
    <row r="190" spans="1:24" x14ac:dyDescent="0.3">
      <c r="A190" s="74">
        <v>34384</v>
      </c>
      <c r="B190" s="90" t="s">
        <v>424</v>
      </c>
      <c r="C190" s="138">
        <v>28730215.395000007</v>
      </c>
      <c r="D190" s="138">
        <v>3206910.65</v>
      </c>
      <c r="E190" s="138">
        <v>-641382.13</v>
      </c>
      <c r="F190" s="138">
        <v>0</v>
      </c>
      <c r="G190" s="138">
        <v>0</v>
      </c>
      <c r="H190" s="138">
        <v>31295743.915000007</v>
      </c>
      <c r="I190" s="138">
        <v>28927563.739999998</v>
      </c>
      <c r="J190" s="139">
        <v>-4.9999989569187164E-3</v>
      </c>
      <c r="K190" s="138">
        <v>8371480.6000000034</v>
      </c>
      <c r="L190" s="138">
        <v>1172192.76</v>
      </c>
      <c r="M190" s="138">
        <v>-641382.13</v>
      </c>
      <c r="N190" s="138">
        <v>0</v>
      </c>
      <c r="O190" s="91"/>
      <c r="P190" s="138">
        <v>0</v>
      </c>
      <c r="Q190" s="91"/>
      <c r="R190" s="138">
        <v>0</v>
      </c>
      <c r="S190" s="138">
        <v>0</v>
      </c>
      <c r="T190" s="138">
        <v>0</v>
      </c>
      <c r="U190" s="138">
        <v>8902291.2300000023</v>
      </c>
      <c r="V190" s="138">
        <v>8908239.8900000006</v>
      </c>
      <c r="W190" s="139">
        <v>0</v>
      </c>
      <c r="X190" s="130">
        <v>4.0800000000000003E-2</v>
      </c>
    </row>
    <row r="191" spans="1:24" x14ac:dyDescent="0.3">
      <c r="A191" s="74">
        <v>34385</v>
      </c>
      <c r="B191" s="90" t="s">
        <v>425</v>
      </c>
      <c r="C191" s="138">
        <v>25537597.419999994</v>
      </c>
      <c r="D191" s="138">
        <v>3543064.53</v>
      </c>
      <c r="E191" s="138">
        <v>-708612.91</v>
      </c>
      <c r="F191" s="138">
        <v>0</v>
      </c>
      <c r="G191" s="138">
        <v>0</v>
      </c>
      <c r="H191" s="138">
        <v>28372049.039999995</v>
      </c>
      <c r="I191" s="138">
        <v>25884448.329999998</v>
      </c>
      <c r="J191" s="139">
        <v>0</v>
      </c>
      <c r="K191" s="138">
        <v>6881861.0700000022</v>
      </c>
      <c r="L191" s="138">
        <v>1073304.75</v>
      </c>
      <c r="M191" s="138">
        <v>-708612.91</v>
      </c>
      <c r="N191" s="138">
        <v>0</v>
      </c>
      <c r="O191" s="91"/>
      <c r="P191" s="138">
        <v>0</v>
      </c>
      <c r="Q191" s="91"/>
      <c r="R191" s="138">
        <v>0</v>
      </c>
      <c r="S191" s="138">
        <v>0</v>
      </c>
      <c r="T191" s="138">
        <v>0</v>
      </c>
      <c r="U191" s="138">
        <v>7246552.910000002</v>
      </c>
      <c r="V191" s="138">
        <v>7329332.8099999996</v>
      </c>
      <c r="W191" s="139">
        <v>0</v>
      </c>
      <c r="X191" s="130">
        <v>4.1799999999999997E-2</v>
      </c>
    </row>
    <row r="192" spans="1:24" x14ac:dyDescent="0.3">
      <c r="A192" s="74">
        <v>34386</v>
      </c>
      <c r="B192" s="90" t="s">
        <v>426</v>
      </c>
      <c r="C192" s="138">
        <v>225351015.47500005</v>
      </c>
      <c r="D192" s="138">
        <v>3629358.14</v>
      </c>
      <c r="E192" s="138">
        <v>-725871.64</v>
      </c>
      <c r="F192" s="138">
        <v>0</v>
      </c>
      <c r="G192" s="138">
        <v>0</v>
      </c>
      <c r="H192" s="138">
        <v>228254501.97500005</v>
      </c>
      <c r="I192" s="138">
        <v>225920343.5</v>
      </c>
      <c r="J192" s="139">
        <v>0</v>
      </c>
      <c r="K192" s="138">
        <v>49140894.330000043</v>
      </c>
      <c r="L192" s="138">
        <v>7855258.8600000003</v>
      </c>
      <c r="M192" s="138">
        <v>-725871.64</v>
      </c>
      <c r="N192" s="138">
        <v>-1234907.6200000001</v>
      </c>
      <c r="O192" s="91"/>
      <c r="P192" s="138">
        <v>0</v>
      </c>
      <c r="Q192" s="91"/>
      <c r="R192" s="138">
        <v>0</v>
      </c>
      <c r="S192" s="138">
        <v>0</v>
      </c>
      <c r="T192" s="138">
        <v>0</v>
      </c>
      <c r="U192" s="138">
        <v>55035373.930000044</v>
      </c>
      <c r="V192" s="138">
        <v>52306564.020000003</v>
      </c>
      <c r="W192" s="139">
        <v>0</v>
      </c>
      <c r="X192" s="130">
        <v>3.4800000000000005E-2</v>
      </c>
    </row>
    <row r="193" spans="1:24" x14ac:dyDescent="0.3">
      <c r="A193" s="74">
        <v>34390</v>
      </c>
      <c r="B193" s="90" t="s">
        <v>427</v>
      </c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8">
        <v>0</v>
      </c>
      <c r="I193" s="138">
        <v>0</v>
      </c>
      <c r="J193" s="139">
        <v>0</v>
      </c>
      <c r="K193" s="138">
        <v>0</v>
      </c>
      <c r="L193" s="138">
        <v>0</v>
      </c>
      <c r="M193" s="138">
        <v>0</v>
      </c>
      <c r="N193" s="138">
        <v>0</v>
      </c>
      <c r="O193" s="91"/>
      <c r="P193" s="138">
        <v>0</v>
      </c>
      <c r="Q193" s="91"/>
      <c r="R193" s="138">
        <v>0</v>
      </c>
      <c r="S193" s="138">
        <v>0</v>
      </c>
      <c r="T193" s="138">
        <v>0</v>
      </c>
      <c r="U193" s="138">
        <v>0</v>
      </c>
      <c r="V193" s="138">
        <v>0</v>
      </c>
      <c r="W193" s="139">
        <v>0</v>
      </c>
      <c r="X193" s="130">
        <v>0</v>
      </c>
    </row>
    <row r="194" spans="1:24" x14ac:dyDescent="0.3">
      <c r="A194" s="74">
        <v>34398</v>
      </c>
      <c r="B194" s="90" t="s">
        <v>428</v>
      </c>
      <c r="C194" s="138">
        <v>940672.19000000018</v>
      </c>
      <c r="D194" s="138">
        <v>0</v>
      </c>
      <c r="E194" s="138">
        <v>0</v>
      </c>
      <c r="F194" s="138">
        <v>0</v>
      </c>
      <c r="G194" s="138">
        <v>0</v>
      </c>
      <c r="H194" s="138">
        <v>940672.19000000018</v>
      </c>
      <c r="I194" s="138">
        <v>940672.19</v>
      </c>
      <c r="J194" s="139">
        <v>0</v>
      </c>
      <c r="K194" s="138">
        <v>56806.889999999985</v>
      </c>
      <c r="L194" s="138">
        <v>32076.959999999999</v>
      </c>
      <c r="M194" s="138">
        <v>0</v>
      </c>
      <c r="N194" s="138">
        <v>0</v>
      </c>
      <c r="O194" s="91"/>
      <c r="P194" s="138">
        <v>0</v>
      </c>
      <c r="Q194" s="91"/>
      <c r="R194" s="138">
        <v>0</v>
      </c>
      <c r="S194" s="138">
        <v>0</v>
      </c>
      <c r="T194" s="138">
        <v>0</v>
      </c>
      <c r="U194" s="138">
        <v>88883.849999999977</v>
      </c>
      <c r="V194" s="138">
        <v>72845.37</v>
      </c>
      <c r="W194" s="139">
        <v>0</v>
      </c>
      <c r="X194" s="130">
        <v>3.4099999999999998E-2</v>
      </c>
    </row>
    <row r="195" spans="1:24" x14ac:dyDescent="0.3">
      <c r="A195" s="74">
        <v>34399</v>
      </c>
      <c r="B195" s="90" t="s">
        <v>429</v>
      </c>
      <c r="C195" s="138">
        <v>960796152.64999998</v>
      </c>
      <c r="D195" s="138">
        <v>222493915.77000001</v>
      </c>
      <c r="E195" s="138">
        <v>0</v>
      </c>
      <c r="F195" s="138">
        <v>0</v>
      </c>
      <c r="G195" s="138">
        <v>0</v>
      </c>
      <c r="H195" s="138">
        <v>1183290068.4200001</v>
      </c>
      <c r="I195" s="138">
        <v>988809302.15999997</v>
      </c>
      <c r="J195" s="139">
        <v>0</v>
      </c>
      <c r="K195" s="138">
        <v>92761911.579999998</v>
      </c>
      <c r="L195" s="138">
        <v>32971227.170000002</v>
      </c>
      <c r="M195" s="138">
        <v>0</v>
      </c>
      <c r="N195" s="138">
        <v>0</v>
      </c>
      <c r="O195" s="91"/>
      <c r="P195" s="138">
        <v>0</v>
      </c>
      <c r="Q195" s="91"/>
      <c r="R195" s="138">
        <v>0</v>
      </c>
      <c r="S195" s="138">
        <v>0</v>
      </c>
      <c r="T195" s="138">
        <v>0</v>
      </c>
      <c r="U195" s="138">
        <v>125733138.75</v>
      </c>
      <c r="V195" s="138">
        <v>109212885.17</v>
      </c>
      <c r="W195" s="139">
        <v>0</v>
      </c>
      <c r="X195" s="130">
        <v>3.39E-2</v>
      </c>
    </row>
    <row r="196" spans="1:24" x14ac:dyDescent="0.3">
      <c r="A196" s="74">
        <v>34520</v>
      </c>
      <c r="B196" s="90" t="s">
        <v>430</v>
      </c>
      <c r="C196" s="138">
        <v>0</v>
      </c>
      <c r="D196" s="138">
        <v>0</v>
      </c>
      <c r="E196" s="138">
        <v>0</v>
      </c>
      <c r="F196" s="138">
        <v>0</v>
      </c>
      <c r="G196" s="138">
        <v>0</v>
      </c>
      <c r="H196" s="138">
        <v>0</v>
      </c>
      <c r="I196" s="138">
        <v>0</v>
      </c>
      <c r="J196" s="139">
        <v>0</v>
      </c>
      <c r="K196" s="138">
        <v>0</v>
      </c>
      <c r="L196" s="138">
        <v>0</v>
      </c>
      <c r="M196" s="138">
        <v>0</v>
      </c>
      <c r="N196" s="138">
        <v>0</v>
      </c>
      <c r="O196" s="91"/>
      <c r="P196" s="138">
        <v>0</v>
      </c>
      <c r="Q196" s="91"/>
      <c r="R196" s="138">
        <v>0</v>
      </c>
      <c r="S196" s="138">
        <v>0</v>
      </c>
      <c r="T196" s="138">
        <v>0</v>
      </c>
      <c r="U196" s="138">
        <v>0</v>
      </c>
      <c r="V196" s="138">
        <v>0</v>
      </c>
      <c r="W196" s="139">
        <v>0</v>
      </c>
      <c r="X196" s="130">
        <v>1.89E-2</v>
      </c>
    </row>
    <row r="197" spans="1:24" x14ac:dyDescent="0.3">
      <c r="A197" s="74">
        <v>34528</v>
      </c>
      <c r="B197" s="90" t="s">
        <v>431</v>
      </c>
      <c r="C197" s="138">
        <v>0</v>
      </c>
      <c r="D197" s="138">
        <v>0</v>
      </c>
      <c r="E197" s="138">
        <v>0</v>
      </c>
      <c r="F197" s="138">
        <v>0</v>
      </c>
      <c r="G197" s="138">
        <v>0</v>
      </c>
      <c r="H197" s="138">
        <v>0</v>
      </c>
      <c r="I197" s="138">
        <v>0</v>
      </c>
      <c r="J197" s="139">
        <v>0</v>
      </c>
      <c r="K197" s="138">
        <v>0</v>
      </c>
      <c r="L197" s="138">
        <v>0</v>
      </c>
      <c r="M197" s="138">
        <v>0</v>
      </c>
      <c r="N197" s="138">
        <v>0</v>
      </c>
      <c r="O197" s="91"/>
      <c r="P197" s="138">
        <v>0</v>
      </c>
      <c r="Q197" s="91"/>
      <c r="R197" s="138">
        <v>0</v>
      </c>
      <c r="S197" s="138">
        <v>0</v>
      </c>
      <c r="T197" s="138">
        <v>0</v>
      </c>
      <c r="U197" s="138">
        <v>0</v>
      </c>
      <c r="V197" s="138">
        <v>0</v>
      </c>
      <c r="W197" s="139">
        <v>0</v>
      </c>
      <c r="X197" s="130">
        <v>0</v>
      </c>
    </row>
    <row r="198" spans="1:24" x14ac:dyDescent="0.3">
      <c r="A198" s="74">
        <v>34530</v>
      </c>
      <c r="B198" s="90" t="s">
        <v>432</v>
      </c>
      <c r="C198" s="138">
        <v>32858830.609999999</v>
      </c>
      <c r="D198" s="138">
        <v>0</v>
      </c>
      <c r="E198" s="138">
        <v>0</v>
      </c>
      <c r="F198" s="138">
        <v>0</v>
      </c>
      <c r="G198" s="138">
        <v>0</v>
      </c>
      <c r="H198" s="138">
        <v>32858830.609999999</v>
      </c>
      <c r="I198" s="138">
        <v>32858830.609999999</v>
      </c>
      <c r="J198" s="139">
        <v>0</v>
      </c>
      <c r="K198" s="138">
        <v>14137386.859999998</v>
      </c>
      <c r="L198" s="138">
        <v>808327.2</v>
      </c>
      <c r="M198" s="138">
        <v>0</v>
      </c>
      <c r="N198" s="138">
        <v>0</v>
      </c>
      <c r="O198" s="91"/>
      <c r="P198" s="138">
        <v>0</v>
      </c>
      <c r="Q198" s="91"/>
      <c r="R198" s="138">
        <v>0</v>
      </c>
      <c r="S198" s="138">
        <v>0</v>
      </c>
      <c r="T198" s="138">
        <v>0</v>
      </c>
      <c r="U198" s="138">
        <v>14945714.059999997</v>
      </c>
      <c r="V198" s="138">
        <v>14541550.460000001</v>
      </c>
      <c r="W198" s="139">
        <v>0</v>
      </c>
      <c r="X198" s="130">
        <v>2.46E-2</v>
      </c>
    </row>
    <row r="199" spans="1:24" x14ac:dyDescent="0.3">
      <c r="A199" s="74">
        <v>34531</v>
      </c>
      <c r="B199" s="90" t="s">
        <v>433</v>
      </c>
      <c r="C199" s="138">
        <v>40601976.5</v>
      </c>
      <c r="D199" s="138">
        <v>0</v>
      </c>
      <c r="E199" s="138">
        <v>0</v>
      </c>
      <c r="F199" s="138">
        <v>0</v>
      </c>
      <c r="G199" s="138">
        <v>0</v>
      </c>
      <c r="H199" s="138">
        <v>40601976.5</v>
      </c>
      <c r="I199" s="138">
        <v>40601976.5</v>
      </c>
      <c r="J199" s="139">
        <v>0</v>
      </c>
      <c r="K199" s="138">
        <v>23536486.480000019</v>
      </c>
      <c r="L199" s="138">
        <v>1364226.36</v>
      </c>
      <c r="M199" s="138">
        <v>0</v>
      </c>
      <c r="N199" s="138">
        <v>0</v>
      </c>
      <c r="O199" s="91"/>
      <c r="P199" s="138">
        <v>0</v>
      </c>
      <c r="Q199" s="91"/>
      <c r="R199" s="138">
        <v>0</v>
      </c>
      <c r="S199" s="138">
        <v>0</v>
      </c>
      <c r="T199" s="138">
        <v>0</v>
      </c>
      <c r="U199" s="138">
        <v>24900712.840000018</v>
      </c>
      <c r="V199" s="138">
        <v>24218599.66</v>
      </c>
      <c r="W199" s="139">
        <v>0</v>
      </c>
      <c r="X199" s="130">
        <v>3.3599999999999998E-2</v>
      </c>
    </row>
    <row r="200" spans="1:24" x14ac:dyDescent="0.3">
      <c r="A200" s="74">
        <v>34532</v>
      </c>
      <c r="B200" s="90" t="s">
        <v>434</v>
      </c>
      <c r="C200" s="138">
        <v>44698672.580000006</v>
      </c>
      <c r="D200" s="138">
        <v>0</v>
      </c>
      <c r="E200" s="138">
        <v>0</v>
      </c>
      <c r="F200" s="138">
        <v>0</v>
      </c>
      <c r="G200" s="138">
        <v>0</v>
      </c>
      <c r="H200" s="138">
        <v>44698672.580000006</v>
      </c>
      <c r="I200" s="138">
        <v>44698672.579999998</v>
      </c>
      <c r="J200" s="139">
        <v>0</v>
      </c>
      <c r="K200" s="138">
        <v>25733846.520000026</v>
      </c>
      <c r="L200" s="138">
        <v>1600212.48</v>
      </c>
      <c r="M200" s="138">
        <v>0</v>
      </c>
      <c r="N200" s="138">
        <v>0</v>
      </c>
      <c r="O200" s="91"/>
      <c r="P200" s="138">
        <v>0</v>
      </c>
      <c r="Q200" s="91"/>
      <c r="R200" s="138">
        <v>0</v>
      </c>
      <c r="S200" s="138">
        <v>0</v>
      </c>
      <c r="T200" s="138">
        <v>0</v>
      </c>
      <c r="U200" s="138">
        <v>27334059.000000026</v>
      </c>
      <c r="V200" s="138">
        <v>26533952.760000002</v>
      </c>
      <c r="W200" s="139">
        <v>0</v>
      </c>
      <c r="X200" s="130">
        <v>3.5799999999999998E-2</v>
      </c>
    </row>
    <row r="201" spans="1:24" x14ac:dyDescent="0.3">
      <c r="A201" s="74">
        <v>34533</v>
      </c>
      <c r="B201" s="90" t="s">
        <v>435</v>
      </c>
      <c r="C201" s="138">
        <v>14174190.639999999</v>
      </c>
      <c r="D201" s="138">
        <v>0</v>
      </c>
      <c r="E201" s="138">
        <v>0</v>
      </c>
      <c r="F201" s="138">
        <v>0</v>
      </c>
      <c r="G201" s="138">
        <v>0</v>
      </c>
      <c r="H201" s="138">
        <v>14174190.639999999</v>
      </c>
      <c r="I201" s="138">
        <v>14174190.640000001</v>
      </c>
      <c r="J201" s="139">
        <v>0</v>
      </c>
      <c r="K201" s="138">
        <v>6497504.6499999929</v>
      </c>
      <c r="L201" s="138">
        <v>364276.68</v>
      </c>
      <c r="M201" s="138">
        <v>0</v>
      </c>
      <c r="N201" s="138">
        <v>0</v>
      </c>
      <c r="O201" s="91"/>
      <c r="P201" s="138">
        <v>0</v>
      </c>
      <c r="Q201" s="91"/>
      <c r="R201" s="138">
        <v>0</v>
      </c>
      <c r="S201" s="138">
        <v>0</v>
      </c>
      <c r="T201" s="138">
        <v>0</v>
      </c>
      <c r="U201" s="138">
        <v>6861781.3299999926</v>
      </c>
      <c r="V201" s="138">
        <v>6679642.9900000002</v>
      </c>
      <c r="W201" s="139">
        <v>0</v>
      </c>
      <c r="X201" s="130">
        <v>2.5699999999999997E-2</v>
      </c>
    </row>
    <row r="202" spans="1:24" x14ac:dyDescent="0.3">
      <c r="A202" s="74">
        <v>34534</v>
      </c>
      <c r="B202" s="90" t="s">
        <v>436</v>
      </c>
      <c r="C202" s="138">
        <v>4189431.02</v>
      </c>
      <c r="D202" s="138">
        <v>0</v>
      </c>
      <c r="E202" s="138">
        <v>0</v>
      </c>
      <c r="F202" s="138">
        <v>0</v>
      </c>
      <c r="G202" s="138">
        <v>0</v>
      </c>
      <c r="H202" s="138">
        <v>4189431.02</v>
      </c>
      <c r="I202" s="138">
        <v>4189431.02</v>
      </c>
      <c r="J202" s="139">
        <v>0</v>
      </c>
      <c r="K202" s="138">
        <v>2059900.969999999</v>
      </c>
      <c r="L202" s="138">
        <v>101803.2</v>
      </c>
      <c r="M202" s="138">
        <v>0</v>
      </c>
      <c r="N202" s="138">
        <v>0</v>
      </c>
      <c r="O202" s="91"/>
      <c r="P202" s="138">
        <v>0</v>
      </c>
      <c r="Q202" s="91"/>
      <c r="R202" s="138">
        <v>0</v>
      </c>
      <c r="S202" s="138">
        <v>0</v>
      </c>
      <c r="T202" s="138">
        <v>0</v>
      </c>
      <c r="U202" s="138">
        <v>2161704.169999999</v>
      </c>
      <c r="V202" s="138">
        <v>2110802.5699999998</v>
      </c>
      <c r="W202" s="139">
        <v>0</v>
      </c>
      <c r="X202" s="130">
        <v>2.4300000000000002E-2</v>
      </c>
    </row>
    <row r="203" spans="1:24" x14ac:dyDescent="0.3">
      <c r="A203" s="74">
        <v>34535</v>
      </c>
      <c r="B203" s="90" t="s">
        <v>437</v>
      </c>
      <c r="C203" s="138">
        <v>10408627.609999998</v>
      </c>
      <c r="D203" s="138">
        <v>0</v>
      </c>
      <c r="E203" s="138">
        <v>0</v>
      </c>
      <c r="F203" s="138">
        <v>0</v>
      </c>
      <c r="G203" s="138">
        <v>0</v>
      </c>
      <c r="H203" s="138">
        <v>10408627.609999998</v>
      </c>
      <c r="I203" s="138">
        <v>10408627.609999999</v>
      </c>
      <c r="J203" s="139">
        <v>0</v>
      </c>
      <c r="K203" s="138">
        <v>5186295.3899999931</v>
      </c>
      <c r="L203" s="138">
        <v>183191.88</v>
      </c>
      <c r="M203" s="138">
        <v>0</v>
      </c>
      <c r="N203" s="138">
        <v>0</v>
      </c>
      <c r="O203" s="91"/>
      <c r="P203" s="138">
        <v>0</v>
      </c>
      <c r="Q203" s="91"/>
      <c r="R203" s="138">
        <v>0</v>
      </c>
      <c r="S203" s="138">
        <v>0</v>
      </c>
      <c r="T203" s="138">
        <v>0</v>
      </c>
      <c r="U203" s="138">
        <v>5369487.269999993</v>
      </c>
      <c r="V203" s="138">
        <v>5277891.33</v>
      </c>
      <c r="W203" s="139">
        <v>0</v>
      </c>
      <c r="X203" s="130">
        <v>1.7600000000000001E-2</v>
      </c>
    </row>
    <row r="204" spans="1:24" x14ac:dyDescent="0.3">
      <c r="A204" s="74">
        <v>34536</v>
      </c>
      <c r="B204" s="90" t="s">
        <v>438</v>
      </c>
      <c r="C204" s="138">
        <v>14353367.069999998</v>
      </c>
      <c r="D204" s="138">
        <v>0</v>
      </c>
      <c r="E204" s="138">
        <v>0</v>
      </c>
      <c r="F204" s="138">
        <v>0</v>
      </c>
      <c r="G204" s="138">
        <v>0</v>
      </c>
      <c r="H204" s="138">
        <v>14353367.069999998</v>
      </c>
      <c r="I204" s="138">
        <v>14353367.07</v>
      </c>
      <c r="J204" s="139">
        <v>0</v>
      </c>
      <c r="K204" s="138">
        <v>7179143.4200000055</v>
      </c>
      <c r="L204" s="138">
        <v>345916.2</v>
      </c>
      <c r="M204" s="138">
        <v>0</v>
      </c>
      <c r="N204" s="138">
        <v>0</v>
      </c>
      <c r="O204" s="91"/>
      <c r="P204" s="138">
        <v>0</v>
      </c>
      <c r="Q204" s="91"/>
      <c r="R204" s="138">
        <v>0</v>
      </c>
      <c r="S204" s="138">
        <v>0</v>
      </c>
      <c r="T204" s="138">
        <v>0</v>
      </c>
      <c r="U204" s="138">
        <v>7525059.6200000057</v>
      </c>
      <c r="V204" s="138">
        <v>7352101.5199999996</v>
      </c>
      <c r="W204" s="139">
        <v>0</v>
      </c>
      <c r="X204" s="130">
        <v>2.41E-2</v>
      </c>
    </row>
    <row r="205" spans="1:24" x14ac:dyDescent="0.3">
      <c r="A205" s="74">
        <v>34541</v>
      </c>
      <c r="B205" s="90" t="s">
        <v>439</v>
      </c>
      <c r="C205" s="138">
        <v>0</v>
      </c>
      <c r="D205" s="138">
        <v>0</v>
      </c>
      <c r="E205" s="138">
        <v>0</v>
      </c>
      <c r="F205" s="138">
        <v>0</v>
      </c>
      <c r="G205" s="138">
        <v>0</v>
      </c>
      <c r="H205" s="138">
        <v>0</v>
      </c>
      <c r="I205" s="138">
        <v>0</v>
      </c>
      <c r="J205" s="139">
        <v>0</v>
      </c>
      <c r="K205" s="138">
        <v>0</v>
      </c>
      <c r="L205" s="138">
        <v>0</v>
      </c>
      <c r="M205" s="138">
        <v>0</v>
      </c>
      <c r="N205" s="138">
        <v>0</v>
      </c>
      <c r="O205" s="91"/>
      <c r="P205" s="138">
        <v>0</v>
      </c>
      <c r="Q205" s="91"/>
      <c r="R205" s="138">
        <v>0</v>
      </c>
      <c r="S205" s="138">
        <v>0</v>
      </c>
      <c r="T205" s="138">
        <v>0</v>
      </c>
      <c r="U205" s="138">
        <v>0</v>
      </c>
      <c r="V205" s="138">
        <v>0</v>
      </c>
      <c r="W205" s="139">
        <v>0</v>
      </c>
      <c r="X205" s="130">
        <v>0</v>
      </c>
    </row>
    <row r="206" spans="1:24" x14ac:dyDescent="0.3">
      <c r="A206" s="74">
        <v>34542</v>
      </c>
      <c r="B206" s="90" t="s">
        <v>440</v>
      </c>
      <c r="C206" s="138">
        <v>0</v>
      </c>
      <c r="D206" s="138">
        <v>0</v>
      </c>
      <c r="E206" s="138">
        <v>0</v>
      </c>
      <c r="F206" s="138">
        <v>0</v>
      </c>
      <c r="G206" s="138">
        <v>0</v>
      </c>
      <c r="H206" s="138">
        <v>0</v>
      </c>
      <c r="I206" s="138">
        <v>0</v>
      </c>
      <c r="J206" s="139">
        <v>0</v>
      </c>
      <c r="K206" s="138">
        <v>0</v>
      </c>
      <c r="L206" s="138">
        <v>0</v>
      </c>
      <c r="M206" s="138">
        <v>0</v>
      </c>
      <c r="N206" s="138">
        <v>0</v>
      </c>
      <c r="O206" s="91"/>
      <c r="P206" s="138">
        <v>0</v>
      </c>
      <c r="Q206" s="91"/>
      <c r="R206" s="138">
        <v>0</v>
      </c>
      <c r="S206" s="138">
        <v>0</v>
      </c>
      <c r="T206" s="138">
        <v>0</v>
      </c>
      <c r="U206" s="138">
        <v>0</v>
      </c>
      <c r="V206" s="138">
        <v>0</v>
      </c>
      <c r="W206" s="139">
        <v>0</v>
      </c>
      <c r="X206" s="130">
        <v>0</v>
      </c>
    </row>
    <row r="207" spans="1:24" x14ac:dyDescent="0.3">
      <c r="A207" s="74">
        <v>34543</v>
      </c>
      <c r="B207" s="90" t="s">
        <v>441</v>
      </c>
      <c r="C207" s="138">
        <v>700677.02</v>
      </c>
      <c r="D207" s="138">
        <v>0</v>
      </c>
      <c r="E207" s="138">
        <v>0</v>
      </c>
      <c r="F207" s="138">
        <v>0</v>
      </c>
      <c r="G207" s="138">
        <v>0</v>
      </c>
      <c r="H207" s="138">
        <v>700677.02</v>
      </c>
      <c r="I207" s="138">
        <v>700677.02</v>
      </c>
      <c r="J207" s="139">
        <v>0</v>
      </c>
      <c r="K207" s="138">
        <v>95984.73000000004</v>
      </c>
      <c r="L207" s="138">
        <v>20459.759999999998</v>
      </c>
      <c r="M207" s="138">
        <v>0</v>
      </c>
      <c r="N207" s="138">
        <v>0</v>
      </c>
      <c r="O207" s="91"/>
      <c r="P207" s="138">
        <v>0</v>
      </c>
      <c r="Q207" s="91"/>
      <c r="R207" s="138">
        <v>0</v>
      </c>
      <c r="S207" s="138">
        <v>0</v>
      </c>
      <c r="T207" s="138">
        <v>0</v>
      </c>
      <c r="U207" s="138">
        <v>116444.49000000003</v>
      </c>
      <c r="V207" s="138">
        <v>106214.61</v>
      </c>
      <c r="W207" s="139">
        <v>0</v>
      </c>
      <c r="X207" s="130">
        <v>2.92E-2</v>
      </c>
    </row>
    <row r="208" spans="1:24" x14ac:dyDescent="0.3">
      <c r="A208" s="74">
        <v>34544</v>
      </c>
      <c r="B208" s="90" t="s">
        <v>442</v>
      </c>
      <c r="C208" s="138">
        <v>16328713.470000001</v>
      </c>
      <c r="D208" s="138">
        <v>0</v>
      </c>
      <c r="E208" s="138">
        <v>0</v>
      </c>
      <c r="F208" s="138">
        <v>0</v>
      </c>
      <c r="G208" s="138">
        <v>0</v>
      </c>
      <c r="H208" s="138">
        <v>16328713.470000001</v>
      </c>
      <c r="I208" s="138">
        <v>16328713.470000001</v>
      </c>
      <c r="J208" s="139">
        <v>0</v>
      </c>
      <c r="K208" s="138">
        <v>7561769.4300000044</v>
      </c>
      <c r="L208" s="138">
        <v>395154.84</v>
      </c>
      <c r="M208" s="138">
        <v>0</v>
      </c>
      <c r="N208" s="138">
        <v>0</v>
      </c>
      <c r="O208" s="91"/>
      <c r="P208" s="138">
        <v>0</v>
      </c>
      <c r="Q208" s="91"/>
      <c r="R208" s="138">
        <v>0</v>
      </c>
      <c r="S208" s="138">
        <v>0</v>
      </c>
      <c r="T208" s="138">
        <v>0</v>
      </c>
      <c r="U208" s="138">
        <v>7956924.2700000042</v>
      </c>
      <c r="V208" s="138">
        <v>7759346.8499999996</v>
      </c>
      <c r="W208" s="139">
        <v>0</v>
      </c>
      <c r="X208" s="130">
        <v>2.4199999999999999E-2</v>
      </c>
    </row>
    <row r="209" spans="1:24" x14ac:dyDescent="0.3">
      <c r="A209" s="74">
        <v>34545</v>
      </c>
      <c r="B209" s="90" t="s">
        <v>443</v>
      </c>
      <c r="C209" s="138">
        <v>58769.36</v>
      </c>
      <c r="D209" s="138">
        <v>0</v>
      </c>
      <c r="E209" s="138">
        <v>0</v>
      </c>
      <c r="F209" s="138">
        <v>0</v>
      </c>
      <c r="G209" s="138">
        <v>0</v>
      </c>
      <c r="H209" s="138">
        <v>58769.36</v>
      </c>
      <c r="I209" s="138">
        <v>58769.36</v>
      </c>
      <c r="J209" s="139">
        <v>0</v>
      </c>
      <c r="K209" s="138">
        <v>1704.36</v>
      </c>
      <c r="L209" s="138">
        <v>1110.72</v>
      </c>
      <c r="M209" s="138">
        <v>0</v>
      </c>
      <c r="N209" s="138">
        <v>0</v>
      </c>
      <c r="O209" s="91"/>
      <c r="P209" s="138">
        <v>0</v>
      </c>
      <c r="Q209" s="91"/>
      <c r="R209" s="138">
        <v>0</v>
      </c>
      <c r="S209" s="138">
        <v>0</v>
      </c>
      <c r="T209" s="138">
        <v>0</v>
      </c>
      <c r="U209" s="138">
        <v>2815.08</v>
      </c>
      <c r="V209" s="138">
        <v>2259.7199999999998</v>
      </c>
      <c r="W209" s="139">
        <v>0</v>
      </c>
      <c r="X209" s="130">
        <v>1.89E-2</v>
      </c>
    </row>
    <row r="210" spans="1:24" x14ac:dyDescent="0.3">
      <c r="A210" s="74">
        <v>34546</v>
      </c>
      <c r="B210" s="90" t="s">
        <v>444</v>
      </c>
      <c r="C210" s="138">
        <v>19190.82</v>
      </c>
      <c r="D210" s="138">
        <v>0</v>
      </c>
      <c r="E210" s="138">
        <v>0</v>
      </c>
      <c r="F210" s="138">
        <v>0</v>
      </c>
      <c r="G210" s="138">
        <v>0</v>
      </c>
      <c r="H210" s="138">
        <v>19190.82</v>
      </c>
      <c r="I210" s="138">
        <v>19190.82</v>
      </c>
      <c r="J210" s="139">
        <v>0</v>
      </c>
      <c r="K210" s="138">
        <v>686.47</v>
      </c>
      <c r="L210" s="138">
        <v>362.76</v>
      </c>
      <c r="M210" s="138">
        <v>0</v>
      </c>
      <c r="N210" s="138">
        <v>0</v>
      </c>
      <c r="O210" s="91"/>
      <c r="P210" s="138">
        <v>0</v>
      </c>
      <c r="Q210" s="91"/>
      <c r="R210" s="138">
        <v>0</v>
      </c>
      <c r="S210" s="138">
        <v>0</v>
      </c>
      <c r="T210" s="138">
        <v>0</v>
      </c>
      <c r="U210" s="138">
        <v>1049.23</v>
      </c>
      <c r="V210" s="138">
        <v>867.85</v>
      </c>
      <c r="W210" s="139">
        <v>0</v>
      </c>
      <c r="X210" s="130">
        <v>1.89E-2</v>
      </c>
    </row>
    <row r="211" spans="1:24" x14ac:dyDescent="0.3">
      <c r="A211" s="74">
        <v>34580</v>
      </c>
      <c r="B211" s="90" t="s">
        <v>445</v>
      </c>
      <c r="C211" s="138">
        <v>14500596.529999997</v>
      </c>
      <c r="D211" s="138">
        <v>0</v>
      </c>
      <c r="E211" s="138">
        <v>0</v>
      </c>
      <c r="F211" s="138">
        <v>0</v>
      </c>
      <c r="G211" s="138">
        <v>0</v>
      </c>
      <c r="H211" s="138">
        <v>14500596.529999997</v>
      </c>
      <c r="I211" s="138">
        <v>14500596.529999999</v>
      </c>
      <c r="J211" s="139">
        <v>0</v>
      </c>
      <c r="K211" s="138">
        <v>4502475.62</v>
      </c>
      <c r="L211" s="138">
        <v>411816.96000000002</v>
      </c>
      <c r="M211" s="138">
        <v>0</v>
      </c>
      <c r="N211" s="138">
        <v>0</v>
      </c>
      <c r="O211" s="91"/>
      <c r="P211" s="138">
        <v>0</v>
      </c>
      <c r="Q211" s="91"/>
      <c r="R211" s="138">
        <v>0</v>
      </c>
      <c r="S211" s="138">
        <v>0</v>
      </c>
      <c r="T211" s="138">
        <v>0</v>
      </c>
      <c r="U211" s="138">
        <v>4914292.58</v>
      </c>
      <c r="V211" s="138">
        <v>4708384.0999999996</v>
      </c>
      <c r="W211" s="139">
        <v>0</v>
      </c>
      <c r="X211" s="130">
        <v>2.8399999999999998E-2</v>
      </c>
    </row>
    <row r="212" spans="1:24" x14ac:dyDescent="0.3">
      <c r="A212" s="74">
        <v>34581</v>
      </c>
      <c r="B212" s="90" t="s">
        <v>446</v>
      </c>
      <c r="C212" s="138">
        <v>60502604.230000012</v>
      </c>
      <c r="D212" s="138">
        <v>0</v>
      </c>
      <c r="E212" s="138">
        <v>0</v>
      </c>
      <c r="F212" s="138">
        <v>0</v>
      </c>
      <c r="G212" s="138">
        <v>0</v>
      </c>
      <c r="H212" s="138">
        <v>60502604.230000012</v>
      </c>
      <c r="I212" s="138">
        <v>60502604.229999997</v>
      </c>
      <c r="J212" s="139">
        <v>0</v>
      </c>
      <c r="K212" s="138">
        <v>45601245.639999948</v>
      </c>
      <c r="L212" s="138">
        <v>1536766.2</v>
      </c>
      <c r="M212" s="138">
        <v>0</v>
      </c>
      <c r="N212" s="138">
        <v>0</v>
      </c>
      <c r="O212" s="91"/>
      <c r="P212" s="138">
        <v>0</v>
      </c>
      <c r="Q212" s="91"/>
      <c r="R212" s="138">
        <v>0</v>
      </c>
      <c r="S212" s="138">
        <v>0</v>
      </c>
      <c r="T212" s="138">
        <v>0</v>
      </c>
      <c r="U212" s="138">
        <v>47138011.839999951</v>
      </c>
      <c r="V212" s="138">
        <v>46369628.740000002</v>
      </c>
      <c r="W212" s="139">
        <v>0</v>
      </c>
      <c r="X212" s="130">
        <v>2.5399999999999999E-2</v>
      </c>
    </row>
    <row r="213" spans="1:24" x14ac:dyDescent="0.3">
      <c r="A213" s="74">
        <v>34582</v>
      </c>
      <c r="B213" s="90" t="s">
        <v>447</v>
      </c>
      <c r="C213" s="138">
        <v>19218097.860000003</v>
      </c>
      <c r="D213" s="138">
        <v>0</v>
      </c>
      <c r="E213" s="138">
        <v>0</v>
      </c>
      <c r="F213" s="138">
        <v>0</v>
      </c>
      <c r="G213" s="138">
        <v>0</v>
      </c>
      <c r="H213" s="138">
        <v>19218097.860000003</v>
      </c>
      <c r="I213" s="138">
        <v>19218097.859999999</v>
      </c>
      <c r="J213" s="139">
        <v>0</v>
      </c>
      <c r="K213" s="138">
        <v>11226851.10999999</v>
      </c>
      <c r="L213" s="138">
        <v>370909.32</v>
      </c>
      <c r="M213" s="138">
        <v>0</v>
      </c>
      <c r="N213" s="138">
        <v>0</v>
      </c>
      <c r="O213" s="91"/>
      <c r="P213" s="138">
        <v>0</v>
      </c>
      <c r="Q213" s="91"/>
      <c r="R213" s="138">
        <v>0</v>
      </c>
      <c r="S213" s="138">
        <v>0</v>
      </c>
      <c r="T213" s="138">
        <v>0</v>
      </c>
      <c r="U213" s="138">
        <v>11597760.42999999</v>
      </c>
      <c r="V213" s="138">
        <v>11412305.77</v>
      </c>
      <c r="W213" s="139">
        <v>0</v>
      </c>
      <c r="X213" s="130">
        <v>1.9299999999999998E-2</v>
      </c>
    </row>
    <row r="214" spans="1:24" x14ac:dyDescent="0.3">
      <c r="A214" s="74">
        <v>34583</v>
      </c>
      <c r="B214" s="90" t="s">
        <v>448</v>
      </c>
      <c r="C214" s="138">
        <v>9146691.5499999989</v>
      </c>
      <c r="D214" s="138">
        <v>0</v>
      </c>
      <c r="E214" s="138">
        <v>0</v>
      </c>
      <c r="F214" s="138">
        <v>0</v>
      </c>
      <c r="G214" s="138">
        <v>0</v>
      </c>
      <c r="H214" s="138">
        <v>9146691.5499999989</v>
      </c>
      <c r="I214" s="138">
        <v>9146691.5500000007</v>
      </c>
      <c r="J214" s="139">
        <v>0</v>
      </c>
      <c r="K214" s="138">
        <v>5946088.9699999867</v>
      </c>
      <c r="L214" s="138">
        <v>151835.04</v>
      </c>
      <c r="M214" s="138">
        <v>0</v>
      </c>
      <c r="N214" s="138">
        <v>0</v>
      </c>
      <c r="O214" s="91"/>
      <c r="P214" s="138">
        <v>0</v>
      </c>
      <c r="Q214" s="91"/>
      <c r="R214" s="138">
        <v>0</v>
      </c>
      <c r="S214" s="138">
        <v>0</v>
      </c>
      <c r="T214" s="138">
        <v>0</v>
      </c>
      <c r="U214" s="138">
        <v>6097924.0099999867</v>
      </c>
      <c r="V214" s="138">
        <v>6022006.4900000002</v>
      </c>
      <c r="W214" s="139">
        <v>0</v>
      </c>
      <c r="X214" s="130">
        <v>1.66E-2</v>
      </c>
    </row>
    <row r="215" spans="1:24" x14ac:dyDescent="0.3">
      <c r="A215" s="74">
        <v>34584</v>
      </c>
      <c r="B215" s="90" t="s">
        <v>449</v>
      </c>
      <c r="C215" s="138">
        <v>5586747.4299999997</v>
      </c>
      <c r="D215" s="138">
        <v>0</v>
      </c>
      <c r="E215" s="138">
        <v>0</v>
      </c>
      <c r="F215" s="138">
        <v>0</v>
      </c>
      <c r="G215" s="138">
        <v>0</v>
      </c>
      <c r="H215" s="138">
        <v>5586747.4299999997</v>
      </c>
      <c r="I215" s="138">
        <v>5586747.4299999997</v>
      </c>
      <c r="J215" s="139">
        <v>0</v>
      </c>
      <c r="K215" s="138">
        <v>3437914.8499999959</v>
      </c>
      <c r="L215" s="138">
        <v>97768.08</v>
      </c>
      <c r="M215" s="138">
        <v>0</v>
      </c>
      <c r="N215" s="138">
        <v>0</v>
      </c>
      <c r="O215" s="91"/>
      <c r="P215" s="138">
        <v>0</v>
      </c>
      <c r="Q215" s="91"/>
      <c r="R215" s="138">
        <v>0</v>
      </c>
      <c r="S215" s="138">
        <v>0</v>
      </c>
      <c r="T215" s="138">
        <v>0</v>
      </c>
      <c r="U215" s="138">
        <v>3535682.929999996</v>
      </c>
      <c r="V215" s="138">
        <v>3486798.89</v>
      </c>
      <c r="W215" s="139">
        <v>0</v>
      </c>
      <c r="X215" s="130">
        <v>1.7500000000000002E-2</v>
      </c>
    </row>
    <row r="216" spans="1:24" x14ac:dyDescent="0.3">
      <c r="A216" s="74">
        <v>34585</v>
      </c>
      <c r="B216" s="90" t="s">
        <v>450</v>
      </c>
      <c r="C216" s="138">
        <v>5489268.9800000014</v>
      </c>
      <c r="D216" s="138">
        <v>0</v>
      </c>
      <c r="E216" s="138">
        <v>0</v>
      </c>
      <c r="F216" s="138">
        <v>0</v>
      </c>
      <c r="G216" s="138">
        <v>0</v>
      </c>
      <c r="H216" s="138">
        <v>5489268.9800000014</v>
      </c>
      <c r="I216" s="138">
        <v>5489268.9800000004</v>
      </c>
      <c r="J216" s="139">
        <v>0</v>
      </c>
      <c r="K216" s="138">
        <v>3413552.0199999972</v>
      </c>
      <c r="L216" s="138">
        <v>93866.52</v>
      </c>
      <c r="M216" s="138">
        <v>0</v>
      </c>
      <c r="N216" s="138">
        <v>0</v>
      </c>
      <c r="O216" s="91"/>
      <c r="P216" s="138">
        <v>0</v>
      </c>
      <c r="Q216" s="91"/>
      <c r="R216" s="138">
        <v>0</v>
      </c>
      <c r="S216" s="138">
        <v>0</v>
      </c>
      <c r="T216" s="138">
        <v>0</v>
      </c>
      <c r="U216" s="138">
        <v>3507418.5399999972</v>
      </c>
      <c r="V216" s="138">
        <v>3460485.28</v>
      </c>
      <c r="W216" s="139">
        <v>0</v>
      </c>
      <c r="X216" s="130">
        <v>1.7100000000000001E-2</v>
      </c>
    </row>
    <row r="217" spans="1:24" x14ac:dyDescent="0.3">
      <c r="A217" s="74">
        <v>34586</v>
      </c>
      <c r="B217" s="90" t="s">
        <v>451</v>
      </c>
      <c r="C217" s="138">
        <v>18338595.009999998</v>
      </c>
      <c r="D217" s="138">
        <v>0</v>
      </c>
      <c r="E217" s="138">
        <v>0</v>
      </c>
      <c r="F217" s="138">
        <v>0</v>
      </c>
      <c r="G217" s="138">
        <v>0</v>
      </c>
      <c r="H217" s="138">
        <v>18338595.009999998</v>
      </c>
      <c r="I217" s="138">
        <v>18338595.010000002</v>
      </c>
      <c r="J217" s="139">
        <v>0</v>
      </c>
      <c r="K217" s="138">
        <v>4565338.5300000021</v>
      </c>
      <c r="L217" s="138">
        <v>557493.24</v>
      </c>
      <c r="M217" s="138">
        <v>0</v>
      </c>
      <c r="N217" s="138">
        <v>0</v>
      </c>
      <c r="O217" s="91"/>
      <c r="P217" s="138">
        <v>0</v>
      </c>
      <c r="Q217" s="91"/>
      <c r="R217" s="138">
        <v>0</v>
      </c>
      <c r="S217" s="138">
        <v>0</v>
      </c>
      <c r="T217" s="138">
        <v>0</v>
      </c>
      <c r="U217" s="138">
        <v>5122831.7700000023</v>
      </c>
      <c r="V217" s="138">
        <v>4844085.1500000004</v>
      </c>
      <c r="W217" s="139">
        <v>0</v>
      </c>
      <c r="X217" s="130">
        <v>3.04E-2</v>
      </c>
    </row>
    <row r="218" spans="1:24" x14ac:dyDescent="0.3">
      <c r="A218" s="74">
        <v>34598</v>
      </c>
      <c r="B218" s="90" t="s">
        <v>452</v>
      </c>
      <c r="C218" s="138">
        <v>0</v>
      </c>
      <c r="D218" s="138">
        <v>0</v>
      </c>
      <c r="E218" s="138">
        <v>0</v>
      </c>
      <c r="F218" s="138">
        <v>0</v>
      </c>
      <c r="G218" s="138">
        <v>0</v>
      </c>
      <c r="H218" s="138">
        <v>0</v>
      </c>
      <c r="I218" s="138">
        <v>0</v>
      </c>
      <c r="J218" s="139">
        <v>0</v>
      </c>
      <c r="K218" s="138">
        <v>0</v>
      </c>
      <c r="L218" s="138">
        <v>0</v>
      </c>
      <c r="M218" s="138">
        <v>0</v>
      </c>
      <c r="N218" s="138">
        <v>0</v>
      </c>
      <c r="O218" s="91"/>
      <c r="P218" s="138">
        <v>0</v>
      </c>
      <c r="Q218" s="91"/>
      <c r="R218" s="138">
        <v>0</v>
      </c>
      <c r="S218" s="138">
        <v>0</v>
      </c>
      <c r="T218" s="138">
        <v>0</v>
      </c>
      <c r="U218" s="138">
        <v>0</v>
      </c>
      <c r="V218" s="138">
        <v>0</v>
      </c>
      <c r="W218" s="139">
        <v>0</v>
      </c>
      <c r="X218" s="130">
        <v>3.3300000000000003E-2</v>
      </c>
    </row>
    <row r="219" spans="1:24" x14ac:dyDescent="0.3">
      <c r="A219" s="74">
        <v>34599</v>
      </c>
      <c r="B219" s="90" t="s">
        <v>453</v>
      </c>
      <c r="C219" s="138">
        <v>324613475.78000015</v>
      </c>
      <c r="D219" s="138">
        <v>0</v>
      </c>
      <c r="E219" s="138">
        <v>0</v>
      </c>
      <c r="F219" s="138">
        <v>0</v>
      </c>
      <c r="G219" s="138">
        <v>0</v>
      </c>
      <c r="H219" s="138">
        <v>324613475.78000015</v>
      </c>
      <c r="I219" s="138">
        <v>324613475.77999997</v>
      </c>
      <c r="J219" s="139">
        <v>0</v>
      </c>
      <c r="K219" s="138">
        <v>37445332.689999998</v>
      </c>
      <c r="L219" s="138">
        <v>10971935.52</v>
      </c>
      <c r="M219" s="138">
        <v>0</v>
      </c>
      <c r="N219" s="138">
        <v>0</v>
      </c>
      <c r="O219" s="91"/>
      <c r="P219" s="138">
        <v>0</v>
      </c>
      <c r="Q219" s="91"/>
      <c r="R219" s="138">
        <v>0</v>
      </c>
      <c r="S219" s="138">
        <v>0</v>
      </c>
      <c r="T219" s="138">
        <v>0</v>
      </c>
      <c r="U219" s="138">
        <v>48417268.209999993</v>
      </c>
      <c r="V219" s="138">
        <v>42931300.450000003</v>
      </c>
      <c r="W219" s="139">
        <v>0</v>
      </c>
      <c r="X219" s="130">
        <v>3.3799999999999997E-2</v>
      </c>
    </row>
    <row r="220" spans="1:24" x14ac:dyDescent="0.3">
      <c r="A220" s="74">
        <v>34620</v>
      </c>
      <c r="B220" s="90" t="s">
        <v>454</v>
      </c>
      <c r="C220" s="138">
        <v>0</v>
      </c>
      <c r="D220" s="138">
        <v>0</v>
      </c>
      <c r="E220" s="138">
        <v>0</v>
      </c>
      <c r="F220" s="138">
        <v>0</v>
      </c>
      <c r="G220" s="138">
        <v>0</v>
      </c>
      <c r="H220" s="138">
        <v>0</v>
      </c>
      <c r="I220" s="138">
        <v>0</v>
      </c>
      <c r="J220" s="139">
        <v>0</v>
      </c>
      <c r="K220" s="138">
        <v>0</v>
      </c>
      <c r="L220" s="138">
        <v>0</v>
      </c>
      <c r="M220" s="138">
        <v>0</v>
      </c>
      <c r="N220" s="138">
        <v>0</v>
      </c>
      <c r="O220" s="91"/>
      <c r="P220" s="138">
        <v>0</v>
      </c>
      <c r="Q220" s="91"/>
      <c r="R220" s="138">
        <v>0</v>
      </c>
      <c r="S220" s="138">
        <v>0</v>
      </c>
      <c r="T220" s="138">
        <v>0</v>
      </c>
      <c r="U220" s="138">
        <v>0</v>
      </c>
      <c r="V220" s="138">
        <v>0</v>
      </c>
      <c r="W220" s="139">
        <v>0</v>
      </c>
      <c r="X220" s="130">
        <v>2.9700000000000001E-2</v>
      </c>
    </row>
    <row r="221" spans="1:24" x14ac:dyDescent="0.3">
      <c r="A221" s="74">
        <v>34628</v>
      </c>
      <c r="B221" s="90" t="s">
        <v>455</v>
      </c>
      <c r="C221" s="138">
        <v>0</v>
      </c>
      <c r="D221" s="138">
        <v>0</v>
      </c>
      <c r="E221" s="138">
        <v>0</v>
      </c>
      <c r="F221" s="138">
        <v>0</v>
      </c>
      <c r="G221" s="138">
        <v>0</v>
      </c>
      <c r="H221" s="138">
        <v>0</v>
      </c>
      <c r="I221" s="138">
        <v>0</v>
      </c>
      <c r="J221" s="139">
        <v>0</v>
      </c>
      <c r="K221" s="138">
        <v>0</v>
      </c>
      <c r="L221" s="138">
        <v>0</v>
      </c>
      <c r="M221" s="138">
        <v>0</v>
      </c>
      <c r="N221" s="138">
        <v>0</v>
      </c>
      <c r="O221" s="91"/>
      <c r="P221" s="138">
        <v>0</v>
      </c>
      <c r="Q221" s="91"/>
      <c r="R221" s="138">
        <v>0</v>
      </c>
      <c r="S221" s="138">
        <v>0</v>
      </c>
      <c r="T221" s="138">
        <v>0</v>
      </c>
      <c r="U221" s="138">
        <v>0</v>
      </c>
      <c r="V221" s="138">
        <v>0</v>
      </c>
      <c r="W221" s="139">
        <v>0</v>
      </c>
      <c r="X221" s="130">
        <v>0</v>
      </c>
    </row>
    <row r="222" spans="1:24" x14ac:dyDescent="0.3">
      <c r="A222" s="74">
        <v>34630</v>
      </c>
      <c r="B222" s="90" t="s">
        <v>456</v>
      </c>
      <c r="C222" s="138">
        <v>11491776.410000002</v>
      </c>
      <c r="D222" s="138">
        <v>0</v>
      </c>
      <c r="E222" s="138">
        <v>0</v>
      </c>
      <c r="F222" s="138">
        <v>0</v>
      </c>
      <c r="G222" s="138">
        <v>0</v>
      </c>
      <c r="H222" s="138">
        <v>11491776.410000002</v>
      </c>
      <c r="I222" s="138">
        <v>11491776.41</v>
      </c>
      <c r="J222" s="139">
        <v>0</v>
      </c>
      <c r="K222" s="138">
        <v>5402366.7299999995</v>
      </c>
      <c r="L222" s="138">
        <v>374631.96</v>
      </c>
      <c r="M222" s="138">
        <v>0</v>
      </c>
      <c r="N222" s="138">
        <v>0</v>
      </c>
      <c r="O222" s="91"/>
      <c r="P222" s="138">
        <v>0</v>
      </c>
      <c r="Q222" s="91"/>
      <c r="R222" s="138">
        <v>0</v>
      </c>
      <c r="S222" s="138">
        <v>0</v>
      </c>
      <c r="T222" s="138">
        <v>0</v>
      </c>
      <c r="U222" s="138">
        <v>5776998.6899999995</v>
      </c>
      <c r="V222" s="138">
        <v>5589682.71</v>
      </c>
      <c r="W222" s="139">
        <v>0</v>
      </c>
      <c r="X222" s="130">
        <v>3.2599999999999997E-2</v>
      </c>
    </row>
    <row r="223" spans="1:24" x14ac:dyDescent="0.3">
      <c r="A223" s="74">
        <v>34631</v>
      </c>
      <c r="B223" s="90" t="s">
        <v>457</v>
      </c>
      <c r="C223" s="138">
        <v>1175705.21</v>
      </c>
      <c r="D223" s="138">
        <v>0</v>
      </c>
      <c r="E223" s="138">
        <v>0</v>
      </c>
      <c r="F223" s="138">
        <v>0</v>
      </c>
      <c r="G223" s="138">
        <v>0</v>
      </c>
      <c r="H223" s="138">
        <v>1175705.21</v>
      </c>
      <c r="I223" s="138">
        <v>1175705.21</v>
      </c>
      <c r="J223" s="139">
        <v>0</v>
      </c>
      <c r="K223" s="138">
        <v>673431.15999999887</v>
      </c>
      <c r="L223" s="138">
        <v>50437.8</v>
      </c>
      <c r="M223" s="138">
        <v>0</v>
      </c>
      <c r="N223" s="138">
        <v>0</v>
      </c>
      <c r="O223" s="91"/>
      <c r="P223" s="138">
        <v>0</v>
      </c>
      <c r="Q223" s="91"/>
      <c r="R223" s="138">
        <v>0</v>
      </c>
      <c r="S223" s="138">
        <v>0</v>
      </c>
      <c r="T223" s="138">
        <v>0</v>
      </c>
      <c r="U223" s="138">
        <v>723868.95999999892</v>
      </c>
      <c r="V223" s="138">
        <v>698650.06</v>
      </c>
      <c r="W223" s="139">
        <v>0</v>
      </c>
      <c r="X223" s="130">
        <v>4.2900000000000001E-2</v>
      </c>
    </row>
    <row r="224" spans="1:24" x14ac:dyDescent="0.3">
      <c r="A224" s="74">
        <v>34632</v>
      </c>
      <c r="B224" s="90" t="s">
        <v>458</v>
      </c>
      <c r="C224" s="138">
        <v>1455592.35</v>
      </c>
      <c r="D224" s="138">
        <v>0</v>
      </c>
      <c r="E224" s="138">
        <v>0</v>
      </c>
      <c r="F224" s="138">
        <v>0</v>
      </c>
      <c r="G224" s="138">
        <v>0</v>
      </c>
      <c r="H224" s="138">
        <v>1455592.35</v>
      </c>
      <c r="I224" s="138">
        <v>1455592.35</v>
      </c>
      <c r="J224" s="139">
        <v>0</v>
      </c>
      <c r="K224" s="138">
        <v>853788.74000000022</v>
      </c>
      <c r="L224" s="138">
        <v>60261.48</v>
      </c>
      <c r="M224" s="138">
        <v>0</v>
      </c>
      <c r="N224" s="138">
        <v>0</v>
      </c>
      <c r="O224" s="91"/>
      <c r="P224" s="138">
        <v>0</v>
      </c>
      <c r="Q224" s="91"/>
      <c r="R224" s="138">
        <v>0</v>
      </c>
      <c r="S224" s="138">
        <v>0</v>
      </c>
      <c r="T224" s="138">
        <v>0</v>
      </c>
      <c r="U224" s="138">
        <v>914050.2200000002</v>
      </c>
      <c r="V224" s="138">
        <v>883919.48</v>
      </c>
      <c r="W224" s="139">
        <v>0</v>
      </c>
      <c r="X224" s="130">
        <v>4.1399999999999999E-2</v>
      </c>
    </row>
    <row r="225" spans="1:24" x14ac:dyDescent="0.3">
      <c r="A225" s="74">
        <v>34633</v>
      </c>
      <c r="B225" s="90" t="s">
        <v>459</v>
      </c>
      <c r="C225" s="138">
        <v>904.61</v>
      </c>
      <c r="D225" s="138">
        <v>0</v>
      </c>
      <c r="E225" s="138">
        <v>0</v>
      </c>
      <c r="F225" s="138">
        <v>0</v>
      </c>
      <c r="G225" s="138">
        <v>0</v>
      </c>
      <c r="H225" s="138">
        <v>904.61</v>
      </c>
      <c r="I225" s="138">
        <v>904.61</v>
      </c>
      <c r="J225" s="139">
        <v>0</v>
      </c>
      <c r="K225" s="138">
        <v>486.96000000000009</v>
      </c>
      <c r="L225" s="138">
        <v>25.92</v>
      </c>
      <c r="M225" s="138">
        <v>0</v>
      </c>
      <c r="N225" s="138">
        <v>0</v>
      </c>
      <c r="O225" s="91"/>
      <c r="P225" s="138">
        <v>0</v>
      </c>
      <c r="Q225" s="91"/>
      <c r="R225" s="138">
        <v>0</v>
      </c>
      <c r="S225" s="138">
        <v>0</v>
      </c>
      <c r="T225" s="138">
        <v>0</v>
      </c>
      <c r="U225" s="138">
        <v>512.88000000000011</v>
      </c>
      <c r="V225" s="138">
        <v>499.92</v>
      </c>
      <c r="W225" s="139">
        <v>0</v>
      </c>
      <c r="X225" s="130">
        <v>2.87E-2</v>
      </c>
    </row>
    <row r="226" spans="1:24" x14ac:dyDescent="0.3">
      <c r="A226" s="74">
        <v>34634</v>
      </c>
      <c r="B226" s="90" t="s">
        <v>460</v>
      </c>
      <c r="C226" s="138">
        <v>904.61</v>
      </c>
      <c r="D226" s="138">
        <v>0</v>
      </c>
      <c r="E226" s="138">
        <v>0</v>
      </c>
      <c r="F226" s="138">
        <v>0</v>
      </c>
      <c r="G226" s="138">
        <v>0</v>
      </c>
      <c r="H226" s="138">
        <v>904.61</v>
      </c>
      <c r="I226" s="138">
        <v>904.61</v>
      </c>
      <c r="J226" s="139">
        <v>0</v>
      </c>
      <c r="K226" s="138">
        <v>486.96000000000009</v>
      </c>
      <c r="L226" s="138">
        <v>25.92</v>
      </c>
      <c r="M226" s="138">
        <v>0</v>
      </c>
      <c r="N226" s="138">
        <v>0</v>
      </c>
      <c r="O226" s="91"/>
      <c r="P226" s="138">
        <v>0</v>
      </c>
      <c r="Q226" s="91"/>
      <c r="R226" s="138">
        <v>0</v>
      </c>
      <c r="S226" s="138">
        <v>0</v>
      </c>
      <c r="T226" s="138">
        <v>0</v>
      </c>
      <c r="U226" s="138">
        <v>512.88000000000011</v>
      </c>
      <c r="V226" s="138">
        <v>499.92</v>
      </c>
      <c r="W226" s="139">
        <v>0</v>
      </c>
      <c r="X226" s="130">
        <v>2.87E-2</v>
      </c>
    </row>
    <row r="227" spans="1:24" x14ac:dyDescent="0.3">
      <c r="A227" s="74">
        <v>34635</v>
      </c>
      <c r="B227" s="90" t="s">
        <v>461</v>
      </c>
      <c r="C227" s="138">
        <v>0</v>
      </c>
      <c r="D227" s="138">
        <v>0</v>
      </c>
      <c r="E227" s="138">
        <v>0</v>
      </c>
      <c r="F227" s="138">
        <v>0</v>
      </c>
      <c r="G227" s="138">
        <v>0</v>
      </c>
      <c r="H227" s="138">
        <v>0</v>
      </c>
      <c r="I227" s="138">
        <v>0</v>
      </c>
      <c r="J227" s="139">
        <v>0</v>
      </c>
      <c r="K227" s="138">
        <v>0</v>
      </c>
      <c r="L227" s="138">
        <v>0</v>
      </c>
      <c r="M227" s="138">
        <v>0</v>
      </c>
      <c r="N227" s="138">
        <v>0</v>
      </c>
      <c r="O227" s="91"/>
      <c r="P227" s="138">
        <v>0</v>
      </c>
      <c r="Q227" s="91"/>
      <c r="R227" s="138">
        <v>0</v>
      </c>
      <c r="S227" s="138">
        <v>0</v>
      </c>
      <c r="T227" s="138">
        <v>0</v>
      </c>
      <c r="U227" s="138">
        <v>0</v>
      </c>
      <c r="V227" s="138">
        <v>0</v>
      </c>
      <c r="W227" s="139">
        <v>0</v>
      </c>
      <c r="X227" s="130">
        <v>2.9399999999999999E-2</v>
      </c>
    </row>
    <row r="228" spans="1:24" x14ac:dyDescent="0.3">
      <c r="A228" s="74">
        <v>34636</v>
      </c>
      <c r="B228" s="90" t="s">
        <v>462</v>
      </c>
      <c r="C228" s="138">
        <v>11736.48</v>
      </c>
      <c r="D228" s="138">
        <v>0</v>
      </c>
      <c r="E228" s="138">
        <v>0</v>
      </c>
      <c r="F228" s="138">
        <v>0</v>
      </c>
      <c r="G228" s="138">
        <v>0</v>
      </c>
      <c r="H228" s="138">
        <v>11736.48</v>
      </c>
      <c r="I228" s="138">
        <v>11736.48</v>
      </c>
      <c r="J228" s="139">
        <v>0</v>
      </c>
      <c r="K228" s="138">
        <v>5889.7200000000103</v>
      </c>
      <c r="L228" s="138">
        <v>363.84</v>
      </c>
      <c r="M228" s="138">
        <v>0</v>
      </c>
      <c r="N228" s="138">
        <v>0</v>
      </c>
      <c r="O228" s="91"/>
      <c r="P228" s="138">
        <v>0</v>
      </c>
      <c r="Q228" s="91"/>
      <c r="R228" s="138">
        <v>0</v>
      </c>
      <c r="S228" s="138">
        <v>0</v>
      </c>
      <c r="T228" s="138">
        <v>0</v>
      </c>
      <c r="U228" s="138">
        <v>6253.5600000000104</v>
      </c>
      <c r="V228" s="138">
        <v>6071.64</v>
      </c>
      <c r="W228" s="139">
        <v>0</v>
      </c>
      <c r="X228" s="130">
        <v>3.1E-2</v>
      </c>
    </row>
    <row r="229" spans="1:24" x14ac:dyDescent="0.3">
      <c r="A229" s="74">
        <v>34637</v>
      </c>
      <c r="B229" s="90" t="s">
        <v>463</v>
      </c>
      <c r="C229" s="138">
        <v>268326.1999999999</v>
      </c>
      <c r="D229" s="138">
        <v>0</v>
      </c>
      <c r="E229" s="138">
        <v>-47209.02</v>
      </c>
      <c r="F229" s="138">
        <v>0</v>
      </c>
      <c r="G229" s="138">
        <v>0</v>
      </c>
      <c r="H229" s="138">
        <v>221117.17999999991</v>
      </c>
      <c r="I229" s="138">
        <v>253800.35</v>
      </c>
      <c r="J229" s="139">
        <v>0</v>
      </c>
      <c r="K229" s="138">
        <v>165016.37</v>
      </c>
      <c r="L229" s="138">
        <v>36682.89</v>
      </c>
      <c r="M229" s="138">
        <v>-47209.02</v>
      </c>
      <c r="N229" s="138">
        <v>0</v>
      </c>
      <c r="O229" s="91"/>
      <c r="P229" s="138">
        <v>0</v>
      </c>
      <c r="Q229" s="91"/>
      <c r="R229" s="138">
        <v>0</v>
      </c>
      <c r="S229" s="138">
        <v>0</v>
      </c>
      <c r="T229" s="138">
        <v>0</v>
      </c>
      <c r="U229" s="138">
        <v>154490.24000000002</v>
      </c>
      <c r="V229" s="138">
        <v>169416.17</v>
      </c>
      <c r="W229" s="139">
        <v>0</v>
      </c>
      <c r="X229" s="130">
        <v>0.14300000000000002</v>
      </c>
    </row>
    <row r="230" spans="1:24" x14ac:dyDescent="0.3">
      <c r="A230" s="74">
        <v>34641</v>
      </c>
      <c r="B230" s="90" t="s">
        <v>464</v>
      </c>
      <c r="C230" s="138">
        <v>0</v>
      </c>
      <c r="D230" s="138">
        <v>0</v>
      </c>
      <c r="E230" s="138">
        <v>0</v>
      </c>
      <c r="F230" s="138">
        <v>0</v>
      </c>
      <c r="G230" s="138">
        <v>0</v>
      </c>
      <c r="H230" s="138">
        <v>0</v>
      </c>
      <c r="I230" s="138">
        <v>0</v>
      </c>
      <c r="J230" s="139">
        <v>0</v>
      </c>
      <c r="K230" s="138">
        <v>0</v>
      </c>
      <c r="L230" s="138">
        <v>0</v>
      </c>
      <c r="M230" s="138">
        <v>0</v>
      </c>
      <c r="N230" s="138">
        <v>0</v>
      </c>
      <c r="O230" s="91"/>
      <c r="P230" s="138">
        <v>0</v>
      </c>
      <c r="Q230" s="91"/>
      <c r="R230" s="138">
        <v>0</v>
      </c>
      <c r="S230" s="138">
        <v>0</v>
      </c>
      <c r="T230" s="138">
        <v>0</v>
      </c>
      <c r="U230" s="138">
        <v>0</v>
      </c>
      <c r="V230" s="138">
        <v>0</v>
      </c>
      <c r="W230" s="139">
        <v>0</v>
      </c>
      <c r="X230" s="130">
        <v>0</v>
      </c>
    </row>
    <row r="231" spans="1:24" x14ac:dyDescent="0.3">
      <c r="A231" s="74">
        <v>34643</v>
      </c>
      <c r="B231" s="90" t="s">
        <v>465</v>
      </c>
      <c r="C231" s="138">
        <v>308525.93</v>
      </c>
      <c r="D231" s="138">
        <v>0</v>
      </c>
      <c r="E231" s="138">
        <v>0</v>
      </c>
      <c r="F231" s="138">
        <v>0</v>
      </c>
      <c r="G231" s="138">
        <v>0</v>
      </c>
      <c r="H231" s="138">
        <v>308525.93</v>
      </c>
      <c r="I231" s="138">
        <v>308525.93</v>
      </c>
      <c r="J231" s="139">
        <v>0</v>
      </c>
      <c r="K231" s="138">
        <v>245232.20000000013</v>
      </c>
      <c r="L231" s="138">
        <v>8206.7999999999993</v>
      </c>
      <c r="M231" s="138">
        <v>0</v>
      </c>
      <c r="N231" s="138">
        <v>0</v>
      </c>
      <c r="O231" s="91"/>
      <c r="P231" s="138">
        <v>0</v>
      </c>
      <c r="Q231" s="91"/>
      <c r="R231" s="138">
        <v>0</v>
      </c>
      <c r="S231" s="138">
        <v>0</v>
      </c>
      <c r="T231" s="138">
        <v>0</v>
      </c>
      <c r="U231" s="138">
        <v>253439.00000000012</v>
      </c>
      <c r="V231" s="138">
        <v>249335.6</v>
      </c>
      <c r="W231" s="139">
        <v>0</v>
      </c>
      <c r="X231" s="130">
        <v>2.6600000000000002E-2</v>
      </c>
    </row>
    <row r="232" spans="1:24" x14ac:dyDescent="0.3">
      <c r="A232" s="74">
        <v>34644</v>
      </c>
      <c r="B232" s="90" t="s">
        <v>466</v>
      </c>
      <c r="C232" s="138">
        <v>510664.71</v>
      </c>
      <c r="D232" s="138">
        <v>0</v>
      </c>
      <c r="E232" s="138">
        <v>0</v>
      </c>
      <c r="F232" s="138">
        <v>0</v>
      </c>
      <c r="G232" s="138">
        <v>0</v>
      </c>
      <c r="H232" s="138">
        <v>510664.71</v>
      </c>
      <c r="I232" s="138">
        <v>510664.71</v>
      </c>
      <c r="J232" s="139">
        <v>0</v>
      </c>
      <c r="K232" s="138">
        <v>252986.53999999998</v>
      </c>
      <c r="L232" s="138">
        <v>15983.76</v>
      </c>
      <c r="M232" s="138">
        <v>0</v>
      </c>
      <c r="N232" s="138">
        <v>0</v>
      </c>
      <c r="O232" s="91"/>
      <c r="P232" s="138">
        <v>0</v>
      </c>
      <c r="Q232" s="91"/>
      <c r="R232" s="138">
        <v>0</v>
      </c>
      <c r="S232" s="138">
        <v>0</v>
      </c>
      <c r="T232" s="138">
        <v>0</v>
      </c>
      <c r="U232" s="138">
        <v>268970.3</v>
      </c>
      <c r="V232" s="138">
        <v>260978.42</v>
      </c>
      <c r="W232" s="139">
        <v>0</v>
      </c>
      <c r="X232" s="130">
        <v>3.1300000000000001E-2</v>
      </c>
    </row>
    <row r="233" spans="1:24" x14ac:dyDescent="0.3">
      <c r="A233" s="74">
        <v>34645</v>
      </c>
      <c r="B233" s="90" t="s">
        <v>467</v>
      </c>
      <c r="C233" s="138">
        <v>0</v>
      </c>
      <c r="D233" s="138">
        <v>0</v>
      </c>
      <c r="E233" s="138">
        <v>0</v>
      </c>
      <c r="F233" s="138">
        <v>0</v>
      </c>
      <c r="G233" s="138">
        <v>0</v>
      </c>
      <c r="H233" s="138">
        <v>0</v>
      </c>
      <c r="I233" s="138">
        <v>0</v>
      </c>
      <c r="J233" s="139">
        <v>0</v>
      </c>
      <c r="K233" s="138">
        <v>0</v>
      </c>
      <c r="L233" s="138">
        <v>0</v>
      </c>
      <c r="M233" s="138">
        <v>0</v>
      </c>
      <c r="N233" s="138">
        <v>0</v>
      </c>
      <c r="O233" s="91"/>
      <c r="P233" s="138">
        <v>0</v>
      </c>
      <c r="Q233" s="91"/>
      <c r="R233" s="138">
        <v>0</v>
      </c>
      <c r="S233" s="138">
        <v>0</v>
      </c>
      <c r="T233" s="138">
        <v>0</v>
      </c>
      <c r="U233" s="138">
        <v>0</v>
      </c>
      <c r="V233" s="138">
        <v>0</v>
      </c>
      <c r="W233" s="139">
        <v>0</v>
      </c>
      <c r="X233" s="130">
        <v>2.9399999999999999E-2</v>
      </c>
    </row>
    <row r="234" spans="1:24" x14ac:dyDescent="0.3">
      <c r="A234" s="74">
        <v>34646</v>
      </c>
      <c r="B234" s="90" t="s">
        <v>468</v>
      </c>
      <c r="C234" s="138">
        <v>0</v>
      </c>
      <c r="D234" s="138">
        <v>0</v>
      </c>
      <c r="E234" s="138">
        <v>0</v>
      </c>
      <c r="F234" s="138">
        <v>0</v>
      </c>
      <c r="G234" s="138">
        <v>0</v>
      </c>
      <c r="H234" s="138">
        <v>0</v>
      </c>
      <c r="I234" s="138">
        <v>0</v>
      </c>
      <c r="J234" s="139">
        <v>0</v>
      </c>
      <c r="K234" s="138">
        <v>0</v>
      </c>
      <c r="L234" s="138">
        <v>0</v>
      </c>
      <c r="M234" s="138">
        <v>0</v>
      </c>
      <c r="N234" s="138">
        <v>0</v>
      </c>
      <c r="O234" s="91"/>
      <c r="P234" s="138">
        <v>0</v>
      </c>
      <c r="Q234" s="91"/>
      <c r="R234" s="138">
        <v>0</v>
      </c>
      <c r="S234" s="138">
        <v>0</v>
      </c>
      <c r="T234" s="138">
        <v>0</v>
      </c>
      <c r="U234" s="138">
        <v>0</v>
      </c>
      <c r="V234" s="138">
        <v>0</v>
      </c>
      <c r="W234" s="139">
        <v>0</v>
      </c>
      <c r="X234" s="130">
        <v>2.9399999999999999E-2</v>
      </c>
    </row>
    <row r="235" spans="1:24" x14ac:dyDescent="0.3">
      <c r="A235" s="74">
        <v>34680</v>
      </c>
      <c r="B235" s="90" t="s">
        <v>469</v>
      </c>
      <c r="C235" s="138">
        <v>1259507.78</v>
      </c>
      <c r="D235" s="138">
        <v>0</v>
      </c>
      <c r="E235" s="138">
        <v>0</v>
      </c>
      <c r="F235" s="138">
        <v>0</v>
      </c>
      <c r="G235" s="138">
        <v>0</v>
      </c>
      <c r="H235" s="138">
        <v>1259507.78</v>
      </c>
      <c r="I235" s="138">
        <v>1259507.78</v>
      </c>
      <c r="J235" s="139">
        <v>0</v>
      </c>
      <c r="K235" s="138">
        <v>68357.699999999968</v>
      </c>
      <c r="L235" s="138">
        <v>58818.96</v>
      </c>
      <c r="M235" s="138">
        <v>0</v>
      </c>
      <c r="N235" s="138">
        <v>0</v>
      </c>
      <c r="O235" s="91"/>
      <c r="P235" s="138">
        <v>0</v>
      </c>
      <c r="Q235" s="91"/>
      <c r="R235" s="138">
        <v>0</v>
      </c>
      <c r="S235" s="138">
        <v>0</v>
      </c>
      <c r="T235" s="138">
        <v>0</v>
      </c>
      <c r="U235" s="138">
        <v>127176.65999999997</v>
      </c>
      <c r="V235" s="138">
        <v>97767.18</v>
      </c>
      <c r="W235" s="139">
        <v>0</v>
      </c>
      <c r="X235" s="130">
        <v>4.6699999999999998E-2</v>
      </c>
    </row>
    <row r="236" spans="1:24" x14ac:dyDescent="0.3">
      <c r="A236" s="74">
        <v>34681</v>
      </c>
      <c r="B236" s="90" t="s">
        <v>470</v>
      </c>
      <c r="C236" s="138">
        <v>6717060.589999998</v>
      </c>
      <c r="D236" s="138">
        <v>0</v>
      </c>
      <c r="E236" s="138">
        <v>0</v>
      </c>
      <c r="F236" s="138">
        <v>0</v>
      </c>
      <c r="G236" s="138">
        <v>0</v>
      </c>
      <c r="H236" s="138">
        <v>6717060.589999998</v>
      </c>
      <c r="I236" s="138">
        <v>6717060.5899999999</v>
      </c>
      <c r="J236" s="139">
        <v>0</v>
      </c>
      <c r="K236" s="138">
        <v>2936532.67</v>
      </c>
      <c r="L236" s="138">
        <v>354660.84</v>
      </c>
      <c r="M236" s="138">
        <v>0</v>
      </c>
      <c r="N236" s="138">
        <v>0</v>
      </c>
      <c r="O236" s="91"/>
      <c r="P236" s="138">
        <v>0</v>
      </c>
      <c r="Q236" s="91"/>
      <c r="R236" s="138">
        <v>0</v>
      </c>
      <c r="S236" s="138">
        <v>0</v>
      </c>
      <c r="T236" s="138">
        <v>0</v>
      </c>
      <c r="U236" s="138">
        <v>3291193.51</v>
      </c>
      <c r="V236" s="138">
        <v>3113863.09</v>
      </c>
      <c r="W236" s="139">
        <v>0</v>
      </c>
      <c r="X236" s="130">
        <v>5.28E-2</v>
      </c>
    </row>
    <row r="237" spans="1:24" x14ac:dyDescent="0.3">
      <c r="A237" s="74">
        <v>34682</v>
      </c>
      <c r="B237" s="90" t="s">
        <v>471</v>
      </c>
      <c r="C237" s="138">
        <v>173209.90999999997</v>
      </c>
      <c r="D237" s="138">
        <v>0</v>
      </c>
      <c r="E237" s="138">
        <v>0</v>
      </c>
      <c r="F237" s="138">
        <v>0</v>
      </c>
      <c r="G237" s="138">
        <v>0</v>
      </c>
      <c r="H237" s="138">
        <v>173209.90999999997</v>
      </c>
      <c r="I237" s="138">
        <v>173209.91</v>
      </c>
      <c r="J237" s="139">
        <v>0</v>
      </c>
      <c r="K237" s="138">
        <v>139897.27000000016</v>
      </c>
      <c r="L237" s="138">
        <v>2598.12</v>
      </c>
      <c r="M237" s="138">
        <v>0</v>
      </c>
      <c r="N237" s="138">
        <v>0</v>
      </c>
      <c r="O237" s="91"/>
      <c r="P237" s="138">
        <v>0</v>
      </c>
      <c r="Q237" s="91"/>
      <c r="R237" s="138">
        <v>0</v>
      </c>
      <c r="S237" s="138">
        <v>0</v>
      </c>
      <c r="T237" s="138">
        <v>0</v>
      </c>
      <c r="U237" s="138">
        <v>142495.39000000016</v>
      </c>
      <c r="V237" s="138">
        <v>141196.32999999999</v>
      </c>
      <c r="W237" s="139">
        <v>0</v>
      </c>
      <c r="X237" s="130">
        <v>1.4999999999999999E-2</v>
      </c>
    </row>
    <row r="238" spans="1:24" x14ac:dyDescent="0.3">
      <c r="A238" s="74">
        <v>34683</v>
      </c>
      <c r="B238" s="90" t="s">
        <v>472</v>
      </c>
      <c r="C238" s="138">
        <v>432910.42</v>
      </c>
      <c r="D238" s="138">
        <v>0</v>
      </c>
      <c r="E238" s="138">
        <v>0</v>
      </c>
      <c r="F238" s="138">
        <v>0</v>
      </c>
      <c r="G238" s="138">
        <v>0</v>
      </c>
      <c r="H238" s="138">
        <v>432910.42</v>
      </c>
      <c r="I238" s="138">
        <v>432910.42</v>
      </c>
      <c r="J238" s="139">
        <v>0</v>
      </c>
      <c r="K238" s="138">
        <v>283696.63999999966</v>
      </c>
      <c r="L238" s="138">
        <v>10563</v>
      </c>
      <c r="M238" s="138">
        <v>0</v>
      </c>
      <c r="N238" s="138">
        <v>0</v>
      </c>
      <c r="O238" s="91"/>
      <c r="P238" s="138">
        <v>0</v>
      </c>
      <c r="Q238" s="91"/>
      <c r="R238" s="138">
        <v>0</v>
      </c>
      <c r="S238" s="138">
        <v>0</v>
      </c>
      <c r="T238" s="138">
        <v>0</v>
      </c>
      <c r="U238" s="138">
        <v>294259.63999999966</v>
      </c>
      <c r="V238" s="138">
        <v>288978.14</v>
      </c>
      <c r="W238" s="139">
        <v>0</v>
      </c>
      <c r="X238" s="130">
        <v>2.4399999999999998E-2</v>
      </c>
    </row>
    <row r="239" spans="1:24" x14ac:dyDescent="0.3">
      <c r="A239" s="74">
        <v>34684</v>
      </c>
      <c r="B239" s="90" t="s">
        <v>473</v>
      </c>
      <c r="C239" s="138">
        <v>0</v>
      </c>
      <c r="D239" s="138">
        <v>0</v>
      </c>
      <c r="E239" s="138">
        <v>0</v>
      </c>
      <c r="F239" s="138">
        <v>0</v>
      </c>
      <c r="G239" s="138">
        <v>0</v>
      </c>
      <c r="H239" s="138">
        <v>0</v>
      </c>
      <c r="I239" s="138">
        <v>0</v>
      </c>
      <c r="J239" s="139">
        <v>0</v>
      </c>
      <c r="K239" s="138">
        <v>0</v>
      </c>
      <c r="L239" s="138">
        <v>0</v>
      </c>
      <c r="M239" s="138">
        <v>0</v>
      </c>
      <c r="N239" s="138">
        <v>0</v>
      </c>
      <c r="O239" s="91"/>
      <c r="P239" s="138">
        <v>0</v>
      </c>
      <c r="Q239" s="91"/>
      <c r="R239" s="138">
        <v>0</v>
      </c>
      <c r="S239" s="138">
        <v>0</v>
      </c>
      <c r="T239" s="138">
        <v>0</v>
      </c>
      <c r="U239" s="138">
        <v>0</v>
      </c>
      <c r="V239" s="138">
        <v>0</v>
      </c>
      <c r="W239" s="139">
        <v>0</v>
      </c>
      <c r="X239" s="130">
        <v>2.9399999999999999E-2</v>
      </c>
    </row>
    <row r="240" spans="1:24" x14ac:dyDescent="0.3">
      <c r="A240" s="74">
        <v>34685</v>
      </c>
      <c r="B240" s="90" t="s">
        <v>474</v>
      </c>
      <c r="C240" s="138">
        <v>0</v>
      </c>
      <c r="D240" s="138">
        <v>0</v>
      </c>
      <c r="E240" s="138">
        <v>0</v>
      </c>
      <c r="F240" s="138">
        <v>0</v>
      </c>
      <c r="G240" s="138">
        <v>0</v>
      </c>
      <c r="H240" s="138">
        <v>0</v>
      </c>
      <c r="I240" s="138">
        <v>0</v>
      </c>
      <c r="J240" s="139">
        <v>0</v>
      </c>
      <c r="K240" s="138">
        <v>0</v>
      </c>
      <c r="L240" s="138">
        <v>0</v>
      </c>
      <c r="M240" s="138">
        <v>0</v>
      </c>
      <c r="N240" s="138">
        <v>0</v>
      </c>
      <c r="O240" s="91"/>
      <c r="P240" s="138">
        <v>0</v>
      </c>
      <c r="Q240" s="91"/>
      <c r="R240" s="138">
        <v>0</v>
      </c>
      <c r="S240" s="138">
        <v>0</v>
      </c>
      <c r="T240" s="138">
        <v>0</v>
      </c>
      <c r="U240" s="138">
        <v>0</v>
      </c>
      <c r="V240" s="138">
        <v>0</v>
      </c>
      <c r="W240" s="139">
        <v>0</v>
      </c>
      <c r="X240" s="130">
        <v>2.9399999999999999E-2</v>
      </c>
    </row>
    <row r="241" spans="1:24" x14ac:dyDescent="0.3">
      <c r="A241" s="74">
        <v>34686</v>
      </c>
      <c r="B241" s="90" t="s">
        <v>475</v>
      </c>
      <c r="C241" s="138">
        <v>141626.41</v>
      </c>
      <c r="D241" s="138">
        <v>0</v>
      </c>
      <c r="E241" s="138">
        <v>0</v>
      </c>
      <c r="F241" s="138">
        <v>0</v>
      </c>
      <c r="G241" s="138">
        <v>0</v>
      </c>
      <c r="H241" s="138">
        <v>141626.41</v>
      </c>
      <c r="I241" s="138">
        <v>141626.41</v>
      </c>
      <c r="J241" s="139">
        <v>0</v>
      </c>
      <c r="K241" s="138">
        <v>30886.060000000027</v>
      </c>
      <c r="L241" s="138">
        <v>5254.32</v>
      </c>
      <c r="M241" s="138">
        <v>0</v>
      </c>
      <c r="N241" s="138">
        <v>0</v>
      </c>
      <c r="O241" s="91"/>
      <c r="P241" s="138">
        <v>0</v>
      </c>
      <c r="Q241" s="91"/>
      <c r="R241" s="138">
        <v>0</v>
      </c>
      <c r="S241" s="138">
        <v>0</v>
      </c>
      <c r="T241" s="138">
        <v>0</v>
      </c>
      <c r="U241" s="138">
        <v>36140.380000000026</v>
      </c>
      <c r="V241" s="138">
        <v>33513.22</v>
      </c>
      <c r="W241" s="139">
        <v>0</v>
      </c>
      <c r="X241" s="130">
        <v>3.7100000000000001E-2</v>
      </c>
    </row>
    <row r="242" spans="1:24" x14ac:dyDescent="0.3">
      <c r="A242" s="74">
        <v>34687</v>
      </c>
      <c r="B242" s="90" t="s">
        <v>476</v>
      </c>
      <c r="C242" s="138">
        <v>2111959.9400000004</v>
      </c>
      <c r="D242" s="138">
        <v>0</v>
      </c>
      <c r="E242" s="138">
        <v>0</v>
      </c>
      <c r="F242" s="138">
        <v>0</v>
      </c>
      <c r="G242" s="138">
        <v>0</v>
      </c>
      <c r="H242" s="138">
        <v>2111959.9400000004</v>
      </c>
      <c r="I242" s="138">
        <v>2111959.94</v>
      </c>
      <c r="J242" s="139">
        <v>0</v>
      </c>
      <c r="K242" s="138">
        <v>1086892.4700000002</v>
      </c>
      <c r="L242" s="138">
        <v>302010.23999999999</v>
      </c>
      <c r="M242" s="138">
        <v>0</v>
      </c>
      <c r="N242" s="138">
        <v>0</v>
      </c>
      <c r="O242" s="91"/>
      <c r="P242" s="138">
        <v>0</v>
      </c>
      <c r="Q242" s="91"/>
      <c r="R242" s="138">
        <v>0</v>
      </c>
      <c r="S242" s="138">
        <v>0</v>
      </c>
      <c r="T242" s="138">
        <v>0</v>
      </c>
      <c r="U242" s="138">
        <v>1388902.7100000002</v>
      </c>
      <c r="V242" s="138">
        <v>1237897.5900000001</v>
      </c>
      <c r="W242" s="139">
        <v>0</v>
      </c>
      <c r="X242" s="130">
        <v>0.14300000000000002</v>
      </c>
    </row>
    <row r="243" spans="1:24" x14ac:dyDescent="0.3">
      <c r="A243" s="74">
        <v>34700</v>
      </c>
      <c r="B243" s="90" t="s">
        <v>477</v>
      </c>
      <c r="C243" s="138">
        <v>12376233.219999999</v>
      </c>
      <c r="D243" s="138">
        <v>0</v>
      </c>
      <c r="E243" s="138">
        <v>0</v>
      </c>
      <c r="F243" s="138">
        <v>0</v>
      </c>
      <c r="G243" s="138">
        <v>0</v>
      </c>
      <c r="H243" s="138">
        <v>12376233.219999999</v>
      </c>
      <c r="I243" s="138">
        <v>12376233.220000001</v>
      </c>
      <c r="J243" s="139">
        <v>0</v>
      </c>
      <c r="K243" s="138">
        <v>1980782.0799999989</v>
      </c>
      <c r="L243" s="138">
        <v>420791.88</v>
      </c>
      <c r="M243" s="138">
        <v>0</v>
      </c>
      <c r="N243" s="138">
        <v>0</v>
      </c>
      <c r="O243" s="91"/>
      <c r="P243" s="138">
        <v>0</v>
      </c>
      <c r="Q243" s="91"/>
      <c r="R243" s="138">
        <v>0</v>
      </c>
      <c r="S243" s="138">
        <v>0</v>
      </c>
      <c r="T243" s="138">
        <v>0</v>
      </c>
      <c r="U243" s="138">
        <v>2401573.959999999</v>
      </c>
      <c r="V243" s="138">
        <v>2191178.02</v>
      </c>
      <c r="W243" s="139">
        <v>0</v>
      </c>
      <c r="X243" s="130">
        <v>3.4000000000000002E-2</v>
      </c>
    </row>
    <row r="244" spans="1:24" x14ac:dyDescent="0.3">
      <c r="A244" s="74">
        <v>34300</v>
      </c>
      <c r="B244" s="90" t="s">
        <v>478</v>
      </c>
      <c r="C244" s="138">
        <v>0</v>
      </c>
      <c r="D244" s="138">
        <v>0</v>
      </c>
      <c r="E244" s="138">
        <v>0</v>
      </c>
      <c r="F244" s="138">
        <v>0</v>
      </c>
      <c r="G244" s="138">
        <v>0</v>
      </c>
      <c r="H244" s="138">
        <v>0</v>
      </c>
      <c r="I244" s="138">
        <v>0</v>
      </c>
      <c r="J244" s="139">
        <v>0</v>
      </c>
      <c r="K244" s="138">
        <v>0</v>
      </c>
      <c r="L244" s="138">
        <v>0</v>
      </c>
      <c r="M244" s="138">
        <v>0</v>
      </c>
      <c r="N244" s="138">
        <v>0</v>
      </c>
      <c r="O244" s="91"/>
      <c r="P244" s="138">
        <v>0</v>
      </c>
      <c r="Q244" s="91"/>
      <c r="R244" s="138">
        <v>0</v>
      </c>
      <c r="S244" s="138">
        <v>0</v>
      </c>
      <c r="T244" s="138">
        <v>0</v>
      </c>
      <c r="U244" s="138">
        <v>0</v>
      </c>
      <c r="V244" s="138">
        <v>0</v>
      </c>
      <c r="W244" s="139">
        <v>0</v>
      </c>
      <c r="X244" s="130">
        <v>3.3000000000000002E-2</v>
      </c>
    </row>
    <row r="245" spans="1:24" x14ac:dyDescent="0.3">
      <c r="A245" s="74">
        <v>34800</v>
      </c>
      <c r="B245" s="90" t="s">
        <v>479</v>
      </c>
      <c r="C245" s="138">
        <v>0</v>
      </c>
      <c r="D245" s="138">
        <v>0</v>
      </c>
      <c r="E245" s="138">
        <v>0</v>
      </c>
      <c r="F245" s="138">
        <v>0</v>
      </c>
      <c r="G245" s="138">
        <v>0</v>
      </c>
      <c r="H245" s="138">
        <v>0</v>
      </c>
      <c r="I245" s="138">
        <v>0</v>
      </c>
      <c r="J245" s="139">
        <v>0</v>
      </c>
      <c r="K245" s="138">
        <v>0</v>
      </c>
      <c r="L245" s="138">
        <v>0</v>
      </c>
      <c r="M245" s="138">
        <v>0</v>
      </c>
      <c r="N245" s="138">
        <v>0</v>
      </c>
      <c r="O245" s="91"/>
      <c r="P245" s="138">
        <v>0</v>
      </c>
      <c r="Q245" s="91"/>
      <c r="R245" s="138">
        <v>0</v>
      </c>
      <c r="S245" s="138">
        <v>0</v>
      </c>
      <c r="T245" s="138">
        <v>0</v>
      </c>
      <c r="U245" s="138">
        <v>0</v>
      </c>
      <c r="V245" s="138">
        <v>0</v>
      </c>
      <c r="W245" s="139">
        <v>0</v>
      </c>
      <c r="X245" s="130">
        <v>0.1</v>
      </c>
    </row>
    <row r="246" spans="1:24" x14ac:dyDescent="0.3">
      <c r="A246" s="74">
        <v>34820</v>
      </c>
      <c r="B246" s="90" t="s">
        <v>480</v>
      </c>
      <c r="C246" s="138">
        <v>0</v>
      </c>
      <c r="D246" s="138">
        <v>32203865.48</v>
      </c>
      <c r="E246" s="138">
        <v>0</v>
      </c>
      <c r="F246" s="138">
        <v>0</v>
      </c>
      <c r="G246" s="138">
        <v>0</v>
      </c>
      <c r="H246" s="138">
        <v>32203865.48</v>
      </c>
      <c r="I246" s="138">
        <v>20609769.649999999</v>
      </c>
      <c r="J246" s="139">
        <v>0</v>
      </c>
      <c r="K246" s="138">
        <v>0</v>
      </c>
      <c r="L246" s="138">
        <v>1964359.53</v>
      </c>
      <c r="M246" s="138">
        <v>0</v>
      </c>
      <c r="N246" s="138">
        <v>0</v>
      </c>
      <c r="O246" s="91"/>
      <c r="P246" s="138">
        <v>0</v>
      </c>
      <c r="Q246" s="91"/>
      <c r="R246" s="138">
        <v>0</v>
      </c>
      <c r="S246" s="138">
        <v>0</v>
      </c>
      <c r="T246" s="138">
        <v>0</v>
      </c>
      <c r="U246" s="138">
        <v>1964359.53</v>
      </c>
      <c r="V246" s="138">
        <v>662588.54</v>
      </c>
      <c r="W246" s="139">
        <v>0</v>
      </c>
      <c r="X246" s="130">
        <v>0.1</v>
      </c>
    </row>
    <row r="247" spans="1:24" x14ac:dyDescent="0.3">
      <c r="A247" s="74">
        <v>34898</v>
      </c>
      <c r="B247" s="90" t="s">
        <v>481</v>
      </c>
      <c r="C247" s="138">
        <v>9237.029999999997</v>
      </c>
      <c r="D247" s="138">
        <v>0</v>
      </c>
      <c r="E247" s="138">
        <v>0</v>
      </c>
      <c r="F247" s="138">
        <v>0</v>
      </c>
      <c r="G247" s="138">
        <v>0</v>
      </c>
      <c r="H247" s="138">
        <v>9237.029999999997</v>
      </c>
      <c r="I247" s="138">
        <v>9237.0300000000007</v>
      </c>
      <c r="J247" s="139">
        <v>0</v>
      </c>
      <c r="K247" s="138">
        <v>1788.87</v>
      </c>
      <c r="L247" s="138">
        <v>991.08</v>
      </c>
      <c r="M247" s="138">
        <v>0</v>
      </c>
      <c r="N247" s="138">
        <v>0</v>
      </c>
      <c r="O247" s="91"/>
      <c r="P247" s="138">
        <v>0</v>
      </c>
      <c r="Q247" s="91"/>
      <c r="R247" s="138">
        <v>0</v>
      </c>
      <c r="S247" s="138">
        <v>0</v>
      </c>
      <c r="T247" s="138">
        <v>0</v>
      </c>
      <c r="U247" s="138">
        <v>2779.95</v>
      </c>
      <c r="V247" s="138">
        <v>2284.41</v>
      </c>
      <c r="W247" s="139">
        <v>0</v>
      </c>
      <c r="X247" s="130">
        <v>0.10730000000000001</v>
      </c>
    </row>
    <row r="248" spans="1:24" x14ac:dyDescent="0.3">
      <c r="A248" s="74">
        <v>34899</v>
      </c>
      <c r="B248" s="90" t="s">
        <v>482</v>
      </c>
      <c r="C248" s="138">
        <v>28009837.169999998</v>
      </c>
      <c r="D248" s="138">
        <v>115229275.86</v>
      </c>
      <c r="E248" s="138">
        <v>0</v>
      </c>
      <c r="F248" s="138">
        <v>0</v>
      </c>
      <c r="G248" s="138">
        <v>0</v>
      </c>
      <c r="H248" s="138">
        <v>143239113.03</v>
      </c>
      <c r="I248" s="138">
        <v>108541769.38</v>
      </c>
      <c r="J248" s="139">
        <v>0</v>
      </c>
      <c r="K248" s="138">
        <v>4326803.6099999975</v>
      </c>
      <c r="L248" s="138">
        <v>10860853.32</v>
      </c>
      <c r="M248" s="138">
        <v>0</v>
      </c>
      <c r="N248" s="138">
        <v>0</v>
      </c>
      <c r="O248" s="91"/>
      <c r="P248" s="138">
        <v>0</v>
      </c>
      <c r="Q248" s="91"/>
      <c r="R248" s="138">
        <v>0</v>
      </c>
      <c r="S248" s="138">
        <v>0</v>
      </c>
      <c r="T248" s="138">
        <v>0</v>
      </c>
      <c r="U248" s="138">
        <v>15187656.929999998</v>
      </c>
      <c r="V248" s="138">
        <v>8752577.0700000003</v>
      </c>
      <c r="W248" s="139">
        <v>0</v>
      </c>
      <c r="X248" s="130">
        <v>0.10279999999999999</v>
      </c>
    </row>
    <row r="249" spans="1:24" x14ac:dyDescent="0.3">
      <c r="A249" s="74">
        <v>35000</v>
      </c>
      <c r="B249" s="90" t="s">
        <v>483</v>
      </c>
      <c r="C249" s="138">
        <v>17799998.559999999</v>
      </c>
      <c r="D249" s="138">
        <v>0</v>
      </c>
      <c r="E249" s="138">
        <v>0</v>
      </c>
      <c r="F249" s="138">
        <v>0</v>
      </c>
      <c r="G249" s="138">
        <v>0</v>
      </c>
      <c r="H249" s="138">
        <v>17799998.559999999</v>
      </c>
      <c r="I249" s="138">
        <v>17799998.559999999</v>
      </c>
      <c r="J249" s="139">
        <v>0</v>
      </c>
      <c r="K249" s="138">
        <v>0</v>
      </c>
      <c r="L249" s="138">
        <v>0</v>
      </c>
      <c r="M249" s="138">
        <v>0</v>
      </c>
      <c r="N249" s="138">
        <v>0</v>
      </c>
      <c r="O249" s="91"/>
      <c r="P249" s="138">
        <v>0</v>
      </c>
      <c r="Q249" s="91"/>
      <c r="R249" s="138">
        <v>0</v>
      </c>
      <c r="S249" s="138">
        <v>0</v>
      </c>
      <c r="T249" s="138">
        <v>0</v>
      </c>
      <c r="U249" s="138">
        <v>0</v>
      </c>
      <c r="V249" s="138">
        <v>0</v>
      </c>
      <c r="W249" s="139">
        <v>0</v>
      </c>
      <c r="X249" s="130">
        <v>0</v>
      </c>
    </row>
    <row r="250" spans="1:24" x14ac:dyDescent="0.3">
      <c r="A250" s="74">
        <v>35001</v>
      </c>
      <c r="B250" s="90" t="s">
        <v>484</v>
      </c>
      <c r="C250" s="138">
        <v>12162254.090000002</v>
      </c>
      <c r="D250" s="138">
        <v>0</v>
      </c>
      <c r="E250" s="138">
        <v>0</v>
      </c>
      <c r="F250" s="138">
        <v>0</v>
      </c>
      <c r="G250" s="138">
        <v>0</v>
      </c>
      <c r="H250" s="138">
        <v>12162254.090000002</v>
      </c>
      <c r="I250" s="138">
        <v>12162254.09</v>
      </c>
      <c r="J250" s="139">
        <v>0</v>
      </c>
      <c r="K250" s="138">
        <v>5088906.0300000086</v>
      </c>
      <c r="L250" s="138">
        <v>187298.76</v>
      </c>
      <c r="M250" s="138">
        <v>0</v>
      </c>
      <c r="N250" s="138">
        <v>0</v>
      </c>
      <c r="O250" s="91"/>
      <c r="P250" s="138">
        <v>0</v>
      </c>
      <c r="Q250" s="91"/>
      <c r="R250" s="138">
        <v>0</v>
      </c>
      <c r="S250" s="138">
        <v>0</v>
      </c>
      <c r="T250" s="138">
        <v>0</v>
      </c>
      <c r="U250" s="138">
        <v>5276204.7900000084</v>
      </c>
      <c r="V250" s="138">
        <v>5182555.41</v>
      </c>
      <c r="W250" s="139">
        <v>0</v>
      </c>
      <c r="X250" s="130">
        <v>1.54E-2</v>
      </c>
    </row>
    <row r="251" spans="1:24" x14ac:dyDescent="0.3">
      <c r="A251" s="74">
        <v>35100</v>
      </c>
      <c r="B251" s="90" t="s">
        <v>485</v>
      </c>
      <c r="C251" s="138">
        <v>0</v>
      </c>
      <c r="D251" s="138">
        <v>0</v>
      </c>
      <c r="E251" s="138">
        <v>0</v>
      </c>
      <c r="F251" s="138">
        <v>0</v>
      </c>
      <c r="G251" s="138">
        <v>0</v>
      </c>
      <c r="H251" s="138">
        <v>0</v>
      </c>
      <c r="I251" s="138">
        <v>0</v>
      </c>
      <c r="J251" s="139">
        <v>0</v>
      </c>
      <c r="K251" s="138">
        <v>0</v>
      </c>
      <c r="L251" s="138">
        <v>0</v>
      </c>
      <c r="M251" s="138">
        <v>0</v>
      </c>
      <c r="N251" s="138">
        <v>0</v>
      </c>
      <c r="O251" s="91"/>
      <c r="P251" s="138">
        <v>0</v>
      </c>
      <c r="Q251" s="91"/>
      <c r="R251" s="138">
        <v>0</v>
      </c>
      <c r="S251" s="138">
        <v>0</v>
      </c>
      <c r="T251" s="138">
        <v>0</v>
      </c>
      <c r="U251" s="138">
        <v>0</v>
      </c>
      <c r="V251" s="138">
        <v>0</v>
      </c>
      <c r="W251" s="139">
        <v>0</v>
      </c>
      <c r="X251" s="130">
        <v>0.1</v>
      </c>
    </row>
    <row r="252" spans="1:24" x14ac:dyDescent="0.3">
      <c r="A252" s="74">
        <v>35200</v>
      </c>
      <c r="B252" s="90" t="s">
        <v>486</v>
      </c>
      <c r="C252" s="138">
        <v>76277379.719999999</v>
      </c>
      <c r="D252" s="138">
        <v>0</v>
      </c>
      <c r="E252" s="138">
        <v>0</v>
      </c>
      <c r="F252" s="138">
        <v>0</v>
      </c>
      <c r="G252" s="138">
        <v>0</v>
      </c>
      <c r="H252" s="138">
        <v>76277379.719999999</v>
      </c>
      <c r="I252" s="138">
        <v>76277379.719999999</v>
      </c>
      <c r="J252" s="139">
        <v>0</v>
      </c>
      <c r="K252" s="138">
        <v>16146070.070000004</v>
      </c>
      <c r="L252" s="138">
        <v>1655219.16</v>
      </c>
      <c r="M252" s="138">
        <v>0</v>
      </c>
      <c r="N252" s="138">
        <v>0</v>
      </c>
      <c r="O252" s="91"/>
      <c r="P252" s="138">
        <v>0</v>
      </c>
      <c r="Q252" s="91"/>
      <c r="R252" s="138">
        <v>0</v>
      </c>
      <c r="S252" s="138">
        <v>0</v>
      </c>
      <c r="T252" s="138">
        <v>0</v>
      </c>
      <c r="U252" s="138">
        <v>17801289.230000004</v>
      </c>
      <c r="V252" s="138">
        <v>16973679.649999999</v>
      </c>
      <c r="W252" s="139">
        <v>0</v>
      </c>
      <c r="X252" s="130">
        <v>2.1700000000000001E-2</v>
      </c>
    </row>
    <row r="253" spans="1:24" x14ac:dyDescent="0.3">
      <c r="A253" s="74">
        <v>35300</v>
      </c>
      <c r="B253" s="90" t="s">
        <v>487</v>
      </c>
      <c r="C253" s="138">
        <v>449281371.64640033</v>
      </c>
      <c r="D253" s="138">
        <v>36762021.990000002</v>
      </c>
      <c r="E253" s="138">
        <v>-5514303.2800000003</v>
      </c>
      <c r="F253" s="138">
        <v>0</v>
      </c>
      <c r="G253" s="138">
        <v>0</v>
      </c>
      <c r="H253" s="138">
        <v>480529090.35640037</v>
      </c>
      <c r="I253" s="138">
        <v>458449851.30000001</v>
      </c>
      <c r="J253" s="139">
        <v>2.6999711990356445E-3</v>
      </c>
      <c r="K253" s="138">
        <v>95817470.748700008</v>
      </c>
      <c r="L253" s="138">
        <v>10775994.01</v>
      </c>
      <c r="M253" s="138">
        <v>-5514303.2800000003</v>
      </c>
      <c r="N253" s="138">
        <v>3800.8</v>
      </c>
      <c r="O253" s="91"/>
      <c r="P253" s="138">
        <v>0</v>
      </c>
      <c r="Q253" s="91"/>
      <c r="R253" s="138">
        <v>0</v>
      </c>
      <c r="S253" s="138">
        <v>0</v>
      </c>
      <c r="T253" s="138">
        <v>0</v>
      </c>
      <c r="U253" s="138">
        <v>101082962.27870001</v>
      </c>
      <c r="V253" s="138">
        <v>99557050.689999998</v>
      </c>
      <c r="W253" s="139">
        <v>7.9996883869171143E-4</v>
      </c>
      <c r="X253" s="130">
        <v>2.3599999999999999E-2</v>
      </c>
    </row>
    <row r="254" spans="1:24" x14ac:dyDescent="0.3">
      <c r="A254" s="74">
        <v>35400</v>
      </c>
      <c r="B254" s="90" t="s">
        <v>488</v>
      </c>
      <c r="C254" s="138">
        <v>5092060.55</v>
      </c>
      <c r="D254" s="138">
        <v>0</v>
      </c>
      <c r="E254" s="138">
        <v>0</v>
      </c>
      <c r="F254" s="138">
        <v>0</v>
      </c>
      <c r="G254" s="138">
        <v>0</v>
      </c>
      <c r="H254" s="138">
        <v>5092060.55</v>
      </c>
      <c r="I254" s="138">
        <v>5092060.55</v>
      </c>
      <c r="J254" s="139">
        <v>0</v>
      </c>
      <c r="K254" s="138">
        <v>5281270.2899999907</v>
      </c>
      <c r="L254" s="138">
        <v>65687.64</v>
      </c>
      <c r="M254" s="138">
        <v>0</v>
      </c>
      <c r="N254" s="138">
        <v>0</v>
      </c>
      <c r="O254" s="91"/>
      <c r="P254" s="138">
        <v>0</v>
      </c>
      <c r="Q254" s="91"/>
      <c r="R254" s="138">
        <v>0</v>
      </c>
      <c r="S254" s="138">
        <v>0</v>
      </c>
      <c r="T254" s="138">
        <v>0</v>
      </c>
      <c r="U254" s="138">
        <v>5346957.9299999904</v>
      </c>
      <c r="V254" s="138">
        <v>5314114.1100000003</v>
      </c>
      <c r="W254" s="139">
        <v>0</v>
      </c>
      <c r="X254" s="130">
        <v>1.29E-2</v>
      </c>
    </row>
    <row r="255" spans="1:24" x14ac:dyDescent="0.3">
      <c r="A255" s="74">
        <v>35500</v>
      </c>
      <c r="B255" s="90" t="s">
        <v>489</v>
      </c>
      <c r="C255" s="138">
        <v>502089088.43919998</v>
      </c>
      <c r="D255" s="138">
        <v>98503789.409999996</v>
      </c>
      <c r="E255" s="138">
        <v>-5910227.3799999999</v>
      </c>
      <c r="F255" s="138">
        <v>0</v>
      </c>
      <c r="G255" s="138">
        <v>0</v>
      </c>
      <c r="H255" s="138">
        <v>594682650.46920002</v>
      </c>
      <c r="I255" s="138">
        <v>534134812.68000001</v>
      </c>
      <c r="J255" s="139">
        <v>-4.4000148773193359E-3</v>
      </c>
      <c r="K255" s="138">
        <v>139406507.31360009</v>
      </c>
      <c r="L255" s="138">
        <v>15079041.050000001</v>
      </c>
      <c r="M255" s="138">
        <v>-5910227.3799999999</v>
      </c>
      <c r="N255" s="138">
        <v>-2931244.34</v>
      </c>
      <c r="O255" s="91"/>
      <c r="P255" s="138">
        <v>0</v>
      </c>
      <c r="Q255" s="91"/>
      <c r="R255" s="138">
        <v>0</v>
      </c>
      <c r="S255" s="138">
        <v>0</v>
      </c>
      <c r="T255" s="138">
        <v>0</v>
      </c>
      <c r="U255" s="138">
        <v>145644076.64360011</v>
      </c>
      <c r="V255" s="138">
        <v>143297337.16999999</v>
      </c>
      <c r="W255" s="139">
        <v>2.4000406265258789E-3</v>
      </c>
      <c r="X255" s="130">
        <v>2.8500000000000001E-2</v>
      </c>
    </row>
    <row r="256" spans="1:24" x14ac:dyDescent="0.3">
      <c r="A256" s="74">
        <v>35600</v>
      </c>
      <c r="B256" s="90" t="s">
        <v>490</v>
      </c>
      <c r="C256" s="138">
        <v>186194171.88119996</v>
      </c>
      <c r="D256" s="138">
        <v>22784901.960000001</v>
      </c>
      <c r="E256" s="138">
        <v>-5696225.4900000002</v>
      </c>
      <c r="F256" s="138">
        <v>0</v>
      </c>
      <c r="G256" s="138">
        <v>0</v>
      </c>
      <c r="H256" s="138">
        <v>203282848.35119995</v>
      </c>
      <c r="I256" s="138">
        <v>191363148.16</v>
      </c>
      <c r="J256" s="139">
        <v>1.6000866889953613E-3</v>
      </c>
      <c r="K256" s="138">
        <v>31677206.469600018</v>
      </c>
      <c r="L256" s="138">
        <v>5692058.21</v>
      </c>
      <c r="M256" s="138">
        <v>-5696225.4900000002</v>
      </c>
      <c r="N256" s="138">
        <v>2252.33</v>
      </c>
      <c r="O256" s="91"/>
      <c r="P256" s="138">
        <v>0</v>
      </c>
      <c r="Q256" s="91"/>
      <c r="R256" s="138">
        <v>0</v>
      </c>
      <c r="S256" s="138">
        <v>0</v>
      </c>
      <c r="T256" s="138">
        <v>0</v>
      </c>
      <c r="U256" s="138">
        <v>31675291.519600011</v>
      </c>
      <c r="V256" s="138">
        <v>32778268.300000001</v>
      </c>
      <c r="W256" s="139">
        <v>-3.600001335144043E-3</v>
      </c>
      <c r="X256" s="130">
        <v>2.9900000000000003E-2</v>
      </c>
    </row>
    <row r="257" spans="1:24" x14ac:dyDescent="0.3">
      <c r="A257" s="74">
        <v>35601</v>
      </c>
      <c r="B257" s="90" t="s">
        <v>491</v>
      </c>
      <c r="C257" s="138">
        <v>2110610.13</v>
      </c>
      <c r="D257" s="138">
        <v>0</v>
      </c>
      <c r="E257" s="138">
        <v>0</v>
      </c>
      <c r="F257" s="138">
        <v>0</v>
      </c>
      <c r="G257" s="138">
        <v>0</v>
      </c>
      <c r="H257" s="138">
        <v>2110610.13</v>
      </c>
      <c r="I257" s="138">
        <v>2110610.13</v>
      </c>
      <c r="J257" s="139">
        <v>0</v>
      </c>
      <c r="K257" s="138">
        <v>1797133.0899999966</v>
      </c>
      <c r="L257" s="138">
        <v>21528.240000000002</v>
      </c>
      <c r="M257" s="138">
        <v>0</v>
      </c>
      <c r="N257" s="138">
        <v>0</v>
      </c>
      <c r="O257" s="91"/>
      <c r="P257" s="138">
        <v>0</v>
      </c>
      <c r="Q257" s="91"/>
      <c r="R257" s="138">
        <v>0</v>
      </c>
      <c r="S257" s="138">
        <v>0</v>
      </c>
      <c r="T257" s="138">
        <v>0</v>
      </c>
      <c r="U257" s="138">
        <v>1818661.3299999966</v>
      </c>
      <c r="V257" s="138">
        <v>1807897.21</v>
      </c>
      <c r="W257" s="139">
        <v>0</v>
      </c>
      <c r="X257" s="130">
        <v>1.0200000000000001E-2</v>
      </c>
    </row>
    <row r="258" spans="1:24" x14ac:dyDescent="0.3">
      <c r="A258" s="74">
        <v>35700</v>
      </c>
      <c r="B258" s="90" t="s">
        <v>492</v>
      </c>
      <c r="C258" s="138">
        <v>4322860.5300000012</v>
      </c>
      <c r="D258" s="138">
        <v>0</v>
      </c>
      <c r="E258" s="138">
        <v>0</v>
      </c>
      <c r="F258" s="138">
        <v>0</v>
      </c>
      <c r="G258" s="138">
        <v>0</v>
      </c>
      <c r="H258" s="138">
        <v>4322860.5300000012</v>
      </c>
      <c r="I258" s="138">
        <v>4322860.53</v>
      </c>
      <c r="J258" s="139">
        <v>0</v>
      </c>
      <c r="K258" s="138">
        <v>1846613.4600000021</v>
      </c>
      <c r="L258" s="138">
        <v>78676.08</v>
      </c>
      <c r="M258" s="138">
        <v>0</v>
      </c>
      <c r="N258" s="138">
        <v>0</v>
      </c>
      <c r="O258" s="91"/>
      <c r="P258" s="138">
        <v>0</v>
      </c>
      <c r="Q258" s="91"/>
      <c r="R258" s="138">
        <v>0</v>
      </c>
      <c r="S258" s="138">
        <v>0</v>
      </c>
      <c r="T258" s="138">
        <v>0</v>
      </c>
      <c r="U258" s="138">
        <v>1925289.5400000021</v>
      </c>
      <c r="V258" s="138">
        <v>1885951.5</v>
      </c>
      <c r="W258" s="139">
        <v>0</v>
      </c>
      <c r="X258" s="130">
        <v>1.8200000000000001E-2</v>
      </c>
    </row>
    <row r="259" spans="1:24" x14ac:dyDescent="0.3">
      <c r="A259" s="74">
        <v>35800</v>
      </c>
      <c r="B259" s="90" t="s">
        <v>493</v>
      </c>
      <c r="C259" s="138">
        <v>12363044.739999998</v>
      </c>
      <c r="D259" s="138">
        <v>0</v>
      </c>
      <c r="E259" s="138">
        <v>0</v>
      </c>
      <c r="F259" s="138">
        <v>0</v>
      </c>
      <c r="G259" s="138">
        <v>0</v>
      </c>
      <c r="H259" s="138">
        <v>12363044.739999998</v>
      </c>
      <c r="I259" s="138">
        <v>12363044.74</v>
      </c>
      <c r="J259" s="139">
        <v>0</v>
      </c>
      <c r="K259" s="138">
        <v>3964149.2600000026</v>
      </c>
      <c r="L259" s="138">
        <v>346165.2</v>
      </c>
      <c r="M259" s="138">
        <v>0</v>
      </c>
      <c r="N259" s="138">
        <v>0</v>
      </c>
      <c r="O259" s="91"/>
      <c r="P259" s="138">
        <v>0</v>
      </c>
      <c r="Q259" s="91"/>
      <c r="R259" s="138">
        <v>0</v>
      </c>
      <c r="S259" s="138">
        <v>0</v>
      </c>
      <c r="T259" s="138">
        <v>0</v>
      </c>
      <c r="U259" s="138">
        <v>4310314.4600000028</v>
      </c>
      <c r="V259" s="138">
        <v>4137231.86</v>
      </c>
      <c r="W259" s="139">
        <v>0</v>
      </c>
      <c r="X259" s="130">
        <v>2.7999999999999997E-2</v>
      </c>
    </row>
    <row r="260" spans="1:24" x14ac:dyDescent="0.3">
      <c r="A260" s="74">
        <v>35900</v>
      </c>
      <c r="B260" s="90" t="s">
        <v>494</v>
      </c>
      <c r="C260" s="138">
        <v>19815799.533199996</v>
      </c>
      <c r="D260" s="138">
        <v>1361556.37</v>
      </c>
      <c r="E260" s="138">
        <v>13615.56</v>
      </c>
      <c r="F260" s="138">
        <v>0</v>
      </c>
      <c r="G260" s="138">
        <v>0</v>
      </c>
      <c r="H260" s="138">
        <v>21190971.463199995</v>
      </c>
      <c r="I260" s="138">
        <v>20219292.530000001</v>
      </c>
      <c r="J260" s="139">
        <v>9.9997967481613159E-5</v>
      </c>
      <c r="K260" s="138">
        <v>3556859.3081</v>
      </c>
      <c r="L260" s="138">
        <v>356448.25</v>
      </c>
      <c r="M260" s="138">
        <v>13615.56</v>
      </c>
      <c r="N260" s="138">
        <v>140.77000000000001</v>
      </c>
      <c r="O260" s="91"/>
      <c r="P260" s="138">
        <v>0</v>
      </c>
      <c r="Q260" s="91"/>
      <c r="R260" s="138">
        <v>0</v>
      </c>
      <c r="S260" s="138">
        <v>0</v>
      </c>
      <c r="T260" s="138">
        <v>0</v>
      </c>
      <c r="U260" s="138">
        <v>3927063.8881000001</v>
      </c>
      <c r="V260" s="138">
        <v>3738078.57</v>
      </c>
      <c r="W260" s="139">
        <v>4.0000025182962418E-4</v>
      </c>
      <c r="X260" s="130">
        <v>1.77E-2</v>
      </c>
    </row>
    <row r="261" spans="1:24" x14ac:dyDescent="0.3">
      <c r="A261" s="74">
        <v>35910</v>
      </c>
      <c r="B261" s="90" t="s">
        <v>495</v>
      </c>
      <c r="C261" s="138">
        <v>0</v>
      </c>
      <c r="D261" s="138">
        <v>0</v>
      </c>
      <c r="E261" s="138">
        <v>0</v>
      </c>
      <c r="F261" s="138">
        <v>0</v>
      </c>
      <c r="G261" s="138">
        <v>0</v>
      </c>
      <c r="H261" s="138">
        <v>0</v>
      </c>
      <c r="I261" s="138">
        <v>0</v>
      </c>
      <c r="J261" s="139">
        <v>0</v>
      </c>
      <c r="K261" s="138">
        <v>0</v>
      </c>
      <c r="L261" s="138">
        <v>0</v>
      </c>
      <c r="M261" s="138">
        <v>0</v>
      </c>
      <c r="N261" s="138">
        <v>0</v>
      </c>
      <c r="O261" s="91"/>
      <c r="P261" s="138">
        <v>0</v>
      </c>
      <c r="Q261" s="91"/>
      <c r="R261" s="138">
        <v>0</v>
      </c>
      <c r="S261" s="138">
        <v>0</v>
      </c>
      <c r="T261" s="138">
        <v>0</v>
      </c>
      <c r="U261" s="138">
        <v>0</v>
      </c>
      <c r="V261" s="138">
        <v>0</v>
      </c>
      <c r="W261" s="139">
        <v>0</v>
      </c>
      <c r="X261" s="130">
        <v>0</v>
      </c>
    </row>
    <row r="262" spans="1:24" x14ac:dyDescent="0.3">
      <c r="A262" s="74">
        <v>36000</v>
      </c>
      <c r="B262" s="90" t="s">
        <v>496</v>
      </c>
      <c r="C262" s="138">
        <v>10119782.539999999</v>
      </c>
      <c r="D262" s="138">
        <v>0</v>
      </c>
      <c r="E262" s="138">
        <v>0</v>
      </c>
      <c r="F262" s="138">
        <v>0</v>
      </c>
      <c r="G262" s="138">
        <v>0</v>
      </c>
      <c r="H262" s="138">
        <v>10119782.539999999</v>
      </c>
      <c r="I262" s="138">
        <v>10119782.539999999</v>
      </c>
      <c r="J262" s="139">
        <v>0</v>
      </c>
      <c r="K262" s="138">
        <v>0</v>
      </c>
      <c r="L262" s="138">
        <v>0</v>
      </c>
      <c r="M262" s="138">
        <v>0</v>
      </c>
      <c r="N262" s="138">
        <v>0</v>
      </c>
      <c r="O262" s="91"/>
      <c r="P262" s="138">
        <v>0</v>
      </c>
      <c r="Q262" s="91"/>
      <c r="R262" s="138">
        <v>0</v>
      </c>
      <c r="S262" s="138">
        <v>0</v>
      </c>
      <c r="T262" s="138">
        <v>0</v>
      </c>
      <c r="U262" s="138">
        <v>0</v>
      </c>
      <c r="V262" s="138">
        <v>0</v>
      </c>
      <c r="W262" s="139">
        <v>0</v>
      </c>
      <c r="X262" s="130">
        <v>0</v>
      </c>
    </row>
    <row r="263" spans="1:24" x14ac:dyDescent="0.3">
      <c r="A263" s="74">
        <v>36100</v>
      </c>
      <c r="B263" s="90" t="s">
        <v>497</v>
      </c>
      <c r="C263" s="138">
        <v>34138496.829999983</v>
      </c>
      <c r="D263" s="138">
        <v>0</v>
      </c>
      <c r="E263" s="138">
        <v>0</v>
      </c>
      <c r="F263" s="138">
        <v>0</v>
      </c>
      <c r="G263" s="138">
        <v>0</v>
      </c>
      <c r="H263" s="138">
        <v>34138496.829999983</v>
      </c>
      <c r="I263" s="138">
        <v>34138496.829999998</v>
      </c>
      <c r="J263" s="139">
        <v>0</v>
      </c>
      <c r="K263" s="138">
        <v>9856495.3399999999</v>
      </c>
      <c r="L263" s="138">
        <v>880773.24</v>
      </c>
      <c r="M263" s="138">
        <v>0</v>
      </c>
      <c r="N263" s="138">
        <v>0</v>
      </c>
      <c r="O263" s="91"/>
      <c r="P263" s="138">
        <v>0</v>
      </c>
      <c r="Q263" s="91"/>
      <c r="R263" s="138">
        <v>0</v>
      </c>
      <c r="S263" s="138">
        <v>0</v>
      </c>
      <c r="T263" s="138">
        <v>0</v>
      </c>
      <c r="U263" s="138">
        <v>10737268.58</v>
      </c>
      <c r="V263" s="138">
        <v>10296881.960000001</v>
      </c>
      <c r="W263" s="139">
        <v>0</v>
      </c>
      <c r="X263" s="130">
        <v>2.58E-2</v>
      </c>
    </row>
    <row r="264" spans="1:24" x14ac:dyDescent="0.3">
      <c r="A264" s="74">
        <v>36200</v>
      </c>
      <c r="B264" s="90" t="s">
        <v>498</v>
      </c>
      <c r="C264" s="138">
        <v>324446834.12040013</v>
      </c>
      <c r="D264" s="138">
        <v>20542987.850000001</v>
      </c>
      <c r="E264" s="138">
        <v>-1848868.91</v>
      </c>
      <c r="F264" s="138">
        <v>0</v>
      </c>
      <c r="G264" s="138">
        <v>0</v>
      </c>
      <c r="H264" s="138">
        <v>343140953.06040013</v>
      </c>
      <c r="I264" s="138">
        <v>331220247.22000003</v>
      </c>
      <c r="J264" s="139">
        <v>2.3999214172363281E-3</v>
      </c>
      <c r="K264" s="138">
        <v>79369590.867200106</v>
      </c>
      <c r="L264" s="138">
        <v>9114261.2100000009</v>
      </c>
      <c r="M264" s="138">
        <v>-1848868.91</v>
      </c>
      <c r="N264" s="138">
        <v>-1406794.22</v>
      </c>
      <c r="O264" s="91"/>
      <c r="P264" s="138">
        <v>271250.23</v>
      </c>
      <c r="Q264" s="91"/>
      <c r="R264" s="138">
        <v>0</v>
      </c>
      <c r="S264" s="138">
        <v>0</v>
      </c>
      <c r="T264" s="138">
        <v>0</v>
      </c>
      <c r="U264" s="138">
        <v>85499439.177200124</v>
      </c>
      <c r="V264" s="138">
        <v>82677371.489999995</v>
      </c>
      <c r="W264" s="139">
        <v>-2.8000026941299438E-3</v>
      </c>
      <c r="X264" s="130">
        <v>2.76E-2</v>
      </c>
    </row>
    <row r="265" spans="1:24" x14ac:dyDescent="0.3">
      <c r="A265" s="74">
        <v>36300</v>
      </c>
      <c r="B265" s="90" t="s">
        <v>499</v>
      </c>
      <c r="C265" s="138">
        <v>0</v>
      </c>
      <c r="D265" s="138">
        <v>0</v>
      </c>
      <c r="E265" s="138">
        <v>0</v>
      </c>
      <c r="F265" s="138">
        <v>0</v>
      </c>
      <c r="G265" s="138">
        <v>0</v>
      </c>
      <c r="H265" s="138">
        <v>0</v>
      </c>
      <c r="I265" s="138">
        <v>0</v>
      </c>
      <c r="J265" s="139">
        <v>0</v>
      </c>
      <c r="K265" s="138">
        <v>0</v>
      </c>
      <c r="L265" s="138">
        <v>0</v>
      </c>
      <c r="M265" s="138">
        <v>0</v>
      </c>
      <c r="N265" s="138">
        <v>0</v>
      </c>
      <c r="O265" s="91"/>
      <c r="P265" s="138">
        <v>0</v>
      </c>
      <c r="Q265" s="91"/>
      <c r="R265" s="138">
        <v>0</v>
      </c>
      <c r="S265" s="138">
        <v>0</v>
      </c>
      <c r="T265" s="138">
        <v>0</v>
      </c>
      <c r="U265" s="138">
        <v>0</v>
      </c>
      <c r="V265" s="138">
        <v>0</v>
      </c>
      <c r="W265" s="139">
        <v>0</v>
      </c>
      <c r="X265" s="130">
        <v>0.1</v>
      </c>
    </row>
    <row r="266" spans="1:24" x14ac:dyDescent="0.3">
      <c r="A266" s="74">
        <v>36400</v>
      </c>
      <c r="B266" s="90" t="s">
        <v>500</v>
      </c>
      <c r="C266" s="138">
        <v>463677269.34720021</v>
      </c>
      <c r="D266" s="138">
        <v>86227910.329999998</v>
      </c>
      <c r="E266" s="138">
        <v>-12934186.550000001</v>
      </c>
      <c r="F266" s="138">
        <v>0</v>
      </c>
      <c r="G266" s="138">
        <v>0</v>
      </c>
      <c r="H266" s="138">
        <v>536970993.12720025</v>
      </c>
      <c r="I266" s="138">
        <v>499219433.48000002</v>
      </c>
      <c r="J266" s="139">
        <v>-4.2999982833862305E-3</v>
      </c>
      <c r="K266" s="138">
        <v>189632327.78209987</v>
      </c>
      <c r="L266" s="138">
        <v>26341501.280000001</v>
      </c>
      <c r="M266" s="138">
        <v>-12934186.550000001</v>
      </c>
      <c r="N266" s="138">
        <v>-7239637.3499999996</v>
      </c>
      <c r="O266" s="91"/>
      <c r="P266" s="138">
        <v>644219.29</v>
      </c>
      <c r="Q266" s="91"/>
      <c r="R266" s="138">
        <v>0</v>
      </c>
      <c r="S266" s="138">
        <v>0</v>
      </c>
      <c r="T266" s="138">
        <v>0</v>
      </c>
      <c r="U266" s="138">
        <v>196444224.45209986</v>
      </c>
      <c r="V266" s="138">
        <v>192985641.19</v>
      </c>
      <c r="W266" s="139">
        <v>-2.9000639915466309E-3</v>
      </c>
      <c r="X266" s="130">
        <v>5.3099999999999994E-2</v>
      </c>
    </row>
    <row r="267" spans="1:24" x14ac:dyDescent="0.3">
      <c r="A267" s="74">
        <v>36500</v>
      </c>
      <c r="B267" s="90" t="s">
        <v>501</v>
      </c>
      <c r="C267" s="138">
        <v>295008858.25520003</v>
      </c>
      <c r="D267" s="138">
        <v>24715640.43</v>
      </c>
      <c r="E267" s="138">
        <v>-7909004.9199999999</v>
      </c>
      <c r="F267" s="138">
        <v>0</v>
      </c>
      <c r="G267" s="138">
        <v>0</v>
      </c>
      <c r="H267" s="138">
        <v>311815493.76520002</v>
      </c>
      <c r="I267" s="138">
        <v>303327783.04000002</v>
      </c>
      <c r="J267" s="139">
        <v>1.1999607086181641E-3</v>
      </c>
      <c r="K267" s="138">
        <v>152134506.23360002</v>
      </c>
      <c r="L267" s="138">
        <v>7051057.04</v>
      </c>
      <c r="M267" s="138">
        <v>-7909004.9199999999</v>
      </c>
      <c r="N267" s="138">
        <v>-703397.11</v>
      </c>
      <c r="O267" s="91"/>
      <c r="P267" s="138">
        <v>135625.10999999999</v>
      </c>
      <c r="Q267" s="91"/>
      <c r="R267" s="138">
        <v>0</v>
      </c>
      <c r="S267" s="138">
        <v>0</v>
      </c>
      <c r="T267" s="138">
        <v>0</v>
      </c>
      <c r="U267" s="138">
        <v>150708786.35360003</v>
      </c>
      <c r="V267" s="138">
        <v>151439200.53999999</v>
      </c>
      <c r="W267" s="139">
        <v>3.6000311374664307E-3</v>
      </c>
      <c r="X267" s="130">
        <v>2.3300000000000001E-2</v>
      </c>
    </row>
    <row r="268" spans="1:24" x14ac:dyDescent="0.3">
      <c r="A268" s="74">
        <v>36600</v>
      </c>
      <c r="B268" s="90" t="s">
        <v>502</v>
      </c>
      <c r="C268" s="138">
        <v>453436794.29440022</v>
      </c>
      <c r="D268" s="138">
        <v>23499553.870000001</v>
      </c>
      <c r="E268" s="138">
        <v>-234995.53</v>
      </c>
      <c r="F268" s="138">
        <v>0</v>
      </c>
      <c r="G268" s="138">
        <v>0</v>
      </c>
      <c r="H268" s="138">
        <v>476701352.63440025</v>
      </c>
      <c r="I268" s="138">
        <v>464182170.16000003</v>
      </c>
      <c r="J268" s="139">
        <v>3.9000511169433594E-3</v>
      </c>
      <c r="K268" s="138">
        <v>98415100.006700009</v>
      </c>
      <c r="L268" s="138">
        <v>8151244.7199999997</v>
      </c>
      <c r="M268" s="138">
        <v>-234995.53</v>
      </c>
      <c r="N268" s="138">
        <v>-2286040.61</v>
      </c>
      <c r="O268" s="91"/>
      <c r="P268" s="138">
        <v>440781.62</v>
      </c>
      <c r="Q268" s="91"/>
      <c r="R268" s="138">
        <v>0</v>
      </c>
      <c r="S268" s="138">
        <v>0</v>
      </c>
      <c r="T268" s="138">
        <v>0</v>
      </c>
      <c r="U268" s="138">
        <v>104486090.20670001</v>
      </c>
      <c r="V268" s="138">
        <v>101456610.04000001</v>
      </c>
      <c r="W268" s="139">
        <v>1.6999989748001099E-3</v>
      </c>
      <c r="X268" s="130">
        <v>1.7600000000000001E-2</v>
      </c>
    </row>
    <row r="269" spans="1:24" x14ac:dyDescent="0.3">
      <c r="A269" s="74">
        <v>36700</v>
      </c>
      <c r="B269" s="90" t="s">
        <v>503</v>
      </c>
      <c r="C269" s="138">
        <v>710559613.38919997</v>
      </c>
      <c r="D269" s="138">
        <v>164552217.69</v>
      </c>
      <c r="E269" s="138">
        <v>-16455221.779999999</v>
      </c>
      <c r="F269" s="138">
        <v>0</v>
      </c>
      <c r="G269" s="138">
        <v>0</v>
      </c>
      <c r="H269" s="138">
        <v>858656609.29920006</v>
      </c>
      <c r="I269" s="138">
        <v>784983492.21000004</v>
      </c>
      <c r="J269" s="139">
        <v>2.699732780456543E-3</v>
      </c>
      <c r="K269" s="138">
        <v>62438192.203100026</v>
      </c>
      <c r="L269" s="138">
        <v>27882617.57</v>
      </c>
      <c r="M269" s="138">
        <v>-16455221.779999999</v>
      </c>
      <c r="N269" s="138">
        <v>-8981711.5</v>
      </c>
      <c r="O269" s="91"/>
      <c r="P269" s="138">
        <v>305156.51</v>
      </c>
      <c r="Q269" s="91"/>
      <c r="R269" s="138">
        <v>0</v>
      </c>
      <c r="S269" s="138">
        <v>0</v>
      </c>
      <c r="T269" s="138">
        <v>0</v>
      </c>
      <c r="U269" s="138">
        <v>65189033.003100015</v>
      </c>
      <c r="V269" s="138">
        <v>63380247.600000001</v>
      </c>
      <c r="W269" s="139">
        <v>-1.8999651074409485E-3</v>
      </c>
      <c r="X269" s="130">
        <v>3.5799999999999998E-2</v>
      </c>
    </row>
    <row r="270" spans="1:24" x14ac:dyDescent="0.3">
      <c r="A270" s="74">
        <v>36800</v>
      </c>
      <c r="B270" s="90" t="s">
        <v>504</v>
      </c>
      <c r="C270" s="138">
        <v>1012768588.9443998</v>
      </c>
      <c r="D270" s="138">
        <v>68691003.629999995</v>
      </c>
      <c r="E270" s="138">
        <v>-8242920.4299999997</v>
      </c>
      <c r="F270" s="138">
        <v>0</v>
      </c>
      <c r="G270" s="138">
        <v>0</v>
      </c>
      <c r="H270" s="138">
        <v>1073216672.1444</v>
      </c>
      <c r="I270" s="138">
        <v>1040688198.04</v>
      </c>
      <c r="J270" s="139">
        <v>1.3998746871948242E-3</v>
      </c>
      <c r="K270" s="138">
        <v>365510328.88420016</v>
      </c>
      <c r="L270" s="138">
        <v>40688717.689999998</v>
      </c>
      <c r="M270" s="138">
        <v>-8242920.4299999997</v>
      </c>
      <c r="N270" s="138">
        <v>-6682272.5499999998</v>
      </c>
      <c r="O270" s="91"/>
      <c r="P270" s="138">
        <v>1288438.58</v>
      </c>
      <c r="Q270" s="91"/>
      <c r="R270" s="138">
        <v>0</v>
      </c>
      <c r="S270" s="138">
        <v>0</v>
      </c>
      <c r="T270" s="138">
        <v>0</v>
      </c>
      <c r="U270" s="138">
        <v>392562292.17420012</v>
      </c>
      <c r="V270" s="138">
        <v>379252067.89999998</v>
      </c>
      <c r="W270" s="139">
        <v>4.2001008987426758E-3</v>
      </c>
      <c r="X270" s="130">
        <v>3.9199999999999999E-2</v>
      </c>
    </row>
    <row r="271" spans="1:24" x14ac:dyDescent="0.3">
      <c r="A271" s="74">
        <v>36900</v>
      </c>
      <c r="B271" s="90" t="s">
        <v>505</v>
      </c>
      <c r="C271" s="138">
        <v>84517203.168800056</v>
      </c>
      <c r="D271" s="138">
        <v>1807657.99</v>
      </c>
      <c r="E271" s="138">
        <v>-180765.8</v>
      </c>
      <c r="F271" s="138">
        <v>0</v>
      </c>
      <c r="G271" s="138">
        <v>0</v>
      </c>
      <c r="H271" s="138">
        <v>86144095.358800054</v>
      </c>
      <c r="I271" s="138">
        <v>85268628.049999997</v>
      </c>
      <c r="J271" s="139">
        <v>2.9997527599334717E-4</v>
      </c>
      <c r="K271" s="138">
        <v>66612392.865900002</v>
      </c>
      <c r="L271" s="138">
        <v>1993578.74</v>
      </c>
      <c r="M271" s="138">
        <v>-180765.8</v>
      </c>
      <c r="N271" s="138">
        <v>-175849.28</v>
      </c>
      <c r="O271" s="91"/>
      <c r="P271" s="138">
        <v>33906.28</v>
      </c>
      <c r="Q271" s="91"/>
      <c r="R271" s="138">
        <v>0</v>
      </c>
      <c r="S271" s="138">
        <v>0</v>
      </c>
      <c r="T271" s="138">
        <v>0</v>
      </c>
      <c r="U271" s="138">
        <v>68283262.805900007</v>
      </c>
      <c r="V271" s="138">
        <v>67453988.900000006</v>
      </c>
      <c r="W271" s="139">
        <v>8.999556303024292E-4</v>
      </c>
      <c r="X271" s="130">
        <v>2.3399999999999997E-2</v>
      </c>
    </row>
    <row r="272" spans="1:24" x14ac:dyDescent="0.3">
      <c r="A272" s="74">
        <v>36902</v>
      </c>
      <c r="B272" s="90" t="s">
        <v>506</v>
      </c>
      <c r="C272" s="138">
        <v>152450524.02760002</v>
      </c>
      <c r="D272" s="138">
        <v>3615315.98</v>
      </c>
      <c r="E272" s="138">
        <v>-108459.47</v>
      </c>
      <c r="F272" s="138">
        <v>0</v>
      </c>
      <c r="G272" s="138">
        <v>0</v>
      </c>
      <c r="H272" s="138">
        <v>155957380.53760001</v>
      </c>
      <c r="I272" s="138">
        <v>154070262.12</v>
      </c>
      <c r="J272" s="139">
        <v>5.9998035430908203E-4</v>
      </c>
      <c r="K272" s="138">
        <v>74802744.641799927</v>
      </c>
      <c r="L272" s="138">
        <v>4063303.26</v>
      </c>
      <c r="M272" s="138">
        <v>-108459.47</v>
      </c>
      <c r="N272" s="138">
        <v>-351698.56</v>
      </c>
      <c r="O272" s="91"/>
      <c r="P272" s="138">
        <v>67812.56</v>
      </c>
      <c r="Q272" s="91"/>
      <c r="R272" s="138">
        <v>0</v>
      </c>
      <c r="S272" s="138">
        <v>0</v>
      </c>
      <c r="T272" s="138">
        <v>0</v>
      </c>
      <c r="U272" s="138">
        <v>78473702.431799933</v>
      </c>
      <c r="V272" s="138">
        <v>76639637.709999993</v>
      </c>
      <c r="W272" s="139">
        <v>1.8000006675720215E-3</v>
      </c>
      <c r="X272" s="130">
        <v>2.64E-2</v>
      </c>
    </row>
    <row r="273" spans="1:24" x14ac:dyDescent="0.3">
      <c r="A273" s="74">
        <v>37000</v>
      </c>
      <c r="B273" s="90" t="s">
        <v>507</v>
      </c>
      <c r="C273" s="138">
        <v>18799459.209999971</v>
      </c>
      <c r="D273" s="138">
        <v>0</v>
      </c>
      <c r="E273" s="138">
        <v>0</v>
      </c>
      <c r="F273" s="138">
        <v>0</v>
      </c>
      <c r="G273" s="138">
        <v>0</v>
      </c>
      <c r="H273" s="138">
        <v>18799459.209999971</v>
      </c>
      <c r="I273" s="138">
        <v>18799459.210000001</v>
      </c>
      <c r="J273" s="139">
        <v>0</v>
      </c>
      <c r="K273" s="138">
        <v>5210375.6900000023</v>
      </c>
      <c r="L273" s="138">
        <v>1372360.56</v>
      </c>
      <c r="M273" s="138">
        <v>0</v>
      </c>
      <c r="N273" s="138">
        <v>0</v>
      </c>
      <c r="O273" s="91"/>
      <c r="P273" s="138">
        <v>0</v>
      </c>
      <c r="Q273" s="91"/>
      <c r="R273" s="138">
        <v>0</v>
      </c>
      <c r="S273" s="138">
        <v>0</v>
      </c>
      <c r="T273" s="138">
        <v>0</v>
      </c>
      <c r="U273" s="138">
        <v>6582736.2500000019</v>
      </c>
      <c r="V273" s="138">
        <v>5896555.9699999997</v>
      </c>
      <c r="W273" s="139">
        <v>0</v>
      </c>
      <c r="X273" s="130">
        <v>7.2999999999999995E-2</v>
      </c>
    </row>
    <row r="274" spans="1:24" x14ac:dyDescent="0.3">
      <c r="A274" s="74">
        <v>37001</v>
      </c>
      <c r="B274" s="90" t="s">
        <v>508</v>
      </c>
      <c r="C274" s="138">
        <v>121027749.79279995</v>
      </c>
      <c r="D274" s="138">
        <v>14637401.939999999</v>
      </c>
      <c r="E274" s="138">
        <v>-7318700.96</v>
      </c>
      <c r="F274" s="138">
        <v>0</v>
      </c>
      <c r="G274" s="138">
        <v>0</v>
      </c>
      <c r="H274" s="138">
        <v>128346450.77279995</v>
      </c>
      <c r="I274" s="138">
        <v>124480363.42</v>
      </c>
      <c r="J274" s="139">
        <v>1.7999708652496338E-3</v>
      </c>
      <c r="K274" s="138">
        <v>16007484.385400003</v>
      </c>
      <c r="L274" s="138">
        <v>13384252.84</v>
      </c>
      <c r="M274" s="138">
        <v>-7318700.96</v>
      </c>
      <c r="N274" s="138">
        <v>-1172470.71</v>
      </c>
      <c r="O274" s="91"/>
      <c r="P274" s="138">
        <v>344588.96</v>
      </c>
      <c r="Q274" s="91"/>
      <c r="R274" s="138">
        <v>0</v>
      </c>
      <c r="S274" s="138">
        <v>0</v>
      </c>
      <c r="T274" s="138">
        <v>0</v>
      </c>
      <c r="U274" s="138">
        <v>21245154.5154</v>
      </c>
      <c r="V274" s="138">
        <v>18779219.93</v>
      </c>
      <c r="W274" s="139">
        <v>5.4000131785869598E-3</v>
      </c>
      <c r="X274" s="130">
        <v>0.10779999999999999</v>
      </c>
    </row>
    <row r="275" spans="1:24" x14ac:dyDescent="0.3">
      <c r="A275" s="74">
        <v>37010</v>
      </c>
      <c r="B275" s="90" t="s">
        <v>509</v>
      </c>
      <c r="C275" s="138">
        <v>4959785.3200000012</v>
      </c>
      <c r="D275" s="138">
        <v>3208575.69</v>
      </c>
      <c r="E275" s="138">
        <v>0</v>
      </c>
      <c r="F275" s="138">
        <v>0</v>
      </c>
      <c r="G275" s="138">
        <v>0</v>
      </c>
      <c r="H275" s="138">
        <v>8168361.0100000016</v>
      </c>
      <c r="I275" s="138">
        <v>6574569.5800000001</v>
      </c>
      <c r="J275" s="139">
        <v>0</v>
      </c>
      <c r="K275" s="138">
        <v>409424.99</v>
      </c>
      <c r="L275" s="138">
        <v>647396.23</v>
      </c>
      <c r="M275" s="138">
        <v>0</v>
      </c>
      <c r="N275" s="138">
        <v>-5000</v>
      </c>
      <c r="O275" s="91"/>
      <c r="P275" s="138">
        <v>0</v>
      </c>
      <c r="Q275" s="91"/>
      <c r="R275" s="138">
        <v>0</v>
      </c>
      <c r="S275" s="138">
        <v>0</v>
      </c>
      <c r="T275" s="138">
        <v>0</v>
      </c>
      <c r="U275" s="138">
        <v>1051821.22</v>
      </c>
      <c r="V275" s="138">
        <v>705136.44</v>
      </c>
      <c r="W275" s="139">
        <v>0</v>
      </c>
      <c r="X275" s="130">
        <v>0.10050000000000001</v>
      </c>
    </row>
    <row r="276" spans="1:24" x14ac:dyDescent="0.3">
      <c r="A276" s="74">
        <v>37101</v>
      </c>
      <c r="B276" s="90" t="s">
        <v>510</v>
      </c>
      <c r="C276" s="138">
        <v>0</v>
      </c>
      <c r="D276" s="138">
        <v>0</v>
      </c>
      <c r="E276" s="138">
        <v>0</v>
      </c>
      <c r="F276" s="138">
        <v>0</v>
      </c>
      <c r="G276" s="138">
        <v>0</v>
      </c>
      <c r="H276" s="138">
        <v>0</v>
      </c>
      <c r="I276" s="138">
        <v>0</v>
      </c>
      <c r="J276" s="139">
        <v>0</v>
      </c>
      <c r="K276" s="138">
        <v>0</v>
      </c>
      <c r="L276" s="138">
        <v>0</v>
      </c>
      <c r="M276" s="138">
        <v>0</v>
      </c>
      <c r="N276" s="138">
        <v>0</v>
      </c>
      <c r="O276" s="91"/>
      <c r="P276" s="138">
        <v>0</v>
      </c>
      <c r="Q276" s="91"/>
      <c r="R276" s="138">
        <v>0</v>
      </c>
      <c r="S276" s="138">
        <v>0</v>
      </c>
      <c r="T276" s="138">
        <v>0</v>
      </c>
      <c r="U276" s="138">
        <v>0</v>
      </c>
      <c r="V276" s="138">
        <v>0</v>
      </c>
      <c r="W276" s="139">
        <v>0</v>
      </c>
      <c r="X276" s="130">
        <v>0.1</v>
      </c>
    </row>
    <row r="277" spans="1:24" x14ac:dyDescent="0.3">
      <c r="A277" s="74">
        <v>37102</v>
      </c>
      <c r="B277" s="90" t="s">
        <v>511</v>
      </c>
      <c r="C277" s="138">
        <v>0</v>
      </c>
      <c r="D277" s="138">
        <v>0</v>
      </c>
      <c r="E277" s="138">
        <v>0</v>
      </c>
      <c r="F277" s="138">
        <v>0</v>
      </c>
      <c r="G277" s="138">
        <v>0</v>
      </c>
      <c r="H277" s="138">
        <v>0</v>
      </c>
      <c r="I277" s="138">
        <v>0</v>
      </c>
      <c r="J277" s="139">
        <v>0</v>
      </c>
      <c r="K277" s="138">
        <v>0</v>
      </c>
      <c r="L277" s="138">
        <v>0</v>
      </c>
      <c r="M277" s="138">
        <v>0</v>
      </c>
      <c r="N277" s="138">
        <v>0</v>
      </c>
      <c r="O277" s="91"/>
      <c r="P277" s="138">
        <v>0</v>
      </c>
      <c r="Q277" s="91"/>
      <c r="R277" s="138">
        <v>0</v>
      </c>
      <c r="S277" s="138">
        <v>0</v>
      </c>
      <c r="T277" s="138">
        <v>0</v>
      </c>
      <c r="U277" s="138">
        <v>0</v>
      </c>
      <c r="V277" s="138">
        <v>0</v>
      </c>
      <c r="W277" s="139">
        <v>0</v>
      </c>
      <c r="X277" s="130">
        <v>6.7000000000000004E-2</v>
      </c>
    </row>
    <row r="278" spans="1:24" x14ac:dyDescent="0.3">
      <c r="A278" s="74">
        <v>37103</v>
      </c>
      <c r="B278" s="90" t="s">
        <v>512</v>
      </c>
      <c r="C278" s="138">
        <v>0</v>
      </c>
      <c r="D278" s="138">
        <v>0</v>
      </c>
      <c r="E278" s="138">
        <v>0</v>
      </c>
      <c r="F278" s="138">
        <v>0</v>
      </c>
      <c r="G278" s="138">
        <v>0</v>
      </c>
      <c r="H278" s="138">
        <v>0</v>
      </c>
      <c r="I278" s="138">
        <v>0</v>
      </c>
      <c r="J278" s="139">
        <v>0</v>
      </c>
      <c r="K278" s="138">
        <v>0</v>
      </c>
      <c r="L278" s="138">
        <v>0</v>
      </c>
      <c r="M278" s="138">
        <v>0</v>
      </c>
      <c r="N278" s="138">
        <v>0</v>
      </c>
      <c r="O278" s="91"/>
      <c r="P278" s="138">
        <v>0</v>
      </c>
      <c r="Q278" s="91"/>
      <c r="R278" s="138">
        <v>0</v>
      </c>
      <c r="S278" s="138">
        <v>0</v>
      </c>
      <c r="T278" s="138">
        <v>0</v>
      </c>
      <c r="U278" s="138">
        <v>0</v>
      </c>
      <c r="V278" s="138">
        <v>0</v>
      </c>
      <c r="W278" s="139">
        <v>0</v>
      </c>
      <c r="X278" s="130">
        <v>3.3000000000000002E-2</v>
      </c>
    </row>
    <row r="279" spans="1:24" x14ac:dyDescent="0.3">
      <c r="A279" s="74">
        <v>37300</v>
      </c>
      <c r="B279" s="90" t="s">
        <v>513</v>
      </c>
      <c r="C279" s="138">
        <v>389454091.40999979</v>
      </c>
      <c r="D279" s="138">
        <v>14546121.310000001</v>
      </c>
      <c r="E279" s="138">
        <v>-5091142.47</v>
      </c>
      <c r="F279" s="138">
        <v>0</v>
      </c>
      <c r="G279" s="138">
        <v>0</v>
      </c>
      <c r="H279" s="138">
        <v>398909070.24999976</v>
      </c>
      <c r="I279" s="138">
        <v>394175875.25999999</v>
      </c>
      <c r="J279" s="139">
        <v>0</v>
      </c>
      <c r="K279" s="138">
        <v>127432283.98999992</v>
      </c>
      <c r="L279" s="138">
        <v>14373022.65</v>
      </c>
      <c r="M279" s="138">
        <v>-5091142.47</v>
      </c>
      <c r="N279" s="138">
        <v>-2934375.63</v>
      </c>
      <c r="O279" s="91"/>
      <c r="P279" s="138">
        <v>0</v>
      </c>
      <c r="Q279" s="91"/>
      <c r="R279" s="138">
        <v>0</v>
      </c>
      <c r="S279" s="138">
        <v>0</v>
      </c>
      <c r="T279" s="138">
        <v>0</v>
      </c>
      <c r="U279" s="138">
        <v>133779788.53999993</v>
      </c>
      <c r="V279" s="138">
        <v>130582391.13</v>
      </c>
      <c r="W279" s="139">
        <v>-1.3411045074462891E-7</v>
      </c>
      <c r="X279" s="130">
        <v>3.6499999999999998E-2</v>
      </c>
    </row>
    <row r="280" spans="1:24" x14ac:dyDescent="0.3">
      <c r="A280" s="74">
        <v>37302</v>
      </c>
      <c r="B280" s="90" t="s">
        <v>514</v>
      </c>
      <c r="C280" s="138">
        <v>22121804.289999999</v>
      </c>
      <c r="D280" s="138">
        <v>0</v>
      </c>
      <c r="E280" s="138">
        <v>0</v>
      </c>
      <c r="F280" s="138">
        <v>0</v>
      </c>
      <c r="G280" s="138">
        <v>0</v>
      </c>
      <c r="H280" s="138">
        <v>22121804.289999999</v>
      </c>
      <c r="I280" s="138">
        <v>22121804.289999999</v>
      </c>
      <c r="J280" s="139">
        <v>0</v>
      </c>
      <c r="K280" s="138">
        <v>1183906.5900000003</v>
      </c>
      <c r="L280" s="138">
        <v>902569.56</v>
      </c>
      <c r="M280" s="138">
        <v>0</v>
      </c>
      <c r="N280" s="138">
        <v>0</v>
      </c>
      <c r="O280" s="91"/>
      <c r="P280" s="138">
        <v>0</v>
      </c>
      <c r="Q280" s="91"/>
      <c r="R280" s="138">
        <v>0</v>
      </c>
      <c r="S280" s="138">
        <v>0</v>
      </c>
      <c r="T280" s="138">
        <v>0</v>
      </c>
      <c r="U280" s="138">
        <v>2086476.1500000004</v>
      </c>
      <c r="V280" s="138">
        <v>1635191.37</v>
      </c>
      <c r="W280" s="139">
        <v>0</v>
      </c>
      <c r="X280" s="130">
        <v>4.0800000000000003E-2</v>
      </c>
    </row>
    <row r="281" spans="1:24" x14ac:dyDescent="0.3">
      <c r="A281" s="74">
        <v>37400</v>
      </c>
      <c r="B281" s="90" t="s">
        <v>515</v>
      </c>
      <c r="C281" s="138">
        <v>7160182.2599999998</v>
      </c>
      <c r="D281" s="138">
        <v>0</v>
      </c>
      <c r="E281" s="138">
        <v>0</v>
      </c>
      <c r="F281" s="138">
        <v>0</v>
      </c>
      <c r="G281" s="138">
        <v>0</v>
      </c>
      <c r="H281" s="138">
        <v>7160182.2599999998</v>
      </c>
      <c r="I281" s="138">
        <v>7160182.2599999998</v>
      </c>
      <c r="J281" s="139">
        <v>0</v>
      </c>
      <c r="K281" s="138">
        <v>1867312.2500000012</v>
      </c>
      <c r="L281" s="138">
        <v>100242.6</v>
      </c>
      <c r="M281" s="138">
        <v>0</v>
      </c>
      <c r="N281" s="138">
        <v>0</v>
      </c>
      <c r="O281" s="91"/>
      <c r="P281" s="138">
        <v>0</v>
      </c>
      <c r="Q281" s="91"/>
      <c r="R281" s="138">
        <v>0</v>
      </c>
      <c r="S281" s="138">
        <v>0</v>
      </c>
      <c r="T281" s="138">
        <v>0</v>
      </c>
      <c r="U281" s="138">
        <v>1967554.8500000013</v>
      </c>
      <c r="V281" s="138">
        <v>1917433.55</v>
      </c>
      <c r="W281" s="139">
        <v>0</v>
      </c>
      <c r="X281" s="130">
        <v>1.3999999999999999E-2</v>
      </c>
    </row>
    <row r="282" spans="1:24" x14ac:dyDescent="0.3">
      <c r="A282" s="74">
        <v>38900</v>
      </c>
      <c r="B282" s="90" t="s">
        <v>516</v>
      </c>
      <c r="C282" s="138">
        <v>3286630.42</v>
      </c>
      <c r="D282" s="138">
        <v>23298939.879999999</v>
      </c>
      <c r="E282" s="138">
        <v>0</v>
      </c>
      <c r="F282" s="138">
        <v>0</v>
      </c>
      <c r="G282" s="138">
        <v>0</v>
      </c>
      <c r="H282" s="138">
        <v>26585570.299999997</v>
      </c>
      <c r="I282" s="138">
        <v>16600915.82</v>
      </c>
      <c r="J282" s="139">
        <v>0</v>
      </c>
      <c r="K282" s="138">
        <v>0</v>
      </c>
      <c r="L282" s="138">
        <v>0</v>
      </c>
      <c r="M282" s="138">
        <v>0</v>
      </c>
      <c r="N282" s="138">
        <v>0</v>
      </c>
      <c r="O282" s="91"/>
      <c r="P282" s="138">
        <v>0</v>
      </c>
      <c r="Q282" s="91"/>
      <c r="R282" s="138">
        <v>0</v>
      </c>
      <c r="S282" s="138">
        <v>0</v>
      </c>
      <c r="T282" s="138">
        <v>0</v>
      </c>
      <c r="U282" s="138">
        <v>0</v>
      </c>
      <c r="V282" s="138">
        <v>0</v>
      </c>
      <c r="W282" s="139">
        <v>0</v>
      </c>
      <c r="X282" s="130">
        <v>0</v>
      </c>
    </row>
    <row r="283" spans="1:24" x14ac:dyDescent="0.3">
      <c r="A283" s="74">
        <v>39000</v>
      </c>
      <c r="B283" s="90" t="s">
        <v>517</v>
      </c>
      <c r="C283" s="138">
        <v>178441382.23999989</v>
      </c>
      <c r="D283" s="138">
        <v>485649517.87</v>
      </c>
      <c r="E283" s="138">
        <v>-15499278.039999999</v>
      </c>
      <c r="F283" s="138">
        <v>0</v>
      </c>
      <c r="G283" s="138">
        <v>0</v>
      </c>
      <c r="H283" s="138">
        <v>648591622.06999993</v>
      </c>
      <c r="I283" s="138">
        <v>440479478.23000002</v>
      </c>
      <c r="J283" s="139">
        <v>0</v>
      </c>
      <c r="K283" s="138">
        <v>52207882.039999992</v>
      </c>
      <c r="L283" s="138">
        <v>7193325.5899999999</v>
      </c>
      <c r="M283" s="138">
        <v>-15499278.039999999</v>
      </c>
      <c r="N283" s="138">
        <v>-479540.17</v>
      </c>
      <c r="O283" s="91"/>
      <c r="P283" s="138">
        <v>0</v>
      </c>
      <c r="Q283" s="91"/>
      <c r="R283" s="138">
        <v>0</v>
      </c>
      <c r="S283" s="138">
        <v>0</v>
      </c>
      <c r="T283" s="138">
        <v>0</v>
      </c>
      <c r="U283" s="138">
        <v>43422389.419999994</v>
      </c>
      <c r="V283" s="138">
        <v>45485804.700000003</v>
      </c>
      <c r="W283" s="139">
        <v>0</v>
      </c>
      <c r="X283" s="130">
        <v>1.7000000000000001E-2</v>
      </c>
    </row>
    <row r="284" spans="1:24" x14ac:dyDescent="0.3">
      <c r="A284" s="74">
        <v>39101</v>
      </c>
      <c r="B284" s="90" t="s">
        <v>518</v>
      </c>
      <c r="C284" s="138">
        <v>6802255.2699999968</v>
      </c>
      <c r="D284" s="138">
        <v>321642.02</v>
      </c>
      <c r="E284" s="138">
        <v>-674911.45</v>
      </c>
      <c r="F284" s="138">
        <v>0</v>
      </c>
      <c r="G284" s="138">
        <v>0</v>
      </c>
      <c r="H284" s="138">
        <v>6448985.8399999971</v>
      </c>
      <c r="I284" s="138">
        <v>6522111.1699999999</v>
      </c>
      <c r="J284" s="139">
        <v>0</v>
      </c>
      <c r="K284" s="138">
        <v>3782379.5600000015</v>
      </c>
      <c r="L284" s="138">
        <v>933533.31</v>
      </c>
      <c r="M284" s="138">
        <v>-674911.45</v>
      </c>
      <c r="N284" s="138">
        <v>0</v>
      </c>
      <c r="O284" s="91"/>
      <c r="P284" s="138">
        <v>0</v>
      </c>
      <c r="Q284" s="91"/>
      <c r="R284" s="138">
        <v>0</v>
      </c>
      <c r="S284" s="138">
        <v>0</v>
      </c>
      <c r="T284" s="138">
        <v>0</v>
      </c>
      <c r="U284" s="138">
        <v>4041001.4200000009</v>
      </c>
      <c r="V284" s="138">
        <v>3840867.1</v>
      </c>
      <c r="W284" s="139">
        <v>0</v>
      </c>
      <c r="X284" s="130">
        <v>0.14300000000000002</v>
      </c>
    </row>
    <row r="285" spans="1:24" x14ac:dyDescent="0.3">
      <c r="A285" s="74">
        <v>39102</v>
      </c>
      <c r="B285" s="90" t="s">
        <v>519</v>
      </c>
      <c r="C285" s="138">
        <v>13056303.310000001</v>
      </c>
      <c r="D285" s="138">
        <v>2847880.67</v>
      </c>
      <c r="E285" s="138">
        <v>-891362.76</v>
      </c>
      <c r="F285" s="138">
        <v>0</v>
      </c>
      <c r="G285" s="138">
        <v>0</v>
      </c>
      <c r="H285" s="138">
        <v>15012821.220000001</v>
      </c>
      <c r="I285" s="138">
        <v>13313638.630000001</v>
      </c>
      <c r="J285" s="139">
        <v>0</v>
      </c>
      <c r="K285" s="138">
        <v>8574964.3599999994</v>
      </c>
      <c r="L285" s="138">
        <v>3293010.02</v>
      </c>
      <c r="M285" s="138">
        <v>-891362.76</v>
      </c>
      <c r="N285" s="138">
        <v>0</v>
      </c>
      <c r="O285" s="91"/>
      <c r="P285" s="138">
        <v>0</v>
      </c>
      <c r="Q285" s="91"/>
      <c r="R285" s="138">
        <v>0</v>
      </c>
      <c r="S285" s="138">
        <v>0</v>
      </c>
      <c r="T285" s="138">
        <v>0</v>
      </c>
      <c r="U285" s="138">
        <v>10976611.619999999</v>
      </c>
      <c r="V285" s="138">
        <v>9594376.6199999992</v>
      </c>
      <c r="W285" s="139">
        <v>0</v>
      </c>
      <c r="X285" s="130">
        <v>0.25</v>
      </c>
    </row>
    <row r="286" spans="1:24" x14ac:dyDescent="0.3">
      <c r="A286" s="74">
        <v>39103</v>
      </c>
      <c r="B286" s="90" t="s">
        <v>520</v>
      </c>
      <c r="C286" s="138">
        <v>0</v>
      </c>
      <c r="D286" s="138">
        <v>0</v>
      </c>
      <c r="E286" s="138">
        <v>0</v>
      </c>
      <c r="F286" s="138">
        <v>0</v>
      </c>
      <c r="G286" s="138">
        <v>0</v>
      </c>
      <c r="H286" s="138">
        <v>0</v>
      </c>
      <c r="I286" s="138">
        <v>0</v>
      </c>
      <c r="J286" s="139">
        <v>0</v>
      </c>
      <c r="K286" s="138">
        <v>0</v>
      </c>
      <c r="L286" s="138">
        <v>0</v>
      </c>
      <c r="M286" s="138">
        <v>0</v>
      </c>
      <c r="N286" s="138">
        <v>0</v>
      </c>
      <c r="O286" s="91"/>
      <c r="P286" s="138">
        <v>0</v>
      </c>
      <c r="Q286" s="91"/>
      <c r="R286" s="138">
        <v>0</v>
      </c>
      <c r="S286" s="138">
        <v>0</v>
      </c>
      <c r="T286" s="138">
        <v>0</v>
      </c>
      <c r="U286" s="138">
        <v>0</v>
      </c>
      <c r="V286" s="138">
        <v>0</v>
      </c>
      <c r="W286" s="139">
        <v>0</v>
      </c>
      <c r="X286" s="130">
        <v>0</v>
      </c>
    </row>
    <row r="287" spans="1:24" x14ac:dyDescent="0.3">
      <c r="A287" s="74">
        <v>39104</v>
      </c>
      <c r="B287" s="90" t="s">
        <v>521</v>
      </c>
      <c r="C287" s="138">
        <v>55362003.109999977</v>
      </c>
      <c r="D287" s="138">
        <v>13376933.220000001</v>
      </c>
      <c r="E287" s="138">
        <v>-4172496.44</v>
      </c>
      <c r="F287" s="138">
        <v>0</v>
      </c>
      <c r="G287" s="138">
        <v>0</v>
      </c>
      <c r="H287" s="138">
        <v>64566439.889999986</v>
      </c>
      <c r="I287" s="138">
        <v>53762035.640000001</v>
      </c>
      <c r="J287" s="139">
        <v>0</v>
      </c>
      <c r="K287" s="138">
        <v>24183219.899999995</v>
      </c>
      <c r="L287" s="138">
        <v>10572333.720000001</v>
      </c>
      <c r="M287" s="138">
        <v>-4172496.44</v>
      </c>
      <c r="N287" s="138">
        <v>0</v>
      </c>
      <c r="O287" s="91"/>
      <c r="P287" s="138">
        <v>0</v>
      </c>
      <c r="Q287" s="91"/>
      <c r="R287" s="138">
        <v>0</v>
      </c>
      <c r="S287" s="138">
        <v>0</v>
      </c>
      <c r="T287" s="138">
        <v>0</v>
      </c>
      <c r="U287" s="138">
        <v>30583057.179999996</v>
      </c>
      <c r="V287" s="138">
        <v>25663039.079999998</v>
      </c>
      <c r="W287" s="139">
        <v>0</v>
      </c>
      <c r="X287" s="130">
        <v>0.2</v>
      </c>
    </row>
    <row r="288" spans="1:24" x14ac:dyDescent="0.3">
      <c r="A288" s="74">
        <v>39201</v>
      </c>
      <c r="B288" s="90" t="s">
        <v>522</v>
      </c>
      <c r="C288" s="138">
        <v>0</v>
      </c>
      <c r="D288" s="138">
        <v>0</v>
      </c>
      <c r="E288" s="138">
        <v>0</v>
      </c>
      <c r="F288" s="138">
        <v>0</v>
      </c>
      <c r="G288" s="138">
        <v>0</v>
      </c>
      <c r="H288" s="138">
        <v>0</v>
      </c>
      <c r="I288" s="138">
        <v>0</v>
      </c>
      <c r="J288" s="139">
        <v>0</v>
      </c>
      <c r="K288" s="138">
        <v>0</v>
      </c>
      <c r="L288" s="138">
        <v>0</v>
      </c>
      <c r="M288" s="138">
        <v>0</v>
      </c>
      <c r="N288" s="138">
        <v>0</v>
      </c>
      <c r="O288" s="91"/>
      <c r="P288" s="138">
        <v>0</v>
      </c>
      <c r="Q288" s="91"/>
      <c r="R288" s="138">
        <v>0</v>
      </c>
      <c r="S288" s="138">
        <v>0</v>
      </c>
      <c r="T288" s="138">
        <v>0</v>
      </c>
      <c r="U288" s="138">
        <v>0</v>
      </c>
      <c r="V288" s="138">
        <v>0</v>
      </c>
      <c r="W288" s="139">
        <v>0</v>
      </c>
      <c r="X288" s="130">
        <v>0</v>
      </c>
    </row>
    <row r="289" spans="1:24" x14ac:dyDescent="0.3">
      <c r="A289" s="74">
        <v>39202</v>
      </c>
      <c r="B289" s="90" t="s">
        <v>523</v>
      </c>
      <c r="C289" s="138">
        <v>31038759.249999993</v>
      </c>
      <c r="D289" s="138">
        <v>130000</v>
      </c>
      <c r="E289" s="138">
        <v>-19500</v>
      </c>
      <c r="F289" s="138">
        <v>0</v>
      </c>
      <c r="G289" s="138">
        <v>0</v>
      </c>
      <c r="H289" s="138">
        <v>31149259.249999993</v>
      </c>
      <c r="I289" s="138">
        <v>31088615.02</v>
      </c>
      <c r="J289" s="139">
        <v>0</v>
      </c>
      <c r="K289" s="138">
        <v>7607982.429999995</v>
      </c>
      <c r="L289" s="138">
        <v>2166524.2200000002</v>
      </c>
      <c r="M289" s="138">
        <v>-19500</v>
      </c>
      <c r="N289" s="138">
        <v>0</v>
      </c>
      <c r="O289" s="91"/>
      <c r="P289" s="138">
        <v>35200</v>
      </c>
      <c r="Q289" s="91"/>
      <c r="R289" s="138">
        <v>0</v>
      </c>
      <c r="S289" s="138">
        <v>0</v>
      </c>
      <c r="T289" s="138">
        <v>0</v>
      </c>
      <c r="U289" s="138">
        <v>9790206.6499999948</v>
      </c>
      <c r="V289" s="138">
        <v>8690962.6500000004</v>
      </c>
      <c r="W289" s="139">
        <v>0</v>
      </c>
      <c r="X289" s="130">
        <v>6.9699999999999998E-2</v>
      </c>
    </row>
    <row r="290" spans="1:24" x14ac:dyDescent="0.3">
      <c r="A290" s="74">
        <v>39203</v>
      </c>
      <c r="B290" s="90" t="s">
        <v>524</v>
      </c>
      <c r="C290" s="138">
        <v>80730762.210000008</v>
      </c>
      <c r="D290" s="138">
        <v>0</v>
      </c>
      <c r="E290" s="138">
        <v>0</v>
      </c>
      <c r="F290" s="138">
        <v>0</v>
      </c>
      <c r="G290" s="138">
        <v>0</v>
      </c>
      <c r="H290" s="138">
        <v>80730762.210000008</v>
      </c>
      <c r="I290" s="138">
        <v>80730762.209999993</v>
      </c>
      <c r="J290" s="139">
        <v>0</v>
      </c>
      <c r="K290" s="138">
        <v>28088665.460000016</v>
      </c>
      <c r="L290" s="138">
        <v>3366472.8</v>
      </c>
      <c r="M290" s="138">
        <v>0</v>
      </c>
      <c r="N290" s="138">
        <v>56425</v>
      </c>
      <c r="O290" s="91"/>
      <c r="P290" s="138">
        <v>1000000</v>
      </c>
      <c r="Q290" s="91"/>
      <c r="R290" s="138">
        <v>0</v>
      </c>
      <c r="S290" s="138">
        <v>0</v>
      </c>
      <c r="T290" s="138">
        <v>0</v>
      </c>
      <c r="U290" s="138">
        <v>32511563.260000017</v>
      </c>
      <c r="V290" s="138">
        <v>30234072.18</v>
      </c>
      <c r="W290" s="139">
        <v>0</v>
      </c>
      <c r="X290" s="130">
        <v>4.1700000000000001E-2</v>
      </c>
    </row>
    <row r="291" spans="1:24" x14ac:dyDescent="0.3">
      <c r="A291" s="74">
        <v>39204</v>
      </c>
      <c r="B291" s="90" t="s">
        <v>525</v>
      </c>
      <c r="C291" s="138">
        <v>0</v>
      </c>
      <c r="D291" s="138">
        <v>0</v>
      </c>
      <c r="E291" s="138">
        <v>0</v>
      </c>
      <c r="F291" s="138">
        <v>0</v>
      </c>
      <c r="G291" s="138">
        <v>0</v>
      </c>
      <c r="H291" s="138">
        <v>0</v>
      </c>
      <c r="I291" s="138">
        <v>0</v>
      </c>
      <c r="J291" s="139">
        <v>0</v>
      </c>
      <c r="K291" s="138">
        <v>0</v>
      </c>
      <c r="L291" s="138">
        <v>0</v>
      </c>
      <c r="M291" s="138">
        <v>0</v>
      </c>
      <c r="N291" s="138">
        <v>0</v>
      </c>
      <c r="O291" s="91"/>
      <c r="P291" s="138">
        <v>0</v>
      </c>
      <c r="Q291" s="91"/>
      <c r="R291" s="138">
        <v>0</v>
      </c>
      <c r="S291" s="138">
        <v>0</v>
      </c>
      <c r="T291" s="138">
        <v>0</v>
      </c>
      <c r="U291" s="138">
        <v>0</v>
      </c>
      <c r="V291" s="138">
        <v>0</v>
      </c>
      <c r="W291" s="139">
        <v>0</v>
      </c>
      <c r="X291" s="130">
        <v>0</v>
      </c>
    </row>
    <row r="292" spans="1:24" x14ac:dyDescent="0.3">
      <c r="A292" s="74">
        <v>39212</v>
      </c>
      <c r="B292" s="90" t="s">
        <v>526</v>
      </c>
      <c r="C292" s="138">
        <v>6411738.3199999994</v>
      </c>
      <c r="D292" s="138">
        <v>0</v>
      </c>
      <c r="E292" s="138">
        <v>0</v>
      </c>
      <c r="F292" s="138">
        <v>0</v>
      </c>
      <c r="G292" s="138">
        <v>0</v>
      </c>
      <c r="H292" s="138">
        <v>6411738.3199999994</v>
      </c>
      <c r="I292" s="138">
        <v>6411738.3200000003</v>
      </c>
      <c r="J292" s="139">
        <v>0</v>
      </c>
      <c r="K292" s="138">
        <v>2193421.4700000011</v>
      </c>
      <c r="L292" s="138">
        <v>363545.52</v>
      </c>
      <c r="M292" s="138">
        <v>0</v>
      </c>
      <c r="N292" s="138">
        <v>0</v>
      </c>
      <c r="O292" s="91"/>
      <c r="P292" s="138">
        <v>0</v>
      </c>
      <c r="Q292" s="91"/>
      <c r="R292" s="138">
        <v>0</v>
      </c>
      <c r="S292" s="138">
        <v>0</v>
      </c>
      <c r="T292" s="138">
        <v>0</v>
      </c>
      <c r="U292" s="138">
        <v>2556966.9900000012</v>
      </c>
      <c r="V292" s="138">
        <v>2375194.23</v>
      </c>
      <c r="W292" s="139">
        <v>0</v>
      </c>
      <c r="X292" s="130">
        <v>5.67E-2</v>
      </c>
    </row>
    <row r="293" spans="1:24" x14ac:dyDescent="0.3">
      <c r="A293" s="74">
        <v>39213</v>
      </c>
      <c r="B293" s="90" t="s">
        <v>527</v>
      </c>
      <c r="C293" s="138">
        <v>1071147.3900000001</v>
      </c>
      <c r="D293" s="138">
        <v>0</v>
      </c>
      <c r="E293" s="138">
        <v>0</v>
      </c>
      <c r="F293" s="138">
        <v>0</v>
      </c>
      <c r="G293" s="138">
        <v>0</v>
      </c>
      <c r="H293" s="138">
        <v>1071147.3900000001</v>
      </c>
      <c r="I293" s="138">
        <v>1071147.3899999999</v>
      </c>
      <c r="J293" s="139">
        <v>0</v>
      </c>
      <c r="K293" s="138">
        <v>273203.89000000007</v>
      </c>
      <c r="L293" s="138">
        <v>64590.239999999998</v>
      </c>
      <c r="M293" s="138">
        <v>0</v>
      </c>
      <c r="N293" s="138">
        <v>0</v>
      </c>
      <c r="O293" s="91"/>
      <c r="P293" s="138">
        <v>0</v>
      </c>
      <c r="Q293" s="91"/>
      <c r="R293" s="138">
        <v>0</v>
      </c>
      <c r="S293" s="138">
        <v>0</v>
      </c>
      <c r="T293" s="138">
        <v>0</v>
      </c>
      <c r="U293" s="138">
        <v>337794.13000000006</v>
      </c>
      <c r="V293" s="138">
        <v>305499.01</v>
      </c>
      <c r="W293" s="139">
        <v>0</v>
      </c>
      <c r="X293" s="130">
        <v>6.0299999999999999E-2</v>
      </c>
    </row>
    <row r="294" spans="1:24" x14ac:dyDescent="0.3">
      <c r="A294" s="74">
        <v>39214</v>
      </c>
      <c r="B294" s="90" t="s">
        <v>528</v>
      </c>
      <c r="C294" s="138">
        <v>0</v>
      </c>
      <c r="D294" s="138">
        <v>0</v>
      </c>
      <c r="E294" s="138">
        <v>0</v>
      </c>
      <c r="F294" s="138">
        <v>0</v>
      </c>
      <c r="G294" s="138">
        <v>0</v>
      </c>
      <c r="H294" s="138">
        <v>0</v>
      </c>
      <c r="I294" s="138">
        <v>0</v>
      </c>
      <c r="J294" s="139">
        <v>0</v>
      </c>
      <c r="K294" s="138">
        <v>0</v>
      </c>
      <c r="L294" s="138">
        <v>0</v>
      </c>
      <c r="M294" s="138">
        <v>0</v>
      </c>
      <c r="N294" s="138">
        <v>0</v>
      </c>
      <c r="O294" s="91"/>
      <c r="P294" s="138">
        <v>0</v>
      </c>
      <c r="Q294" s="91"/>
      <c r="R294" s="138">
        <v>0</v>
      </c>
      <c r="S294" s="138">
        <v>0</v>
      </c>
      <c r="T294" s="138">
        <v>0</v>
      </c>
      <c r="U294" s="138">
        <v>0</v>
      </c>
      <c r="V294" s="138">
        <v>0</v>
      </c>
      <c r="W294" s="139">
        <v>0</v>
      </c>
      <c r="X294" s="130">
        <v>0</v>
      </c>
    </row>
    <row r="295" spans="1:24" x14ac:dyDescent="0.3">
      <c r="A295" s="74">
        <v>39300</v>
      </c>
      <c r="B295" s="90" t="s">
        <v>529</v>
      </c>
      <c r="C295" s="138">
        <v>0</v>
      </c>
      <c r="D295" s="138">
        <v>0</v>
      </c>
      <c r="E295" s="138">
        <v>0</v>
      </c>
      <c r="F295" s="138">
        <v>0</v>
      </c>
      <c r="G295" s="138">
        <v>0</v>
      </c>
      <c r="H295" s="138">
        <v>0</v>
      </c>
      <c r="I295" s="138">
        <v>0</v>
      </c>
      <c r="J295" s="139">
        <v>0</v>
      </c>
      <c r="K295" s="138">
        <v>0</v>
      </c>
      <c r="L295" s="138">
        <v>0</v>
      </c>
      <c r="M295" s="138">
        <v>0</v>
      </c>
      <c r="N295" s="138">
        <v>0</v>
      </c>
      <c r="O295" s="91"/>
      <c r="P295" s="138">
        <v>0</v>
      </c>
      <c r="Q295" s="91"/>
      <c r="R295" s="138">
        <v>0</v>
      </c>
      <c r="S295" s="138">
        <v>0</v>
      </c>
      <c r="T295" s="138">
        <v>0</v>
      </c>
      <c r="U295" s="138">
        <v>0</v>
      </c>
      <c r="V295" s="138">
        <v>0</v>
      </c>
      <c r="W295" s="139">
        <v>0</v>
      </c>
      <c r="X295" s="130">
        <v>0.14300000000000002</v>
      </c>
    </row>
    <row r="296" spans="1:24" x14ac:dyDescent="0.3">
      <c r="A296" s="74">
        <v>39400</v>
      </c>
      <c r="B296" s="90" t="s">
        <v>530</v>
      </c>
      <c r="C296" s="138">
        <v>16145975.260000002</v>
      </c>
      <c r="D296" s="138">
        <v>2799742.39</v>
      </c>
      <c r="E296" s="138">
        <v>-2311617.2000000002</v>
      </c>
      <c r="F296" s="138">
        <v>0</v>
      </c>
      <c r="G296" s="138">
        <v>0</v>
      </c>
      <c r="H296" s="138">
        <v>16634100.450000003</v>
      </c>
      <c r="I296" s="138">
        <v>15905802.65</v>
      </c>
      <c r="J296" s="139">
        <v>0</v>
      </c>
      <c r="K296" s="138">
        <v>6575993.2300000014</v>
      </c>
      <c r="L296" s="138">
        <v>2265850.92</v>
      </c>
      <c r="M296" s="138">
        <v>-2311617.2000000002</v>
      </c>
      <c r="N296" s="138">
        <v>0</v>
      </c>
      <c r="O296" s="91"/>
      <c r="P296" s="138">
        <v>0</v>
      </c>
      <c r="Q296" s="91"/>
      <c r="R296" s="138">
        <v>0</v>
      </c>
      <c r="S296" s="138">
        <v>0</v>
      </c>
      <c r="T296" s="138">
        <v>0</v>
      </c>
      <c r="U296" s="138">
        <v>6530226.950000002</v>
      </c>
      <c r="V296" s="138">
        <v>6796314.5999999996</v>
      </c>
      <c r="W296" s="139">
        <v>0</v>
      </c>
      <c r="X296" s="130">
        <v>0.14300000000000002</v>
      </c>
    </row>
    <row r="297" spans="1:24" x14ac:dyDescent="0.3">
      <c r="A297" s="74">
        <v>39401</v>
      </c>
      <c r="B297" s="90" t="s">
        <v>531</v>
      </c>
      <c r="C297" s="138">
        <v>4188533.43</v>
      </c>
      <c r="D297" s="138">
        <v>0</v>
      </c>
      <c r="E297" s="138">
        <v>0</v>
      </c>
      <c r="F297" s="138">
        <v>0</v>
      </c>
      <c r="G297" s="138">
        <v>0</v>
      </c>
      <c r="H297" s="138">
        <v>4188533.43</v>
      </c>
      <c r="I297" s="138">
        <v>4188533.43</v>
      </c>
      <c r="J297" s="139">
        <v>0</v>
      </c>
      <c r="K297" s="138">
        <v>2993233.67</v>
      </c>
      <c r="L297" s="138">
        <v>837706.68</v>
      </c>
      <c r="M297" s="138">
        <v>0</v>
      </c>
      <c r="N297" s="138">
        <v>0</v>
      </c>
      <c r="O297" s="91"/>
      <c r="P297" s="138">
        <v>0</v>
      </c>
      <c r="Q297" s="91"/>
      <c r="R297" s="138">
        <v>0</v>
      </c>
      <c r="S297" s="138">
        <v>0</v>
      </c>
      <c r="T297" s="138">
        <v>0</v>
      </c>
      <c r="U297" s="138">
        <v>3830940.35</v>
      </c>
      <c r="V297" s="138">
        <v>3412087.01</v>
      </c>
      <c r="W297" s="139">
        <v>0</v>
      </c>
      <c r="X297" s="130">
        <v>0.2</v>
      </c>
    </row>
    <row r="298" spans="1:24" x14ac:dyDescent="0.3">
      <c r="A298" s="74">
        <v>39403</v>
      </c>
      <c r="B298" s="90" t="s">
        <v>532</v>
      </c>
      <c r="C298" s="138">
        <v>0</v>
      </c>
      <c r="D298" s="138">
        <v>0</v>
      </c>
      <c r="E298" s="138">
        <v>0</v>
      </c>
      <c r="F298" s="138">
        <v>0</v>
      </c>
      <c r="G298" s="138">
        <v>0</v>
      </c>
      <c r="H298" s="138">
        <v>0</v>
      </c>
      <c r="I298" s="138">
        <v>0</v>
      </c>
      <c r="J298" s="139">
        <v>0</v>
      </c>
      <c r="K298" s="138">
        <v>0</v>
      </c>
      <c r="L298" s="138">
        <v>0</v>
      </c>
      <c r="M298" s="138">
        <v>0</v>
      </c>
      <c r="N298" s="138">
        <v>0</v>
      </c>
      <c r="O298" s="91"/>
      <c r="P298" s="138">
        <v>0</v>
      </c>
      <c r="Q298" s="91"/>
      <c r="R298" s="138">
        <v>0</v>
      </c>
      <c r="S298" s="138">
        <v>0</v>
      </c>
      <c r="T298" s="138">
        <v>0</v>
      </c>
      <c r="U298" s="138">
        <v>0</v>
      </c>
      <c r="V298" s="138">
        <v>0</v>
      </c>
      <c r="W298" s="139">
        <v>0</v>
      </c>
      <c r="X298" s="130">
        <v>0</v>
      </c>
    </row>
    <row r="299" spans="1:24" x14ac:dyDescent="0.3">
      <c r="A299" s="74">
        <v>39500</v>
      </c>
      <c r="B299" s="90" t="s">
        <v>533</v>
      </c>
      <c r="C299" s="138">
        <v>12803541.98</v>
      </c>
      <c r="D299" s="138">
        <v>8613341</v>
      </c>
      <c r="E299" s="138">
        <v>-457528.73</v>
      </c>
      <c r="F299" s="138">
        <v>0</v>
      </c>
      <c r="G299" s="138">
        <v>0</v>
      </c>
      <c r="H299" s="138">
        <v>20959354.25</v>
      </c>
      <c r="I299" s="138">
        <v>17773394.870000001</v>
      </c>
      <c r="J299" s="139">
        <v>0</v>
      </c>
      <c r="K299" s="138">
        <v>1908021.2299999997</v>
      </c>
      <c r="L299" s="138">
        <v>2503629.46</v>
      </c>
      <c r="M299" s="138">
        <v>-457528.73</v>
      </c>
      <c r="N299" s="138">
        <v>0</v>
      </c>
      <c r="O299" s="91"/>
      <c r="P299" s="138">
        <v>0</v>
      </c>
      <c r="Q299" s="91"/>
      <c r="R299" s="138">
        <v>0</v>
      </c>
      <c r="S299" s="138">
        <v>0</v>
      </c>
      <c r="T299" s="138">
        <v>0</v>
      </c>
      <c r="U299" s="138">
        <v>3954121.9599999995</v>
      </c>
      <c r="V299" s="138">
        <v>2821810.42</v>
      </c>
      <c r="W299" s="139">
        <v>0</v>
      </c>
      <c r="X299" s="130">
        <v>0.14300000000000002</v>
      </c>
    </row>
    <row r="300" spans="1:24" x14ac:dyDescent="0.3">
      <c r="A300" s="74">
        <v>39600</v>
      </c>
      <c r="B300" s="90" t="s">
        <v>534</v>
      </c>
      <c r="C300" s="138">
        <v>0</v>
      </c>
      <c r="D300" s="138">
        <v>0</v>
      </c>
      <c r="E300" s="138">
        <v>0</v>
      </c>
      <c r="F300" s="138">
        <v>0</v>
      </c>
      <c r="G300" s="138">
        <v>0</v>
      </c>
      <c r="H300" s="138">
        <v>0</v>
      </c>
      <c r="I300" s="138">
        <v>0</v>
      </c>
      <c r="J300" s="139">
        <v>0</v>
      </c>
      <c r="K300" s="138">
        <v>0</v>
      </c>
      <c r="L300" s="138">
        <v>0</v>
      </c>
      <c r="M300" s="138">
        <v>0</v>
      </c>
      <c r="N300" s="138">
        <v>0</v>
      </c>
      <c r="O300" s="91"/>
      <c r="P300" s="138">
        <v>0</v>
      </c>
      <c r="Q300" s="91"/>
      <c r="R300" s="138">
        <v>0</v>
      </c>
      <c r="S300" s="138">
        <v>0</v>
      </c>
      <c r="T300" s="138">
        <v>0</v>
      </c>
      <c r="U300" s="138">
        <v>0</v>
      </c>
      <c r="V300" s="138">
        <v>0</v>
      </c>
      <c r="W300" s="139">
        <v>0</v>
      </c>
      <c r="X300" s="130">
        <v>0.14300000000000002</v>
      </c>
    </row>
    <row r="301" spans="1:24" x14ac:dyDescent="0.3">
      <c r="A301" s="74">
        <v>39700</v>
      </c>
      <c r="B301" s="90" t="s">
        <v>535</v>
      </c>
      <c r="C301" s="138">
        <v>46193295.790000029</v>
      </c>
      <c r="D301" s="138">
        <v>6480102.8099999996</v>
      </c>
      <c r="E301" s="138">
        <v>-13200666.1</v>
      </c>
      <c r="F301" s="138">
        <v>0</v>
      </c>
      <c r="G301" s="138">
        <v>0</v>
      </c>
      <c r="H301" s="138">
        <v>39472732.50000003</v>
      </c>
      <c r="I301" s="138">
        <v>45249965.670000002</v>
      </c>
      <c r="J301" s="139">
        <v>0</v>
      </c>
      <c r="K301" s="138">
        <v>25138803.880000003</v>
      </c>
      <c r="L301" s="138">
        <v>6539590.46</v>
      </c>
      <c r="M301" s="138">
        <v>-13200666.1</v>
      </c>
      <c r="N301" s="138">
        <v>-1968.72</v>
      </c>
      <c r="O301" s="91"/>
      <c r="P301" s="138">
        <v>0</v>
      </c>
      <c r="Q301" s="91"/>
      <c r="R301" s="138">
        <v>0</v>
      </c>
      <c r="S301" s="138">
        <v>0</v>
      </c>
      <c r="T301" s="138">
        <v>0</v>
      </c>
      <c r="U301" s="138">
        <v>18475759.520000003</v>
      </c>
      <c r="V301" s="138">
        <v>24586568.800000001</v>
      </c>
      <c r="W301" s="139">
        <v>0</v>
      </c>
      <c r="X301" s="130">
        <v>0.14300000000000002</v>
      </c>
    </row>
    <row r="302" spans="1:24" x14ac:dyDescent="0.3">
      <c r="A302" s="74">
        <v>39725</v>
      </c>
      <c r="B302" s="90" t="s">
        <v>536</v>
      </c>
      <c r="C302" s="138">
        <v>51778218.330000013</v>
      </c>
      <c r="D302" s="138">
        <v>37340104.920000002</v>
      </c>
      <c r="E302" s="138">
        <v>-4244731.01</v>
      </c>
      <c r="F302" s="138">
        <v>0</v>
      </c>
      <c r="G302" s="138">
        <v>0</v>
      </c>
      <c r="H302" s="138">
        <v>84873592.24000001</v>
      </c>
      <c r="I302" s="138">
        <v>64751054.149999999</v>
      </c>
      <c r="J302" s="139">
        <v>0</v>
      </c>
      <c r="K302" s="138">
        <v>27439427.159999989</v>
      </c>
      <c r="L302" s="138">
        <v>1810228.83</v>
      </c>
      <c r="M302" s="138">
        <v>-4244731.01</v>
      </c>
      <c r="N302" s="138">
        <v>0</v>
      </c>
      <c r="O302" s="91"/>
      <c r="P302" s="138">
        <v>0</v>
      </c>
      <c r="Q302" s="91"/>
      <c r="R302" s="138">
        <v>0</v>
      </c>
      <c r="S302" s="138">
        <v>0</v>
      </c>
      <c r="T302" s="138">
        <v>0</v>
      </c>
      <c r="U302" s="138">
        <v>25004924.979999989</v>
      </c>
      <c r="V302" s="138">
        <v>25897297.41</v>
      </c>
      <c r="W302" s="139">
        <v>0</v>
      </c>
      <c r="X302" s="130">
        <v>2.87E-2</v>
      </c>
    </row>
    <row r="303" spans="1:24" x14ac:dyDescent="0.3">
      <c r="A303" s="74">
        <v>39800</v>
      </c>
      <c r="B303" s="90" t="s">
        <v>537</v>
      </c>
      <c r="C303" s="138">
        <v>5268687.0399999991</v>
      </c>
      <c r="D303" s="138">
        <v>910000</v>
      </c>
      <c r="E303" s="138">
        <v>-692571.1</v>
      </c>
      <c r="F303" s="138">
        <v>0</v>
      </c>
      <c r="G303" s="138">
        <v>0</v>
      </c>
      <c r="H303" s="138">
        <v>5486115.9399999995</v>
      </c>
      <c r="I303" s="138">
        <v>4972845.12</v>
      </c>
      <c r="J303" s="139">
        <v>0</v>
      </c>
      <c r="K303" s="138">
        <v>2747129.8600000008</v>
      </c>
      <c r="L303" s="138">
        <v>705000.38</v>
      </c>
      <c r="M303" s="138">
        <v>-692571.1</v>
      </c>
      <c r="N303" s="138">
        <v>0</v>
      </c>
      <c r="O303" s="91"/>
      <c r="P303" s="138">
        <v>0</v>
      </c>
      <c r="Q303" s="91"/>
      <c r="R303" s="138">
        <v>0</v>
      </c>
      <c r="S303" s="138">
        <v>0</v>
      </c>
      <c r="T303" s="138">
        <v>0</v>
      </c>
      <c r="U303" s="138">
        <v>2759559.1400000006</v>
      </c>
      <c r="V303" s="138">
        <v>2741421.98</v>
      </c>
      <c r="W303" s="139">
        <v>0</v>
      </c>
      <c r="X303" s="130">
        <v>0.14300000000000002</v>
      </c>
    </row>
    <row r="304" spans="1:24" x14ac:dyDescent="0.3">
      <c r="A304" s="74">
        <v>39910</v>
      </c>
      <c r="B304" s="90" t="s">
        <v>538</v>
      </c>
      <c r="C304" s="138">
        <v>269187.51</v>
      </c>
      <c r="D304" s="138">
        <v>0</v>
      </c>
      <c r="E304" s="138">
        <v>0</v>
      </c>
      <c r="F304" s="138">
        <v>0</v>
      </c>
      <c r="G304" s="138">
        <v>0</v>
      </c>
      <c r="H304" s="138">
        <v>269187.51</v>
      </c>
      <c r="I304" s="138">
        <v>269187.51</v>
      </c>
      <c r="J304" s="139">
        <v>0</v>
      </c>
      <c r="K304" s="138">
        <v>140835.12999999995</v>
      </c>
      <c r="L304" s="138">
        <v>11575.08</v>
      </c>
      <c r="M304" s="138">
        <v>0</v>
      </c>
      <c r="N304" s="138">
        <v>0</v>
      </c>
      <c r="O304" s="91"/>
      <c r="P304" s="138">
        <v>0</v>
      </c>
      <c r="Q304" s="91"/>
      <c r="R304" s="138">
        <v>0</v>
      </c>
      <c r="S304" s="138">
        <v>0</v>
      </c>
      <c r="T304" s="138">
        <v>0</v>
      </c>
      <c r="U304" s="138">
        <v>152410.20999999993</v>
      </c>
      <c r="V304" s="138">
        <v>146622.67000000001</v>
      </c>
      <c r="W304" s="139">
        <v>0</v>
      </c>
      <c r="X304" s="130">
        <v>4.2999999999999997E-2</v>
      </c>
    </row>
    <row r="305" spans="1:24" x14ac:dyDescent="0.3">
      <c r="A305" s="74"/>
      <c r="B305" s="140"/>
      <c r="C305" s="56"/>
      <c r="D305" s="138"/>
      <c r="E305" s="138"/>
      <c r="F305" s="138"/>
      <c r="G305" s="138"/>
      <c r="H305" s="138"/>
      <c r="I305" s="138"/>
      <c r="J305" s="139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9"/>
    </row>
    <row r="306" spans="1:24" x14ac:dyDescent="0.3">
      <c r="A306" s="74"/>
      <c r="B306" s="140"/>
      <c r="C306" s="56"/>
      <c r="D306" s="138"/>
      <c r="E306" s="138"/>
      <c r="F306" s="138"/>
      <c r="G306" s="138"/>
      <c r="H306" s="138"/>
      <c r="I306" s="138"/>
      <c r="J306" s="139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9"/>
      <c r="X306" s="141"/>
    </row>
    <row r="307" spans="1:24" x14ac:dyDescent="0.3">
      <c r="A307" s="74"/>
      <c r="B307" s="140"/>
      <c r="C307" s="56"/>
      <c r="D307" s="138"/>
      <c r="E307" s="138"/>
      <c r="F307" s="138"/>
      <c r="G307" s="138"/>
      <c r="H307" s="138"/>
      <c r="I307" s="138"/>
      <c r="J307" s="139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9"/>
    </row>
    <row r="308" spans="1:24" x14ac:dyDescent="0.3">
      <c r="A308" s="74"/>
      <c r="B308" s="140"/>
      <c r="C308" s="56"/>
      <c r="D308" s="138"/>
      <c r="E308" s="138"/>
      <c r="F308" s="138"/>
      <c r="G308" s="138"/>
      <c r="H308" s="138"/>
      <c r="I308" s="138"/>
      <c r="J308" s="139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9"/>
    </row>
    <row r="309" spans="1:24" x14ac:dyDescent="0.3">
      <c r="A309" s="74"/>
      <c r="B309" s="90"/>
      <c r="C309" s="41"/>
      <c r="D309" s="138"/>
      <c r="E309" s="138"/>
      <c r="F309" s="138"/>
      <c r="G309" s="138"/>
      <c r="H309" s="138"/>
      <c r="I309" s="138"/>
      <c r="J309" s="139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9"/>
    </row>
    <row r="310" spans="1:24" ht="15" thickBot="1" x14ac:dyDescent="0.35">
      <c r="A310" s="38"/>
      <c r="B310" s="42" t="s">
        <v>539</v>
      </c>
      <c r="C310" s="43">
        <v>13702861580.460001</v>
      </c>
      <c r="D310" s="43">
        <v>1961744962.0600004</v>
      </c>
      <c r="E310" s="43">
        <v>-150854984.74999997</v>
      </c>
      <c r="F310" s="43">
        <v>0</v>
      </c>
      <c r="G310" s="43">
        <v>0</v>
      </c>
      <c r="H310" s="43">
        <v>15513751557.769995</v>
      </c>
      <c r="I310" s="43">
        <v>14529575478.969999</v>
      </c>
      <c r="J310" s="44">
        <v>-6.0000384692102671E-2</v>
      </c>
      <c r="K310" s="43">
        <v>3988243071.1099992</v>
      </c>
      <c r="L310" s="43">
        <v>572413168.64999986</v>
      </c>
      <c r="M310" s="43">
        <v>-150854984.74999997</v>
      </c>
      <c r="N310" s="43">
        <v>-76972259.349999979</v>
      </c>
      <c r="O310" s="43">
        <v>0</v>
      </c>
      <c r="P310" s="43">
        <v>4566979.1399999997</v>
      </c>
      <c r="Q310" s="43">
        <v>0</v>
      </c>
      <c r="R310" s="43">
        <v>0</v>
      </c>
      <c r="S310" s="43">
        <v>33255933</v>
      </c>
      <c r="T310" s="43">
        <v>0</v>
      </c>
      <c r="U310" s="43">
        <v>4370651907.7999992</v>
      </c>
      <c r="V310" s="43">
        <v>4177806227.1399994</v>
      </c>
      <c r="W310" s="44">
        <v>2.9999936204831101E-2</v>
      </c>
    </row>
    <row r="311" spans="1:24" ht="15" thickTop="1" x14ac:dyDescent="0.3">
      <c r="A311" s="2"/>
      <c r="B311" s="45"/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-6.0001373291015625E-2</v>
      </c>
      <c r="I311" s="3">
        <v>0</v>
      </c>
      <c r="J311" s="46"/>
      <c r="K311" s="3">
        <v>0</v>
      </c>
      <c r="L311" s="3">
        <v>0</v>
      </c>
      <c r="M311" s="3">
        <v>0</v>
      </c>
      <c r="N311" s="3">
        <v>0</v>
      </c>
      <c r="O311" s="91"/>
      <c r="P311" s="3">
        <v>0</v>
      </c>
      <c r="Q311" s="91"/>
      <c r="R311" s="3">
        <v>0</v>
      </c>
      <c r="S311" s="3">
        <v>0</v>
      </c>
      <c r="T311" s="3">
        <v>0</v>
      </c>
      <c r="U311" s="3">
        <v>3.0000686645507813E-2</v>
      </c>
      <c r="V311" s="3">
        <v>0</v>
      </c>
      <c r="W311" s="46"/>
    </row>
    <row r="312" spans="1:24" x14ac:dyDescent="0.3">
      <c r="A312" s="38">
        <v>105</v>
      </c>
      <c r="B312" s="42" t="s">
        <v>540</v>
      </c>
      <c r="C312" s="48">
        <v>64262399.530000001</v>
      </c>
      <c r="D312" s="48">
        <v>6502552.7400000002</v>
      </c>
      <c r="E312" s="48">
        <v>0</v>
      </c>
      <c r="F312" s="48">
        <v>0</v>
      </c>
      <c r="G312" s="48">
        <v>0</v>
      </c>
      <c r="H312" s="48">
        <v>70764952.269999996</v>
      </c>
      <c r="I312" s="48">
        <v>69494543.310000002</v>
      </c>
      <c r="J312" s="49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9">
        <v>0</v>
      </c>
    </row>
    <row r="313" spans="1:24" x14ac:dyDescent="0.3">
      <c r="A313" s="38">
        <v>108</v>
      </c>
      <c r="B313" s="42" t="s">
        <v>541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9">
        <v>0</v>
      </c>
      <c r="K313" s="48">
        <v>113636926.83999996</v>
      </c>
      <c r="L313" s="48">
        <v>17442392.039999999</v>
      </c>
      <c r="M313" s="48">
        <v>0</v>
      </c>
      <c r="N313" s="48">
        <v>-33255933</v>
      </c>
      <c r="O313" s="48">
        <v>0</v>
      </c>
      <c r="P313" s="48">
        <v>0</v>
      </c>
      <c r="Q313" s="48">
        <v>0</v>
      </c>
      <c r="R313" s="48">
        <v>0</v>
      </c>
      <c r="S313" s="48">
        <v>33255933</v>
      </c>
      <c r="T313" s="48">
        <v>0</v>
      </c>
      <c r="U313" s="48">
        <v>131079318.87999997</v>
      </c>
      <c r="V313" s="48">
        <v>119953820.33</v>
      </c>
      <c r="W313" s="49">
        <v>0</v>
      </c>
    </row>
    <row r="314" spans="1:24" x14ac:dyDescent="0.3">
      <c r="A314" s="38" t="s">
        <v>542</v>
      </c>
      <c r="B314" s="42" t="s">
        <v>543</v>
      </c>
      <c r="C314" s="48">
        <v>7484822.7599999998</v>
      </c>
      <c r="D314" s="48">
        <v>0</v>
      </c>
      <c r="E314" s="48">
        <v>0</v>
      </c>
      <c r="F314" s="48">
        <v>0</v>
      </c>
      <c r="G314" s="48">
        <v>0</v>
      </c>
      <c r="H314" s="48">
        <v>7484822.7599999998</v>
      </c>
      <c r="I314" s="48">
        <v>7484822.7599999998</v>
      </c>
      <c r="J314" s="49">
        <v>0</v>
      </c>
      <c r="K314" s="48">
        <v>6883366.1700000018</v>
      </c>
      <c r="L314" s="48">
        <v>236708.76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48">
        <v>7120074.9300000016</v>
      </c>
      <c r="V314" s="48">
        <v>7001720.5499999998</v>
      </c>
      <c r="W314" s="49">
        <v>0</v>
      </c>
    </row>
    <row r="315" spans="1:24" x14ac:dyDescent="0.3">
      <c r="A315" s="38" t="s">
        <v>544</v>
      </c>
      <c r="B315" s="42" t="s">
        <v>545</v>
      </c>
      <c r="C315" s="48">
        <v>19720467.789999984</v>
      </c>
      <c r="D315" s="48">
        <v>1655910.96</v>
      </c>
      <c r="E315" s="48">
        <v>-651417.96</v>
      </c>
      <c r="F315" s="48">
        <v>0</v>
      </c>
      <c r="G315" s="48">
        <v>0</v>
      </c>
      <c r="H315" s="48">
        <v>20724960.789999988</v>
      </c>
      <c r="I315" s="48">
        <v>20242224.670000002</v>
      </c>
      <c r="J315" s="49">
        <v>0</v>
      </c>
      <c r="K315" s="50">
        <v>7869600.8800000008</v>
      </c>
      <c r="L315" s="48">
        <v>1190760.3799999999</v>
      </c>
      <c r="M315" s="48">
        <v>-651417.96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48">
        <v>8408943.2999999989</v>
      </c>
      <c r="V315" s="48">
        <v>8155856.6899999995</v>
      </c>
      <c r="W315" s="49">
        <v>0</v>
      </c>
    </row>
    <row r="316" spans="1:24" x14ac:dyDescent="0.3">
      <c r="A316" s="38" t="s">
        <v>546</v>
      </c>
      <c r="B316" s="51" t="s">
        <v>547</v>
      </c>
      <c r="C316" s="48">
        <v>582215403.88000011</v>
      </c>
      <c r="D316" s="48">
        <v>83861887.680000007</v>
      </c>
      <c r="E316" s="48">
        <v>-4800478.3099999996</v>
      </c>
      <c r="F316" s="48">
        <v>0</v>
      </c>
      <c r="G316" s="48">
        <v>0</v>
      </c>
      <c r="H316" s="48">
        <v>661276813.25000024</v>
      </c>
      <c r="I316" s="48">
        <v>601250207.54999995</v>
      </c>
      <c r="J316" s="49">
        <v>0</v>
      </c>
      <c r="K316" s="48">
        <v>176791073.29000008</v>
      </c>
      <c r="L316" s="48">
        <v>39791532.470000006</v>
      </c>
      <c r="M316" s="48">
        <v>-4800478.3099999996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211782127.45000008</v>
      </c>
      <c r="V316" s="48">
        <v>192471130.09999999</v>
      </c>
      <c r="W316" s="49">
        <v>0</v>
      </c>
    </row>
    <row r="317" spans="1:24" x14ac:dyDescent="0.3">
      <c r="A317" s="38" t="s">
        <v>548</v>
      </c>
      <c r="B317" s="51" t="s">
        <v>549</v>
      </c>
      <c r="C317" s="48">
        <v>25408521.469999995</v>
      </c>
      <c r="D317" s="48">
        <v>0</v>
      </c>
      <c r="E317" s="48">
        <v>0</v>
      </c>
      <c r="F317" s="48">
        <v>0</v>
      </c>
      <c r="G317" s="48">
        <v>0</v>
      </c>
      <c r="H317" s="48">
        <v>25408521.469999995</v>
      </c>
      <c r="I317" s="48">
        <v>25408521.470000003</v>
      </c>
      <c r="J317" s="49">
        <v>0</v>
      </c>
      <c r="K317" s="48">
        <v>5493268.2999999877</v>
      </c>
      <c r="L317" s="48">
        <v>689491.32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6182759.619999988</v>
      </c>
      <c r="V317" s="48">
        <v>5838013.96</v>
      </c>
      <c r="W317" s="49">
        <v>0</v>
      </c>
    </row>
    <row r="318" spans="1:24" x14ac:dyDescent="0.3">
      <c r="A318" s="38" t="s">
        <v>548</v>
      </c>
      <c r="B318" s="51" t="s">
        <v>550</v>
      </c>
      <c r="C318" s="48">
        <v>1477748581.1499994</v>
      </c>
      <c r="D318" s="48">
        <v>18434255.68</v>
      </c>
      <c r="E318" s="48">
        <v>-3724442.38</v>
      </c>
      <c r="F318" s="48">
        <v>0</v>
      </c>
      <c r="G318" s="48">
        <v>0</v>
      </c>
      <c r="H318" s="48">
        <v>1492458394.4499993</v>
      </c>
      <c r="I318" s="48">
        <v>1483614508.3699996</v>
      </c>
      <c r="J318" s="49">
        <v>-9.9999941885471344E-3</v>
      </c>
      <c r="K318" s="48">
        <v>554930877.77000022</v>
      </c>
      <c r="L318" s="48">
        <v>59405932.760000005</v>
      </c>
      <c r="M318" s="48">
        <v>-3724442.38</v>
      </c>
      <c r="N318" s="48">
        <v>-1716331.7199999997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608896036.43000019</v>
      </c>
      <c r="V318" s="48">
        <v>582206340.26000011</v>
      </c>
      <c r="W318" s="49">
        <v>9.9999883095733821E-3</v>
      </c>
    </row>
    <row r="319" spans="1:24" x14ac:dyDescent="0.3">
      <c r="A319" s="38" t="s">
        <v>548</v>
      </c>
      <c r="B319" s="51" t="s">
        <v>551</v>
      </c>
      <c r="C319" s="48">
        <v>5628446655.7699957</v>
      </c>
      <c r="D319" s="48">
        <v>684065493.77999985</v>
      </c>
      <c r="E319" s="48">
        <v>-22082575.860000003</v>
      </c>
      <c r="F319" s="48">
        <v>0</v>
      </c>
      <c r="G319" s="48">
        <v>0</v>
      </c>
      <c r="H319" s="48">
        <v>6290429573.6899967</v>
      </c>
      <c r="I319" s="48">
        <v>5911592734.0799961</v>
      </c>
      <c r="J319" s="49">
        <v>-5.9999900404363871E-2</v>
      </c>
      <c r="K319" s="48">
        <v>1375326289.2099998</v>
      </c>
      <c r="L319" s="48">
        <v>219936235.58000001</v>
      </c>
      <c r="M319" s="48">
        <v>-22082575.860000003</v>
      </c>
      <c r="N319" s="48">
        <v>-6710612.7800000012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1566469336.1500008</v>
      </c>
      <c r="V319" s="48">
        <v>1471881722.8200002</v>
      </c>
      <c r="W319" s="49">
        <v>1.0000004929452189E-2</v>
      </c>
    </row>
    <row r="320" spans="1:24" x14ac:dyDescent="0.3">
      <c r="A320" s="38" t="s">
        <v>548</v>
      </c>
      <c r="B320" s="51" t="s">
        <v>552</v>
      </c>
      <c r="C320" s="48">
        <v>1287508639.8200004</v>
      </c>
      <c r="D320" s="48">
        <v>159412269.73000002</v>
      </c>
      <c r="E320" s="48">
        <v>-17107140.59</v>
      </c>
      <c r="F320" s="48">
        <v>0</v>
      </c>
      <c r="G320" s="48">
        <v>0</v>
      </c>
      <c r="H320" s="48">
        <v>1429813768.9600003</v>
      </c>
      <c r="I320" s="48">
        <v>1334295312.9900002</v>
      </c>
      <c r="J320" s="49">
        <v>4.0978193283081055E-8</v>
      </c>
      <c r="K320" s="48">
        <v>304582186.04000002</v>
      </c>
      <c r="L320" s="48">
        <v>34258116.600000001</v>
      </c>
      <c r="M320" s="48">
        <v>-17107140.59</v>
      </c>
      <c r="N320" s="48">
        <v>-2925050.44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318808111.61000019</v>
      </c>
      <c r="V320" s="48">
        <v>314672164.46999997</v>
      </c>
      <c r="W320" s="49">
        <v>8.3819031715393066E-9</v>
      </c>
    </row>
    <row r="321" spans="1:23" x14ac:dyDescent="0.3">
      <c r="A321" s="38" t="s">
        <v>548</v>
      </c>
      <c r="B321" s="51" t="s">
        <v>553</v>
      </c>
      <c r="C321" s="48">
        <v>4097486854.9400001</v>
      </c>
      <c r="D321" s="48">
        <v>426044386.71000004</v>
      </c>
      <c r="E321" s="48">
        <v>-60324266.82</v>
      </c>
      <c r="F321" s="48">
        <v>0</v>
      </c>
      <c r="G321" s="48">
        <v>0</v>
      </c>
      <c r="H321" s="48">
        <v>4463206974.8300009</v>
      </c>
      <c r="I321" s="48">
        <v>4273370565.4500008</v>
      </c>
      <c r="J321" s="49">
        <v>9.9994689226150513E-3</v>
      </c>
      <c r="K321" s="48">
        <v>1249015154.4700003</v>
      </c>
      <c r="L321" s="48">
        <v>156846656.59</v>
      </c>
      <c r="M321" s="48">
        <v>-60324266.82</v>
      </c>
      <c r="N321" s="48">
        <v>-31939247.52</v>
      </c>
      <c r="O321" s="48">
        <v>0</v>
      </c>
      <c r="P321" s="48">
        <v>3531779.1399999997</v>
      </c>
      <c r="Q321" s="48">
        <v>0</v>
      </c>
      <c r="R321" s="48">
        <v>0</v>
      </c>
      <c r="S321" s="48">
        <v>0</v>
      </c>
      <c r="T321" s="48">
        <v>0</v>
      </c>
      <c r="U321" s="48">
        <v>1317130075.8600001</v>
      </c>
      <c r="V321" s="48">
        <v>1283180142.1700001</v>
      </c>
      <c r="W321" s="49">
        <v>9.999934583902359E-3</v>
      </c>
    </row>
    <row r="322" spans="1:23" x14ac:dyDescent="0.3">
      <c r="A322" s="38" t="s">
        <v>548</v>
      </c>
      <c r="B322" s="51" t="s">
        <v>554</v>
      </c>
      <c r="C322" s="48">
        <v>119252407.17</v>
      </c>
      <c r="D322" s="48">
        <v>130000</v>
      </c>
      <c r="E322" s="48">
        <v>-19500</v>
      </c>
      <c r="F322" s="48">
        <v>0</v>
      </c>
      <c r="G322" s="48">
        <v>0</v>
      </c>
      <c r="H322" s="48">
        <v>119362907.17</v>
      </c>
      <c r="I322" s="48">
        <v>119302262.93999998</v>
      </c>
      <c r="J322" s="49">
        <v>0</v>
      </c>
      <c r="K322" s="48">
        <v>38163273.250000007</v>
      </c>
      <c r="L322" s="48">
        <v>5961132.7799999993</v>
      </c>
      <c r="M322" s="48">
        <v>-19500</v>
      </c>
      <c r="N322" s="48">
        <v>56425</v>
      </c>
      <c r="O322" s="48">
        <v>0</v>
      </c>
      <c r="P322" s="48">
        <v>1035200</v>
      </c>
      <c r="Q322" s="48">
        <v>0</v>
      </c>
      <c r="R322" s="48">
        <v>0</v>
      </c>
      <c r="S322" s="48">
        <v>0</v>
      </c>
      <c r="T322" s="48">
        <v>0</v>
      </c>
      <c r="U322" s="48">
        <v>45196531.030000016</v>
      </c>
      <c r="V322" s="48">
        <v>41605728.069999993</v>
      </c>
      <c r="W322" s="49">
        <v>0</v>
      </c>
    </row>
    <row r="323" spans="1:23" x14ac:dyDescent="0.3">
      <c r="A323" s="38" t="s">
        <v>548</v>
      </c>
      <c r="B323" s="52" t="s">
        <v>555</v>
      </c>
      <c r="C323" s="48">
        <v>393326826.17999995</v>
      </c>
      <c r="D323" s="48">
        <v>581638204.77999997</v>
      </c>
      <c r="E323" s="48">
        <v>-42145162.829999998</v>
      </c>
      <c r="F323" s="48">
        <v>0</v>
      </c>
      <c r="G323" s="48">
        <v>0</v>
      </c>
      <c r="H323" s="48">
        <v>932819868.13</v>
      </c>
      <c r="I323" s="48">
        <v>683519775.38</v>
      </c>
      <c r="J323" s="49">
        <v>0</v>
      </c>
      <c r="K323" s="48">
        <v>155551054.88999999</v>
      </c>
      <c r="L323" s="48">
        <v>36654209.370000005</v>
      </c>
      <c r="M323" s="48">
        <v>-42145162.829999998</v>
      </c>
      <c r="N323" s="48">
        <v>-481508.88999999996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149578592.53999996</v>
      </c>
      <c r="V323" s="48">
        <v>150839587.72</v>
      </c>
      <c r="W323" s="49">
        <v>0</v>
      </c>
    </row>
    <row r="324" spans="1:23" ht="15" thickBot="1" x14ac:dyDescent="0.35">
      <c r="A324" s="53"/>
      <c r="B324" s="51" t="s">
        <v>556</v>
      </c>
      <c r="C324" s="43">
        <v>13702861580.459995</v>
      </c>
      <c r="D324" s="43">
        <v>1961744962.0599999</v>
      </c>
      <c r="E324" s="43">
        <v>-150854984.75</v>
      </c>
      <c r="F324" s="43">
        <v>0</v>
      </c>
      <c r="G324" s="43">
        <v>0</v>
      </c>
      <c r="H324" s="43">
        <v>15513751557.769997</v>
      </c>
      <c r="I324" s="43">
        <v>14529575478.969995</v>
      </c>
      <c r="J324" s="44">
        <v>-6.0000384692102671E-2</v>
      </c>
      <c r="K324" s="43">
        <v>3988243071.1100001</v>
      </c>
      <c r="L324" s="43">
        <v>572413168.6500001</v>
      </c>
      <c r="M324" s="43">
        <v>-150854984.75</v>
      </c>
      <c r="N324" s="43">
        <v>-76972259.349999994</v>
      </c>
      <c r="O324" s="43">
        <v>0</v>
      </c>
      <c r="P324" s="43">
        <v>4566979.1399999997</v>
      </c>
      <c r="Q324" s="43">
        <v>0</v>
      </c>
      <c r="R324" s="43">
        <v>0</v>
      </c>
      <c r="S324" s="43">
        <v>33255933</v>
      </c>
      <c r="T324" s="43">
        <v>0</v>
      </c>
      <c r="U324" s="43">
        <v>4370651907.8000011</v>
      </c>
      <c r="V324" s="43">
        <v>4177806227.1399999</v>
      </c>
      <c r="W324" s="44">
        <v>2.9999936204831101E-2</v>
      </c>
    </row>
    <row r="325" spans="1:23" ht="15" thickTop="1" x14ac:dyDescent="0.3">
      <c r="A325" s="54"/>
      <c r="B325" s="55" t="s">
        <v>557</v>
      </c>
      <c r="C325" s="56">
        <v>0</v>
      </c>
      <c r="D325" s="56">
        <v>0</v>
      </c>
      <c r="E325" s="56">
        <v>0</v>
      </c>
      <c r="F325" s="56">
        <v>0</v>
      </c>
      <c r="G325" s="56">
        <v>0</v>
      </c>
      <c r="H325" s="56">
        <v>0</v>
      </c>
      <c r="I325" s="56">
        <v>0</v>
      </c>
      <c r="J325" s="57">
        <v>0</v>
      </c>
      <c r="K325" s="56">
        <v>0</v>
      </c>
      <c r="L325" s="56">
        <v>0</v>
      </c>
      <c r="M325" s="56">
        <v>0</v>
      </c>
      <c r="N325" s="56">
        <v>0</v>
      </c>
      <c r="O325" s="56">
        <v>0</v>
      </c>
      <c r="P325" s="56">
        <v>0</v>
      </c>
      <c r="Q325" s="56">
        <v>0</v>
      </c>
      <c r="R325" s="56">
        <v>0</v>
      </c>
      <c r="S325" s="56">
        <v>0</v>
      </c>
      <c r="T325" s="56">
        <v>0</v>
      </c>
      <c r="U325" s="56">
        <v>0</v>
      </c>
      <c r="V325" s="56">
        <v>0</v>
      </c>
      <c r="W325" s="57">
        <v>0</v>
      </c>
    </row>
    <row r="326" spans="1:23" x14ac:dyDescent="0.3">
      <c r="A326" s="2"/>
      <c r="B326" s="45"/>
      <c r="C326" s="3"/>
      <c r="D326" s="3"/>
      <c r="E326" s="3"/>
      <c r="F326" s="3"/>
      <c r="G326" s="3"/>
      <c r="H326" s="3"/>
      <c r="I326" s="3"/>
      <c r="J326" s="46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6"/>
    </row>
    <row r="327" spans="1:23" x14ac:dyDescent="0.3">
      <c r="B327" s="142" t="s">
        <v>558</v>
      </c>
      <c r="C327" s="4">
        <v>-32739718.200001907</v>
      </c>
      <c r="D327" s="4">
        <v>6.0000419616699219E-2</v>
      </c>
      <c r="E327" s="4">
        <v>2.9802322387695313E-8</v>
      </c>
      <c r="F327" s="56">
        <v>0</v>
      </c>
      <c r="G327" s="4">
        <v>2175764.3400000003</v>
      </c>
      <c r="H327" s="4">
        <v>-30563953.800008163</v>
      </c>
      <c r="I327" s="4">
        <v>-31496686.710000534</v>
      </c>
      <c r="J327" s="58">
        <v>6.7055225372314453E-6</v>
      </c>
      <c r="K327" s="4">
        <v>0</v>
      </c>
      <c r="L327" s="4">
        <v>0</v>
      </c>
      <c r="M327" s="4">
        <v>0</v>
      </c>
      <c r="N327" s="4">
        <v>3.9999976754188538E-2</v>
      </c>
      <c r="O327" s="91"/>
      <c r="P327" s="59">
        <v>-9.9999997764825821E-3</v>
      </c>
      <c r="Q327" s="91"/>
      <c r="R327" s="56">
        <v>0</v>
      </c>
      <c r="S327" s="4">
        <v>0</v>
      </c>
      <c r="T327" s="4">
        <v>0</v>
      </c>
      <c r="U327" s="4">
        <v>3.0000686645507813E-2</v>
      </c>
      <c r="V327" s="4">
        <v>1.0000705718994141E-2</v>
      </c>
      <c r="W327" s="139"/>
    </row>
    <row r="328" spans="1:23" x14ac:dyDescent="0.3">
      <c r="A328" s="74">
        <v>10110</v>
      </c>
      <c r="B328" s="93" t="s">
        <v>559</v>
      </c>
      <c r="C328" s="4">
        <v>3026106.11</v>
      </c>
      <c r="D328" s="138">
        <v>0</v>
      </c>
      <c r="E328" s="138">
        <v>0</v>
      </c>
      <c r="F328" s="138">
        <v>0</v>
      </c>
      <c r="G328" s="138">
        <v>-453915.91000000009</v>
      </c>
      <c r="H328" s="4">
        <v>2572190.2000000002</v>
      </c>
      <c r="I328" s="4">
        <v>2799148.15</v>
      </c>
      <c r="J328" s="58">
        <v>0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139"/>
    </row>
    <row r="329" spans="1:23" x14ac:dyDescent="0.3">
      <c r="A329" s="74">
        <v>10112</v>
      </c>
      <c r="B329" s="93" t="s">
        <v>560</v>
      </c>
      <c r="C329" s="4">
        <v>29713612.09</v>
      </c>
      <c r="D329" s="138">
        <v>0</v>
      </c>
      <c r="E329" s="138">
        <v>0</v>
      </c>
      <c r="F329" s="138">
        <v>0</v>
      </c>
      <c r="G329" s="138">
        <v>-1721848.4300000002</v>
      </c>
      <c r="H329" s="4">
        <v>27991763.66</v>
      </c>
      <c r="I329" s="4">
        <v>28697538.620000001</v>
      </c>
      <c r="J329" s="58">
        <v>0</v>
      </c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9"/>
    </row>
    <row r="330" spans="1:23" x14ac:dyDescent="0.3">
      <c r="A330" s="74">
        <v>10200</v>
      </c>
      <c r="B330" s="93" t="s">
        <v>561</v>
      </c>
      <c r="C330" s="4">
        <v>0</v>
      </c>
      <c r="D330" s="138">
        <v>0</v>
      </c>
      <c r="E330" s="138"/>
      <c r="F330" s="138"/>
      <c r="G330" s="138">
        <v>0</v>
      </c>
      <c r="H330" s="4">
        <v>0</v>
      </c>
      <c r="I330" s="4">
        <v>0</v>
      </c>
      <c r="J330" s="58">
        <v>0</v>
      </c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9"/>
    </row>
    <row r="331" spans="1:23" x14ac:dyDescent="0.3">
      <c r="B331" s="93" t="s">
        <v>562</v>
      </c>
      <c r="C331" s="138">
        <v>0</v>
      </c>
      <c r="D331" s="138">
        <v>0.06</v>
      </c>
      <c r="E331" s="138">
        <v>0</v>
      </c>
      <c r="F331" s="138">
        <v>0</v>
      </c>
      <c r="G331" s="138">
        <v>0</v>
      </c>
      <c r="H331" s="138">
        <v>0.06</v>
      </c>
      <c r="I331" s="138">
        <v>0.06</v>
      </c>
      <c r="J331" s="58">
        <v>0</v>
      </c>
      <c r="K331" s="138">
        <v>0</v>
      </c>
      <c r="L331" s="138">
        <v>0</v>
      </c>
      <c r="M331" s="138">
        <v>0</v>
      </c>
      <c r="N331" s="138">
        <v>0.04</v>
      </c>
      <c r="O331" s="138">
        <v>0</v>
      </c>
      <c r="P331" s="138">
        <v>-0.01</v>
      </c>
      <c r="Q331" s="138">
        <v>0</v>
      </c>
      <c r="R331" s="138">
        <v>0</v>
      </c>
      <c r="S331" s="138">
        <v>0</v>
      </c>
      <c r="T331" s="138">
        <v>0</v>
      </c>
      <c r="U331" s="138">
        <v>0.03</v>
      </c>
      <c r="V331" s="138">
        <v>0.01</v>
      </c>
      <c r="W331" s="139"/>
    </row>
    <row r="332" spans="1:23" x14ac:dyDescent="0.3">
      <c r="A332" s="2"/>
      <c r="B332" s="45"/>
      <c r="C332" s="47"/>
      <c r="D332" s="47"/>
      <c r="E332" s="47"/>
      <c r="F332" s="47"/>
      <c r="G332" s="47"/>
      <c r="H332" s="47"/>
      <c r="I332" s="47"/>
      <c r="J332" s="60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60"/>
    </row>
    <row r="333" spans="1:23" x14ac:dyDescent="0.3">
      <c r="B333" s="132" t="s">
        <v>563</v>
      </c>
      <c r="C333" s="128">
        <v>13715880830.870001</v>
      </c>
      <c r="D333" s="128">
        <v>1960089051.1000004</v>
      </c>
      <c r="E333" s="128">
        <v>-150203566.78999996</v>
      </c>
      <c r="F333" s="128">
        <v>0</v>
      </c>
      <c r="G333" s="128">
        <v>-2175764.3400000003</v>
      </c>
      <c r="H333" s="128">
        <v>15523590550.839994</v>
      </c>
      <c r="I333" s="128">
        <v>14540829941.07</v>
      </c>
      <c r="J333" s="49"/>
      <c r="K333" s="128">
        <v>3980373470.2299991</v>
      </c>
      <c r="L333" s="128">
        <v>571222408.26999986</v>
      </c>
      <c r="M333" s="128">
        <v>-150203566.78999996</v>
      </c>
      <c r="N333" s="128">
        <v>-76972259.349999979</v>
      </c>
      <c r="O333" s="128">
        <v>0</v>
      </c>
      <c r="P333" s="128">
        <v>4566979.1399999997</v>
      </c>
      <c r="Q333" s="128">
        <v>0</v>
      </c>
      <c r="R333" s="128">
        <v>0</v>
      </c>
      <c r="S333" s="128">
        <v>33255933</v>
      </c>
      <c r="T333" s="128">
        <v>0</v>
      </c>
      <c r="U333" s="128">
        <v>4362242964.499999</v>
      </c>
      <c r="V333" s="128">
        <v>4169650370.4499993</v>
      </c>
      <c r="W333" s="49"/>
    </row>
    <row r="334" spans="1:23" x14ac:dyDescent="0.3">
      <c r="B334" s="132" t="s">
        <v>232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0</v>
      </c>
      <c r="I334" s="128">
        <v>0</v>
      </c>
      <c r="J334" s="133"/>
      <c r="K334" s="128">
        <v>0</v>
      </c>
      <c r="L334" s="128">
        <v>0</v>
      </c>
      <c r="M334" s="128">
        <v>0</v>
      </c>
      <c r="N334" s="134">
        <v>0</v>
      </c>
      <c r="O334" s="128">
        <v>0</v>
      </c>
      <c r="P334" s="128">
        <v>0</v>
      </c>
      <c r="Q334" s="128">
        <v>0</v>
      </c>
      <c r="R334" s="128">
        <v>0</v>
      </c>
      <c r="S334" s="128">
        <v>0</v>
      </c>
      <c r="T334" s="128">
        <v>0</v>
      </c>
      <c r="U334" s="128">
        <v>0</v>
      </c>
      <c r="V334" s="128">
        <v>0</v>
      </c>
      <c r="W334" s="133"/>
    </row>
    <row r="335" spans="1:23" x14ac:dyDescent="0.3">
      <c r="A335" s="2"/>
      <c r="B335" s="45"/>
      <c r="C335" s="47"/>
      <c r="D335" s="47"/>
      <c r="E335" s="47"/>
      <c r="F335" s="47"/>
      <c r="G335" s="47"/>
      <c r="H335" s="47"/>
      <c r="I335" s="47"/>
      <c r="J335" s="60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60"/>
    </row>
    <row r="336" spans="1:23" x14ac:dyDescent="0.3">
      <c r="B336" s="143" t="s">
        <v>564</v>
      </c>
      <c r="C336" s="137">
        <v>3</v>
      </c>
      <c r="D336" s="137">
        <v>4</v>
      </c>
      <c r="E336" s="137">
        <v>5</v>
      </c>
      <c r="F336" s="137">
        <v>6</v>
      </c>
      <c r="G336" s="137">
        <v>7</v>
      </c>
      <c r="H336" s="137">
        <v>8</v>
      </c>
      <c r="I336" s="137">
        <v>9</v>
      </c>
      <c r="J336" s="144">
        <v>10</v>
      </c>
      <c r="K336" s="137">
        <v>11</v>
      </c>
      <c r="L336" s="137">
        <v>12</v>
      </c>
      <c r="M336" s="137">
        <v>13</v>
      </c>
      <c r="N336" s="137">
        <v>14</v>
      </c>
      <c r="O336" s="137">
        <v>15</v>
      </c>
      <c r="P336" s="137">
        <v>16</v>
      </c>
      <c r="Q336" s="137">
        <v>17</v>
      </c>
      <c r="R336" s="137">
        <v>18</v>
      </c>
      <c r="S336" s="137">
        <v>19</v>
      </c>
      <c r="T336" s="137">
        <v>20</v>
      </c>
      <c r="U336" s="137">
        <v>21</v>
      </c>
      <c r="V336" s="137">
        <v>22</v>
      </c>
      <c r="W336" s="144">
        <v>23</v>
      </c>
    </row>
    <row r="337" spans="1:23" x14ac:dyDescent="0.3">
      <c r="A337" s="74">
        <v>34300</v>
      </c>
      <c r="B337" s="90" t="s">
        <v>478</v>
      </c>
      <c r="C337" s="138">
        <v>0</v>
      </c>
      <c r="D337" s="138">
        <v>0</v>
      </c>
      <c r="E337" s="138">
        <v>0</v>
      </c>
      <c r="F337" s="138">
        <v>0</v>
      </c>
      <c r="G337" s="138">
        <v>0</v>
      </c>
      <c r="H337" s="138">
        <v>0</v>
      </c>
      <c r="I337" s="138">
        <v>0</v>
      </c>
      <c r="J337" s="139">
        <v>0</v>
      </c>
      <c r="K337" s="138">
        <v>0</v>
      </c>
      <c r="L337" s="138">
        <v>0</v>
      </c>
      <c r="M337" s="138">
        <v>0</v>
      </c>
      <c r="N337" s="138">
        <v>0</v>
      </c>
      <c r="O337" s="138">
        <v>0</v>
      </c>
      <c r="P337" s="138">
        <v>0</v>
      </c>
      <c r="Q337" s="138">
        <v>0</v>
      </c>
      <c r="R337" s="138">
        <v>0</v>
      </c>
      <c r="S337" s="138">
        <v>0</v>
      </c>
      <c r="T337" s="138">
        <v>0</v>
      </c>
      <c r="U337" s="138">
        <v>0</v>
      </c>
      <c r="V337" s="138">
        <v>0</v>
      </c>
      <c r="W337" s="139">
        <v>0</v>
      </c>
    </row>
    <row r="338" spans="1:23" x14ac:dyDescent="0.3">
      <c r="A338" s="74">
        <v>34800</v>
      </c>
      <c r="B338" s="90" t="s">
        <v>479</v>
      </c>
      <c r="C338" s="138">
        <v>0</v>
      </c>
      <c r="D338" s="138">
        <v>0</v>
      </c>
      <c r="E338" s="138">
        <v>0</v>
      </c>
      <c r="F338" s="138">
        <v>0</v>
      </c>
      <c r="G338" s="138">
        <v>0</v>
      </c>
      <c r="H338" s="138">
        <v>0</v>
      </c>
      <c r="I338" s="138">
        <v>0</v>
      </c>
      <c r="J338" s="139">
        <v>0</v>
      </c>
      <c r="K338" s="138">
        <v>0</v>
      </c>
      <c r="L338" s="138">
        <v>0</v>
      </c>
      <c r="M338" s="138">
        <v>0</v>
      </c>
      <c r="N338" s="138">
        <v>0</v>
      </c>
      <c r="O338" s="138">
        <v>0</v>
      </c>
      <c r="P338" s="138">
        <v>0</v>
      </c>
      <c r="Q338" s="138">
        <v>0</v>
      </c>
      <c r="R338" s="138">
        <v>0</v>
      </c>
      <c r="S338" s="138">
        <v>0</v>
      </c>
      <c r="T338" s="138">
        <v>0</v>
      </c>
      <c r="U338" s="138">
        <v>0</v>
      </c>
      <c r="V338" s="138">
        <v>0</v>
      </c>
      <c r="W338" s="139">
        <v>0</v>
      </c>
    </row>
    <row r="339" spans="1:23" x14ac:dyDescent="0.3">
      <c r="A339" s="74">
        <v>37101</v>
      </c>
      <c r="B339" s="90" t="s">
        <v>510</v>
      </c>
      <c r="C339" s="138">
        <v>0</v>
      </c>
      <c r="D339" s="138">
        <v>0</v>
      </c>
      <c r="E339" s="138">
        <v>0</v>
      </c>
      <c r="F339" s="138">
        <v>0</v>
      </c>
      <c r="G339" s="138">
        <v>0</v>
      </c>
      <c r="H339" s="138">
        <v>0</v>
      </c>
      <c r="I339" s="138">
        <v>0</v>
      </c>
      <c r="J339" s="139">
        <v>0</v>
      </c>
      <c r="K339" s="138">
        <v>0</v>
      </c>
      <c r="L339" s="138">
        <v>0</v>
      </c>
      <c r="M339" s="138">
        <v>0</v>
      </c>
      <c r="N339" s="138">
        <v>0</v>
      </c>
      <c r="O339" s="138">
        <v>0</v>
      </c>
      <c r="P339" s="138">
        <v>0</v>
      </c>
      <c r="Q339" s="138">
        <v>0</v>
      </c>
      <c r="R339" s="138">
        <v>0</v>
      </c>
      <c r="S339" s="138">
        <v>0</v>
      </c>
      <c r="T339" s="138">
        <v>0</v>
      </c>
      <c r="U339" s="138">
        <v>0</v>
      </c>
      <c r="V339" s="138">
        <v>0</v>
      </c>
      <c r="W339" s="139">
        <v>0</v>
      </c>
    </row>
    <row r="340" spans="1:23" x14ac:dyDescent="0.3">
      <c r="A340" s="74">
        <v>37102</v>
      </c>
      <c r="B340" s="90" t="s">
        <v>511</v>
      </c>
      <c r="C340" s="138">
        <v>0</v>
      </c>
      <c r="D340" s="138">
        <v>0</v>
      </c>
      <c r="E340" s="138">
        <v>0</v>
      </c>
      <c r="F340" s="138">
        <v>0</v>
      </c>
      <c r="G340" s="138">
        <v>0</v>
      </c>
      <c r="H340" s="138">
        <v>0</v>
      </c>
      <c r="I340" s="138">
        <v>0</v>
      </c>
      <c r="J340" s="139">
        <v>0</v>
      </c>
      <c r="K340" s="138">
        <v>0</v>
      </c>
      <c r="L340" s="138">
        <v>0</v>
      </c>
      <c r="M340" s="138">
        <v>0</v>
      </c>
      <c r="N340" s="138">
        <v>0</v>
      </c>
      <c r="O340" s="138">
        <v>0</v>
      </c>
      <c r="P340" s="138">
        <v>0</v>
      </c>
      <c r="Q340" s="138">
        <v>0</v>
      </c>
      <c r="R340" s="138">
        <v>0</v>
      </c>
      <c r="S340" s="138">
        <v>0</v>
      </c>
      <c r="T340" s="138">
        <v>0</v>
      </c>
      <c r="U340" s="138">
        <v>0</v>
      </c>
      <c r="V340" s="138">
        <v>0</v>
      </c>
      <c r="W340" s="139">
        <v>0</v>
      </c>
    </row>
    <row r="341" spans="1:23" x14ac:dyDescent="0.3">
      <c r="A341" s="74">
        <v>37103</v>
      </c>
      <c r="B341" s="90" t="s">
        <v>512</v>
      </c>
      <c r="C341" s="138">
        <v>0</v>
      </c>
      <c r="D341" s="138">
        <v>0</v>
      </c>
      <c r="E341" s="138">
        <v>0</v>
      </c>
      <c r="F341" s="138">
        <v>0</v>
      </c>
      <c r="G341" s="138">
        <v>0</v>
      </c>
      <c r="H341" s="138">
        <v>0</v>
      </c>
      <c r="I341" s="138">
        <v>0</v>
      </c>
      <c r="J341" s="139">
        <v>0</v>
      </c>
      <c r="K341" s="138">
        <v>0</v>
      </c>
      <c r="L341" s="138">
        <v>0</v>
      </c>
      <c r="M341" s="138">
        <v>0</v>
      </c>
      <c r="N341" s="138">
        <v>0</v>
      </c>
      <c r="O341" s="138">
        <v>0</v>
      </c>
      <c r="P341" s="138">
        <v>0</v>
      </c>
      <c r="Q341" s="138">
        <v>0</v>
      </c>
      <c r="R341" s="138">
        <v>0</v>
      </c>
      <c r="S341" s="138">
        <v>0</v>
      </c>
      <c r="T341" s="138">
        <v>0</v>
      </c>
      <c r="U341" s="138">
        <v>0</v>
      </c>
      <c r="V341" s="138">
        <v>0</v>
      </c>
      <c r="W341" s="139">
        <v>0</v>
      </c>
    </row>
    <row r="342" spans="1:23" ht="15" thickBot="1" x14ac:dyDescent="0.35">
      <c r="B342" s="132" t="s">
        <v>25</v>
      </c>
      <c r="C342" s="127">
        <v>0</v>
      </c>
      <c r="D342" s="127">
        <v>0</v>
      </c>
      <c r="E342" s="127">
        <v>0</v>
      </c>
      <c r="F342" s="127">
        <v>0</v>
      </c>
      <c r="G342" s="127">
        <v>0</v>
      </c>
      <c r="H342" s="127">
        <v>0</v>
      </c>
      <c r="I342" s="127">
        <v>0</v>
      </c>
      <c r="J342" s="135">
        <v>0</v>
      </c>
      <c r="K342" s="127">
        <v>0</v>
      </c>
      <c r="L342" s="127">
        <v>0</v>
      </c>
      <c r="M342" s="127">
        <v>0</v>
      </c>
      <c r="N342" s="127">
        <v>0</v>
      </c>
      <c r="O342" s="127">
        <v>0</v>
      </c>
      <c r="P342" s="127">
        <v>0</v>
      </c>
      <c r="Q342" s="127">
        <v>0</v>
      </c>
      <c r="R342" s="127">
        <v>0</v>
      </c>
      <c r="S342" s="127">
        <v>0</v>
      </c>
      <c r="T342" s="127">
        <v>0</v>
      </c>
      <c r="U342" s="127">
        <v>0</v>
      </c>
      <c r="V342" s="127">
        <v>0</v>
      </c>
      <c r="W342" s="135">
        <v>0</v>
      </c>
    </row>
    <row r="343" spans="1:23" ht="15" thickTop="1" x14ac:dyDescent="0.3">
      <c r="B343" s="132" t="s">
        <v>232</v>
      </c>
      <c r="C343" s="128">
        <v>0</v>
      </c>
      <c r="D343" s="128">
        <v>0</v>
      </c>
      <c r="E343" s="128">
        <v>0</v>
      </c>
      <c r="F343" s="128">
        <v>0</v>
      </c>
      <c r="G343" s="128">
        <v>0</v>
      </c>
      <c r="H343" s="128">
        <v>0</v>
      </c>
      <c r="I343" s="128">
        <v>0</v>
      </c>
      <c r="J343" s="133">
        <v>0</v>
      </c>
      <c r="K343" s="128">
        <v>0</v>
      </c>
      <c r="L343" s="128">
        <v>0</v>
      </c>
      <c r="M343" s="128">
        <v>0</v>
      </c>
      <c r="N343" s="134">
        <v>0</v>
      </c>
      <c r="O343" s="128">
        <v>0</v>
      </c>
      <c r="P343" s="128">
        <v>0</v>
      </c>
      <c r="Q343" s="128">
        <v>0</v>
      </c>
      <c r="R343" s="128">
        <v>0</v>
      </c>
      <c r="S343" s="128">
        <v>0</v>
      </c>
      <c r="T343" s="128">
        <v>0</v>
      </c>
      <c r="U343" s="128">
        <v>0</v>
      </c>
      <c r="V343" s="128">
        <v>0</v>
      </c>
      <c r="W343" s="133">
        <v>0</v>
      </c>
    </row>
    <row r="344" spans="1:23" x14ac:dyDescent="0.3">
      <c r="A344" s="2"/>
      <c r="B344" s="45"/>
      <c r="C344" s="47"/>
      <c r="D344" s="47"/>
      <c r="E344" s="47"/>
      <c r="F344" s="47"/>
      <c r="G344" s="47"/>
      <c r="H344" s="47"/>
      <c r="I344" s="47"/>
      <c r="J344" s="60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60"/>
    </row>
  </sheetData>
  <conditionalFormatting sqref="C331:I331">
    <cfRule type="cellIs" dxfId="4" priority="4" operator="notEqual">
      <formula>0</formula>
    </cfRule>
  </conditionalFormatting>
  <conditionalFormatting sqref="C334:W334">
    <cfRule type="cellIs" dxfId="3" priority="2" operator="notEqual">
      <formula>0</formula>
    </cfRule>
  </conditionalFormatting>
  <conditionalFormatting sqref="C343:W343">
    <cfRule type="cellIs" dxfId="2" priority="1" operator="notEqual">
      <formula>0</formula>
    </cfRule>
  </conditionalFormatting>
  <conditionalFormatting sqref="K331:V331">
    <cfRule type="cellIs" dxfId="1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D20C-CBF8-4D8D-B6EC-EA0835D47EBB}">
  <dimension ref="A1:CZ94"/>
  <sheetViews>
    <sheetView workbookViewId="0">
      <pane xSplit="1" ySplit="6" topLeftCell="AL32" activePane="bottomRight" state="frozen"/>
      <selection pane="topRight" activeCell="B1" sqref="B1"/>
      <selection pane="bottomLeft" activeCell="A7" sqref="A7"/>
      <selection pane="bottomRight" activeCell="AL20" sqref="AL20"/>
    </sheetView>
  </sheetViews>
  <sheetFormatPr defaultColWidth="8.88671875" defaultRowHeight="14.4" x14ac:dyDescent="0.3"/>
  <cols>
    <col min="1" max="1" width="41.88671875" style="90" bestFit="1" customWidth="1"/>
    <col min="2" max="2" width="16.5546875" style="90" hidden="1" customWidth="1"/>
    <col min="3" max="37" width="14.44140625" style="90" hidden="1" customWidth="1"/>
    <col min="38" max="50" width="14.44140625" style="90" customWidth="1"/>
    <col min="51" max="89" width="14.44140625" style="90" hidden="1" customWidth="1"/>
    <col min="90" max="90" width="14.44140625" style="90" customWidth="1"/>
    <col min="91" max="93" width="14.44140625" style="90" hidden="1" customWidth="1"/>
    <col min="94" max="94" width="119.5546875" style="90" bestFit="1" customWidth="1"/>
    <col min="95" max="102" width="8.88671875" style="90"/>
    <col min="105" max="16384" width="8.88671875" style="90"/>
  </cols>
  <sheetData>
    <row r="1" spans="1:103" ht="15.6" x14ac:dyDescent="0.3">
      <c r="A1" s="95" t="s">
        <v>565</v>
      </c>
    </row>
    <row r="2" spans="1:103" ht="15.6" x14ac:dyDescent="0.3">
      <c r="A2" s="96" t="s">
        <v>566</v>
      </c>
    </row>
    <row r="3" spans="1:103" ht="15.6" x14ac:dyDescent="0.3">
      <c r="A3" s="96"/>
      <c r="CY3" s="90"/>
    </row>
    <row r="4" spans="1:103" ht="15.6" x14ac:dyDescent="0.3">
      <c r="A4" s="97"/>
      <c r="B4" s="98" t="s">
        <v>567</v>
      </c>
      <c r="C4" s="98" t="s">
        <v>567</v>
      </c>
      <c r="D4" s="98" t="s">
        <v>567</v>
      </c>
      <c r="E4" s="98" t="s">
        <v>567</v>
      </c>
      <c r="F4" s="98" t="s">
        <v>567</v>
      </c>
      <c r="G4" s="98" t="s">
        <v>567</v>
      </c>
      <c r="H4" s="98" t="s">
        <v>567</v>
      </c>
      <c r="I4" s="98" t="s">
        <v>567</v>
      </c>
      <c r="J4" s="99" t="s">
        <v>567</v>
      </c>
      <c r="K4" s="99" t="s">
        <v>567</v>
      </c>
      <c r="L4" s="99" t="s">
        <v>567</v>
      </c>
      <c r="M4" s="99" t="s">
        <v>567</v>
      </c>
      <c r="N4" s="99" t="s">
        <v>567</v>
      </c>
      <c r="O4" s="99" t="s">
        <v>567</v>
      </c>
      <c r="P4" s="99" t="s">
        <v>567</v>
      </c>
      <c r="Q4" s="99" t="s">
        <v>567</v>
      </c>
      <c r="R4" s="99" t="s">
        <v>567</v>
      </c>
      <c r="S4" s="99" t="s">
        <v>567</v>
      </c>
      <c r="T4" s="99" t="s">
        <v>567</v>
      </c>
      <c r="U4" s="99" t="s">
        <v>567</v>
      </c>
      <c r="V4" s="99" t="s">
        <v>567</v>
      </c>
      <c r="W4" s="99" t="s">
        <v>568</v>
      </c>
      <c r="X4" s="99" t="s">
        <v>568</v>
      </c>
      <c r="Y4" s="99" t="s">
        <v>568</v>
      </c>
      <c r="Z4" s="99" t="s">
        <v>568</v>
      </c>
      <c r="AA4" s="99" t="s">
        <v>568</v>
      </c>
      <c r="AB4" s="99" t="s">
        <v>568</v>
      </c>
      <c r="AC4" s="99" t="s">
        <v>568</v>
      </c>
      <c r="AD4" s="99" t="s">
        <v>568</v>
      </c>
      <c r="AE4" s="99" t="s">
        <v>568</v>
      </c>
      <c r="AF4" s="99" t="s">
        <v>568</v>
      </c>
      <c r="AG4" s="99" t="s">
        <v>568</v>
      </c>
      <c r="AH4" s="99" t="s">
        <v>568</v>
      </c>
      <c r="AI4" s="99" t="s">
        <v>568</v>
      </c>
      <c r="AJ4" s="99" t="s">
        <v>568</v>
      </c>
      <c r="AK4" s="99" t="s">
        <v>568</v>
      </c>
      <c r="AL4" s="99" t="s">
        <v>568</v>
      </c>
      <c r="AM4" s="99" t="s">
        <v>568</v>
      </c>
      <c r="AN4" s="99" t="s">
        <v>568</v>
      </c>
      <c r="AO4" s="99" t="s">
        <v>568</v>
      </c>
      <c r="AP4" s="99" t="s">
        <v>568</v>
      </c>
      <c r="AQ4" s="99" t="s">
        <v>568</v>
      </c>
      <c r="AR4" s="99" t="s">
        <v>568</v>
      </c>
      <c r="AS4" s="99" t="s">
        <v>568</v>
      </c>
      <c r="AT4" s="99" t="s">
        <v>568</v>
      </c>
      <c r="AU4" s="99" t="s">
        <v>568</v>
      </c>
      <c r="AV4" s="99" t="s">
        <v>568</v>
      </c>
      <c r="AW4" s="99" t="s">
        <v>568</v>
      </c>
      <c r="AX4" s="99" t="s">
        <v>568</v>
      </c>
      <c r="AY4" s="99" t="s">
        <v>568</v>
      </c>
      <c r="AZ4" s="99" t="s">
        <v>568</v>
      </c>
      <c r="BA4" s="99" t="s">
        <v>568</v>
      </c>
      <c r="BB4" s="99" t="s">
        <v>568</v>
      </c>
      <c r="BC4" s="99" t="s">
        <v>568</v>
      </c>
      <c r="BD4" s="99" t="s">
        <v>568</v>
      </c>
      <c r="BE4" s="99" t="s">
        <v>568</v>
      </c>
      <c r="BF4" s="99" t="s">
        <v>568</v>
      </c>
      <c r="BG4" s="99" t="s">
        <v>568</v>
      </c>
      <c r="BH4" s="99" t="s">
        <v>568</v>
      </c>
      <c r="BI4" s="99" t="s">
        <v>568</v>
      </c>
      <c r="BJ4" s="99" t="s">
        <v>568</v>
      </c>
      <c r="BK4" s="99" t="s">
        <v>568</v>
      </c>
      <c r="BL4" s="99" t="s">
        <v>568</v>
      </c>
      <c r="BM4" s="99" t="s">
        <v>568</v>
      </c>
      <c r="BN4" s="99" t="s">
        <v>568</v>
      </c>
      <c r="BO4" s="99" t="s">
        <v>568</v>
      </c>
      <c r="BP4" s="99" t="s">
        <v>568</v>
      </c>
      <c r="BQ4" s="99" t="s">
        <v>568</v>
      </c>
      <c r="BR4" s="99" t="s">
        <v>568</v>
      </c>
      <c r="BS4" s="99" t="s">
        <v>568</v>
      </c>
      <c r="BT4" s="99" t="s">
        <v>568</v>
      </c>
      <c r="BU4" s="99" t="s">
        <v>568</v>
      </c>
      <c r="BV4" s="99" t="s">
        <v>568</v>
      </c>
      <c r="BW4" s="99" t="s">
        <v>568</v>
      </c>
      <c r="BX4" s="99" t="s">
        <v>568</v>
      </c>
      <c r="BY4" s="99" t="s">
        <v>568</v>
      </c>
      <c r="BZ4" s="99" t="s">
        <v>568</v>
      </c>
      <c r="CA4" s="99" t="s">
        <v>568</v>
      </c>
      <c r="CB4" s="99" t="s">
        <v>568</v>
      </c>
      <c r="CC4" s="99" t="s">
        <v>568</v>
      </c>
      <c r="CD4" s="99" t="s">
        <v>568</v>
      </c>
      <c r="CE4" s="99" t="s">
        <v>568</v>
      </c>
      <c r="CF4" s="99" t="s">
        <v>568</v>
      </c>
      <c r="CG4" s="99" t="s">
        <v>568</v>
      </c>
      <c r="CH4" s="99" t="s">
        <v>568</v>
      </c>
      <c r="CI4" s="98">
        <v>2022</v>
      </c>
      <c r="CJ4" s="98">
        <v>2023</v>
      </c>
      <c r="CK4" s="98">
        <v>2024</v>
      </c>
      <c r="CL4" s="98">
        <v>2025</v>
      </c>
      <c r="CM4" s="98">
        <v>2026</v>
      </c>
      <c r="CN4" s="98">
        <v>2027</v>
      </c>
      <c r="CO4" s="98">
        <v>2028</v>
      </c>
      <c r="CY4" s="90"/>
    </row>
    <row r="5" spans="1:103" x14ac:dyDescent="0.3">
      <c r="A5" s="100"/>
      <c r="B5" s="92" t="s">
        <v>569</v>
      </c>
      <c r="C5" s="92" t="s">
        <v>570</v>
      </c>
      <c r="D5" s="92" t="s">
        <v>571</v>
      </c>
      <c r="E5" s="92" t="s">
        <v>572</v>
      </c>
      <c r="F5" s="92" t="s">
        <v>573</v>
      </c>
      <c r="G5" s="92" t="s">
        <v>574</v>
      </c>
      <c r="H5" s="92" t="s">
        <v>575</v>
      </c>
      <c r="I5" s="92" t="s">
        <v>576</v>
      </c>
      <c r="J5" s="92" t="s">
        <v>577</v>
      </c>
      <c r="K5" s="92" t="s">
        <v>578</v>
      </c>
      <c r="L5" s="92" t="s">
        <v>579</v>
      </c>
      <c r="M5" s="92" t="s">
        <v>580</v>
      </c>
      <c r="N5" s="92" t="s">
        <v>569</v>
      </c>
      <c r="O5" s="92" t="s">
        <v>570</v>
      </c>
      <c r="P5" s="92" t="s">
        <v>571</v>
      </c>
      <c r="Q5" s="92" t="s">
        <v>572</v>
      </c>
      <c r="R5" s="92" t="s">
        <v>573</v>
      </c>
      <c r="S5" s="92" t="s">
        <v>574</v>
      </c>
      <c r="T5" s="92" t="s">
        <v>575</v>
      </c>
      <c r="U5" s="92" t="s">
        <v>576</v>
      </c>
      <c r="V5" s="92" t="s">
        <v>577</v>
      </c>
      <c r="W5" s="92" t="s">
        <v>578</v>
      </c>
      <c r="X5" s="92" t="s">
        <v>579</v>
      </c>
      <c r="Y5" s="92" t="s">
        <v>580</v>
      </c>
      <c r="Z5" s="92" t="s">
        <v>569</v>
      </c>
      <c r="AA5" s="92" t="s">
        <v>570</v>
      </c>
      <c r="AB5" s="92" t="s">
        <v>571</v>
      </c>
      <c r="AC5" s="92" t="s">
        <v>572</v>
      </c>
      <c r="AD5" s="92" t="s">
        <v>573</v>
      </c>
      <c r="AE5" s="92" t="s">
        <v>574</v>
      </c>
      <c r="AF5" s="92" t="s">
        <v>575</v>
      </c>
      <c r="AG5" s="92" t="s">
        <v>576</v>
      </c>
      <c r="AH5" s="92" t="s">
        <v>577</v>
      </c>
      <c r="AI5" s="92" t="s">
        <v>578</v>
      </c>
      <c r="AJ5" s="92" t="s">
        <v>579</v>
      </c>
      <c r="AK5" s="92" t="s">
        <v>580</v>
      </c>
      <c r="AL5" s="92" t="s">
        <v>569</v>
      </c>
      <c r="AM5" s="92" t="s">
        <v>570</v>
      </c>
      <c r="AN5" s="92" t="s">
        <v>571</v>
      </c>
      <c r="AO5" s="92" t="s">
        <v>572</v>
      </c>
      <c r="AP5" s="92" t="s">
        <v>573</v>
      </c>
      <c r="AQ5" s="92" t="s">
        <v>574</v>
      </c>
      <c r="AR5" s="92" t="s">
        <v>575</v>
      </c>
      <c r="AS5" s="92" t="s">
        <v>576</v>
      </c>
      <c r="AT5" s="92" t="s">
        <v>577</v>
      </c>
      <c r="AU5" s="92" t="s">
        <v>578</v>
      </c>
      <c r="AV5" s="92" t="s">
        <v>579</v>
      </c>
      <c r="AW5" s="92" t="s">
        <v>580</v>
      </c>
      <c r="AX5" s="92" t="s">
        <v>569</v>
      </c>
      <c r="AY5" s="92" t="s">
        <v>570</v>
      </c>
      <c r="AZ5" s="92" t="s">
        <v>571</v>
      </c>
      <c r="BA5" s="92" t="s">
        <v>572</v>
      </c>
      <c r="BB5" s="92" t="s">
        <v>573</v>
      </c>
      <c r="BC5" s="92" t="s">
        <v>574</v>
      </c>
      <c r="BD5" s="92" t="s">
        <v>575</v>
      </c>
      <c r="BE5" s="92" t="s">
        <v>576</v>
      </c>
      <c r="BF5" s="92" t="s">
        <v>577</v>
      </c>
      <c r="BG5" s="92" t="s">
        <v>578</v>
      </c>
      <c r="BH5" s="92" t="s">
        <v>579</v>
      </c>
      <c r="BI5" s="92" t="s">
        <v>580</v>
      </c>
      <c r="BJ5" s="92" t="s">
        <v>569</v>
      </c>
      <c r="BK5" s="92" t="s">
        <v>570</v>
      </c>
      <c r="BL5" s="92" t="s">
        <v>571</v>
      </c>
      <c r="BM5" s="92" t="s">
        <v>572</v>
      </c>
      <c r="BN5" s="92" t="s">
        <v>573</v>
      </c>
      <c r="BO5" s="92" t="s">
        <v>574</v>
      </c>
      <c r="BP5" s="92" t="s">
        <v>575</v>
      </c>
      <c r="BQ5" s="92" t="s">
        <v>576</v>
      </c>
      <c r="BR5" s="92" t="s">
        <v>577</v>
      </c>
      <c r="BS5" s="92" t="s">
        <v>578</v>
      </c>
      <c r="BT5" s="92" t="s">
        <v>579</v>
      </c>
      <c r="BU5" s="92" t="s">
        <v>580</v>
      </c>
      <c r="BV5" s="92" t="s">
        <v>569</v>
      </c>
      <c r="BW5" s="92" t="s">
        <v>570</v>
      </c>
      <c r="BX5" s="92" t="s">
        <v>571</v>
      </c>
      <c r="BY5" s="92" t="s">
        <v>572</v>
      </c>
      <c r="BZ5" s="92" t="s">
        <v>573</v>
      </c>
      <c r="CA5" s="92" t="s">
        <v>574</v>
      </c>
      <c r="CB5" s="92" t="s">
        <v>575</v>
      </c>
      <c r="CC5" s="92" t="s">
        <v>576</v>
      </c>
      <c r="CD5" s="92" t="s">
        <v>577</v>
      </c>
      <c r="CE5" s="92" t="s">
        <v>578</v>
      </c>
      <c r="CF5" s="92" t="s">
        <v>579</v>
      </c>
      <c r="CG5" s="92" t="s">
        <v>580</v>
      </c>
      <c r="CH5" s="92" t="s">
        <v>569</v>
      </c>
      <c r="CI5" s="101" t="s">
        <v>581</v>
      </c>
      <c r="CJ5" s="101" t="s">
        <v>581</v>
      </c>
      <c r="CK5" s="101" t="s">
        <v>581</v>
      </c>
      <c r="CL5" s="101" t="s">
        <v>581</v>
      </c>
      <c r="CM5" s="101" t="s">
        <v>581</v>
      </c>
      <c r="CN5" s="101" t="s">
        <v>581</v>
      </c>
      <c r="CO5" s="101" t="s">
        <v>581</v>
      </c>
      <c r="CY5" s="90"/>
    </row>
    <row r="6" spans="1:103" ht="15.6" x14ac:dyDescent="0.3">
      <c r="A6" s="102" t="s">
        <v>582</v>
      </c>
      <c r="B6" s="103">
        <v>2021</v>
      </c>
      <c r="C6" s="103">
        <v>2022</v>
      </c>
      <c r="D6" s="103">
        <v>2022</v>
      </c>
      <c r="E6" s="103">
        <v>2022</v>
      </c>
      <c r="F6" s="103">
        <v>2022</v>
      </c>
      <c r="G6" s="103">
        <v>2022</v>
      </c>
      <c r="H6" s="103">
        <v>2022</v>
      </c>
      <c r="I6" s="103">
        <v>2022</v>
      </c>
      <c r="J6" s="103">
        <v>2022</v>
      </c>
      <c r="K6" s="103">
        <v>2022</v>
      </c>
      <c r="L6" s="103">
        <v>2022</v>
      </c>
      <c r="M6" s="103">
        <v>2022</v>
      </c>
      <c r="N6" s="103">
        <v>2022</v>
      </c>
      <c r="O6" s="103">
        <v>2023</v>
      </c>
      <c r="P6" s="103">
        <v>2023</v>
      </c>
      <c r="Q6" s="103">
        <v>2023</v>
      </c>
      <c r="R6" s="103">
        <v>2023</v>
      </c>
      <c r="S6" s="103">
        <v>2023</v>
      </c>
      <c r="T6" s="103">
        <v>2023</v>
      </c>
      <c r="U6" s="103">
        <v>2023</v>
      </c>
      <c r="V6" s="103">
        <v>2023</v>
      </c>
      <c r="W6" s="103">
        <v>2023</v>
      </c>
      <c r="X6" s="103">
        <v>2023</v>
      </c>
      <c r="Y6" s="103">
        <v>2023</v>
      </c>
      <c r="Z6" s="103">
        <v>2023</v>
      </c>
      <c r="AA6" s="103">
        <v>2024</v>
      </c>
      <c r="AB6" s="103">
        <v>2024</v>
      </c>
      <c r="AC6" s="103">
        <v>2024</v>
      </c>
      <c r="AD6" s="103">
        <v>2024</v>
      </c>
      <c r="AE6" s="103">
        <v>2024</v>
      </c>
      <c r="AF6" s="103">
        <v>2024</v>
      </c>
      <c r="AG6" s="103">
        <v>2024</v>
      </c>
      <c r="AH6" s="103">
        <v>2024</v>
      </c>
      <c r="AI6" s="103">
        <v>2024</v>
      </c>
      <c r="AJ6" s="103">
        <v>2024</v>
      </c>
      <c r="AK6" s="103">
        <v>2024</v>
      </c>
      <c r="AL6" s="103">
        <v>2024</v>
      </c>
      <c r="AM6" s="103">
        <v>2025</v>
      </c>
      <c r="AN6" s="103">
        <v>2025</v>
      </c>
      <c r="AO6" s="103">
        <v>2025</v>
      </c>
      <c r="AP6" s="103">
        <v>2025</v>
      </c>
      <c r="AQ6" s="103">
        <v>2025</v>
      </c>
      <c r="AR6" s="103">
        <v>2025</v>
      </c>
      <c r="AS6" s="103">
        <v>2025</v>
      </c>
      <c r="AT6" s="103">
        <v>2025</v>
      </c>
      <c r="AU6" s="103">
        <v>2025</v>
      </c>
      <c r="AV6" s="103">
        <v>2025</v>
      </c>
      <c r="AW6" s="103">
        <v>2025</v>
      </c>
      <c r="AX6" s="103">
        <v>2025</v>
      </c>
      <c r="AY6" s="103">
        <v>2026</v>
      </c>
      <c r="AZ6" s="103">
        <v>2026</v>
      </c>
      <c r="BA6" s="103">
        <v>2026</v>
      </c>
      <c r="BB6" s="103">
        <v>2026</v>
      </c>
      <c r="BC6" s="103">
        <v>2026</v>
      </c>
      <c r="BD6" s="103">
        <v>2026</v>
      </c>
      <c r="BE6" s="103">
        <v>2026</v>
      </c>
      <c r="BF6" s="103">
        <v>2026</v>
      </c>
      <c r="BG6" s="103">
        <v>2026</v>
      </c>
      <c r="BH6" s="103">
        <v>2026</v>
      </c>
      <c r="BI6" s="103">
        <v>2026</v>
      </c>
      <c r="BJ6" s="103">
        <v>2026</v>
      </c>
      <c r="BK6" s="103">
        <v>2027</v>
      </c>
      <c r="BL6" s="103">
        <v>2027</v>
      </c>
      <c r="BM6" s="103">
        <v>2027</v>
      </c>
      <c r="BN6" s="103">
        <v>2027</v>
      </c>
      <c r="BO6" s="103">
        <v>2027</v>
      </c>
      <c r="BP6" s="103">
        <v>2027</v>
      </c>
      <c r="BQ6" s="103">
        <v>2027</v>
      </c>
      <c r="BR6" s="103">
        <v>2027</v>
      </c>
      <c r="BS6" s="103">
        <v>2027</v>
      </c>
      <c r="BT6" s="103">
        <v>2027</v>
      </c>
      <c r="BU6" s="103">
        <v>2027</v>
      </c>
      <c r="BV6" s="103">
        <v>2027</v>
      </c>
      <c r="BW6" s="103">
        <v>2028</v>
      </c>
      <c r="BX6" s="103">
        <v>2028</v>
      </c>
      <c r="BY6" s="103">
        <v>2028</v>
      </c>
      <c r="BZ6" s="103">
        <v>2028</v>
      </c>
      <c r="CA6" s="103">
        <v>2028</v>
      </c>
      <c r="CB6" s="103">
        <v>2028</v>
      </c>
      <c r="CC6" s="103">
        <v>2028</v>
      </c>
      <c r="CD6" s="103">
        <v>2028</v>
      </c>
      <c r="CE6" s="103">
        <v>2028</v>
      </c>
      <c r="CF6" s="103">
        <v>2028</v>
      </c>
      <c r="CG6" s="103">
        <v>2028</v>
      </c>
      <c r="CH6" s="103">
        <v>2028</v>
      </c>
      <c r="CI6" s="104" t="s">
        <v>42</v>
      </c>
      <c r="CJ6" s="104" t="s">
        <v>42</v>
      </c>
      <c r="CK6" s="104" t="s">
        <v>42</v>
      </c>
      <c r="CL6" s="104" t="s">
        <v>42</v>
      </c>
      <c r="CM6" s="104" t="s">
        <v>42</v>
      </c>
      <c r="CN6" s="104" t="s">
        <v>42</v>
      </c>
      <c r="CO6" s="104" t="s">
        <v>42</v>
      </c>
      <c r="CY6" s="90"/>
    </row>
    <row r="7" spans="1:103" x14ac:dyDescent="0.3">
      <c r="A7" s="105"/>
      <c r="B7" s="106"/>
      <c r="CI7" s="107"/>
      <c r="CJ7" s="107"/>
      <c r="CK7" s="107"/>
      <c r="CL7" s="107"/>
      <c r="CM7" s="107"/>
      <c r="CN7" s="107"/>
      <c r="CO7" s="107"/>
      <c r="CY7" s="90"/>
    </row>
    <row r="8" spans="1:103" x14ac:dyDescent="0.3">
      <c r="A8" s="108" t="s">
        <v>583</v>
      </c>
      <c r="B8" s="4">
        <v>-5451757.8399999999</v>
      </c>
      <c r="C8" s="4">
        <v>-5474303.4100000001</v>
      </c>
      <c r="D8" s="4">
        <v>-5496848.9800000004</v>
      </c>
      <c r="E8" s="4">
        <v>-5519394.5500000007</v>
      </c>
      <c r="F8" s="4">
        <v>-5541940.1200000001</v>
      </c>
      <c r="G8" s="4">
        <v>-5564485.6900000004</v>
      </c>
      <c r="H8" s="4">
        <v>-5587031.2600000007</v>
      </c>
      <c r="I8" s="4">
        <v>-5609576.8300000001</v>
      </c>
      <c r="J8" s="4">
        <v>-5632122.4000000004</v>
      </c>
      <c r="K8" s="4">
        <v>-5654667.9700000007</v>
      </c>
      <c r="L8" s="4">
        <v>-5677213.540000001</v>
      </c>
      <c r="M8" s="4">
        <v>-5699759.1100000013</v>
      </c>
      <c r="N8" s="4">
        <v>-5722304.6800000006</v>
      </c>
      <c r="O8" s="4">
        <v>-5744850.2500000009</v>
      </c>
      <c r="P8" s="4">
        <v>-5767395.8200000012</v>
      </c>
      <c r="Q8" s="4">
        <v>-5789941.3900000006</v>
      </c>
      <c r="R8" s="4">
        <v>-5812486.9600000009</v>
      </c>
      <c r="S8" s="4">
        <v>-5835032.5300000012</v>
      </c>
      <c r="T8" s="4">
        <v>-5857578.1000000015</v>
      </c>
      <c r="U8" s="4">
        <v>-5880123.6700000018</v>
      </c>
      <c r="V8" s="4">
        <v>-5902669.2400000012</v>
      </c>
      <c r="W8" s="4">
        <v>-5925214.8100000015</v>
      </c>
      <c r="X8" s="4">
        <v>-5947760.3800000018</v>
      </c>
      <c r="Y8" s="4">
        <v>-5970305.9500000011</v>
      </c>
      <c r="Z8" s="4">
        <v>-5992851.5200000014</v>
      </c>
      <c r="AA8" s="4">
        <v>-6015397.0900000017</v>
      </c>
      <c r="AB8" s="4">
        <v>-6037942.660000002</v>
      </c>
      <c r="AC8" s="4">
        <v>-6060488.2300000023</v>
      </c>
      <c r="AD8" s="4">
        <v>-6083033.8000000017</v>
      </c>
      <c r="AE8" s="4">
        <v>-6105579.370000002</v>
      </c>
      <c r="AF8" s="4">
        <v>-6128124.9400000023</v>
      </c>
      <c r="AG8" s="4">
        <v>-6150670.5100000016</v>
      </c>
      <c r="AH8" s="4">
        <v>-6173216.0800000019</v>
      </c>
      <c r="AI8" s="4">
        <v>-6195761.6500000022</v>
      </c>
      <c r="AJ8" s="4">
        <v>-6218307.2200000025</v>
      </c>
      <c r="AK8" s="4">
        <v>-6240852.7900000028</v>
      </c>
      <c r="AL8" s="4">
        <v>-6263398.3600000022</v>
      </c>
      <c r="AM8" s="4">
        <v>-6285943.9300000025</v>
      </c>
      <c r="AN8" s="4">
        <v>-6308489.5000000028</v>
      </c>
      <c r="AO8" s="4">
        <v>-6331035.0700000022</v>
      </c>
      <c r="AP8" s="4">
        <v>-6353580.6400000025</v>
      </c>
      <c r="AQ8" s="4">
        <v>-6376126.2100000028</v>
      </c>
      <c r="AR8" s="4">
        <v>-6398671.7800000031</v>
      </c>
      <c r="AS8" s="4">
        <v>-6421217.3500000034</v>
      </c>
      <c r="AT8" s="4">
        <v>-6443762.9200000027</v>
      </c>
      <c r="AU8" s="4">
        <v>-6466308.490000003</v>
      </c>
      <c r="AV8" s="4">
        <v>-6488854.0600000033</v>
      </c>
      <c r="AW8" s="4">
        <v>-6511399.6300000027</v>
      </c>
      <c r="AX8" s="4">
        <v>-6533945.200000003</v>
      </c>
      <c r="AY8" s="4">
        <v>-6556490.7700000033</v>
      </c>
      <c r="AZ8" s="4">
        <v>-6579036.3400000036</v>
      </c>
      <c r="BA8" s="4">
        <v>-6601581.9100000039</v>
      </c>
      <c r="BB8" s="4">
        <v>-6624127.4800000032</v>
      </c>
      <c r="BC8" s="4">
        <v>-6646673.0500000035</v>
      </c>
      <c r="BD8" s="4">
        <v>-6669218.6200000038</v>
      </c>
      <c r="BE8" s="4">
        <v>-6691764.1900000032</v>
      </c>
      <c r="BF8" s="4">
        <v>-6714309.7600000035</v>
      </c>
      <c r="BG8" s="4">
        <v>-6736855.3300000038</v>
      </c>
      <c r="BH8" s="4">
        <v>-6759400.9000000041</v>
      </c>
      <c r="BI8" s="4">
        <v>-6781946.4700000044</v>
      </c>
      <c r="BJ8" s="4">
        <v>-6804492.0400000038</v>
      </c>
      <c r="BK8" s="4">
        <v>-6827037.6100000041</v>
      </c>
      <c r="BL8" s="4">
        <v>-6849583.1800000044</v>
      </c>
      <c r="BM8" s="4">
        <v>-6872128.7500000037</v>
      </c>
      <c r="BN8" s="4">
        <v>-6894674.320000004</v>
      </c>
      <c r="BO8" s="4">
        <v>-6917219.8900000043</v>
      </c>
      <c r="BP8" s="4">
        <v>-6939765.4600000046</v>
      </c>
      <c r="BQ8" s="4">
        <v>-6962311.0300000049</v>
      </c>
      <c r="BR8" s="4">
        <v>-6984856.6000000043</v>
      </c>
      <c r="BS8" s="4">
        <v>-7007402.1700000046</v>
      </c>
      <c r="BT8" s="4">
        <v>-7029947.7400000049</v>
      </c>
      <c r="BU8" s="4">
        <v>-7052493.3100000042</v>
      </c>
      <c r="BV8" s="4">
        <v>-7075038.8800000045</v>
      </c>
      <c r="BW8" s="4">
        <v>-7097584.4500000048</v>
      </c>
      <c r="BX8" s="4">
        <v>-7120130.0200000051</v>
      </c>
      <c r="BY8" s="4">
        <v>-7142675.5900000054</v>
      </c>
      <c r="BZ8" s="4">
        <v>-7165221.1600000048</v>
      </c>
      <c r="CA8" s="4">
        <v>-7187766.7300000051</v>
      </c>
      <c r="CB8" s="4">
        <v>-7210312.3000000054</v>
      </c>
      <c r="CC8" s="4">
        <v>-7232857.8700000048</v>
      </c>
      <c r="CD8" s="4">
        <v>-7255403.4400000051</v>
      </c>
      <c r="CE8" s="4">
        <v>-7277949.0100000054</v>
      </c>
      <c r="CF8" s="4">
        <v>-7300494.5800000057</v>
      </c>
      <c r="CG8" s="4">
        <v>-7323040.150000006</v>
      </c>
      <c r="CH8" s="4">
        <v>-7345585.7200000053</v>
      </c>
      <c r="CI8" s="109">
        <v>-5587031.2599999998</v>
      </c>
      <c r="CJ8" s="109">
        <v>-5857578.1000000006</v>
      </c>
      <c r="CK8" s="109">
        <v>-6128124.9400000023</v>
      </c>
      <c r="CL8" s="109">
        <v>-6398671.7800000021</v>
      </c>
      <c r="CM8" s="109">
        <v>-6669218.6200000038</v>
      </c>
      <c r="CN8" s="109">
        <v>-6939765.4600000046</v>
      </c>
      <c r="CO8" s="109">
        <v>-7210312.3000000054</v>
      </c>
      <c r="CY8" s="90"/>
    </row>
    <row r="9" spans="1:103" x14ac:dyDescent="0.3">
      <c r="A9" s="108" t="s">
        <v>584</v>
      </c>
      <c r="B9" s="4">
        <v>-3214820</v>
      </c>
      <c r="C9" s="4">
        <v>-3220484.09</v>
      </c>
      <c r="D9" s="4">
        <v>-3226148.1799999997</v>
      </c>
      <c r="E9" s="4">
        <v>-3231812.2699999996</v>
      </c>
      <c r="F9" s="4">
        <v>-3237476.3599999994</v>
      </c>
      <c r="G9" s="4">
        <v>-3243140.4499999993</v>
      </c>
      <c r="H9" s="4">
        <v>-3248804.5399999991</v>
      </c>
      <c r="I9" s="4">
        <v>-3254468.629999999</v>
      </c>
      <c r="J9" s="4">
        <v>-3260132.7199999988</v>
      </c>
      <c r="K9" s="4">
        <v>-3265796.8099999987</v>
      </c>
      <c r="L9" s="4">
        <v>-3271460.8999999985</v>
      </c>
      <c r="M9" s="4">
        <v>-3277124.9899999984</v>
      </c>
      <c r="N9" s="4">
        <v>-3282789.0799999982</v>
      </c>
      <c r="O9" s="4">
        <v>-3288453.1699999981</v>
      </c>
      <c r="P9" s="4">
        <v>-3294117.2599999979</v>
      </c>
      <c r="Q9" s="4">
        <v>-3299781.3499999978</v>
      </c>
      <c r="R9" s="4">
        <v>-3305445.4399999976</v>
      </c>
      <c r="S9" s="4">
        <v>-3311109.5299999975</v>
      </c>
      <c r="T9" s="4">
        <v>-3316773.6199999973</v>
      </c>
      <c r="U9" s="4">
        <v>-3322437.7099999972</v>
      </c>
      <c r="V9" s="4">
        <v>-3328101.799999997</v>
      </c>
      <c r="W9" s="4">
        <v>-3333765.8899999969</v>
      </c>
      <c r="X9" s="4">
        <v>-3339429.9799999967</v>
      </c>
      <c r="Y9" s="4">
        <v>-3345094.0699999966</v>
      </c>
      <c r="Z9" s="4">
        <v>-3350758.1599999964</v>
      </c>
      <c r="AA9" s="4">
        <v>-3356422.2499999963</v>
      </c>
      <c r="AB9" s="4">
        <v>-3362086.3399999961</v>
      </c>
      <c r="AC9" s="4">
        <v>-3367750.429999996</v>
      </c>
      <c r="AD9" s="4">
        <v>-3373414.5199999958</v>
      </c>
      <c r="AE9" s="4">
        <v>-3379078.6099999957</v>
      </c>
      <c r="AF9" s="4">
        <v>-3384742.6999999955</v>
      </c>
      <c r="AG9" s="4">
        <v>-3390406.7899999954</v>
      </c>
      <c r="AH9" s="4">
        <v>-3396070.8799999952</v>
      </c>
      <c r="AI9" s="4">
        <v>-3401734.9699999951</v>
      </c>
      <c r="AJ9" s="4">
        <v>-3407399.0599999949</v>
      </c>
      <c r="AK9" s="4">
        <v>-3413063.1499999948</v>
      </c>
      <c r="AL9" s="4">
        <v>-3418727.2399999946</v>
      </c>
      <c r="AM9" s="4">
        <v>-3424391.3299999945</v>
      </c>
      <c r="AN9" s="4">
        <v>-3430055.4199999943</v>
      </c>
      <c r="AO9" s="4">
        <v>-3435719.5099999942</v>
      </c>
      <c r="AP9" s="4">
        <v>-3441383.599999994</v>
      </c>
      <c r="AQ9" s="4">
        <v>-3447047.6899999939</v>
      </c>
      <c r="AR9" s="4">
        <v>-3452711.7799999937</v>
      </c>
      <c r="AS9" s="4">
        <v>-3458375.8699999936</v>
      </c>
      <c r="AT9" s="4">
        <v>-3464039.9599999934</v>
      </c>
      <c r="AU9" s="4">
        <v>-3469704.0499999933</v>
      </c>
      <c r="AV9" s="4">
        <v>-3475368.1399999931</v>
      </c>
      <c r="AW9" s="4">
        <v>-3481032.229999993</v>
      </c>
      <c r="AX9" s="4">
        <v>-3486696.3199999928</v>
      </c>
      <c r="AY9" s="4">
        <v>-3492360.4099999927</v>
      </c>
      <c r="AZ9" s="4">
        <v>-3498024.4999999925</v>
      </c>
      <c r="BA9" s="4">
        <v>-3503688.5899999924</v>
      </c>
      <c r="BB9" s="4">
        <v>-3509352.6799999923</v>
      </c>
      <c r="BC9" s="4">
        <v>-3515016.7699999921</v>
      </c>
      <c r="BD9" s="4">
        <v>-3520680.859999992</v>
      </c>
      <c r="BE9" s="4">
        <v>-3526344.9499999918</v>
      </c>
      <c r="BF9" s="4">
        <v>-3532009.0399999917</v>
      </c>
      <c r="BG9" s="4">
        <v>-3537673.1299999915</v>
      </c>
      <c r="BH9" s="4">
        <v>-3543337.2199999914</v>
      </c>
      <c r="BI9" s="4">
        <v>-3549001.3099999912</v>
      </c>
      <c r="BJ9" s="4">
        <v>-3554665.3999999911</v>
      </c>
      <c r="BK9" s="4">
        <v>-3560329.4899999909</v>
      </c>
      <c r="BL9" s="4">
        <v>-3565993.5799999908</v>
      </c>
      <c r="BM9" s="4">
        <v>-3571657.6699999906</v>
      </c>
      <c r="BN9" s="4">
        <v>-3577321.7599999905</v>
      </c>
      <c r="BO9" s="4">
        <v>-3582985.8499999903</v>
      </c>
      <c r="BP9" s="4">
        <v>-3588649.9399999902</v>
      </c>
      <c r="BQ9" s="4">
        <v>-3594314.02999999</v>
      </c>
      <c r="BR9" s="4">
        <v>-3599978.1199999899</v>
      </c>
      <c r="BS9" s="4">
        <v>-3605642.2099999897</v>
      </c>
      <c r="BT9" s="4">
        <v>-3611306.2999999896</v>
      </c>
      <c r="BU9" s="4">
        <v>-3616970.3899999894</v>
      </c>
      <c r="BV9" s="4">
        <v>-3622634.4799999893</v>
      </c>
      <c r="BW9" s="4">
        <v>-3628298.5699999891</v>
      </c>
      <c r="BX9" s="4">
        <v>-3633962.659999989</v>
      </c>
      <c r="BY9" s="4">
        <v>-3639626.7499999888</v>
      </c>
      <c r="BZ9" s="4">
        <v>-3645290.8399999887</v>
      </c>
      <c r="CA9" s="4">
        <v>-3650954.9299999885</v>
      </c>
      <c r="CB9" s="4">
        <v>-3656619.0199999884</v>
      </c>
      <c r="CC9" s="4">
        <v>-3662283.1099999882</v>
      </c>
      <c r="CD9" s="4">
        <v>-3667947.1999999881</v>
      </c>
      <c r="CE9" s="4">
        <v>-3673611.2899999879</v>
      </c>
      <c r="CF9" s="4">
        <v>-3679275.3799999878</v>
      </c>
      <c r="CG9" s="4">
        <v>-3684939.4699999876</v>
      </c>
      <c r="CH9" s="4">
        <v>-3690603.5599999875</v>
      </c>
      <c r="CI9" s="109">
        <v>-3248804.5399999986</v>
      </c>
      <c r="CJ9" s="109">
        <v>-3316773.6199999969</v>
      </c>
      <c r="CK9" s="109">
        <v>-3384742.699999996</v>
      </c>
      <c r="CL9" s="109">
        <v>-3452711.7799999942</v>
      </c>
      <c r="CM9" s="109">
        <v>-3520680.8599999924</v>
      </c>
      <c r="CN9" s="109">
        <v>-3588649.9399999906</v>
      </c>
      <c r="CO9" s="109">
        <v>-3656619.0199999888</v>
      </c>
      <c r="CY9" s="90"/>
    </row>
    <row r="10" spans="1:103" x14ac:dyDescent="0.3">
      <c r="A10" s="108" t="s">
        <v>585</v>
      </c>
      <c r="B10" s="4">
        <v>-3850692</v>
      </c>
      <c r="C10" s="4">
        <v>-3859664.16</v>
      </c>
      <c r="D10" s="4">
        <v>-3868636.3200000003</v>
      </c>
      <c r="E10" s="4">
        <v>-3877608.4800000004</v>
      </c>
      <c r="F10" s="4">
        <v>-3886580.6400000006</v>
      </c>
      <c r="G10" s="4">
        <v>-3895552.8000000007</v>
      </c>
      <c r="H10" s="4">
        <v>-3904524.9600000009</v>
      </c>
      <c r="I10" s="4">
        <v>-3913497.120000001</v>
      </c>
      <c r="J10" s="4">
        <v>-3922469.2800000012</v>
      </c>
      <c r="K10" s="4">
        <v>-3931441.4400000013</v>
      </c>
      <c r="L10" s="4">
        <v>-3940413.6000000015</v>
      </c>
      <c r="M10" s="4">
        <v>-3949385.7600000016</v>
      </c>
      <c r="N10" s="4">
        <v>-3958357.9200000018</v>
      </c>
      <c r="O10" s="4">
        <v>-3967330.0800000019</v>
      </c>
      <c r="P10" s="4">
        <v>-3976302.2400000021</v>
      </c>
      <c r="Q10" s="4">
        <v>-3985274.4000000022</v>
      </c>
      <c r="R10" s="4">
        <v>-3994246.5600000024</v>
      </c>
      <c r="S10" s="4">
        <v>-4003218.7200000025</v>
      </c>
      <c r="T10" s="4">
        <v>-4012190.8800000027</v>
      </c>
      <c r="U10" s="4">
        <v>-4021163.0400000028</v>
      </c>
      <c r="V10" s="4">
        <v>-4030135.200000003</v>
      </c>
      <c r="W10" s="4">
        <v>-4039107.3600000031</v>
      </c>
      <c r="X10" s="4">
        <v>-4048079.5200000033</v>
      </c>
      <c r="Y10" s="4">
        <v>-4057051.6800000034</v>
      </c>
      <c r="Z10" s="4">
        <v>-4066023.8400000036</v>
      </c>
      <c r="AA10" s="4">
        <v>-4074996.0000000037</v>
      </c>
      <c r="AB10" s="4">
        <v>-4083968.1600000039</v>
      </c>
      <c r="AC10" s="4">
        <v>-4092940.320000004</v>
      </c>
      <c r="AD10" s="4">
        <v>-4101912.4800000042</v>
      </c>
      <c r="AE10" s="4">
        <v>-4110884.6400000043</v>
      </c>
      <c r="AF10" s="4">
        <v>-4119856.8000000045</v>
      </c>
      <c r="AG10" s="4">
        <v>-4128828.9600000046</v>
      </c>
      <c r="AH10" s="4">
        <v>-4137801.1200000048</v>
      </c>
      <c r="AI10" s="4">
        <v>-4146773.2800000049</v>
      </c>
      <c r="AJ10" s="4">
        <v>-4155745.4400000051</v>
      </c>
      <c r="AK10" s="4">
        <v>-4164717.6000000052</v>
      </c>
      <c r="AL10" s="4">
        <v>-4173689.7600000054</v>
      </c>
      <c r="AM10" s="4">
        <v>-4182661.9200000055</v>
      </c>
      <c r="AN10" s="4">
        <v>-4191634.0800000057</v>
      </c>
      <c r="AO10" s="4">
        <v>-4200606.2400000058</v>
      </c>
      <c r="AP10" s="4">
        <v>-4209578.400000006</v>
      </c>
      <c r="AQ10" s="4">
        <v>-4218550.5600000061</v>
      </c>
      <c r="AR10" s="4">
        <v>-4227522.7200000063</v>
      </c>
      <c r="AS10" s="4">
        <v>-4236494.8800000064</v>
      </c>
      <c r="AT10" s="4">
        <v>-4245467.0400000066</v>
      </c>
      <c r="AU10" s="4">
        <v>-4254439.2000000067</v>
      </c>
      <c r="AV10" s="4">
        <v>-4263411.3600000069</v>
      </c>
      <c r="AW10" s="4">
        <v>-4272383.520000007</v>
      </c>
      <c r="AX10" s="4">
        <v>-4281355.6800000072</v>
      </c>
      <c r="AY10" s="4">
        <v>-4290327.8400000073</v>
      </c>
      <c r="AZ10" s="4">
        <v>-4299300.0000000075</v>
      </c>
      <c r="BA10" s="4">
        <v>-4308272.1600000076</v>
      </c>
      <c r="BB10" s="4">
        <v>-4317244.3200000077</v>
      </c>
      <c r="BC10" s="4">
        <v>-4326216.4800000079</v>
      </c>
      <c r="BD10" s="4">
        <v>-4335188.640000008</v>
      </c>
      <c r="BE10" s="4">
        <v>-4344160.8000000082</v>
      </c>
      <c r="BF10" s="4">
        <v>-4353132.9600000083</v>
      </c>
      <c r="BG10" s="4">
        <v>-4362105.1200000085</v>
      </c>
      <c r="BH10" s="4">
        <v>-4371077.2800000086</v>
      </c>
      <c r="BI10" s="4">
        <v>-4380049.4400000088</v>
      </c>
      <c r="BJ10" s="4">
        <v>-4389021.6000000089</v>
      </c>
      <c r="BK10" s="4">
        <v>-4397993.7600000091</v>
      </c>
      <c r="BL10" s="4">
        <v>-4406965.9200000092</v>
      </c>
      <c r="BM10" s="4">
        <v>-4415938.0800000094</v>
      </c>
      <c r="BN10" s="4">
        <v>-4424910.2400000095</v>
      </c>
      <c r="BO10" s="4">
        <v>-4433882.4000000097</v>
      </c>
      <c r="BP10" s="4">
        <v>-4442854.5600000098</v>
      </c>
      <c r="BQ10" s="4">
        <v>-4451826.72000001</v>
      </c>
      <c r="BR10" s="4">
        <v>-4460798.8800000101</v>
      </c>
      <c r="BS10" s="4">
        <v>-4469771.0400000103</v>
      </c>
      <c r="BT10" s="4">
        <v>-4478743.2000000104</v>
      </c>
      <c r="BU10" s="4">
        <v>-4487715.3600000106</v>
      </c>
      <c r="BV10" s="4">
        <v>-4496687.5200000107</v>
      </c>
      <c r="BW10" s="4">
        <v>-4505659.6800000109</v>
      </c>
      <c r="BX10" s="4">
        <v>-4514631.840000011</v>
      </c>
      <c r="BY10" s="4">
        <v>-4523604.0000000112</v>
      </c>
      <c r="BZ10" s="4">
        <v>-4532576.1600000113</v>
      </c>
      <c r="CA10" s="4">
        <v>-4541548.3200000115</v>
      </c>
      <c r="CB10" s="4">
        <v>-4550520.4800000116</v>
      </c>
      <c r="CC10" s="4">
        <v>-4559492.6400000118</v>
      </c>
      <c r="CD10" s="4">
        <v>-4568464.8000000119</v>
      </c>
      <c r="CE10" s="4">
        <v>-4577436.9600000121</v>
      </c>
      <c r="CF10" s="4">
        <v>-4586409.1200000122</v>
      </c>
      <c r="CG10" s="4">
        <v>-4595381.2800000124</v>
      </c>
      <c r="CH10" s="4">
        <v>-4604353.4400000125</v>
      </c>
      <c r="CI10" s="109">
        <v>-3904524.9600000004</v>
      </c>
      <c r="CJ10" s="109">
        <v>-4012190.8800000022</v>
      </c>
      <c r="CK10" s="109">
        <v>-4119856.800000004</v>
      </c>
      <c r="CL10" s="109">
        <v>-4227522.7200000053</v>
      </c>
      <c r="CM10" s="109">
        <v>-4335188.6400000071</v>
      </c>
      <c r="CN10" s="109">
        <v>-4442854.5600000089</v>
      </c>
      <c r="CO10" s="109">
        <v>-4550520.4800000107</v>
      </c>
      <c r="CY10" s="90"/>
    </row>
    <row r="11" spans="1:103" x14ac:dyDescent="0.3">
      <c r="A11" s="108" t="s">
        <v>586</v>
      </c>
      <c r="B11" s="4">
        <v>-204380</v>
      </c>
      <c r="C11" s="4">
        <v>-204355.83000000002</v>
      </c>
      <c r="D11" s="4">
        <v>-204331.66000000003</v>
      </c>
      <c r="E11" s="4">
        <v>-204307.49000000005</v>
      </c>
      <c r="F11" s="4">
        <v>-204283.32000000007</v>
      </c>
      <c r="G11" s="4">
        <v>-204259.15000000008</v>
      </c>
      <c r="H11" s="4">
        <v>-204234.9800000001</v>
      </c>
      <c r="I11" s="4">
        <v>-204210.81000000011</v>
      </c>
      <c r="J11" s="4">
        <v>-204186.64000000013</v>
      </c>
      <c r="K11" s="4">
        <v>-204162.47000000015</v>
      </c>
      <c r="L11" s="4">
        <v>-204138.30000000016</v>
      </c>
      <c r="M11" s="4">
        <v>-204114.13000000018</v>
      </c>
      <c r="N11" s="4">
        <v>-204089.9600000002</v>
      </c>
      <c r="O11" s="4">
        <v>-204065.79000000021</v>
      </c>
      <c r="P11" s="4">
        <v>-204041.62000000023</v>
      </c>
      <c r="Q11" s="4">
        <v>-204017.45000000024</v>
      </c>
      <c r="R11" s="4">
        <v>-203993.28000000026</v>
      </c>
      <c r="S11" s="4">
        <v>-203969.11000000028</v>
      </c>
      <c r="T11" s="4">
        <v>-203944.94000000029</v>
      </c>
      <c r="U11" s="4">
        <v>-203920.77000000031</v>
      </c>
      <c r="V11" s="4">
        <v>-203896.60000000033</v>
      </c>
      <c r="W11" s="4">
        <v>-203872.43000000034</v>
      </c>
      <c r="X11" s="4">
        <v>-203848.26000000036</v>
      </c>
      <c r="Y11" s="4">
        <v>-203824.09000000037</v>
      </c>
      <c r="Z11" s="4">
        <v>-203799.92000000039</v>
      </c>
      <c r="AA11" s="4">
        <v>-203775.75000000041</v>
      </c>
      <c r="AB11" s="4">
        <v>-203751.58000000042</v>
      </c>
      <c r="AC11" s="4">
        <v>-203727.41000000044</v>
      </c>
      <c r="AD11" s="4">
        <v>-203703.24000000046</v>
      </c>
      <c r="AE11" s="4">
        <v>-203679.07000000047</v>
      </c>
      <c r="AF11" s="4">
        <v>-203654.90000000049</v>
      </c>
      <c r="AG11" s="4">
        <v>-203630.73000000051</v>
      </c>
      <c r="AH11" s="4">
        <v>-203606.56000000052</v>
      </c>
      <c r="AI11" s="4">
        <v>-203582.39000000054</v>
      </c>
      <c r="AJ11" s="4">
        <v>-203558.22000000055</v>
      </c>
      <c r="AK11" s="4">
        <v>-203534.05000000057</v>
      </c>
      <c r="AL11" s="4">
        <v>-203509.88000000059</v>
      </c>
      <c r="AM11" s="4">
        <v>-203485.7100000006</v>
      </c>
      <c r="AN11" s="4">
        <v>-203461.54000000062</v>
      </c>
      <c r="AO11" s="4">
        <v>-203437.37000000058</v>
      </c>
      <c r="AP11" s="4">
        <v>-203413.20000000054</v>
      </c>
      <c r="AQ11" s="4">
        <v>-203389.03000000049</v>
      </c>
      <c r="AR11" s="4">
        <v>-203364.86000000045</v>
      </c>
      <c r="AS11" s="4">
        <v>-203340.69000000041</v>
      </c>
      <c r="AT11" s="4">
        <v>-203316.52000000037</v>
      </c>
      <c r="AU11" s="4">
        <v>-203292.35000000033</v>
      </c>
      <c r="AV11" s="4">
        <v>-203268.18000000028</v>
      </c>
      <c r="AW11" s="4">
        <v>-203244.01000000024</v>
      </c>
      <c r="AX11" s="4">
        <v>-203219.8400000002</v>
      </c>
      <c r="AY11" s="4">
        <v>-203195.67000000016</v>
      </c>
      <c r="AZ11" s="4">
        <v>-203171.50000000012</v>
      </c>
      <c r="BA11" s="4">
        <v>-203147.33000000007</v>
      </c>
      <c r="BB11" s="4">
        <v>-203123.16000000003</v>
      </c>
      <c r="BC11" s="4">
        <v>-203098.99</v>
      </c>
      <c r="BD11" s="4">
        <v>-203074.81999999995</v>
      </c>
      <c r="BE11" s="4">
        <v>-203050.64999999991</v>
      </c>
      <c r="BF11" s="4">
        <v>-203026.47999999986</v>
      </c>
      <c r="BG11" s="4">
        <v>-203002.30999999982</v>
      </c>
      <c r="BH11" s="4">
        <v>-202978.13999999978</v>
      </c>
      <c r="BI11" s="4">
        <v>-202953.96999999974</v>
      </c>
      <c r="BJ11" s="4">
        <v>-202929.7999999997</v>
      </c>
      <c r="BK11" s="4">
        <v>-202905.62999999966</v>
      </c>
      <c r="BL11" s="4">
        <v>-202881.45999999961</v>
      </c>
      <c r="BM11" s="4">
        <v>-202857.28999999957</v>
      </c>
      <c r="BN11" s="4">
        <v>-202833.11999999953</v>
      </c>
      <c r="BO11" s="4">
        <v>-202808.94999999949</v>
      </c>
      <c r="BP11" s="4">
        <v>-202784.77999999945</v>
      </c>
      <c r="BQ11" s="4">
        <v>-202760.6099999994</v>
      </c>
      <c r="BR11" s="4">
        <v>-202736.43999999936</v>
      </c>
      <c r="BS11" s="4">
        <v>-202712.26999999932</v>
      </c>
      <c r="BT11" s="4">
        <v>-202688.09999999928</v>
      </c>
      <c r="BU11" s="4">
        <v>-202663.92999999924</v>
      </c>
      <c r="BV11" s="4">
        <v>-202639.75999999919</v>
      </c>
      <c r="BW11" s="4">
        <v>-202615.58999999915</v>
      </c>
      <c r="BX11" s="4">
        <v>-202591.41999999911</v>
      </c>
      <c r="BY11" s="4">
        <v>-202567.24999999907</v>
      </c>
      <c r="BZ11" s="4">
        <v>-202543.07999999903</v>
      </c>
      <c r="CA11" s="4">
        <v>-202518.90999999898</v>
      </c>
      <c r="CB11" s="4">
        <v>-202494.73999999894</v>
      </c>
      <c r="CC11" s="4">
        <v>-202470.5699999989</v>
      </c>
      <c r="CD11" s="4">
        <v>-202446.39999999886</v>
      </c>
      <c r="CE11" s="4">
        <v>-202422.22999999882</v>
      </c>
      <c r="CF11" s="4">
        <v>-202398.05999999878</v>
      </c>
      <c r="CG11" s="4">
        <v>-202373.88999999873</v>
      </c>
      <c r="CH11" s="4">
        <v>-202349.71999999869</v>
      </c>
      <c r="CI11" s="109">
        <v>-204234.9800000001</v>
      </c>
      <c r="CJ11" s="109">
        <v>-203944.94000000029</v>
      </c>
      <c r="CK11" s="109">
        <v>-203654.90000000052</v>
      </c>
      <c r="CL11" s="109">
        <v>-203364.86000000045</v>
      </c>
      <c r="CM11" s="109">
        <v>-203074.81999999998</v>
      </c>
      <c r="CN11" s="109">
        <v>-202784.77999999947</v>
      </c>
      <c r="CO11" s="109">
        <v>-202494.73999999897</v>
      </c>
      <c r="CY11" s="90"/>
    </row>
    <row r="12" spans="1:103" x14ac:dyDescent="0.3">
      <c r="A12" s="8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09"/>
      <c r="CJ12" s="109"/>
      <c r="CK12" s="109"/>
      <c r="CL12" s="109"/>
      <c r="CM12" s="109"/>
      <c r="CN12" s="109"/>
      <c r="CO12" s="109"/>
      <c r="CY12" s="90"/>
    </row>
    <row r="13" spans="1:103" x14ac:dyDescent="0.3">
      <c r="A13" s="108" t="s">
        <v>587</v>
      </c>
      <c r="B13" s="4">
        <v>-68154965</v>
      </c>
      <c r="C13" s="4">
        <v>-68301329.75</v>
      </c>
      <c r="D13" s="4">
        <v>-68447694.5</v>
      </c>
      <c r="E13" s="4">
        <v>-68594059.25</v>
      </c>
      <c r="F13" s="4">
        <v>-68740424</v>
      </c>
      <c r="G13" s="4">
        <v>-68886788.749999985</v>
      </c>
      <c r="H13" s="4">
        <v>-69033153.499999985</v>
      </c>
      <c r="I13" s="4">
        <v>-69179518.249999985</v>
      </c>
      <c r="J13" s="4">
        <v>-69325882.999999985</v>
      </c>
      <c r="K13" s="4">
        <v>-69472247.749999985</v>
      </c>
      <c r="L13" s="4">
        <v>-69618612.499999985</v>
      </c>
      <c r="M13" s="4">
        <v>-69764977.249999985</v>
      </c>
      <c r="N13" s="4">
        <v>-69911341.99999997</v>
      </c>
      <c r="O13" s="4">
        <v>-70057706.74999997</v>
      </c>
      <c r="P13" s="4">
        <v>-70204071.49999997</v>
      </c>
      <c r="Q13" s="4">
        <v>-70350436.24999997</v>
      </c>
      <c r="R13" s="4">
        <v>-70496800.99999997</v>
      </c>
      <c r="S13" s="4">
        <v>-70643165.74999997</v>
      </c>
      <c r="T13" s="4">
        <v>-70789530.49999997</v>
      </c>
      <c r="U13" s="4">
        <v>-70935895.24999997</v>
      </c>
      <c r="V13" s="4">
        <v>-71082259.99999997</v>
      </c>
      <c r="W13" s="4">
        <v>-71228624.749999955</v>
      </c>
      <c r="X13" s="4">
        <v>-71374989.499999955</v>
      </c>
      <c r="Y13" s="4">
        <v>-71521354.249999955</v>
      </c>
      <c r="Z13" s="4">
        <v>-71667718.999999955</v>
      </c>
      <c r="AA13" s="4">
        <v>-71814083.749999955</v>
      </c>
      <c r="AB13" s="4">
        <v>-71960448.499999955</v>
      </c>
      <c r="AC13" s="4">
        <v>-72106813.249999955</v>
      </c>
      <c r="AD13" s="4">
        <v>-72253177.99999994</v>
      </c>
      <c r="AE13" s="4">
        <v>-72399542.74999994</v>
      </c>
      <c r="AF13" s="4">
        <v>-72545907.49999994</v>
      </c>
      <c r="AG13" s="4">
        <v>-72692272.24999994</v>
      </c>
      <c r="AH13" s="4">
        <v>-72838636.99999994</v>
      </c>
      <c r="AI13" s="4">
        <v>-72985001.74999994</v>
      </c>
      <c r="AJ13" s="4">
        <v>-73131366.49999994</v>
      </c>
      <c r="AK13" s="4">
        <v>-73277731.24999994</v>
      </c>
      <c r="AL13" s="4">
        <v>-73424095.99999994</v>
      </c>
      <c r="AM13" s="4">
        <v>-73570460.749999925</v>
      </c>
      <c r="AN13" s="4">
        <v>-73716825.499999925</v>
      </c>
      <c r="AO13" s="4">
        <v>-73863190.249999925</v>
      </c>
      <c r="AP13" s="4">
        <v>-74009554.999999925</v>
      </c>
      <c r="AQ13" s="4">
        <v>-74155919.749999925</v>
      </c>
      <c r="AR13" s="4">
        <v>-74302284.499999925</v>
      </c>
      <c r="AS13" s="4">
        <v>-74448649.249999925</v>
      </c>
      <c r="AT13" s="4">
        <v>-74595013.999999911</v>
      </c>
      <c r="AU13" s="4">
        <v>-74741378.749999911</v>
      </c>
      <c r="AV13" s="4">
        <v>-74887743.499999911</v>
      </c>
      <c r="AW13" s="4">
        <v>-75034108.249999911</v>
      </c>
      <c r="AX13" s="4">
        <v>-75180472.999999911</v>
      </c>
      <c r="AY13" s="4">
        <v>-75326837.749999911</v>
      </c>
      <c r="AZ13" s="4">
        <v>-75473202.499999911</v>
      </c>
      <c r="BA13" s="4">
        <v>-75619567.249999911</v>
      </c>
      <c r="BB13" s="4">
        <v>-75765931.999999911</v>
      </c>
      <c r="BC13" s="4">
        <v>-75912296.749999896</v>
      </c>
      <c r="BD13" s="4">
        <v>-76058661.499999896</v>
      </c>
      <c r="BE13" s="4">
        <v>-76205026.249999896</v>
      </c>
      <c r="BF13" s="4">
        <v>-76351390.999999896</v>
      </c>
      <c r="BG13" s="4">
        <v>-76497755.749999896</v>
      </c>
      <c r="BH13" s="4">
        <v>-76644120.499999896</v>
      </c>
      <c r="BI13" s="4">
        <v>-76790485.249999896</v>
      </c>
      <c r="BJ13" s="4">
        <v>-76936849.999999881</v>
      </c>
      <c r="BK13" s="4">
        <v>-77083214.749999881</v>
      </c>
      <c r="BL13" s="4">
        <v>-77229579.499999881</v>
      </c>
      <c r="BM13" s="4">
        <v>-77375944.249999881</v>
      </c>
      <c r="BN13" s="4">
        <v>-77522308.999999881</v>
      </c>
      <c r="BO13" s="4">
        <v>-77668673.749999881</v>
      </c>
      <c r="BP13" s="4">
        <v>-77815038.499999881</v>
      </c>
      <c r="BQ13" s="4">
        <v>-77961403.249999881</v>
      </c>
      <c r="BR13" s="4">
        <v>-78107767.999999881</v>
      </c>
      <c r="BS13" s="4">
        <v>-78254132.749999866</v>
      </c>
      <c r="BT13" s="4">
        <v>-78400497.499999866</v>
      </c>
      <c r="BU13" s="4">
        <v>-78546862.249999866</v>
      </c>
      <c r="BV13" s="4">
        <v>-78693226.999999866</v>
      </c>
      <c r="BW13" s="4">
        <v>-78839591.749999866</v>
      </c>
      <c r="BX13" s="4">
        <v>-78985956.499999866</v>
      </c>
      <c r="BY13" s="4">
        <v>-79132321.249999866</v>
      </c>
      <c r="BZ13" s="4">
        <v>-79278685.999999851</v>
      </c>
      <c r="CA13" s="4">
        <v>-79425050.749999851</v>
      </c>
      <c r="CB13" s="4">
        <v>-79571415.499999851</v>
      </c>
      <c r="CC13" s="4">
        <v>-79717780.249999851</v>
      </c>
      <c r="CD13" s="4">
        <v>-79864144.999999851</v>
      </c>
      <c r="CE13" s="4">
        <v>-80010509.749999851</v>
      </c>
      <c r="CF13" s="4">
        <v>-80156874.499999851</v>
      </c>
      <c r="CG13" s="4">
        <v>-80303239.249999851</v>
      </c>
      <c r="CH13" s="4">
        <v>-80449603.999999851</v>
      </c>
      <c r="CI13" s="109">
        <v>-69033153.5</v>
      </c>
      <c r="CJ13" s="109">
        <v>-70789530.499999985</v>
      </c>
      <c r="CK13" s="109">
        <v>-72545907.49999997</v>
      </c>
      <c r="CL13" s="109">
        <v>-74302284.499999911</v>
      </c>
      <c r="CM13" s="109">
        <v>-76058661.499999896</v>
      </c>
      <c r="CN13" s="109">
        <v>-77815038.499999881</v>
      </c>
      <c r="CO13" s="109">
        <v>-79571415.499999866</v>
      </c>
      <c r="CY13" s="90"/>
    </row>
    <row r="14" spans="1:103" x14ac:dyDescent="0.3">
      <c r="A14" s="108" t="s">
        <v>588</v>
      </c>
      <c r="B14" s="4">
        <v>-1297086</v>
      </c>
      <c r="C14" s="4">
        <v>-1328580</v>
      </c>
      <c r="D14" s="4">
        <v>-1360074</v>
      </c>
      <c r="E14" s="4">
        <v>-1391568</v>
      </c>
      <c r="F14" s="4">
        <v>-1423062</v>
      </c>
      <c r="G14" s="4">
        <v>-1454556</v>
      </c>
      <c r="H14" s="4">
        <v>-1486050</v>
      </c>
      <c r="I14" s="4">
        <v>-1517544</v>
      </c>
      <c r="J14" s="4">
        <v>-1549038</v>
      </c>
      <c r="K14" s="4">
        <v>-1580532</v>
      </c>
      <c r="L14" s="4">
        <v>-1612026</v>
      </c>
      <c r="M14" s="4">
        <v>-1643520</v>
      </c>
      <c r="N14" s="4">
        <v>-1675014</v>
      </c>
      <c r="O14" s="4">
        <v>-1706508</v>
      </c>
      <c r="P14" s="4">
        <v>-1738002</v>
      </c>
      <c r="Q14" s="4">
        <v>-1769496</v>
      </c>
      <c r="R14" s="4">
        <v>-1800990</v>
      </c>
      <c r="S14" s="4">
        <v>-1832484</v>
      </c>
      <c r="T14" s="4">
        <v>-1863978</v>
      </c>
      <c r="U14" s="4">
        <v>-1895472</v>
      </c>
      <c r="V14" s="4">
        <v>-1926966</v>
      </c>
      <c r="W14" s="4">
        <v>-1958460</v>
      </c>
      <c r="X14" s="4">
        <v>-1989954</v>
      </c>
      <c r="Y14" s="4">
        <v>-2021448</v>
      </c>
      <c r="Z14" s="4">
        <v>-2052942</v>
      </c>
      <c r="AA14" s="4">
        <v>-2084436</v>
      </c>
      <c r="AB14" s="4">
        <v>-2115930</v>
      </c>
      <c r="AC14" s="4">
        <v>-2147424</v>
      </c>
      <c r="AD14" s="4">
        <v>-2178918</v>
      </c>
      <c r="AE14" s="4">
        <v>-2210412</v>
      </c>
      <c r="AF14" s="4">
        <v>-2241906</v>
      </c>
      <c r="AG14" s="4">
        <v>-2273400</v>
      </c>
      <c r="AH14" s="4">
        <v>-2304894</v>
      </c>
      <c r="AI14" s="4">
        <v>-2336388</v>
      </c>
      <c r="AJ14" s="4">
        <v>-2367882</v>
      </c>
      <c r="AK14" s="4">
        <v>-2399376</v>
      </c>
      <c r="AL14" s="4">
        <v>-2430870</v>
      </c>
      <c r="AM14" s="4">
        <v>-2462364</v>
      </c>
      <c r="AN14" s="4">
        <v>-2493858</v>
      </c>
      <c r="AO14" s="4">
        <v>-2525352</v>
      </c>
      <c r="AP14" s="4">
        <v>-2556846</v>
      </c>
      <c r="AQ14" s="4">
        <v>-2588340</v>
      </c>
      <c r="AR14" s="4">
        <v>-2619834</v>
      </c>
      <c r="AS14" s="4">
        <v>-2651328</v>
      </c>
      <c r="AT14" s="4">
        <v>-2682822</v>
      </c>
      <c r="AU14" s="4">
        <v>-2714316</v>
      </c>
      <c r="AV14" s="4">
        <v>-2745810</v>
      </c>
      <c r="AW14" s="4">
        <v>-2777304</v>
      </c>
      <c r="AX14" s="4">
        <v>-2808798</v>
      </c>
      <c r="AY14" s="4">
        <v>-2840292</v>
      </c>
      <c r="AZ14" s="4">
        <v>-2871786</v>
      </c>
      <c r="BA14" s="4">
        <v>-2903280</v>
      </c>
      <c r="BB14" s="4">
        <v>-2934774</v>
      </c>
      <c r="BC14" s="4">
        <v>-2966268</v>
      </c>
      <c r="BD14" s="4">
        <v>-2997762</v>
      </c>
      <c r="BE14" s="4">
        <v>-3029256</v>
      </c>
      <c r="BF14" s="4">
        <v>-3060750</v>
      </c>
      <c r="BG14" s="4">
        <v>-3092244</v>
      </c>
      <c r="BH14" s="4">
        <v>-3123738</v>
      </c>
      <c r="BI14" s="4">
        <v>-3155232</v>
      </c>
      <c r="BJ14" s="4">
        <v>-3186726</v>
      </c>
      <c r="BK14" s="4">
        <v>-3218220</v>
      </c>
      <c r="BL14" s="4">
        <v>-3249714</v>
      </c>
      <c r="BM14" s="4">
        <v>-3281208</v>
      </c>
      <c r="BN14" s="4">
        <v>-3312702</v>
      </c>
      <c r="BO14" s="4">
        <v>-3344196</v>
      </c>
      <c r="BP14" s="4">
        <v>-3375690</v>
      </c>
      <c r="BQ14" s="4">
        <v>-3407184</v>
      </c>
      <c r="BR14" s="4">
        <v>-3438678</v>
      </c>
      <c r="BS14" s="4">
        <v>-3470172</v>
      </c>
      <c r="BT14" s="4">
        <v>-3501666</v>
      </c>
      <c r="BU14" s="4">
        <v>-3533160</v>
      </c>
      <c r="BV14" s="4">
        <v>-3564654</v>
      </c>
      <c r="BW14" s="4">
        <v>-3596148</v>
      </c>
      <c r="BX14" s="4">
        <v>-3627642</v>
      </c>
      <c r="BY14" s="4">
        <v>-3659136</v>
      </c>
      <c r="BZ14" s="4">
        <v>-3690630</v>
      </c>
      <c r="CA14" s="4">
        <v>-3722124</v>
      </c>
      <c r="CB14" s="4">
        <v>-3753618</v>
      </c>
      <c r="CC14" s="4">
        <v>-3785112</v>
      </c>
      <c r="CD14" s="4">
        <v>-3816606</v>
      </c>
      <c r="CE14" s="4">
        <v>-3848100</v>
      </c>
      <c r="CF14" s="4">
        <v>-3879594</v>
      </c>
      <c r="CG14" s="4">
        <v>-3911088</v>
      </c>
      <c r="CH14" s="4">
        <v>-3942582</v>
      </c>
      <c r="CI14" s="109">
        <v>-1486050</v>
      </c>
      <c r="CJ14" s="109">
        <v>-1863978</v>
      </c>
      <c r="CK14" s="109">
        <v>-2241906</v>
      </c>
      <c r="CL14" s="109">
        <v>-2619834</v>
      </c>
      <c r="CM14" s="109">
        <v>-2997762</v>
      </c>
      <c r="CN14" s="109">
        <v>-3375690</v>
      </c>
      <c r="CO14" s="109">
        <v>-3753618</v>
      </c>
      <c r="CY14" s="90"/>
    </row>
    <row r="15" spans="1:103" x14ac:dyDescent="0.3">
      <c r="A15" s="108" t="s">
        <v>589</v>
      </c>
      <c r="B15" s="4">
        <v>-63390</v>
      </c>
      <c r="C15" s="4">
        <v>-63656.750000000015</v>
      </c>
      <c r="D15" s="4">
        <v>-63923.500000000029</v>
      </c>
      <c r="E15" s="4">
        <v>-64190.250000000044</v>
      </c>
      <c r="F15" s="4">
        <v>-64457.000000000058</v>
      </c>
      <c r="G15" s="4">
        <v>-64723.750000000073</v>
      </c>
      <c r="H15" s="4">
        <v>-64990.500000000087</v>
      </c>
      <c r="I15" s="4">
        <v>-65257.250000000102</v>
      </c>
      <c r="J15" s="4">
        <v>-65524.000000000116</v>
      </c>
      <c r="K15" s="4">
        <v>-65790.750000000131</v>
      </c>
      <c r="L15" s="4">
        <v>-66057.500000000146</v>
      </c>
      <c r="M15" s="4">
        <v>-66324.25000000016</v>
      </c>
      <c r="N15" s="4">
        <v>-66591.000000000175</v>
      </c>
      <c r="O15" s="4">
        <v>-66857.750000000189</v>
      </c>
      <c r="P15" s="4">
        <v>-67124.500000000204</v>
      </c>
      <c r="Q15" s="4">
        <v>-67391.250000000218</v>
      </c>
      <c r="R15" s="4">
        <v>-67658.000000000233</v>
      </c>
      <c r="S15" s="4">
        <v>-67924.750000000247</v>
      </c>
      <c r="T15" s="4">
        <v>-68191.500000000262</v>
      </c>
      <c r="U15" s="4">
        <v>-68458.250000000276</v>
      </c>
      <c r="V15" s="4">
        <v>-68725.000000000291</v>
      </c>
      <c r="W15" s="4">
        <v>-68991.750000000306</v>
      </c>
      <c r="X15" s="4">
        <v>-69258.50000000032</v>
      </c>
      <c r="Y15" s="4">
        <v>-69525.250000000335</v>
      </c>
      <c r="Z15" s="4">
        <v>-69792.000000000349</v>
      </c>
      <c r="AA15" s="4">
        <v>-70058.750000000364</v>
      </c>
      <c r="AB15" s="4">
        <v>-70325.500000000378</v>
      </c>
      <c r="AC15" s="4">
        <v>-70592.250000000393</v>
      </c>
      <c r="AD15" s="4">
        <v>-70859.000000000407</v>
      </c>
      <c r="AE15" s="4">
        <v>-71125.750000000422</v>
      </c>
      <c r="AF15" s="4">
        <v>-71392.500000000437</v>
      </c>
      <c r="AG15" s="4">
        <v>-71659.250000000451</v>
      </c>
      <c r="AH15" s="4">
        <v>-71926.000000000466</v>
      </c>
      <c r="AI15" s="4">
        <v>-72192.75000000048</v>
      </c>
      <c r="AJ15" s="4">
        <v>-72459.500000000495</v>
      </c>
      <c r="AK15" s="4">
        <v>-72726.250000000509</v>
      </c>
      <c r="AL15" s="4">
        <v>-72993.000000000524</v>
      </c>
      <c r="AM15" s="4">
        <v>-73259.750000000538</v>
      </c>
      <c r="AN15" s="4">
        <v>-73526.500000000553</v>
      </c>
      <c r="AO15" s="4">
        <v>-73793.250000000568</v>
      </c>
      <c r="AP15" s="4">
        <v>-74060.000000000582</v>
      </c>
      <c r="AQ15" s="4">
        <v>-74326.750000000597</v>
      </c>
      <c r="AR15" s="4">
        <v>-74593.500000000611</v>
      </c>
      <c r="AS15" s="4">
        <v>-74860.250000000626</v>
      </c>
      <c r="AT15" s="4">
        <v>-75127.00000000064</v>
      </c>
      <c r="AU15" s="4">
        <v>-75393.750000000655</v>
      </c>
      <c r="AV15" s="4">
        <v>-75660.500000000669</v>
      </c>
      <c r="AW15" s="4">
        <v>-75927.250000000684</v>
      </c>
      <c r="AX15" s="4">
        <v>-76194.000000000698</v>
      </c>
      <c r="AY15" s="4">
        <v>-76460.750000000713</v>
      </c>
      <c r="AZ15" s="4">
        <v>-76727.500000000728</v>
      </c>
      <c r="BA15" s="4">
        <v>-76994.250000000728</v>
      </c>
      <c r="BB15" s="4">
        <v>-77261.000000000728</v>
      </c>
      <c r="BC15" s="4">
        <v>-77527.750000000728</v>
      </c>
      <c r="BD15" s="4">
        <v>-77794.500000000728</v>
      </c>
      <c r="BE15" s="4">
        <v>-78061.250000000728</v>
      </c>
      <c r="BF15" s="4">
        <v>-78328.000000000728</v>
      </c>
      <c r="BG15" s="4">
        <v>-78594.750000000728</v>
      </c>
      <c r="BH15" s="4">
        <v>-78861.500000000728</v>
      </c>
      <c r="BI15" s="4">
        <v>-79128.250000000728</v>
      </c>
      <c r="BJ15" s="4">
        <v>-79395.000000000728</v>
      </c>
      <c r="BK15" s="4">
        <v>-79661.750000000728</v>
      </c>
      <c r="BL15" s="4">
        <v>-79928.500000000728</v>
      </c>
      <c r="BM15" s="4">
        <v>-80195.250000000728</v>
      </c>
      <c r="BN15" s="4">
        <v>-80462.000000000728</v>
      </c>
      <c r="BO15" s="4">
        <v>-80728.750000000728</v>
      </c>
      <c r="BP15" s="4">
        <v>-80995.500000000728</v>
      </c>
      <c r="BQ15" s="4">
        <v>-81262.250000000728</v>
      </c>
      <c r="BR15" s="4">
        <v>-81529.000000000728</v>
      </c>
      <c r="BS15" s="4">
        <v>-81795.750000000728</v>
      </c>
      <c r="BT15" s="4">
        <v>-82062.500000000728</v>
      </c>
      <c r="BU15" s="4">
        <v>-82329.250000000728</v>
      </c>
      <c r="BV15" s="4">
        <v>-82596.000000000728</v>
      </c>
      <c r="BW15" s="4">
        <v>-82862.750000000728</v>
      </c>
      <c r="BX15" s="4">
        <v>-83129.500000000728</v>
      </c>
      <c r="BY15" s="4">
        <v>-83396.250000000728</v>
      </c>
      <c r="BZ15" s="4">
        <v>-83663.000000000728</v>
      </c>
      <c r="CA15" s="4">
        <v>-83929.750000000728</v>
      </c>
      <c r="CB15" s="4">
        <v>-84196.500000000728</v>
      </c>
      <c r="CC15" s="4">
        <v>-84463.250000000728</v>
      </c>
      <c r="CD15" s="4">
        <v>-84730.000000000728</v>
      </c>
      <c r="CE15" s="4">
        <v>-84996.750000000728</v>
      </c>
      <c r="CF15" s="4">
        <v>-85263.500000000728</v>
      </c>
      <c r="CG15" s="4">
        <v>-85530.250000000728</v>
      </c>
      <c r="CH15" s="4">
        <v>-85797.000000000728</v>
      </c>
      <c r="CI15" s="109">
        <v>-64990.500000000087</v>
      </c>
      <c r="CJ15" s="109">
        <v>-68191.500000000262</v>
      </c>
      <c r="CK15" s="109">
        <v>-71392.500000000437</v>
      </c>
      <c r="CL15" s="109">
        <v>-74593.500000000611</v>
      </c>
      <c r="CM15" s="109">
        <v>-77794.500000000713</v>
      </c>
      <c r="CN15" s="109">
        <v>-80995.500000000713</v>
      </c>
      <c r="CO15" s="109">
        <v>-84196.500000000713</v>
      </c>
      <c r="CY15" s="90"/>
    </row>
    <row r="16" spans="1:103" x14ac:dyDescent="0.3">
      <c r="A16" s="108" t="s">
        <v>590</v>
      </c>
      <c r="B16" s="4">
        <v>0</v>
      </c>
      <c r="C16" s="4">
        <v>-14532.089999999998</v>
      </c>
      <c r="D16" s="4">
        <v>-29064.179999999997</v>
      </c>
      <c r="E16" s="4">
        <v>-43596.27</v>
      </c>
      <c r="F16" s="4">
        <v>-58128.359999999993</v>
      </c>
      <c r="G16" s="4">
        <v>-72660.449999999983</v>
      </c>
      <c r="H16" s="4">
        <v>-87192.539999999964</v>
      </c>
      <c r="I16" s="4">
        <v>-101724.62999999995</v>
      </c>
      <c r="J16" s="4">
        <v>-116256.71999999993</v>
      </c>
      <c r="K16" s="4">
        <v>-130788.80999999991</v>
      </c>
      <c r="L16" s="4">
        <v>-145320.89999999991</v>
      </c>
      <c r="M16" s="4">
        <v>-159852.9899999999</v>
      </c>
      <c r="N16" s="4">
        <v>-174385.0799999999</v>
      </c>
      <c r="O16" s="4">
        <v>-188917.1699999999</v>
      </c>
      <c r="P16" s="4">
        <v>-203449.25999999989</v>
      </c>
      <c r="Q16" s="4">
        <v>-217981.34999999989</v>
      </c>
      <c r="R16" s="4">
        <v>-232513.43999999989</v>
      </c>
      <c r="S16" s="4">
        <v>-247045.52999999985</v>
      </c>
      <c r="T16" s="4">
        <v>-261577.61999999988</v>
      </c>
      <c r="U16" s="4">
        <v>-276109.7099999999</v>
      </c>
      <c r="V16" s="4">
        <v>-290641.79999999993</v>
      </c>
      <c r="W16" s="4">
        <v>-305173.88999999996</v>
      </c>
      <c r="X16" s="4">
        <v>-319705.98</v>
      </c>
      <c r="Y16" s="4">
        <v>-334238.07</v>
      </c>
      <c r="Z16" s="4">
        <v>-348770.16000000003</v>
      </c>
      <c r="AA16" s="4">
        <v>-363302.25000000006</v>
      </c>
      <c r="AB16" s="4">
        <v>-377834.34000000008</v>
      </c>
      <c r="AC16" s="4">
        <v>-392366.43000000011</v>
      </c>
      <c r="AD16" s="4">
        <v>-406898.52000000014</v>
      </c>
      <c r="AE16" s="4">
        <v>-421430.61000000016</v>
      </c>
      <c r="AF16" s="4">
        <v>-435962.70000000019</v>
      </c>
      <c r="AG16" s="4">
        <v>-450494.79000000021</v>
      </c>
      <c r="AH16" s="4">
        <v>-465026.88000000024</v>
      </c>
      <c r="AI16" s="4">
        <v>-479558.97000000026</v>
      </c>
      <c r="AJ16" s="4">
        <v>-494091.06000000029</v>
      </c>
      <c r="AK16" s="4">
        <v>-508623.15000000026</v>
      </c>
      <c r="AL16" s="4">
        <v>-523155.24000000022</v>
      </c>
      <c r="AM16" s="4">
        <v>-537687.33000000019</v>
      </c>
      <c r="AN16" s="4">
        <v>-552219.42000000016</v>
      </c>
      <c r="AO16" s="4">
        <v>-566751.51000000013</v>
      </c>
      <c r="AP16" s="4">
        <v>-581283.60000000009</v>
      </c>
      <c r="AQ16" s="4">
        <v>-595815.69000000006</v>
      </c>
      <c r="AR16" s="4">
        <v>-610347.78</v>
      </c>
      <c r="AS16" s="4">
        <v>-624879.87</v>
      </c>
      <c r="AT16" s="4">
        <v>-639411.96</v>
      </c>
      <c r="AU16" s="4">
        <v>-653944.04999999993</v>
      </c>
      <c r="AV16" s="4">
        <v>-668476.1399999999</v>
      </c>
      <c r="AW16" s="4">
        <v>-683008.22999999986</v>
      </c>
      <c r="AX16" s="4">
        <v>-697540.31999999983</v>
      </c>
      <c r="AY16" s="4">
        <v>-712072.4099999998</v>
      </c>
      <c r="AZ16" s="4">
        <v>-726604.49999999977</v>
      </c>
      <c r="BA16" s="4">
        <v>-741136.58999999973</v>
      </c>
      <c r="BB16" s="4">
        <v>-755668.6799999997</v>
      </c>
      <c r="BC16" s="4">
        <v>-770200.76999999967</v>
      </c>
      <c r="BD16" s="4">
        <v>-784732.85999999964</v>
      </c>
      <c r="BE16" s="4">
        <v>-799264.9499999996</v>
      </c>
      <c r="BF16" s="4">
        <v>-813797.03999999957</v>
      </c>
      <c r="BG16" s="4">
        <v>-828329.12999999954</v>
      </c>
      <c r="BH16" s="4">
        <v>-842861.21999999951</v>
      </c>
      <c r="BI16" s="4">
        <v>-857393.30999999947</v>
      </c>
      <c r="BJ16" s="4">
        <v>-871925.39999999944</v>
      </c>
      <c r="BK16" s="4">
        <v>-886457.48999999941</v>
      </c>
      <c r="BL16" s="4">
        <v>-900989.57999999938</v>
      </c>
      <c r="BM16" s="4">
        <v>-915521.66999999934</v>
      </c>
      <c r="BN16" s="4">
        <v>-930053.75999999931</v>
      </c>
      <c r="BO16" s="4">
        <v>-944585.84999999928</v>
      </c>
      <c r="BP16" s="4">
        <v>-959117.93999999925</v>
      </c>
      <c r="BQ16" s="4">
        <v>-973650.02999999921</v>
      </c>
      <c r="BR16" s="4">
        <v>-988182.11999999918</v>
      </c>
      <c r="BS16" s="4">
        <v>-1002714.209999999</v>
      </c>
      <c r="BT16" s="4">
        <v>-1017246.2999999991</v>
      </c>
      <c r="BU16" s="4">
        <v>-1031778.389999999</v>
      </c>
      <c r="BV16" s="4">
        <v>-1046310.4799999988</v>
      </c>
      <c r="BW16" s="4">
        <v>-1060842.5699999987</v>
      </c>
      <c r="BX16" s="4">
        <v>-1075374.6599999985</v>
      </c>
      <c r="BY16" s="4">
        <v>-1089906.7499999984</v>
      </c>
      <c r="BZ16" s="4">
        <v>-1104438.8399999982</v>
      </c>
      <c r="CA16" s="4">
        <v>-1118970.9299999981</v>
      </c>
      <c r="CB16" s="4">
        <v>-1133503.0199999979</v>
      </c>
      <c r="CC16" s="4">
        <v>-1148035.1099999978</v>
      </c>
      <c r="CD16" s="4">
        <v>-1162567.1999999976</v>
      </c>
      <c r="CE16" s="4">
        <v>-1177099.2899999975</v>
      </c>
      <c r="CF16" s="4">
        <v>-1191631.3799999973</v>
      </c>
      <c r="CG16" s="4">
        <v>-1206163.4699999972</v>
      </c>
      <c r="CH16" s="4">
        <v>-1220695.559999997</v>
      </c>
      <c r="CI16" s="109">
        <v>-87192.53999999995</v>
      </c>
      <c r="CJ16" s="109">
        <v>-261577.61999999994</v>
      </c>
      <c r="CK16" s="109">
        <v>-435962.70000000019</v>
      </c>
      <c r="CL16" s="109">
        <v>-610347.77999999991</v>
      </c>
      <c r="CM16" s="109">
        <v>-784732.85999999964</v>
      </c>
      <c r="CN16" s="109">
        <v>-959117.93999999925</v>
      </c>
      <c r="CO16" s="109">
        <v>-1133503.0199999979</v>
      </c>
      <c r="CY16" s="90"/>
    </row>
    <row r="17" spans="1:103" x14ac:dyDescent="0.3">
      <c r="A17" s="81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>
        <v>-7427852.3999999985</v>
      </c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09"/>
      <c r="CJ17" s="109"/>
      <c r="CK17" s="109"/>
      <c r="CL17" s="109"/>
      <c r="CM17" s="109"/>
      <c r="CN17" s="109"/>
      <c r="CO17" s="109"/>
      <c r="CY17" s="90"/>
    </row>
    <row r="18" spans="1:103" x14ac:dyDescent="0.3">
      <c r="A18" s="108" t="s">
        <v>591</v>
      </c>
      <c r="B18" s="4">
        <v>-6709724</v>
      </c>
      <c r="C18" s="4">
        <v>-6745630.4199999999</v>
      </c>
      <c r="D18" s="4">
        <v>-6781536.8399999999</v>
      </c>
      <c r="E18" s="4">
        <v>-6817443.2599999998</v>
      </c>
      <c r="F18" s="4">
        <v>-6853349.6799999997</v>
      </c>
      <c r="G18" s="4">
        <v>-6889256.0999999996</v>
      </c>
      <c r="H18" s="4">
        <v>-6925162.5199999996</v>
      </c>
      <c r="I18" s="4">
        <v>-6961068.9399999995</v>
      </c>
      <c r="J18" s="4">
        <v>-6996975.3599999994</v>
      </c>
      <c r="K18" s="4">
        <v>-7032881.7799999993</v>
      </c>
      <c r="L18" s="4">
        <v>-7068788.1999999993</v>
      </c>
      <c r="M18" s="4">
        <v>-7104694.6199999992</v>
      </c>
      <c r="N18" s="4">
        <v>-7140601.0399999991</v>
      </c>
      <c r="O18" s="4">
        <v>-7176507.459999999</v>
      </c>
      <c r="P18" s="4">
        <v>-7212413.879999999</v>
      </c>
      <c r="Q18" s="4">
        <v>-7248320.2999999989</v>
      </c>
      <c r="R18" s="4">
        <v>-7284226.7199999988</v>
      </c>
      <c r="S18" s="4">
        <v>-7320133.1399999987</v>
      </c>
      <c r="T18" s="4">
        <v>-7356039.5599999987</v>
      </c>
      <c r="U18" s="4">
        <v>-7391945.9799999986</v>
      </c>
      <c r="V18" s="4"/>
      <c r="W18" s="4">
        <v>-7463758.8199999984</v>
      </c>
      <c r="X18" s="4">
        <v>-7499665.2399999984</v>
      </c>
      <c r="Y18" s="4">
        <v>-7535571.6599999983</v>
      </c>
      <c r="Z18" s="4">
        <v>-7571478.0799999982</v>
      </c>
      <c r="AA18" s="4">
        <v>-7607384.4999999981</v>
      </c>
      <c r="AB18" s="4">
        <v>-7643290.9199999981</v>
      </c>
      <c r="AC18" s="4">
        <v>-7679197.339999998</v>
      </c>
      <c r="AD18" s="4">
        <v>-7715103.7599999979</v>
      </c>
      <c r="AE18" s="4">
        <v>-7751010.1799999978</v>
      </c>
      <c r="AF18" s="4">
        <v>-7786916.5999999978</v>
      </c>
      <c r="AG18" s="4">
        <v>-7822823.0199999977</v>
      </c>
      <c r="AH18" s="4">
        <v>-7858729.4399999976</v>
      </c>
      <c r="AI18" s="4">
        <v>-7894635.8599999975</v>
      </c>
      <c r="AJ18" s="4">
        <v>-7930542.2799999975</v>
      </c>
      <c r="AK18" s="4">
        <v>-7966448.6999999974</v>
      </c>
      <c r="AL18" s="4">
        <v>-8002355.1199999973</v>
      </c>
      <c r="AM18" s="4">
        <v>-8038261.5399999972</v>
      </c>
      <c r="AN18" s="4">
        <v>-8074167.9599999972</v>
      </c>
      <c r="AO18" s="4">
        <v>-8110074.3799999971</v>
      </c>
      <c r="AP18" s="4">
        <v>-8145980.799999997</v>
      </c>
      <c r="AQ18" s="4">
        <v>-8181887.2199999969</v>
      </c>
      <c r="AR18" s="4">
        <v>-8217793.6399999969</v>
      </c>
      <c r="AS18" s="4">
        <v>-8253700.0599999968</v>
      </c>
      <c r="AT18" s="4">
        <v>-8289606.4799999967</v>
      </c>
      <c r="AU18" s="4">
        <v>-8325512.8999999966</v>
      </c>
      <c r="AV18" s="4">
        <v>-8361419.3199999966</v>
      </c>
      <c r="AW18" s="4">
        <v>-8397325.7399999965</v>
      </c>
      <c r="AX18" s="4">
        <v>-8433232.1599999964</v>
      </c>
      <c r="AY18" s="4">
        <v>-8469138.5799999963</v>
      </c>
      <c r="AZ18" s="4">
        <v>-8505044.9999999963</v>
      </c>
      <c r="BA18" s="4">
        <v>-8540951.4199999962</v>
      </c>
      <c r="BB18" s="4">
        <v>-8576857.8399999961</v>
      </c>
      <c r="BC18" s="4">
        <v>-8612764.2599999961</v>
      </c>
      <c r="BD18" s="4">
        <v>-8648670.679999996</v>
      </c>
      <c r="BE18" s="4">
        <v>-8684577.0999999959</v>
      </c>
      <c r="BF18" s="4">
        <v>-8720483.5199999958</v>
      </c>
      <c r="BG18" s="4">
        <v>-8756389.9399999958</v>
      </c>
      <c r="BH18" s="4">
        <v>-8792296.3599999957</v>
      </c>
      <c r="BI18" s="4">
        <v>-8828202.7799999956</v>
      </c>
      <c r="BJ18" s="4">
        <v>-8864109.1999999955</v>
      </c>
      <c r="BK18" s="4">
        <v>-8900015.6199999955</v>
      </c>
      <c r="BL18" s="4">
        <v>-8935922.0399999954</v>
      </c>
      <c r="BM18" s="4">
        <v>-8971828.4599999953</v>
      </c>
      <c r="BN18" s="4">
        <v>-9007734.8799999952</v>
      </c>
      <c r="BO18" s="4">
        <v>-9043641.2999999952</v>
      </c>
      <c r="BP18" s="4">
        <v>-9079547.7199999951</v>
      </c>
      <c r="BQ18" s="4">
        <v>-9115454.139999995</v>
      </c>
      <c r="BR18" s="4">
        <v>-9151360.5599999949</v>
      </c>
      <c r="BS18" s="4">
        <v>-9187266.9799999949</v>
      </c>
      <c r="BT18" s="4">
        <v>-9223173.3999999948</v>
      </c>
      <c r="BU18" s="4">
        <v>-9259079.8199999947</v>
      </c>
      <c r="BV18" s="4">
        <v>-9294986.2399999946</v>
      </c>
      <c r="BW18" s="4">
        <v>-9330892.6599999946</v>
      </c>
      <c r="BX18" s="4">
        <v>-9366799.0799999945</v>
      </c>
      <c r="BY18" s="4">
        <v>-9402705.4999999944</v>
      </c>
      <c r="BZ18" s="4">
        <v>-9438611.9199999943</v>
      </c>
      <c r="CA18" s="4">
        <v>-9474518.3399999943</v>
      </c>
      <c r="CB18" s="4">
        <v>-9510424.7599999942</v>
      </c>
      <c r="CC18" s="4">
        <v>-9546331.1799999941</v>
      </c>
      <c r="CD18" s="4">
        <v>-9582237.599999994</v>
      </c>
      <c r="CE18" s="4">
        <v>-9618144.019999994</v>
      </c>
      <c r="CF18" s="4">
        <v>-9654050.4399999939</v>
      </c>
      <c r="CG18" s="4">
        <v>-9689956.8599999938</v>
      </c>
      <c r="CH18" s="4">
        <v>-9725863.2799999937</v>
      </c>
      <c r="CI18" s="109">
        <v>-6925162.5199999996</v>
      </c>
      <c r="CJ18" s="109">
        <v>-6784666.2984615369</v>
      </c>
      <c r="CK18" s="109">
        <v>-7786916.5999999987</v>
      </c>
      <c r="CL18" s="109">
        <v>-8217793.6399999959</v>
      </c>
      <c r="CM18" s="109">
        <v>-8648670.6799999978</v>
      </c>
      <c r="CN18" s="109">
        <v>-9079547.7199999951</v>
      </c>
      <c r="CO18" s="109">
        <v>-9510424.7599999942</v>
      </c>
      <c r="CY18" s="90"/>
    </row>
    <row r="19" spans="1:103" x14ac:dyDescent="0.3">
      <c r="A19" s="108" t="s">
        <v>592</v>
      </c>
      <c r="B19" s="4">
        <v>-213143</v>
      </c>
      <c r="C19" s="4">
        <v>-225640.33999999985</v>
      </c>
      <c r="D19" s="4">
        <v>-238137.6799999997</v>
      </c>
      <c r="E19" s="4">
        <v>-250635.01999999955</v>
      </c>
      <c r="F19" s="4">
        <v>-263132.3599999994</v>
      </c>
      <c r="G19" s="4">
        <v>-275629.69999999925</v>
      </c>
      <c r="H19" s="4">
        <v>-288127.03999999911</v>
      </c>
      <c r="I19" s="4">
        <v>-300624.37999999896</v>
      </c>
      <c r="J19" s="4">
        <v>-313121.71999999881</v>
      </c>
      <c r="K19" s="4">
        <v>-325619.05999999866</v>
      </c>
      <c r="L19" s="4">
        <v>-338116.39999999851</v>
      </c>
      <c r="M19" s="4">
        <v>-350613.73999999836</v>
      </c>
      <c r="N19" s="4">
        <v>-363111.07999999821</v>
      </c>
      <c r="O19" s="4">
        <v>-375608.41999999806</v>
      </c>
      <c r="P19" s="4">
        <v>-388105.75999999791</v>
      </c>
      <c r="Q19" s="4">
        <v>-400603.09999999776</v>
      </c>
      <c r="R19" s="4">
        <v>-413100.43999999762</v>
      </c>
      <c r="S19" s="4">
        <v>-425597.77999999747</v>
      </c>
      <c r="T19" s="4">
        <v>-438095.11999999732</v>
      </c>
      <c r="U19" s="4">
        <v>-450592.45999999717</v>
      </c>
      <c r="V19" s="4">
        <v>-463089.79999999702</v>
      </c>
      <c r="W19" s="4">
        <v>-475587.13999999687</v>
      </c>
      <c r="X19" s="4">
        <v>-488084.47999999672</v>
      </c>
      <c r="Y19" s="4">
        <v>-500581.81999999657</v>
      </c>
      <c r="Z19" s="4">
        <v>-513079.15999999642</v>
      </c>
      <c r="AA19" s="4">
        <v>-525576.49999999627</v>
      </c>
      <c r="AB19" s="4">
        <v>-538073.83999999613</v>
      </c>
      <c r="AC19" s="4">
        <v>-550571.17999999598</v>
      </c>
      <c r="AD19" s="4">
        <v>-563068.51999999583</v>
      </c>
      <c r="AE19" s="4">
        <v>-575565.85999999568</v>
      </c>
      <c r="AF19" s="4">
        <v>-588063.19999999553</v>
      </c>
      <c r="AG19" s="4">
        <v>-600560.53999999538</v>
      </c>
      <c r="AH19" s="4">
        <v>-613057.87999999523</v>
      </c>
      <c r="AI19" s="4">
        <v>-625555.21999999508</v>
      </c>
      <c r="AJ19" s="4">
        <v>-638052.55999999493</v>
      </c>
      <c r="AK19" s="4">
        <v>-650549.89999999478</v>
      </c>
      <c r="AL19" s="4">
        <v>-663047.23999999464</v>
      </c>
      <c r="AM19" s="4">
        <v>-675544.57999999449</v>
      </c>
      <c r="AN19" s="4">
        <v>-688041.91999999434</v>
      </c>
      <c r="AO19" s="4">
        <v>-700539.25999999419</v>
      </c>
      <c r="AP19" s="4">
        <v>-713036.59999999404</v>
      </c>
      <c r="AQ19" s="4">
        <v>-725533.93999999389</v>
      </c>
      <c r="AR19" s="4">
        <v>-738031.27999999374</v>
      </c>
      <c r="AS19" s="4">
        <v>-750528.61999999359</v>
      </c>
      <c r="AT19" s="4">
        <v>-763025.95999999344</v>
      </c>
      <c r="AU19" s="4">
        <v>-775523.29999999329</v>
      </c>
      <c r="AV19" s="4">
        <v>-788020.63999999315</v>
      </c>
      <c r="AW19" s="4">
        <v>-800517.979999993</v>
      </c>
      <c r="AX19" s="4">
        <v>-813015.31999999285</v>
      </c>
      <c r="AY19" s="4">
        <v>-825512.6599999927</v>
      </c>
      <c r="AZ19" s="4">
        <v>-838009.99999999255</v>
      </c>
      <c r="BA19" s="4">
        <v>-850507.3399999924</v>
      </c>
      <c r="BB19" s="4">
        <v>-863004.67999999225</v>
      </c>
      <c r="BC19" s="4">
        <v>-875502.0199999921</v>
      </c>
      <c r="BD19" s="4">
        <v>-887999.35999999195</v>
      </c>
      <c r="BE19" s="4">
        <v>-900496.6999999918</v>
      </c>
      <c r="BF19" s="4">
        <v>-912994.03999999166</v>
      </c>
      <c r="BG19" s="4">
        <v>-925491.37999999151</v>
      </c>
      <c r="BH19" s="4">
        <v>-937988.71999999136</v>
      </c>
      <c r="BI19" s="4">
        <v>-950486.05999999121</v>
      </c>
      <c r="BJ19" s="4">
        <v>-962983.39999999106</v>
      </c>
      <c r="BK19" s="4">
        <v>-975480.73999999091</v>
      </c>
      <c r="BL19" s="4">
        <v>-987978.07999999076</v>
      </c>
      <c r="BM19" s="4">
        <v>-1000475.4199999906</v>
      </c>
      <c r="BN19" s="4">
        <v>-1012972.7599999905</v>
      </c>
      <c r="BO19" s="4">
        <v>-1025470.0999999903</v>
      </c>
      <c r="BP19" s="4">
        <v>-1037967.4399999902</v>
      </c>
      <c r="BQ19" s="4">
        <v>-1050464.77999999</v>
      </c>
      <c r="BR19" s="4">
        <v>-1062962.1199999899</v>
      </c>
      <c r="BS19" s="4">
        <v>-1075459.4599999897</v>
      </c>
      <c r="BT19" s="4">
        <v>-1087956.7999999896</v>
      </c>
      <c r="BU19" s="4">
        <v>-1100454.1399999894</v>
      </c>
      <c r="BV19" s="4">
        <v>-1112951.4799999893</v>
      </c>
      <c r="BW19" s="4">
        <v>-1125448.8199999891</v>
      </c>
      <c r="BX19" s="4">
        <v>-1137946.159999989</v>
      </c>
      <c r="BY19" s="4">
        <v>-1150443.4999999888</v>
      </c>
      <c r="BZ19" s="4">
        <v>-1162940.8399999887</v>
      </c>
      <c r="CA19" s="4">
        <v>-1175438.1799999885</v>
      </c>
      <c r="CB19" s="4">
        <v>-1187935.5199999884</v>
      </c>
      <c r="CC19" s="4">
        <v>-1200432.8599999882</v>
      </c>
      <c r="CD19" s="4">
        <v>-1212930.1999999881</v>
      </c>
      <c r="CE19" s="4">
        <v>-1225427.5399999879</v>
      </c>
      <c r="CF19" s="4">
        <v>-1237924.8799999878</v>
      </c>
      <c r="CG19" s="4">
        <v>-1250422.2199999876</v>
      </c>
      <c r="CH19" s="4">
        <v>-1262919.5599999875</v>
      </c>
      <c r="CI19" s="109">
        <v>-288127.03999999911</v>
      </c>
      <c r="CJ19" s="109">
        <v>-438095.11999999732</v>
      </c>
      <c r="CK19" s="109">
        <v>-588063.19999999553</v>
      </c>
      <c r="CL19" s="109">
        <v>-738031.27999999374</v>
      </c>
      <c r="CM19" s="109">
        <v>-887999.35999999195</v>
      </c>
      <c r="CN19" s="109">
        <v>-1037967.4399999902</v>
      </c>
      <c r="CO19" s="109">
        <v>-1187935.5199999884</v>
      </c>
      <c r="CY19" s="90"/>
    </row>
    <row r="20" spans="1:103" x14ac:dyDescent="0.3">
      <c r="A20" s="81" t="s">
        <v>593</v>
      </c>
      <c r="B20" s="4">
        <v>-432740</v>
      </c>
      <c r="C20" s="4">
        <v>-441024.07999999996</v>
      </c>
      <c r="D20" s="4">
        <v>-449308.15999999992</v>
      </c>
      <c r="E20" s="4">
        <v>-457592.23999999987</v>
      </c>
      <c r="F20" s="4">
        <v>-465876.31999999983</v>
      </c>
      <c r="G20" s="4">
        <v>-474160.39999999979</v>
      </c>
      <c r="H20" s="4">
        <v>-482444.47999999975</v>
      </c>
      <c r="I20" s="4">
        <v>-490728.55999999971</v>
      </c>
      <c r="J20" s="4">
        <v>-499012.63999999966</v>
      </c>
      <c r="K20" s="4">
        <v>-507296.71999999974</v>
      </c>
      <c r="L20" s="4">
        <v>-515580.79999999981</v>
      </c>
      <c r="M20" s="4">
        <v>-523864.87999999989</v>
      </c>
      <c r="N20" s="4">
        <v>-532148.96</v>
      </c>
      <c r="O20" s="4">
        <v>-540433.04</v>
      </c>
      <c r="P20" s="4">
        <v>-548717.12000000011</v>
      </c>
      <c r="Q20" s="4">
        <v>-557001.20000000019</v>
      </c>
      <c r="R20" s="4">
        <v>-565285.28000000026</v>
      </c>
      <c r="S20" s="4">
        <v>-573569.36000000034</v>
      </c>
      <c r="T20" s="4">
        <v>-581853.44000000041</v>
      </c>
      <c r="U20" s="4">
        <v>-590137.52000000048</v>
      </c>
      <c r="V20" s="4">
        <v>-598421.60000000056</v>
      </c>
      <c r="W20" s="4">
        <v>-606705.68000000063</v>
      </c>
      <c r="X20" s="4">
        <v>-614989.76000000071</v>
      </c>
      <c r="Y20" s="4">
        <v>-623273.84000000078</v>
      </c>
      <c r="Z20" s="4">
        <v>-631557.92000000086</v>
      </c>
      <c r="AA20" s="4">
        <v>-639842.00000000093</v>
      </c>
      <c r="AB20" s="4">
        <v>-648126.08000000101</v>
      </c>
      <c r="AC20" s="4">
        <v>-656410.16000000108</v>
      </c>
      <c r="AD20" s="4">
        <v>-664694.24000000115</v>
      </c>
      <c r="AE20" s="4">
        <v>-672978.32000000123</v>
      </c>
      <c r="AF20" s="4">
        <v>-681262.4000000013</v>
      </c>
      <c r="AG20" s="4">
        <v>-689546.48000000138</v>
      </c>
      <c r="AH20" s="4">
        <v>-697830.56000000145</v>
      </c>
      <c r="AI20" s="4">
        <v>-706114.64000000153</v>
      </c>
      <c r="AJ20" s="4">
        <v>-714398.7200000016</v>
      </c>
      <c r="AK20" s="4">
        <v>-722682.80000000168</v>
      </c>
      <c r="AL20" s="4">
        <v>-730966.88000000175</v>
      </c>
      <c r="AM20" s="4">
        <v>-739250.96000000183</v>
      </c>
      <c r="AN20" s="4">
        <v>-747535.0400000019</v>
      </c>
      <c r="AO20" s="4">
        <v>-755819.12000000197</v>
      </c>
      <c r="AP20" s="4">
        <v>-764103.20000000205</v>
      </c>
      <c r="AQ20" s="4">
        <v>-772387.28000000212</v>
      </c>
      <c r="AR20" s="4">
        <v>-780671.3600000022</v>
      </c>
      <c r="AS20" s="4">
        <v>-788955.44000000227</v>
      </c>
      <c r="AT20" s="4">
        <v>-797239.52000000235</v>
      </c>
      <c r="AU20" s="4">
        <v>-805523.60000000242</v>
      </c>
      <c r="AV20" s="4">
        <v>-813807.6800000025</v>
      </c>
      <c r="AW20" s="4">
        <v>-822091.76000000257</v>
      </c>
      <c r="AX20" s="4">
        <v>-830375.84000000264</v>
      </c>
      <c r="AY20" s="4">
        <v>-838659.92000000272</v>
      </c>
      <c r="AZ20" s="4">
        <v>-846944.00000000279</v>
      </c>
      <c r="BA20" s="4">
        <v>-855228.08000000287</v>
      </c>
      <c r="BB20" s="4">
        <v>-863512.16000000294</v>
      </c>
      <c r="BC20" s="4">
        <v>-871796.24000000302</v>
      </c>
      <c r="BD20" s="4">
        <v>-880080.32000000309</v>
      </c>
      <c r="BE20" s="4">
        <v>-888364.40000000317</v>
      </c>
      <c r="BF20" s="4">
        <v>-896648.48000000324</v>
      </c>
      <c r="BG20" s="4">
        <v>-904932.56000000332</v>
      </c>
      <c r="BH20" s="4">
        <v>-913216.64000000339</v>
      </c>
      <c r="BI20" s="4">
        <v>-921500.72000000346</v>
      </c>
      <c r="BJ20" s="4">
        <v>-929784.80000000354</v>
      </c>
      <c r="BK20" s="4">
        <v>-938068.88000000361</v>
      </c>
      <c r="BL20" s="4">
        <v>-946352.96000000369</v>
      </c>
      <c r="BM20" s="4">
        <v>-954637.04000000376</v>
      </c>
      <c r="BN20" s="4">
        <v>-962921.12000000384</v>
      </c>
      <c r="BO20" s="4">
        <v>-971205.20000000391</v>
      </c>
      <c r="BP20" s="4">
        <v>-979489.28000000399</v>
      </c>
      <c r="BQ20" s="4">
        <v>-987773.36000000406</v>
      </c>
      <c r="BR20" s="4">
        <v>-996057.44000000414</v>
      </c>
      <c r="BS20" s="4">
        <v>-1004341.5200000042</v>
      </c>
      <c r="BT20" s="4">
        <v>-1012625.6000000043</v>
      </c>
      <c r="BU20" s="4">
        <v>-1020909.6800000044</v>
      </c>
      <c r="BV20" s="4">
        <v>-1029193.7600000044</v>
      </c>
      <c r="BW20" s="4">
        <v>-1037477.8400000045</v>
      </c>
      <c r="BX20" s="4">
        <v>-1045761.9200000046</v>
      </c>
      <c r="BY20" s="4">
        <v>-1054046.0000000047</v>
      </c>
      <c r="BZ20" s="4">
        <v>-1062330.0800000047</v>
      </c>
      <c r="CA20" s="4">
        <v>-1070614.1600000048</v>
      </c>
      <c r="CB20" s="4">
        <v>-1078898.2400000049</v>
      </c>
      <c r="CC20" s="4">
        <v>-1087182.320000005</v>
      </c>
      <c r="CD20" s="4">
        <v>-1095466.400000005</v>
      </c>
      <c r="CE20" s="4">
        <v>-1103750.4800000051</v>
      </c>
      <c r="CF20" s="4">
        <v>-1112034.5600000052</v>
      </c>
      <c r="CG20" s="4">
        <v>-1120318.6400000053</v>
      </c>
      <c r="CH20" s="4">
        <v>-1128602.7200000053</v>
      </c>
      <c r="CI20" s="109">
        <v>-482444.47999999981</v>
      </c>
      <c r="CJ20" s="109">
        <v>-581853.44000000041</v>
      </c>
      <c r="CK20" s="109">
        <v>-681262.40000000142</v>
      </c>
      <c r="CL20" s="109">
        <v>-780671.36000000231</v>
      </c>
      <c r="CM20" s="109">
        <v>-880080.32000000321</v>
      </c>
      <c r="CN20" s="109">
        <v>-979489.2800000041</v>
      </c>
      <c r="CO20" s="109">
        <v>-1078898.2400000049</v>
      </c>
      <c r="CY20" s="90"/>
    </row>
    <row r="21" spans="1:103" x14ac:dyDescent="0.3">
      <c r="A2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2"/>
      <c r="CJ21" s="112"/>
      <c r="CK21" s="112"/>
      <c r="CL21" s="112"/>
      <c r="CM21" s="112"/>
      <c r="CN21" s="112"/>
      <c r="CO21" s="112"/>
      <c r="CY21" s="90"/>
    </row>
    <row r="22" spans="1:103" x14ac:dyDescent="0.3">
      <c r="A22" s="108" t="s">
        <v>594</v>
      </c>
      <c r="B22" s="4">
        <v>0</v>
      </c>
      <c r="C22" s="4">
        <v>-3067.25</v>
      </c>
      <c r="D22" s="4">
        <v>-6134.5</v>
      </c>
      <c r="E22" s="4">
        <v>-9201.75</v>
      </c>
      <c r="F22" s="4">
        <v>-12269</v>
      </c>
      <c r="G22" s="4">
        <v>-15336.25</v>
      </c>
      <c r="H22" s="4">
        <v>-18403.5</v>
      </c>
      <c r="I22" s="4">
        <v>-21470.75</v>
      </c>
      <c r="J22" s="4">
        <v>-24538</v>
      </c>
      <c r="K22" s="4">
        <v>-27605.25</v>
      </c>
      <c r="L22" s="4">
        <v>-30672.5</v>
      </c>
      <c r="M22" s="4">
        <v>-33739.75</v>
      </c>
      <c r="N22" s="4">
        <v>-36807</v>
      </c>
      <c r="O22" s="4">
        <v>-39874.25</v>
      </c>
      <c r="P22" s="4">
        <v>-42941.5</v>
      </c>
      <c r="Q22" s="4">
        <v>-46008.75</v>
      </c>
      <c r="R22" s="4">
        <v>-49076</v>
      </c>
      <c r="S22" s="4">
        <v>-52143.25</v>
      </c>
      <c r="T22" s="4">
        <v>-55210.5</v>
      </c>
      <c r="U22" s="4">
        <v>-58277.75</v>
      </c>
      <c r="V22" s="4">
        <v>-61345</v>
      </c>
      <c r="W22" s="4">
        <v>-64412.25</v>
      </c>
      <c r="X22" s="4">
        <v>-67479.5</v>
      </c>
      <c r="Y22" s="4">
        <v>-70546.75</v>
      </c>
      <c r="Z22" s="4">
        <v>-73614</v>
      </c>
      <c r="AA22" s="4">
        <v>-76681.25</v>
      </c>
      <c r="AB22" s="4">
        <v>-79748.5</v>
      </c>
      <c r="AC22" s="4">
        <v>-82815.75</v>
      </c>
      <c r="AD22" s="4">
        <v>-85883</v>
      </c>
      <c r="AE22" s="4">
        <v>-88950.25</v>
      </c>
      <c r="AF22" s="4">
        <v>-92017.5</v>
      </c>
      <c r="AG22" s="4">
        <v>-95084.75</v>
      </c>
      <c r="AH22" s="4">
        <v>-98152</v>
      </c>
      <c r="AI22" s="4">
        <v>-101219.25</v>
      </c>
      <c r="AJ22" s="4">
        <v>-104286.5</v>
      </c>
      <c r="AK22" s="4">
        <v>-107353.75</v>
      </c>
      <c r="AL22" s="4">
        <v>-110421</v>
      </c>
      <c r="AM22" s="4">
        <v>-113488.25</v>
      </c>
      <c r="AN22" s="4">
        <v>-116555.5</v>
      </c>
      <c r="AO22" s="4">
        <v>-119622.75</v>
      </c>
      <c r="AP22" s="4">
        <v>-122690</v>
      </c>
      <c r="AQ22" s="4">
        <v>-125757.25</v>
      </c>
      <c r="AR22" s="4">
        <v>-128824.5</v>
      </c>
      <c r="AS22" s="4">
        <v>-131891.75</v>
      </c>
      <c r="AT22" s="4">
        <v>-134959</v>
      </c>
      <c r="AU22" s="4">
        <v>-138026.25</v>
      </c>
      <c r="AV22" s="4">
        <v>-141093.5</v>
      </c>
      <c r="AW22" s="4">
        <v>-144160.75</v>
      </c>
      <c r="AX22" s="4">
        <v>-147228</v>
      </c>
      <c r="AY22" s="4">
        <v>-150295.25</v>
      </c>
      <c r="AZ22" s="4">
        <v>-153362.5</v>
      </c>
      <c r="BA22" s="4">
        <v>-156429.75</v>
      </c>
      <c r="BB22" s="4">
        <v>-159497</v>
      </c>
      <c r="BC22" s="4">
        <v>-162564.25</v>
      </c>
      <c r="BD22" s="4">
        <v>-165631.5</v>
      </c>
      <c r="BE22" s="4">
        <v>-168698.75</v>
      </c>
      <c r="BF22" s="4">
        <v>-171766</v>
      </c>
      <c r="BG22" s="4">
        <v>-174833.25</v>
      </c>
      <c r="BH22" s="4">
        <v>-177900.5</v>
      </c>
      <c r="BI22" s="4">
        <v>-180967.75</v>
      </c>
      <c r="BJ22" s="4">
        <v>-184035</v>
      </c>
      <c r="BK22" s="4">
        <v>-187102.25</v>
      </c>
      <c r="BL22" s="4">
        <v>-190169.5</v>
      </c>
      <c r="BM22" s="4">
        <v>-193236.75</v>
      </c>
      <c r="BN22" s="4">
        <v>-196304</v>
      </c>
      <c r="BO22" s="4">
        <v>-199371.25</v>
      </c>
      <c r="BP22" s="4">
        <v>-202438.5</v>
      </c>
      <c r="BQ22" s="4">
        <v>-205505.75</v>
      </c>
      <c r="BR22" s="4">
        <v>-208573</v>
      </c>
      <c r="BS22" s="4">
        <v>-211640.25</v>
      </c>
      <c r="BT22" s="4">
        <v>-214707.5</v>
      </c>
      <c r="BU22" s="4">
        <v>-217774.75</v>
      </c>
      <c r="BV22" s="4">
        <v>-220842</v>
      </c>
      <c r="BW22" s="4">
        <v>-223909.25</v>
      </c>
      <c r="BX22" s="4">
        <v>-226976.5</v>
      </c>
      <c r="BY22" s="4">
        <v>-230043.75</v>
      </c>
      <c r="BZ22" s="4">
        <v>-233111</v>
      </c>
      <c r="CA22" s="4">
        <v>-236178.25</v>
      </c>
      <c r="CB22" s="4">
        <v>-239245.5</v>
      </c>
      <c r="CC22" s="4">
        <v>-242312.75</v>
      </c>
      <c r="CD22" s="4">
        <v>-245380</v>
      </c>
      <c r="CE22" s="4">
        <v>-248447.25</v>
      </c>
      <c r="CF22" s="4">
        <v>-251514.5</v>
      </c>
      <c r="CG22" s="4">
        <v>-254581.75</v>
      </c>
      <c r="CH22" s="4">
        <v>-257649</v>
      </c>
      <c r="CI22" s="109">
        <v>-18403.5</v>
      </c>
      <c r="CJ22" s="109">
        <v>-55210.5</v>
      </c>
      <c r="CK22" s="109">
        <v>-92017.5</v>
      </c>
      <c r="CL22" s="109">
        <v>-128824.5</v>
      </c>
      <c r="CM22" s="109">
        <v>-165631.5</v>
      </c>
      <c r="CN22" s="109">
        <v>-202438.5</v>
      </c>
      <c r="CO22" s="109">
        <v>-239245.5</v>
      </c>
      <c r="CY22" s="90"/>
    </row>
    <row r="23" spans="1:103" x14ac:dyDescent="0.3">
      <c r="A23" s="108" t="s">
        <v>595</v>
      </c>
      <c r="B23" s="4">
        <v>0</v>
      </c>
      <c r="C23" s="4">
        <v>-17750.25</v>
      </c>
      <c r="D23" s="4">
        <v>-35500.5</v>
      </c>
      <c r="E23" s="4">
        <v>-53250.75</v>
      </c>
      <c r="F23" s="4">
        <v>-71001</v>
      </c>
      <c r="G23" s="4">
        <v>-88751.25</v>
      </c>
      <c r="H23" s="4">
        <v>-106501.5</v>
      </c>
      <c r="I23" s="4">
        <v>-124251.75</v>
      </c>
      <c r="J23" s="4">
        <v>-142002</v>
      </c>
      <c r="K23" s="4">
        <v>-159752.25</v>
      </c>
      <c r="L23" s="4">
        <v>-177502.5</v>
      </c>
      <c r="M23" s="4">
        <v>-195252.75</v>
      </c>
      <c r="N23" s="4">
        <v>-213003</v>
      </c>
      <c r="O23" s="4">
        <v>-230753.25</v>
      </c>
      <c r="P23" s="4">
        <v>-248503.5</v>
      </c>
      <c r="Q23" s="4">
        <v>-266253.75</v>
      </c>
      <c r="R23" s="4">
        <v>-284004</v>
      </c>
      <c r="S23" s="4">
        <v>-301754.25</v>
      </c>
      <c r="T23" s="4">
        <v>-319504.5</v>
      </c>
      <c r="U23" s="4">
        <v>-337254.75</v>
      </c>
      <c r="V23" s="4">
        <v>-355005</v>
      </c>
      <c r="W23" s="4">
        <v>-372755.25</v>
      </c>
      <c r="X23" s="4">
        <v>-390505.5</v>
      </c>
      <c r="Y23" s="4">
        <v>-408255.75</v>
      </c>
      <c r="Z23" s="4">
        <v>-426006</v>
      </c>
      <c r="AA23" s="4">
        <v>-443756.25</v>
      </c>
      <c r="AB23" s="4">
        <v>-461506.5</v>
      </c>
      <c r="AC23" s="4">
        <v>-479256.75</v>
      </c>
      <c r="AD23" s="4">
        <v>-497007</v>
      </c>
      <c r="AE23" s="4">
        <v>-514757.25</v>
      </c>
      <c r="AF23" s="4">
        <v>-532507.5</v>
      </c>
      <c r="AG23" s="4">
        <v>-550257.75</v>
      </c>
      <c r="AH23" s="4">
        <v>-568008</v>
      </c>
      <c r="AI23" s="4">
        <v>-585758.25</v>
      </c>
      <c r="AJ23" s="4">
        <v>-603508.5</v>
      </c>
      <c r="AK23" s="4">
        <v>-621258.75</v>
      </c>
      <c r="AL23" s="4">
        <v>-639009</v>
      </c>
      <c r="AM23" s="4">
        <v>-656759.25</v>
      </c>
      <c r="AN23" s="4">
        <v>-674509.5</v>
      </c>
      <c r="AO23" s="4">
        <v>-692259.75</v>
      </c>
      <c r="AP23" s="4">
        <v>-710010</v>
      </c>
      <c r="AQ23" s="4">
        <v>-727760.25</v>
      </c>
      <c r="AR23" s="4">
        <v>-745510.5</v>
      </c>
      <c r="AS23" s="4">
        <v>-763260.75</v>
      </c>
      <c r="AT23" s="4">
        <v>-781011</v>
      </c>
      <c r="AU23" s="4">
        <v>-798761.25</v>
      </c>
      <c r="AV23" s="4">
        <v>-816511.5</v>
      </c>
      <c r="AW23" s="4">
        <v>-834261.75</v>
      </c>
      <c r="AX23" s="4">
        <v>-852012</v>
      </c>
      <c r="AY23" s="4">
        <v>-869762.25</v>
      </c>
      <c r="AZ23" s="4">
        <v>-887512.5</v>
      </c>
      <c r="BA23" s="4">
        <v>-905262.75</v>
      </c>
      <c r="BB23" s="4">
        <v>-923013</v>
      </c>
      <c r="BC23" s="4">
        <v>-940763.25</v>
      </c>
      <c r="BD23" s="4">
        <v>-958513.5</v>
      </c>
      <c r="BE23" s="4">
        <v>-976263.75</v>
      </c>
      <c r="BF23" s="4">
        <v>-994014</v>
      </c>
      <c r="BG23" s="4">
        <v>-1011764.25</v>
      </c>
      <c r="BH23" s="4">
        <v>-1029514.5</v>
      </c>
      <c r="BI23" s="4">
        <v>-1047264.75</v>
      </c>
      <c r="BJ23" s="4">
        <v>-1065015</v>
      </c>
      <c r="BK23" s="4">
        <v>-1082765.25</v>
      </c>
      <c r="BL23" s="4">
        <v>-1100515.5</v>
      </c>
      <c r="BM23" s="4">
        <v>-1118265.75</v>
      </c>
      <c r="BN23" s="4">
        <v>-1136016</v>
      </c>
      <c r="BO23" s="4">
        <v>-1153766.25</v>
      </c>
      <c r="BP23" s="4">
        <v>-1171516.5</v>
      </c>
      <c r="BQ23" s="4">
        <v>-1189266.75</v>
      </c>
      <c r="BR23" s="4">
        <v>-1207017</v>
      </c>
      <c r="BS23" s="4">
        <v>-1224767.25</v>
      </c>
      <c r="BT23" s="4">
        <v>-1242517.5</v>
      </c>
      <c r="BU23" s="4">
        <v>-1260267.75</v>
      </c>
      <c r="BV23" s="4">
        <v>-1278018</v>
      </c>
      <c r="BW23" s="4">
        <v>-1295768.25</v>
      </c>
      <c r="BX23" s="4">
        <v>-1313518.5</v>
      </c>
      <c r="BY23" s="4">
        <v>-1331268.75</v>
      </c>
      <c r="BZ23" s="4">
        <v>-1349019</v>
      </c>
      <c r="CA23" s="4">
        <v>-1366769.25</v>
      </c>
      <c r="CB23" s="4">
        <v>-1384519.5</v>
      </c>
      <c r="CC23" s="4">
        <v>-1402269.75</v>
      </c>
      <c r="CD23" s="4">
        <v>-1420020</v>
      </c>
      <c r="CE23" s="4">
        <v>-1437770.25</v>
      </c>
      <c r="CF23" s="4">
        <v>-1455520.5</v>
      </c>
      <c r="CG23" s="4">
        <v>-1473270.75</v>
      </c>
      <c r="CH23" s="4">
        <v>-1491021</v>
      </c>
      <c r="CI23" s="109">
        <v>-106501.5</v>
      </c>
      <c r="CJ23" s="109">
        <v>-319504.5</v>
      </c>
      <c r="CK23" s="109">
        <v>-532507.5</v>
      </c>
      <c r="CL23" s="109">
        <v>-745510.5</v>
      </c>
      <c r="CM23" s="109">
        <v>-958513.5</v>
      </c>
      <c r="CN23" s="109">
        <v>-1171516.5</v>
      </c>
      <c r="CO23" s="109">
        <v>-1384519.5</v>
      </c>
      <c r="CY23" s="90"/>
    </row>
    <row r="24" spans="1:103" x14ac:dyDescent="0.3">
      <c r="A24" s="108" t="s">
        <v>596</v>
      </c>
      <c r="B24" s="4">
        <v>0</v>
      </c>
      <c r="C24" s="4">
        <v>-680.08</v>
      </c>
      <c r="D24" s="4">
        <v>-1360.16</v>
      </c>
      <c r="E24" s="4">
        <v>-2040.24</v>
      </c>
      <c r="F24" s="4">
        <v>-2720.32</v>
      </c>
      <c r="G24" s="4">
        <v>-3400.4</v>
      </c>
      <c r="H24" s="4">
        <v>-4080.48</v>
      </c>
      <c r="I24" s="4">
        <v>-4760.5600000000004</v>
      </c>
      <c r="J24" s="4">
        <v>-5440.64</v>
      </c>
      <c r="K24" s="4">
        <v>-6120.72</v>
      </c>
      <c r="L24" s="4">
        <v>-6800.8</v>
      </c>
      <c r="M24" s="4">
        <v>-7480.88</v>
      </c>
      <c r="N24" s="4">
        <v>-8160.96</v>
      </c>
      <c r="O24" s="4">
        <v>-8841.0400000000009</v>
      </c>
      <c r="P24" s="4">
        <v>-9521.1200000000008</v>
      </c>
      <c r="Q24" s="4">
        <v>-10201.200000000001</v>
      </c>
      <c r="R24" s="4">
        <v>-10881.28</v>
      </c>
      <c r="S24" s="4">
        <v>-11561.36</v>
      </c>
      <c r="T24" s="4">
        <v>-12241.44</v>
      </c>
      <c r="U24" s="4">
        <v>-12921.52</v>
      </c>
      <c r="V24" s="4">
        <v>-13601.6</v>
      </c>
      <c r="W24" s="4">
        <v>-14281.68</v>
      </c>
      <c r="X24" s="4">
        <v>-14961.76</v>
      </c>
      <c r="Y24" s="4">
        <v>-15641.84</v>
      </c>
      <c r="Z24" s="4">
        <v>-16321.92</v>
      </c>
      <c r="AA24" s="4">
        <v>-17002</v>
      </c>
      <c r="AB24" s="4">
        <v>-17682.079999999998</v>
      </c>
      <c r="AC24" s="4">
        <v>-18362.16</v>
      </c>
      <c r="AD24" s="4">
        <v>-19042.239999999998</v>
      </c>
      <c r="AE24" s="4">
        <v>-19722.32</v>
      </c>
      <c r="AF24" s="4">
        <v>-20402.399999999998</v>
      </c>
      <c r="AG24" s="4">
        <v>-21082.48</v>
      </c>
      <c r="AH24" s="4">
        <v>-21762.559999999998</v>
      </c>
      <c r="AI24" s="4">
        <v>-22442.639999999999</v>
      </c>
      <c r="AJ24" s="4">
        <v>-23122.719999999998</v>
      </c>
      <c r="AK24" s="4">
        <v>-23802.799999999999</v>
      </c>
      <c r="AL24" s="4">
        <v>-24482.879999999997</v>
      </c>
      <c r="AM24" s="4">
        <v>-25162.959999999999</v>
      </c>
      <c r="AN24" s="4">
        <v>-25843.039999999997</v>
      </c>
      <c r="AO24" s="4">
        <v>-26523.119999999999</v>
      </c>
      <c r="AP24" s="4">
        <v>-27203.199999999997</v>
      </c>
      <c r="AQ24" s="4">
        <v>-27883.279999999999</v>
      </c>
      <c r="AR24" s="4">
        <v>-28563.359999999997</v>
      </c>
      <c r="AS24" s="4">
        <v>-29243.439999999999</v>
      </c>
      <c r="AT24" s="4">
        <v>-29923.519999999997</v>
      </c>
      <c r="AU24" s="4">
        <v>-30603.599999999999</v>
      </c>
      <c r="AV24" s="4">
        <v>-31283.68</v>
      </c>
      <c r="AW24" s="4">
        <v>-31963.759999999998</v>
      </c>
      <c r="AX24" s="4">
        <v>-32643.839999999997</v>
      </c>
      <c r="AY24" s="4">
        <v>-33323.919999999998</v>
      </c>
      <c r="AZ24" s="4">
        <v>-34004</v>
      </c>
      <c r="BA24" s="4">
        <v>-34684.080000000002</v>
      </c>
      <c r="BB24" s="4">
        <v>-35364.159999999996</v>
      </c>
      <c r="BC24" s="4">
        <v>-36044.239999999998</v>
      </c>
      <c r="BD24" s="4">
        <v>-36724.32</v>
      </c>
      <c r="BE24" s="4">
        <v>-37404.399999999994</v>
      </c>
      <c r="BF24" s="4">
        <v>-38084.479999999996</v>
      </c>
      <c r="BG24" s="4">
        <v>-38764.559999999998</v>
      </c>
      <c r="BH24" s="4">
        <v>-39444.639999999999</v>
      </c>
      <c r="BI24" s="4">
        <v>-40124.720000000001</v>
      </c>
      <c r="BJ24" s="4">
        <v>-40804.799999999996</v>
      </c>
      <c r="BK24" s="4">
        <v>-41484.879999999997</v>
      </c>
      <c r="BL24" s="4">
        <v>-42164.959999999999</v>
      </c>
      <c r="BM24" s="4">
        <v>-42845.039999999994</v>
      </c>
      <c r="BN24" s="4">
        <v>-43525.119999999995</v>
      </c>
      <c r="BO24" s="4">
        <v>-44205.2</v>
      </c>
      <c r="BP24" s="4">
        <v>-44885.279999999999</v>
      </c>
      <c r="BQ24" s="4">
        <v>-45565.36</v>
      </c>
      <c r="BR24" s="4">
        <v>-46245.439999999995</v>
      </c>
      <c r="BS24" s="4">
        <v>-46925.52</v>
      </c>
      <c r="BT24" s="4">
        <v>-47605.599999999999</v>
      </c>
      <c r="BU24" s="4">
        <v>-48285.679999999993</v>
      </c>
      <c r="BV24" s="4">
        <v>-48965.759999999995</v>
      </c>
      <c r="BW24" s="4">
        <v>-49645.84</v>
      </c>
      <c r="BX24" s="4">
        <v>-50325.919999999998</v>
      </c>
      <c r="BY24" s="4">
        <v>-51006</v>
      </c>
      <c r="BZ24" s="4">
        <v>-51686.079999999994</v>
      </c>
      <c r="CA24" s="4">
        <v>-52366.159999999996</v>
      </c>
      <c r="CB24" s="4">
        <v>-53046.239999999998</v>
      </c>
      <c r="CC24" s="4">
        <v>-53726.319999999992</v>
      </c>
      <c r="CD24" s="4">
        <v>-54406.399999999994</v>
      </c>
      <c r="CE24" s="4">
        <v>-55086.479999999996</v>
      </c>
      <c r="CF24" s="4">
        <v>-55766.559999999998</v>
      </c>
      <c r="CG24" s="4">
        <v>-56446.64</v>
      </c>
      <c r="CH24" s="4">
        <v>-57126.719999999994</v>
      </c>
      <c r="CI24" s="109">
        <v>-4080.48</v>
      </c>
      <c r="CJ24" s="109">
        <v>-12241.440000000002</v>
      </c>
      <c r="CK24" s="109">
        <v>-20402.399999999998</v>
      </c>
      <c r="CL24" s="109">
        <v>-28563.359999999993</v>
      </c>
      <c r="CM24" s="109">
        <v>-36724.32</v>
      </c>
      <c r="CN24" s="109">
        <v>-44885.279999999999</v>
      </c>
      <c r="CO24" s="109">
        <v>-53046.239999999998</v>
      </c>
      <c r="CY24" s="90"/>
    </row>
    <row r="25" spans="1:103" x14ac:dyDescent="0.3">
      <c r="A25" s="108" t="s">
        <v>597</v>
      </c>
      <c r="B25" s="4">
        <v>0</v>
      </c>
      <c r="C25" s="4">
        <v>-60443.5</v>
      </c>
      <c r="D25" s="4">
        <v>-120887</v>
      </c>
      <c r="E25" s="4">
        <v>-181330.5</v>
      </c>
      <c r="F25" s="4">
        <v>-241774</v>
      </c>
      <c r="G25" s="4">
        <v>-302217.5</v>
      </c>
      <c r="H25" s="4">
        <v>-362661</v>
      </c>
      <c r="I25" s="4">
        <v>-423104.49999999994</v>
      </c>
      <c r="J25" s="4">
        <v>-483548</v>
      </c>
      <c r="K25" s="4">
        <v>-543991.5</v>
      </c>
      <c r="L25" s="4">
        <v>-604435.00000000012</v>
      </c>
      <c r="M25" s="4">
        <v>-664878.50000000023</v>
      </c>
      <c r="N25" s="4">
        <v>-725322.00000000023</v>
      </c>
      <c r="O25" s="4">
        <v>-785765.50000000023</v>
      </c>
      <c r="P25" s="4">
        <v>-846209.00000000023</v>
      </c>
      <c r="Q25" s="4">
        <v>-906652.50000000023</v>
      </c>
      <c r="R25" s="4">
        <v>-967096.00000000012</v>
      </c>
      <c r="S25" s="4">
        <v>-1027539.5</v>
      </c>
      <c r="T25" s="4">
        <v>-1087983</v>
      </c>
      <c r="U25" s="4">
        <v>-1148426.5</v>
      </c>
      <c r="V25" s="4">
        <v>-1208870</v>
      </c>
      <c r="W25" s="4">
        <v>-1269313.4999999998</v>
      </c>
      <c r="X25" s="4">
        <v>-1329756.9999999998</v>
      </c>
      <c r="Y25" s="4">
        <v>-1390200.4999999995</v>
      </c>
      <c r="Z25" s="4">
        <v>-1450643.9999999995</v>
      </c>
      <c r="AA25" s="4">
        <v>-1511087.4999999995</v>
      </c>
      <c r="AB25" s="4">
        <v>-1571530.9999999995</v>
      </c>
      <c r="AC25" s="4">
        <v>-1631974.4999999995</v>
      </c>
      <c r="AD25" s="4">
        <v>-1692417.9999999993</v>
      </c>
      <c r="AE25" s="4">
        <v>-1752861.4999999991</v>
      </c>
      <c r="AF25" s="4">
        <v>-1813304.9999999991</v>
      </c>
      <c r="AG25" s="4">
        <v>-1873748.4999999991</v>
      </c>
      <c r="AH25" s="4">
        <v>-1934191.9999999988</v>
      </c>
      <c r="AI25" s="4">
        <v>-1994635.4999999986</v>
      </c>
      <c r="AJ25" s="4">
        <v>-2055078.9999999986</v>
      </c>
      <c r="AK25" s="4">
        <v>-2115522.4999999986</v>
      </c>
      <c r="AL25" s="4">
        <v>-2175965.9999999981</v>
      </c>
      <c r="AM25" s="4">
        <v>-2236409.4999999981</v>
      </c>
      <c r="AN25" s="4">
        <v>-2296852.9999999981</v>
      </c>
      <c r="AO25" s="4">
        <v>-2357296.4999999981</v>
      </c>
      <c r="AP25" s="4">
        <v>-2417739.9999999981</v>
      </c>
      <c r="AQ25" s="4">
        <v>-2478183.4999999977</v>
      </c>
      <c r="AR25" s="4">
        <v>-2538626.9999999977</v>
      </c>
      <c r="AS25" s="4">
        <v>-2599070.4999999977</v>
      </c>
      <c r="AT25" s="4">
        <v>-2659513.9999999977</v>
      </c>
      <c r="AU25" s="4">
        <v>-2719957.4999999977</v>
      </c>
      <c r="AV25" s="4">
        <v>-2780400.9999999977</v>
      </c>
      <c r="AW25" s="4">
        <v>-2840844.4999999977</v>
      </c>
      <c r="AX25" s="4">
        <v>-2901287.9999999977</v>
      </c>
      <c r="AY25" s="4">
        <v>-2961731.4999999977</v>
      </c>
      <c r="AZ25" s="4">
        <v>-3022174.9999999981</v>
      </c>
      <c r="BA25" s="4">
        <v>-3082618.4999999981</v>
      </c>
      <c r="BB25" s="4">
        <v>-3143061.9999999981</v>
      </c>
      <c r="BC25" s="4">
        <v>-3203505.4999999981</v>
      </c>
      <c r="BD25" s="4">
        <v>-3263948.9999999981</v>
      </c>
      <c r="BE25" s="4">
        <v>-3324392.4999999981</v>
      </c>
      <c r="BF25" s="4">
        <v>-3384835.9999999981</v>
      </c>
      <c r="BG25" s="4">
        <v>-3445279.4999999981</v>
      </c>
      <c r="BH25" s="4">
        <v>-3505722.9999999981</v>
      </c>
      <c r="BI25" s="4">
        <v>-3566166.4999999981</v>
      </c>
      <c r="BJ25" s="4">
        <v>-3626609.9999999981</v>
      </c>
      <c r="BK25" s="4">
        <v>-3687053.4999999981</v>
      </c>
      <c r="BL25" s="4">
        <v>-3747496.9999999981</v>
      </c>
      <c r="BM25" s="4">
        <v>-3807940.4999999981</v>
      </c>
      <c r="BN25" s="4">
        <v>-3868383.9999999981</v>
      </c>
      <c r="BO25" s="4">
        <v>-3928827.4999999981</v>
      </c>
      <c r="BP25" s="4">
        <v>-3989270.9999999981</v>
      </c>
      <c r="BQ25" s="4">
        <v>-4049714.4999999981</v>
      </c>
      <c r="BR25" s="4">
        <v>-4110157.9999999981</v>
      </c>
      <c r="BS25" s="4">
        <v>-4170601.4999999981</v>
      </c>
      <c r="BT25" s="4">
        <v>-4231044.9999999981</v>
      </c>
      <c r="BU25" s="4">
        <v>-4291488.4999999981</v>
      </c>
      <c r="BV25" s="4">
        <v>-4351931.9999999981</v>
      </c>
      <c r="BW25" s="4">
        <v>-4412375.4999999981</v>
      </c>
      <c r="BX25" s="4">
        <v>-4472818.9999999981</v>
      </c>
      <c r="BY25" s="4">
        <v>-4533262.4999999981</v>
      </c>
      <c r="BZ25" s="4">
        <v>-4593705.9999999981</v>
      </c>
      <c r="CA25" s="4">
        <v>-4654149.4999999981</v>
      </c>
      <c r="CB25" s="4">
        <v>-4714592.9999999981</v>
      </c>
      <c r="CC25" s="4">
        <v>-4775036.4999999981</v>
      </c>
      <c r="CD25" s="4">
        <v>-4835479.9999999981</v>
      </c>
      <c r="CE25" s="4">
        <v>-4895923.4999999981</v>
      </c>
      <c r="CF25" s="4">
        <v>-4956366.9999999981</v>
      </c>
      <c r="CG25" s="4">
        <v>-5016810.4999999981</v>
      </c>
      <c r="CH25" s="4">
        <v>-5077253.9999999981</v>
      </c>
      <c r="CI25" s="109">
        <v>-362661</v>
      </c>
      <c r="CJ25" s="109">
        <v>-1087983</v>
      </c>
      <c r="CK25" s="109">
        <v>-1813304.9999999995</v>
      </c>
      <c r="CL25" s="109">
        <v>-2538626.9999999972</v>
      </c>
      <c r="CM25" s="109">
        <v>-3263948.9999999991</v>
      </c>
      <c r="CN25" s="109">
        <v>-3989270.9999999995</v>
      </c>
      <c r="CO25" s="109">
        <v>-4714592.9999999991</v>
      </c>
      <c r="CY25" s="90"/>
    </row>
    <row r="26" spans="1:103" x14ac:dyDescent="0.3">
      <c r="A26" s="108" t="s">
        <v>598</v>
      </c>
      <c r="B26" s="4">
        <v>0</v>
      </c>
      <c r="C26" s="4">
        <v>-24118.67</v>
      </c>
      <c r="D26" s="4">
        <v>-48237.34</v>
      </c>
      <c r="E26" s="4">
        <v>-72356.010000000009</v>
      </c>
      <c r="F26" s="4">
        <v>-96474.68</v>
      </c>
      <c r="G26" s="4">
        <v>-120593.35</v>
      </c>
      <c r="H26" s="4">
        <v>-144712.01999999999</v>
      </c>
      <c r="I26" s="4">
        <v>-168830.69</v>
      </c>
      <c r="J26" s="4">
        <v>-192949.36</v>
      </c>
      <c r="K26" s="4">
        <v>-217068.03</v>
      </c>
      <c r="L26" s="4">
        <v>-241186.7</v>
      </c>
      <c r="M26" s="4">
        <v>-265305.37</v>
      </c>
      <c r="N26" s="4">
        <v>-289424.03999999998</v>
      </c>
      <c r="O26" s="4">
        <v>-313542.70999999996</v>
      </c>
      <c r="P26" s="4">
        <v>-337661.38</v>
      </c>
      <c r="Q26" s="4">
        <v>-361780.05</v>
      </c>
      <c r="R26" s="4">
        <v>-385898.72</v>
      </c>
      <c r="S26" s="4">
        <v>-410017.39</v>
      </c>
      <c r="T26" s="4">
        <v>-434136.06</v>
      </c>
      <c r="U26" s="4">
        <v>-458254.73</v>
      </c>
      <c r="V26" s="4">
        <v>-482373.4</v>
      </c>
      <c r="W26" s="4">
        <v>-506492.07000000007</v>
      </c>
      <c r="X26" s="4">
        <v>-530610.74</v>
      </c>
      <c r="Y26" s="4">
        <v>-554729.41</v>
      </c>
      <c r="Z26" s="4">
        <v>-578848.08000000007</v>
      </c>
      <c r="AA26" s="4">
        <v>-602966.75000000012</v>
      </c>
      <c r="AB26" s="4">
        <v>-627085.42000000016</v>
      </c>
      <c r="AC26" s="4">
        <v>-651204.09000000008</v>
      </c>
      <c r="AD26" s="4">
        <v>-675322.76000000013</v>
      </c>
      <c r="AE26" s="4">
        <v>-699441.43000000017</v>
      </c>
      <c r="AF26" s="4">
        <v>-723560.10000000009</v>
      </c>
      <c r="AG26" s="4">
        <v>-747678.77000000014</v>
      </c>
      <c r="AH26" s="4">
        <v>-771797.44000000018</v>
      </c>
      <c r="AI26" s="4">
        <v>-795916.11000000022</v>
      </c>
      <c r="AJ26" s="4">
        <v>-820034.78000000026</v>
      </c>
      <c r="AK26" s="4">
        <v>-844153.45000000019</v>
      </c>
      <c r="AL26" s="4">
        <v>-868272.12000000011</v>
      </c>
      <c r="AM26" s="4">
        <v>-892390.79000000015</v>
      </c>
      <c r="AN26" s="4">
        <v>-916509.4600000002</v>
      </c>
      <c r="AO26" s="4">
        <v>-940628.13000000012</v>
      </c>
      <c r="AP26" s="4">
        <v>-964746.8</v>
      </c>
      <c r="AQ26" s="4">
        <v>-988865.47000000009</v>
      </c>
      <c r="AR26" s="4">
        <v>-1012984.1400000001</v>
      </c>
      <c r="AS26" s="4">
        <v>-1037102.81</v>
      </c>
      <c r="AT26" s="4">
        <v>-1061221.48</v>
      </c>
      <c r="AU26" s="4">
        <v>-1085340.1499999999</v>
      </c>
      <c r="AV26" s="4">
        <v>-1109458.82</v>
      </c>
      <c r="AW26" s="4">
        <v>-1133577.49</v>
      </c>
      <c r="AX26" s="4">
        <v>-1157696.1599999999</v>
      </c>
      <c r="AY26" s="4">
        <v>-1181814.83</v>
      </c>
      <c r="AZ26" s="4">
        <v>-1205933.5</v>
      </c>
      <c r="BA26" s="4">
        <v>-1230052.17</v>
      </c>
      <c r="BB26" s="4">
        <v>-1254170.8399999999</v>
      </c>
      <c r="BC26" s="4">
        <v>-1278289.5099999998</v>
      </c>
      <c r="BD26" s="4">
        <v>-1302408.18</v>
      </c>
      <c r="BE26" s="4">
        <v>-1326526.8499999999</v>
      </c>
      <c r="BF26" s="4">
        <v>-1350645.5199999998</v>
      </c>
      <c r="BG26" s="4">
        <v>-1374764.19</v>
      </c>
      <c r="BH26" s="4">
        <v>-1398882.8599999999</v>
      </c>
      <c r="BI26" s="4">
        <v>-1423001.5299999998</v>
      </c>
      <c r="BJ26" s="4">
        <v>-1447120.1999999997</v>
      </c>
      <c r="BK26" s="4">
        <v>-1471238.8699999996</v>
      </c>
      <c r="BL26" s="4">
        <v>-1495357.5399999998</v>
      </c>
      <c r="BM26" s="4">
        <v>-1519476.2099999997</v>
      </c>
      <c r="BN26" s="4">
        <v>-1543594.8799999997</v>
      </c>
      <c r="BO26" s="4">
        <v>-1567713.5499999998</v>
      </c>
      <c r="BP26" s="4">
        <v>-1591832.2199999997</v>
      </c>
      <c r="BQ26" s="4">
        <v>-1615950.8899999997</v>
      </c>
      <c r="BR26" s="4">
        <v>-1640069.5599999996</v>
      </c>
      <c r="BS26" s="4">
        <v>-1664188.2299999997</v>
      </c>
      <c r="BT26" s="4">
        <v>-1688306.9</v>
      </c>
      <c r="BU26" s="4">
        <v>-1712425.5699999998</v>
      </c>
      <c r="BV26" s="4">
        <v>-1736544.2399999998</v>
      </c>
      <c r="BW26" s="4">
        <v>-1760662.91</v>
      </c>
      <c r="BX26" s="4">
        <v>-1784781.58</v>
      </c>
      <c r="BY26" s="4">
        <v>-1808900.25</v>
      </c>
      <c r="BZ26" s="4">
        <v>-1833018.92</v>
      </c>
      <c r="CA26" s="4">
        <v>-1857137.59</v>
      </c>
      <c r="CB26" s="4">
        <v>-1881256.2600000002</v>
      </c>
      <c r="CC26" s="4">
        <v>-1905374.9300000002</v>
      </c>
      <c r="CD26" s="4">
        <v>-1929493.6</v>
      </c>
      <c r="CE26" s="4">
        <v>-1953612.2700000003</v>
      </c>
      <c r="CF26" s="4">
        <v>-1977730.9400000004</v>
      </c>
      <c r="CG26" s="4">
        <v>-2001849.6100000003</v>
      </c>
      <c r="CH26" s="4">
        <v>-2025968.2800000003</v>
      </c>
      <c r="CI26" s="109">
        <v>-144712.01999999999</v>
      </c>
      <c r="CJ26" s="109">
        <v>-434136.06</v>
      </c>
      <c r="CK26" s="109">
        <v>-723560.10000000033</v>
      </c>
      <c r="CL26" s="109">
        <v>-1012984.1400000001</v>
      </c>
      <c r="CM26" s="109">
        <v>-1302408.1799999997</v>
      </c>
      <c r="CN26" s="109">
        <v>-1591832.2199999997</v>
      </c>
      <c r="CO26" s="109">
        <v>-1881256.26</v>
      </c>
      <c r="CY26" s="90"/>
    </row>
    <row r="27" spans="1:103" x14ac:dyDescent="0.3">
      <c r="A27" s="108" t="s">
        <v>599</v>
      </c>
      <c r="B27" s="4">
        <v>0</v>
      </c>
      <c r="C27" s="4">
        <v>-35989.17</v>
      </c>
      <c r="D27" s="4">
        <v>-71978.34</v>
      </c>
      <c r="E27" s="4">
        <v>-107967.51000000001</v>
      </c>
      <c r="F27" s="4">
        <v>-143956.68</v>
      </c>
      <c r="G27" s="4">
        <v>-179945.85</v>
      </c>
      <c r="H27" s="4">
        <v>-215935.02000000002</v>
      </c>
      <c r="I27" s="4">
        <v>-251924.19</v>
      </c>
      <c r="J27" s="4">
        <v>-287913.36</v>
      </c>
      <c r="K27" s="4">
        <v>-323902.53000000003</v>
      </c>
      <c r="L27" s="4">
        <v>-359891.7</v>
      </c>
      <c r="M27" s="4">
        <v>-395880.87</v>
      </c>
      <c r="N27" s="4">
        <v>-431870.04000000004</v>
      </c>
      <c r="O27" s="4">
        <v>-467859.21</v>
      </c>
      <c r="P27" s="4">
        <v>-503848.38</v>
      </c>
      <c r="Q27" s="4">
        <v>-539837.55000000005</v>
      </c>
      <c r="R27" s="4">
        <v>-575826.72000000009</v>
      </c>
      <c r="S27" s="4">
        <v>-611815.89000000013</v>
      </c>
      <c r="T27" s="4">
        <v>-647805.06000000006</v>
      </c>
      <c r="U27" s="4">
        <v>-683794.2300000001</v>
      </c>
      <c r="V27" s="4">
        <v>-719783.40000000014</v>
      </c>
      <c r="W27" s="4">
        <v>-755772.57000000007</v>
      </c>
      <c r="X27" s="4">
        <v>-791761.74000000011</v>
      </c>
      <c r="Y27" s="4">
        <v>-827750.91000000015</v>
      </c>
      <c r="Z27" s="4">
        <v>-863740.08000000007</v>
      </c>
      <c r="AA27" s="4">
        <v>-899729.25000000012</v>
      </c>
      <c r="AB27" s="4">
        <v>-935718.42000000016</v>
      </c>
      <c r="AC27" s="4">
        <v>-971707.59000000008</v>
      </c>
      <c r="AD27" s="4">
        <v>-1007696.76</v>
      </c>
      <c r="AE27" s="4">
        <v>-1043685.93</v>
      </c>
      <c r="AF27" s="4">
        <v>-1079675.1000000001</v>
      </c>
      <c r="AG27" s="4">
        <v>-1115664.27</v>
      </c>
      <c r="AH27" s="4">
        <v>-1151653.44</v>
      </c>
      <c r="AI27" s="4">
        <v>-1187642.6099999999</v>
      </c>
      <c r="AJ27" s="4">
        <v>-1223631.78</v>
      </c>
      <c r="AK27" s="4">
        <v>-1259620.95</v>
      </c>
      <c r="AL27" s="4">
        <v>-1295610.1199999999</v>
      </c>
      <c r="AM27" s="4">
        <v>-1331599.29</v>
      </c>
      <c r="AN27" s="4">
        <v>-1367588.46</v>
      </c>
      <c r="AO27" s="4">
        <v>-1403577.63</v>
      </c>
      <c r="AP27" s="4">
        <v>-1439566.7999999998</v>
      </c>
      <c r="AQ27" s="4">
        <v>-1475555.9699999997</v>
      </c>
      <c r="AR27" s="4">
        <v>-1511545.14</v>
      </c>
      <c r="AS27" s="4">
        <v>-1547534.3099999998</v>
      </c>
      <c r="AT27" s="4">
        <v>-1583523.4799999997</v>
      </c>
      <c r="AU27" s="4">
        <v>-1619512.65</v>
      </c>
      <c r="AV27" s="4">
        <v>-1655501.8199999998</v>
      </c>
      <c r="AW27" s="4">
        <v>-1691490.9899999998</v>
      </c>
      <c r="AX27" s="4">
        <v>-1727480.16</v>
      </c>
      <c r="AY27" s="4">
        <v>-1763469.33</v>
      </c>
      <c r="AZ27" s="4">
        <v>-1799458.5</v>
      </c>
      <c r="BA27" s="4">
        <v>-1835447.67</v>
      </c>
      <c r="BB27" s="4">
        <v>-1871436.84</v>
      </c>
      <c r="BC27" s="4">
        <v>-1907426.0100000002</v>
      </c>
      <c r="BD27" s="4">
        <v>-1943415.1800000002</v>
      </c>
      <c r="BE27" s="4">
        <v>-1979404.35</v>
      </c>
      <c r="BF27" s="4">
        <v>-2015393.5200000003</v>
      </c>
      <c r="BG27" s="4">
        <v>-2051382.6900000004</v>
      </c>
      <c r="BH27" s="4">
        <v>-2087371.8600000003</v>
      </c>
      <c r="BI27" s="4">
        <v>-2123361.0300000003</v>
      </c>
      <c r="BJ27" s="4">
        <v>-2159350.2000000002</v>
      </c>
      <c r="BK27" s="4">
        <v>-2195339.3700000006</v>
      </c>
      <c r="BL27" s="4">
        <v>-2231328.5400000005</v>
      </c>
      <c r="BM27" s="4">
        <v>-2267317.7100000004</v>
      </c>
      <c r="BN27" s="4">
        <v>-2303306.8800000008</v>
      </c>
      <c r="BO27" s="4">
        <v>-2339296.0500000007</v>
      </c>
      <c r="BP27" s="4">
        <v>-2375285.2200000007</v>
      </c>
      <c r="BQ27" s="4">
        <v>-2411274.3900000006</v>
      </c>
      <c r="BR27" s="4">
        <v>-2447263.5600000005</v>
      </c>
      <c r="BS27" s="4">
        <v>-2483252.7300000009</v>
      </c>
      <c r="BT27" s="4">
        <v>-2519241.9000000008</v>
      </c>
      <c r="BU27" s="4">
        <v>-2555231.0700000008</v>
      </c>
      <c r="BV27" s="4">
        <v>-2591220.2400000012</v>
      </c>
      <c r="BW27" s="4">
        <v>-2627209.4100000011</v>
      </c>
      <c r="BX27" s="4">
        <v>-2663198.580000001</v>
      </c>
      <c r="BY27" s="4">
        <v>-2699187.7500000009</v>
      </c>
      <c r="BZ27" s="4">
        <v>-2735176.9200000009</v>
      </c>
      <c r="CA27" s="4">
        <v>-2771166.0900000012</v>
      </c>
      <c r="CB27" s="4">
        <v>-2807155.2600000012</v>
      </c>
      <c r="CC27" s="4">
        <v>-2843144.4300000011</v>
      </c>
      <c r="CD27" s="4">
        <v>-2879133.6000000015</v>
      </c>
      <c r="CE27" s="4">
        <v>-2915122.7700000014</v>
      </c>
      <c r="CF27" s="4">
        <v>-2951111.9400000013</v>
      </c>
      <c r="CG27" s="4">
        <v>-2987101.1100000013</v>
      </c>
      <c r="CH27" s="4">
        <v>-3023090.2800000012</v>
      </c>
      <c r="CI27" s="109">
        <v>-215935.02000000002</v>
      </c>
      <c r="CJ27" s="109">
        <v>-647805.06000000006</v>
      </c>
      <c r="CK27" s="109">
        <v>-1079675.0999999996</v>
      </c>
      <c r="CL27" s="109">
        <v>-1511545.1400000001</v>
      </c>
      <c r="CM27" s="109">
        <v>-1943415.18</v>
      </c>
      <c r="CN27" s="109">
        <v>-2375285.2200000011</v>
      </c>
      <c r="CO27" s="109">
        <v>-2807155.2600000012</v>
      </c>
      <c r="CY27" s="90"/>
    </row>
    <row r="28" spans="1:103" x14ac:dyDescent="0.3">
      <c r="A28" s="108" t="s">
        <v>600</v>
      </c>
      <c r="B28" s="4">
        <v>0</v>
      </c>
      <c r="C28" s="4">
        <v>-28136</v>
      </c>
      <c r="D28" s="4">
        <v>-56272</v>
      </c>
      <c r="E28" s="4">
        <v>-84408</v>
      </c>
      <c r="F28" s="4">
        <v>-112544</v>
      </c>
      <c r="G28" s="4">
        <v>-140680</v>
      </c>
      <c r="H28" s="4">
        <v>-168816</v>
      </c>
      <c r="I28" s="4">
        <v>-196952</v>
      </c>
      <c r="J28" s="4">
        <v>-225088</v>
      </c>
      <c r="K28" s="4">
        <v>-253224</v>
      </c>
      <c r="L28" s="4">
        <v>-281360</v>
      </c>
      <c r="M28" s="4">
        <v>-309496</v>
      </c>
      <c r="N28" s="4">
        <v>-337632</v>
      </c>
      <c r="O28" s="4">
        <v>-365768</v>
      </c>
      <c r="P28" s="4">
        <v>-393904</v>
      </c>
      <c r="Q28" s="4">
        <v>-422040</v>
      </c>
      <c r="R28" s="4">
        <v>-450176</v>
      </c>
      <c r="S28" s="4">
        <v>-478312</v>
      </c>
      <c r="T28" s="4">
        <v>-506448</v>
      </c>
      <c r="U28" s="4">
        <v>-534584</v>
      </c>
      <c r="V28" s="4">
        <v>-562720</v>
      </c>
      <c r="W28" s="4">
        <v>-590856</v>
      </c>
      <c r="X28" s="4">
        <v>-618992</v>
      </c>
      <c r="Y28" s="4">
        <v>-647128</v>
      </c>
      <c r="Z28" s="4">
        <v>-675264</v>
      </c>
      <c r="AA28" s="4">
        <v>-703400</v>
      </c>
      <c r="AB28" s="4">
        <v>-731536</v>
      </c>
      <c r="AC28" s="4">
        <v>-759672</v>
      </c>
      <c r="AD28" s="4">
        <v>-787808</v>
      </c>
      <c r="AE28" s="4">
        <v>-815944</v>
      </c>
      <c r="AF28" s="4">
        <v>-844080</v>
      </c>
      <c r="AG28" s="4">
        <v>-872216</v>
      </c>
      <c r="AH28" s="4">
        <v>-900352</v>
      </c>
      <c r="AI28" s="4">
        <v>-928488</v>
      </c>
      <c r="AJ28" s="4">
        <v>-956624</v>
      </c>
      <c r="AK28" s="4">
        <v>-984760</v>
      </c>
      <c r="AL28" s="4">
        <v>-1012896</v>
      </c>
      <c r="AM28" s="4">
        <v>-1041032</v>
      </c>
      <c r="AN28" s="4">
        <v>-1069168</v>
      </c>
      <c r="AO28" s="4">
        <v>-1097304</v>
      </c>
      <c r="AP28" s="4">
        <v>-1125440</v>
      </c>
      <c r="AQ28" s="4">
        <v>-1153576</v>
      </c>
      <c r="AR28" s="4">
        <v>-1181712</v>
      </c>
      <c r="AS28" s="4">
        <v>-1209848</v>
      </c>
      <c r="AT28" s="4">
        <v>-1237984</v>
      </c>
      <c r="AU28" s="4">
        <v>-1266120</v>
      </c>
      <c r="AV28" s="4">
        <v>-1294256</v>
      </c>
      <c r="AW28" s="4">
        <v>-1322392</v>
      </c>
      <c r="AX28" s="4">
        <v>-1350528</v>
      </c>
      <c r="AY28" s="4">
        <v>-1378664</v>
      </c>
      <c r="AZ28" s="4">
        <v>-1406800</v>
      </c>
      <c r="BA28" s="4">
        <v>-1434936</v>
      </c>
      <c r="BB28" s="4">
        <v>-1463072</v>
      </c>
      <c r="BC28" s="4">
        <v>-1491208</v>
      </c>
      <c r="BD28" s="4">
        <v>-1519344</v>
      </c>
      <c r="BE28" s="4">
        <v>-1547480</v>
      </c>
      <c r="BF28" s="4">
        <v>-1575616</v>
      </c>
      <c r="BG28" s="4">
        <v>-1603752</v>
      </c>
      <c r="BH28" s="4">
        <v>-1631888</v>
      </c>
      <c r="BI28" s="4">
        <v>-1660024</v>
      </c>
      <c r="BJ28" s="4">
        <v>-1688160</v>
      </c>
      <c r="BK28" s="4">
        <v>-1716296</v>
      </c>
      <c r="BL28" s="4">
        <v>-1744432</v>
      </c>
      <c r="BM28" s="4">
        <v>-1772568</v>
      </c>
      <c r="BN28" s="4">
        <v>-1800704</v>
      </c>
      <c r="BO28" s="4">
        <v>-1828840</v>
      </c>
      <c r="BP28" s="4">
        <v>-1856976</v>
      </c>
      <c r="BQ28" s="4">
        <v>-1885112</v>
      </c>
      <c r="BR28" s="4">
        <v>-1913248</v>
      </c>
      <c r="BS28" s="4">
        <v>-1941384</v>
      </c>
      <c r="BT28" s="4">
        <v>-1969520</v>
      </c>
      <c r="BU28" s="4">
        <v>-1997656</v>
      </c>
      <c r="BV28" s="4">
        <v>-2025792</v>
      </c>
      <c r="BW28" s="4">
        <v>-2053928</v>
      </c>
      <c r="BX28" s="4">
        <v>-2082064</v>
      </c>
      <c r="BY28" s="4">
        <v>-2110200</v>
      </c>
      <c r="BZ28" s="4">
        <v>-2138336</v>
      </c>
      <c r="CA28" s="4">
        <v>-2166472</v>
      </c>
      <c r="CB28" s="4">
        <v>-2194608</v>
      </c>
      <c r="CC28" s="4">
        <v>-2222744</v>
      </c>
      <c r="CD28" s="4">
        <v>-2250880</v>
      </c>
      <c r="CE28" s="4">
        <v>-2279016</v>
      </c>
      <c r="CF28" s="4">
        <v>-2307152</v>
      </c>
      <c r="CG28" s="4">
        <v>-2335288</v>
      </c>
      <c r="CH28" s="4">
        <v>-2363424</v>
      </c>
      <c r="CI28" s="109">
        <v>-168816</v>
      </c>
      <c r="CJ28" s="109">
        <v>-506448</v>
      </c>
      <c r="CK28" s="109">
        <v>-844080</v>
      </c>
      <c r="CL28" s="109">
        <v>-1181712</v>
      </c>
      <c r="CM28" s="109">
        <v>-1519344</v>
      </c>
      <c r="CN28" s="109">
        <v>-1856976</v>
      </c>
      <c r="CO28" s="109">
        <v>-2194608</v>
      </c>
      <c r="CY28" s="90"/>
    </row>
    <row r="29" spans="1:103" x14ac:dyDescent="0.3">
      <c r="A29" s="108" t="s">
        <v>601</v>
      </c>
      <c r="B29" s="4">
        <v>0</v>
      </c>
      <c r="C29" s="4">
        <v>-43714.83</v>
      </c>
      <c r="D29" s="4">
        <v>-87429.66</v>
      </c>
      <c r="E29" s="4">
        <v>-131144.49</v>
      </c>
      <c r="F29" s="4">
        <v>-174859.32</v>
      </c>
      <c r="G29" s="4">
        <v>-218574.15000000002</v>
      </c>
      <c r="H29" s="4">
        <v>-262288.98000000004</v>
      </c>
      <c r="I29" s="4">
        <v>-306003.81000000006</v>
      </c>
      <c r="J29" s="4">
        <v>-349718.64000000007</v>
      </c>
      <c r="K29" s="4">
        <v>-393433.47000000009</v>
      </c>
      <c r="L29" s="4">
        <v>-437148.30000000005</v>
      </c>
      <c r="M29" s="4">
        <v>-480863.13</v>
      </c>
      <c r="N29" s="4">
        <v>-524577.96</v>
      </c>
      <c r="O29" s="4">
        <v>-568292.78999999992</v>
      </c>
      <c r="P29" s="4">
        <v>-612007.61999999988</v>
      </c>
      <c r="Q29" s="4">
        <v>-655722.44999999984</v>
      </c>
      <c r="R29" s="4">
        <v>-699437.2799999998</v>
      </c>
      <c r="S29" s="4">
        <v>-743152.10999999975</v>
      </c>
      <c r="T29" s="4">
        <v>-786866.93999999971</v>
      </c>
      <c r="U29" s="4">
        <v>-830581.76999999979</v>
      </c>
      <c r="V29" s="4">
        <v>-874296.59999999986</v>
      </c>
      <c r="W29" s="4">
        <v>-918011.42999999993</v>
      </c>
      <c r="X29" s="4">
        <v>-961726.26</v>
      </c>
      <c r="Y29" s="4">
        <v>-1005441.0900000001</v>
      </c>
      <c r="Z29" s="4">
        <v>-1049155.9200000002</v>
      </c>
      <c r="AA29" s="4">
        <v>-1092870.7500000002</v>
      </c>
      <c r="AB29" s="4">
        <v>-1136585.5800000003</v>
      </c>
      <c r="AC29" s="4">
        <v>-1180300.4100000004</v>
      </c>
      <c r="AD29" s="4">
        <v>-1224015.2400000005</v>
      </c>
      <c r="AE29" s="4">
        <v>-1267730.0700000005</v>
      </c>
      <c r="AF29" s="4">
        <v>-1311444.9000000006</v>
      </c>
      <c r="AG29" s="4">
        <v>-1355159.7300000007</v>
      </c>
      <c r="AH29" s="4">
        <v>-1398874.5600000008</v>
      </c>
      <c r="AI29" s="4">
        <v>-1442589.3900000008</v>
      </c>
      <c r="AJ29" s="4">
        <v>-1486304.2200000009</v>
      </c>
      <c r="AK29" s="4">
        <v>-1530019.050000001</v>
      </c>
      <c r="AL29" s="4">
        <v>-1573733.8800000011</v>
      </c>
      <c r="AM29" s="4">
        <v>-1617448.7100000009</v>
      </c>
      <c r="AN29" s="4">
        <v>-1661163.540000001</v>
      </c>
      <c r="AO29" s="4">
        <v>-1704878.370000001</v>
      </c>
      <c r="AP29" s="4">
        <v>-1748593.2000000011</v>
      </c>
      <c r="AQ29" s="4">
        <v>-1792308.0300000012</v>
      </c>
      <c r="AR29" s="4">
        <v>-1836022.8600000013</v>
      </c>
      <c r="AS29" s="4">
        <v>-1879737.6900000013</v>
      </c>
      <c r="AT29" s="4">
        <v>-1923452.5200000014</v>
      </c>
      <c r="AU29" s="4">
        <v>-1967167.3500000015</v>
      </c>
      <c r="AV29" s="4">
        <v>-2010882.1800000016</v>
      </c>
      <c r="AW29" s="4">
        <v>-2054597.0100000016</v>
      </c>
      <c r="AX29" s="4">
        <v>-2098311.8400000017</v>
      </c>
      <c r="AY29" s="4">
        <v>-2142026.6700000018</v>
      </c>
      <c r="AZ29" s="4">
        <v>-2185741.5000000019</v>
      </c>
      <c r="BA29" s="4">
        <v>-2229456.3300000019</v>
      </c>
      <c r="BB29" s="4">
        <v>-2273171.160000002</v>
      </c>
      <c r="BC29" s="4">
        <v>-2316885.9900000021</v>
      </c>
      <c r="BD29" s="4">
        <v>-2360600.8200000022</v>
      </c>
      <c r="BE29" s="4">
        <v>-2404315.6500000022</v>
      </c>
      <c r="BF29" s="4">
        <v>-2448030.4800000023</v>
      </c>
      <c r="BG29" s="4">
        <v>-2491745.3100000024</v>
      </c>
      <c r="BH29" s="4">
        <v>-2535460.1400000025</v>
      </c>
      <c r="BI29" s="4">
        <v>-2579174.9700000025</v>
      </c>
      <c r="BJ29" s="4">
        <v>-2622889.8000000026</v>
      </c>
      <c r="BK29" s="4">
        <v>-2666604.6300000027</v>
      </c>
      <c r="BL29" s="4">
        <v>-2710319.4600000028</v>
      </c>
      <c r="BM29" s="4">
        <v>-2754034.2900000028</v>
      </c>
      <c r="BN29" s="4">
        <v>-2797749.1200000029</v>
      </c>
      <c r="BO29" s="4">
        <v>-2841463.950000003</v>
      </c>
      <c r="BP29" s="4">
        <v>-2885178.7800000031</v>
      </c>
      <c r="BQ29" s="4">
        <v>-2928893.6100000031</v>
      </c>
      <c r="BR29" s="4">
        <v>-2972608.4400000032</v>
      </c>
      <c r="BS29" s="4">
        <v>-3016323.2700000033</v>
      </c>
      <c r="BT29" s="4">
        <v>-3060038.1000000034</v>
      </c>
      <c r="BU29" s="4">
        <v>-3103752.9300000034</v>
      </c>
      <c r="BV29" s="4">
        <v>-3147467.7600000035</v>
      </c>
      <c r="BW29" s="4">
        <v>-3191182.5900000036</v>
      </c>
      <c r="BX29" s="4">
        <v>-3234897.4200000037</v>
      </c>
      <c r="BY29" s="4">
        <v>-3278612.2500000037</v>
      </c>
      <c r="BZ29" s="4">
        <v>-3322327.0800000038</v>
      </c>
      <c r="CA29" s="4">
        <v>-3366041.9100000039</v>
      </c>
      <c r="CB29" s="4">
        <v>-3409756.7400000039</v>
      </c>
      <c r="CC29" s="4">
        <v>-3453471.570000004</v>
      </c>
      <c r="CD29" s="4">
        <v>-3497186.4000000041</v>
      </c>
      <c r="CE29" s="4">
        <v>-3540901.2300000042</v>
      </c>
      <c r="CF29" s="4">
        <v>-3584616.0600000042</v>
      </c>
      <c r="CG29" s="4">
        <v>-3628330.8900000043</v>
      </c>
      <c r="CH29" s="4">
        <v>-3672045.7200000044</v>
      </c>
      <c r="CI29" s="109">
        <v>-262288.98000000004</v>
      </c>
      <c r="CJ29" s="109">
        <v>-786866.94</v>
      </c>
      <c r="CK29" s="109">
        <v>-1311444.9000000006</v>
      </c>
      <c r="CL29" s="109">
        <v>-1836022.860000001</v>
      </c>
      <c r="CM29" s="109">
        <v>-2360600.8200000022</v>
      </c>
      <c r="CN29" s="109">
        <v>-2885178.7800000035</v>
      </c>
      <c r="CO29" s="109">
        <v>-3409756.740000003</v>
      </c>
      <c r="CY29" s="90"/>
    </row>
    <row r="30" spans="1:103" x14ac:dyDescent="0.3">
      <c r="A30" s="108" t="s">
        <v>602</v>
      </c>
      <c r="B30" s="4">
        <v>0</v>
      </c>
      <c r="C30" s="4">
        <v>-44703.34</v>
      </c>
      <c r="D30" s="4">
        <v>-89406.68</v>
      </c>
      <c r="E30" s="4">
        <v>-134110.02000000002</v>
      </c>
      <c r="F30" s="4">
        <v>-178813.36</v>
      </c>
      <c r="G30" s="4">
        <v>-223516.69999999998</v>
      </c>
      <c r="H30" s="4">
        <v>-268220.03999999998</v>
      </c>
      <c r="I30" s="4">
        <v>-312923.37999999995</v>
      </c>
      <c r="J30" s="4">
        <v>-357626.71999999991</v>
      </c>
      <c r="K30" s="4">
        <v>-402330.05999999994</v>
      </c>
      <c r="L30" s="4">
        <v>-447033.39999999997</v>
      </c>
      <c r="M30" s="4">
        <v>-491736.74</v>
      </c>
      <c r="N30" s="4">
        <v>-536440.08000000007</v>
      </c>
      <c r="O30" s="4">
        <v>-581143.42000000016</v>
      </c>
      <c r="P30" s="4">
        <v>-625846.76000000024</v>
      </c>
      <c r="Q30" s="4">
        <v>-670550.10000000021</v>
      </c>
      <c r="R30" s="4">
        <v>-715253.44000000029</v>
      </c>
      <c r="S30" s="4">
        <v>-759956.78000000038</v>
      </c>
      <c r="T30" s="4">
        <v>-804660.12000000034</v>
      </c>
      <c r="U30" s="4">
        <v>-849363.46000000031</v>
      </c>
      <c r="V30" s="4">
        <v>-894066.80000000028</v>
      </c>
      <c r="W30" s="4">
        <v>-938770.14000000013</v>
      </c>
      <c r="X30" s="4">
        <v>-983473.48</v>
      </c>
      <c r="Y30" s="4">
        <v>-1028176.82</v>
      </c>
      <c r="Z30" s="4">
        <v>-1072880.1599999999</v>
      </c>
      <c r="AA30" s="4">
        <v>-1117583.4999999998</v>
      </c>
      <c r="AB30" s="4">
        <v>-1162286.8399999996</v>
      </c>
      <c r="AC30" s="4">
        <v>-1206990.1799999997</v>
      </c>
      <c r="AD30" s="4">
        <v>-1251693.5199999996</v>
      </c>
      <c r="AE30" s="4">
        <v>-1296396.8599999994</v>
      </c>
      <c r="AF30" s="4">
        <v>-1341100.1999999993</v>
      </c>
      <c r="AG30" s="4">
        <v>-1385803.5399999991</v>
      </c>
      <c r="AH30" s="4">
        <v>-1430506.8799999992</v>
      </c>
      <c r="AI30" s="4">
        <v>-1475210.219999999</v>
      </c>
      <c r="AJ30" s="4">
        <v>-1519913.5599999989</v>
      </c>
      <c r="AK30" s="4">
        <v>-1564616.899999999</v>
      </c>
      <c r="AL30" s="4">
        <v>-1609320.2399999991</v>
      </c>
      <c r="AM30" s="4">
        <v>-1654023.5799999989</v>
      </c>
      <c r="AN30" s="4">
        <v>-1698726.919999999</v>
      </c>
      <c r="AO30" s="4">
        <v>-1743430.2599999988</v>
      </c>
      <c r="AP30" s="4">
        <v>-1788133.5999999987</v>
      </c>
      <c r="AQ30" s="4">
        <v>-1832836.9399999988</v>
      </c>
      <c r="AR30" s="4">
        <v>-1877540.2799999989</v>
      </c>
      <c r="AS30" s="4">
        <v>-1922243.6199999987</v>
      </c>
      <c r="AT30" s="4">
        <v>-1966946.9599999986</v>
      </c>
      <c r="AU30" s="4">
        <v>-2011650.2999999986</v>
      </c>
      <c r="AV30" s="4">
        <v>-2056353.6399999987</v>
      </c>
      <c r="AW30" s="4">
        <v>-2101056.9799999986</v>
      </c>
      <c r="AX30" s="4">
        <v>-2145760.3199999984</v>
      </c>
      <c r="AY30" s="4">
        <v>-2190463.6599999983</v>
      </c>
      <c r="AZ30" s="4">
        <v>-2235166.9999999986</v>
      </c>
      <c r="BA30" s="4">
        <v>-2279870.3399999985</v>
      </c>
      <c r="BB30" s="4">
        <v>-2324573.6799999983</v>
      </c>
      <c r="BC30" s="4">
        <v>-2369277.0199999986</v>
      </c>
      <c r="BD30" s="4">
        <v>-2413980.3599999985</v>
      </c>
      <c r="BE30" s="4">
        <v>-2458683.6999999983</v>
      </c>
      <c r="BF30" s="4">
        <v>-2503387.0399999982</v>
      </c>
      <c r="BG30" s="4">
        <v>-2548090.379999998</v>
      </c>
      <c r="BH30" s="4">
        <v>-2592793.7199999983</v>
      </c>
      <c r="BI30" s="4">
        <v>-2637497.0599999982</v>
      </c>
      <c r="BJ30" s="4">
        <v>-2682200.399999998</v>
      </c>
      <c r="BK30" s="4">
        <v>-2726903.7399999984</v>
      </c>
      <c r="BL30" s="4">
        <v>-2771607.0799999982</v>
      </c>
      <c r="BM30" s="4">
        <v>-2816310.4199999981</v>
      </c>
      <c r="BN30" s="4">
        <v>-2861013.7599999979</v>
      </c>
      <c r="BO30" s="4">
        <v>-2905717.0999999978</v>
      </c>
      <c r="BP30" s="4">
        <v>-2950420.4399999981</v>
      </c>
      <c r="BQ30" s="4">
        <v>-2995123.7799999979</v>
      </c>
      <c r="BR30" s="4">
        <v>-3039827.1199999978</v>
      </c>
      <c r="BS30" s="4">
        <v>-3084530.4599999981</v>
      </c>
      <c r="BT30" s="4">
        <v>-3129233.799999998</v>
      </c>
      <c r="BU30" s="4">
        <v>-3173937.1399999978</v>
      </c>
      <c r="BV30" s="4">
        <v>-3218640.4799999977</v>
      </c>
      <c r="BW30" s="4">
        <v>-3263343.8199999975</v>
      </c>
      <c r="BX30" s="4">
        <v>-3308047.1599999974</v>
      </c>
      <c r="BY30" s="4">
        <v>-3352750.4999999972</v>
      </c>
      <c r="BZ30" s="4">
        <v>-3397453.8399999971</v>
      </c>
      <c r="CA30" s="4">
        <v>-3442157.1799999969</v>
      </c>
      <c r="CB30" s="4">
        <v>-3486860.5199999968</v>
      </c>
      <c r="CC30" s="4">
        <v>-3531563.8599999966</v>
      </c>
      <c r="CD30" s="4">
        <v>-3576267.1999999965</v>
      </c>
      <c r="CE30" s="4">
        <v>-3620970.5399999963</v>
      </c>
      <c r="CF30" s="4">
        <v>-3665673.8799999962</v>
      </c>
      <c r="CG30" s="4">
        <v>-3710377.219999996</v>
      </c>
      <c r="CH30" s="4">
        <v>-3755080.5599999959</v>
      </c>
      <c r="CI30" s="109">
        <v>-268220.03999999998</v>
      </c>
      <c r="CJ30" s="109">
        <v>-804660.12000000034</v>
      </c>
      <c r="CK30" s="109">
        <v>-1341100.1999999993</v>
      </c>
      <c r="CL30" s="109">
        <v>-1877540.2799999989</v>
      </c>
      <c r="CM30" s="109">
        <v>-2413980.3599999985</v>
      </c>
      <c r="CN30" s="109">
        <v>-2950420.4399999976</v>
      </c>
      <c r="CO30" s="109">
        <v>-3486860.5199999963</v>
      </c>
      <c r="CY30" s="90"/>
    </row>
    <row r="31" spans="1:103" x14ac:dyDescent="0.3">
      <c r="A31" s="108" t="s">
        <v>603</v>
      </c>
      <c r="B31" s="4">
        <v>0</v>
      </c>
      <c r="C31" s="4">
        <v>-44641.33</v>
      </c>
      <c r="D31" s="4">
        <v>-89282.66</v>
      </c>
      <c r="E31" s="4">
        <v>-133923.99</v>
      </c>
      <c r="F31" s="4">
        <v>-178565.32</v>
      </c>
      <c r="G31" s="4">
        <v>-223206.65</v>
      </c>
      <c r="H31" s="4">
        <v>-267847.98</v>
      </c>
      <c r="I31" s="4">
        <v>-312489.31</v>
      </c>
      <c r="J31" s="4">
        <v>-357130.64</v>
      </c>
      <c r="K31" s="4">
        <v>-401771.97</v>
      </c>
      <c r="L31" s="4">
        <v>-446413.3</v>
      </c>
      <c r="M31" s="4">
        <v>-491054.63</v>
      </c>
      <c r="N31" s="4">
        <v>-535695.96</v>
      </c>
      <c r="O31" s="4">
        <v>-580337.28999999992</v>
      </c>
      <c r="P31" s="4">
        <v>-624978.61999999988</v>
      </c>
      <c r="Q31" s="4">
        <v>-669619.94999999995</v>
      </c>
      <c r="R31" s="4">
        <v>-714261.27999999991</v>
      </c>
      <c r="S31" s="4">
        <v>-758902.60999999987</v>
      </c>
      <c r="T31" s="4">
        <v>-803543.94</v>
      </c>
      <c r="U31" s="4">
        <v>-848185.2699999999</v>
      </c>
      <c r="V31" s="4">
        <v>-892826.59999999986</v>
      </c>
      <c r="W31" s="4">
        <v>-937467.92999999993</v>
      </c>
      <c r="X31" s="4">
        <v>-982109.26</v>
      </c>
      <c r="Y31" s="4">
        <v>-1026750.59</v>
      </c>
      <c r="Z31" s="4">
        <v>-1071391.92</v>
      </c>
      <c r="AA31" s="4">
        <v>-1116033.25</v>
      </c>
      <c r="AB31" s="4">
        <v>-1160674.58</v>
      </c>
      <c r="AC31" s="4">
        <v>-1205315.9100000001</v>
      </c>
      <c r="AD31" s="4">
        <v>-1249957.24</v>
      </c>
      <c r="AE31" s="4">
        <v>-1294598.57</v>
      </c>
      <c r="AF31" s="4">
        <v>-1339239.9000000001</v>
      </c>
      <c r="AG31" s="4">
        <v>-1383881.23</v>
      </c>
      <c r="AH31" s="4">
        <v>-1428522.56</v>
      </c>
      <c r="AI31" s="4">
        <v>-1473163.8900000001</v>
      </c>
      <c r="AJ31" s="4">
        <v>-1517805.2200000002</v>
      </c>
      <c r="AK31" s="4">
        <v>-1562446.5500000003</v>
      </c>
      <c r="AL31" s="4">
        <v>-1607087.8800000001</v>
      </c>
      <c r="AM31" s="4">
        <v>-1651729.2100000002</v>
      </c>
      <c r="AN31" s="4">
        <v>-1696370.54</v>
      </c>
      <c r="AO31" s="4">
        <v>-1741011.87</v>
      </c>
      <c r="AP31" s="4">
        <v>-1785653.2000000002</v>
      </c>
      <c r="AQ31" s="4">
        <v>-1830294.53</v>
      </c>
      <c r="AR31" s="4">
        <v>-1874935.8599999999</v>
      </c>
      <c r="AS31" s="4">
        <v>-1919577.19</v>
      </c>
      <c r="AT31" s="4">
        <v>-1964218.52</v>
      </c>
      <c r="AU31" s="4">
        <v>-2008859.8499999999</v>
      </c>
      <c r="AV31" s="4">
        <v>-2053501.1799999997</v>
      </c>
      <c r="AW31" s="4">
        <v>-2098142.5099999998</v>
      </c>
      <c r="AX31" s="4">
        <v>-2142783.84</v>
      </c>
      <c r="AY31" s="4">
        <v>-2187425.17</v>
      </c>
      <c r="AZ31" s="4">
        <v>-2232066.4999999995</v>
      </c>
      <c r="BA31" s="4">
        <v>-2276707.8299999996</v>
      </c>
      <c r="BB31" s="4">
        <v>-2321349.1599999997</v>
      </c>
      <c r="BC31" s="4">
        <v>-2365990.4899999993</v>
      </c>
      <c r="BD31" s="4">
        <v>-2410631.8199999994</v>
      </c>
      <c r="BE31" s="4">
        <v>-2455273.1499999994</v>
      </c>
      <c r="BF31" s="4">
        <v>-2499914.4799999995</v>
      </c>
      <c r="BG31" s="4">
        <v>-2544555.8099999996</v>
      </c>
      <c r="BH31" s="4">
        <v>-2589197.1399999992</v>
      </c>
      <c r="BI31" s="4">
        <v>-2633838.4699999993</v>
      </c>
      <c r="BJ31" s="4">
        <v>-2678479.7999999993</v>
      </c>
      <c r="BK31" s="4">
        <v>-2723121.129999999</v>
      </c>
      <c r="BL31" s="4">
        <v>-2767762.459999999</v>
      </c>
      <c r="BM31" s="4">
        <v>-2812403.7899999991</v>
      </c>
      <c r="BN31" s="4">
        <v>-2857045.1199999992</v>
      </c>
      <c r="BO31" s="4">
        <v>-2901686.4499999993</v>
      </c>
      <c r="BP31" s="4">
        <v>-2946327.7799999989</v>
      </c>
      <c r="BQ31" s="4">
        <v>-2990969.1099999989</v>
      </c>
      <c r="BR31" s="4">
        <v>-3035610.439999999</v>
      </c>
      <c r="BS31" s="4">
        <v>-3080251.7699999986</v>
      </c>
      <c r="BT31" s="4">
        <v>-3124893.0999999987</v>
      </c>
      <c r="BU31" s="4">
        <v>-3169534.4299999988</v>
      </c>
      <c r="BV31" s="4">
        <v>-3214175.7599999988</v>
      </c>
      <c r="BW31" s="4">
        <v>-3258817.0899999989</v>
      </c>
      <c r="BX31" s="4">
        <v>-3303458.4199999985</v>
      </c>
      <c r="BY31" s="4">
        <v>-3348099.7499999986</v>
      </c>
      <c r="BZ31" s="4">
        <v>-3392741.0799999987</v>
      </c>
      <c r="CA31" s="4">
        <v>-3437382.4099999988</v>
      </c>
      <c r="CB31" s="4">
        <v>-3482023.7399999988</v>
      </c>
      <c r="CC31" s="4">
        <v>-3526665.0699999989</v>
      </c>
      <c r="CD31" s="4">
        <v>-3571306.399999999</v>
      </c>
      <c r="CE31" s="4">
        <v>-3615947.7299999991</v>
      </c>
      <c r="CF31" s="4">
        <v>-3660589.0599999991</v>
      </c>
      <c r="CG31" s="4">
        <v>-3705230.3899999992</v>
      </c>
      <c r="CH31" s="4">
        <v>-3749871.7199999993</v>
      </c>
      <c r="CI31" s="109">
        <v>-267847.98</v>
      </c>
      <c r="CJ31" s="109">
        <v>-803543.94</v>
      </c>
      <c r="CK31" s="109">
        <v>-1339239.9000000001</v>
      </c>
      <c r="CL31" s="109">
        <v>-1874935.8599999996</v>
      </c>
      <c r="CM31" s="109">
        <v>-2410631.8199999998</v>
      </c>
      <c r="CN31" s="109">
        <v>-2946327.7799999989</v>
      </c>
      <c r="CO31" s="109">
        <v>-3482023.7399999993</v>
      </c>
      <c r="CY31" s="90"/>
    </row>
    <row r="32" spans="1:103" x14ac:dyDescent="0.3">
      <c r="A32" s="108" t="s">
        <v>604</v>
      </c>
      <c r="B32" s="4">
        <v>0</v>
      </c>
      <c r="C32" s="4">
        <v>-31161.08</v>
      </c>
      <c r="D32" s="4">
        <v>-62322.16</v>
      </c>
      <c r="E32" s="4">
        <v>-93483.239999999991</v>
      </c>
      <c r="F32" s="4">
        <v>-124644.32</v>
      </c>
      <c r="G32" s="4">
        <v>-155805.4</v>
      </c>
      <c r="H32" s="4">
        <v>-186966.48</v>
      </c>
      <c r="I32" s="4">
        <v>-218127.56</v>
      </c>
      <c r="J32" s="4">
        <v>-249288.64</v>
      </c>
      <c r="K32" s="4">
        <v>-280449.71999999997</v>
      </c>
      <c r="L32" s="4">
        <v>-311610.8</v>
      </c>
      <c r="M32" s="4">
        <v>-342771.88</v>
      </c>
      <c r="N32" s="4">
        <v>-373932.96</v>
      </c>
      <c r="O32" s="4">
        <v>-405094.04000000004</v>
      </c>
      <c r="P32" s="4">
        <v>-436255.12</v>
      </c>
      <c r="Q32" s="4">
        <v>-467416.19999999995</v>
      </c>
      <c r="R32" s="4">
        <v>-498577.27999999997</v>
      </c>
      <c r="S32" s="4">
        <v>-529738.36</v>
      </c>
      <c r="T32" s="4">
        <v>-560899.43999999994</v>
      </c>
      <c r="U32" s="4">
        <v>-592060.5199999999</v>
      </c>
      <c r="V32" s="4">
        <v>-623221.59999999986</v>
      </c>
      <c r="W32" s="4">
        <v>-654382.67999999993</v>
      </c>
      <c r="X32" s="4">
        <v>-685543.75999999989</v>
      </c>
      <c r="Y32" s="4">
        <v>-716704.83999999985</v>
      </c>
      <c r="Z32" s="4">
        <v>-747865.91999999993</v>
      </c>
      <c r="AA32" s="4">
        <v>-779026.99999999988</v>
      </c>
      <c r="AB32" s="4">
        <v>-810188.07999999984</v>
      </c>
      <c r="AC32" s="4">
        <v>-841349.15999999992</v>
      </c>
      <c r="AD32" s="4">
        <v>-872510.24</v>
      </c>
      <c r="AE32" s="4">
        <v>-903671.32</v>
      </c>
      <c r="AF32" s="4">
        <v>-934832.39999999991</v>
      </c>
      <c r="AG32" s="4">
        <v>-965993.48</v>
      </c>
      <c r="AH32" s="4">
        <v>-997154.56</v>
      </c>
      <c r="AI32" s="4">
        <v>-1028315.64</v>
      </c>
      <c r="AJ32" s="4">
        <v>-1059476.72</v>
      </c>
      <c r="AK32" s="4">
        <v>-1090637.8</v>
      </c>
      <c r="AL32" s="4">
        <v>-1121798.8800000001</v>
      </c>
      <c r="AM32" s="4">
        <v>-1152959.96</v>
      </c>
      <c r="AN32" s="4">
        <v>-1184121.04</v>
      </c>
      <c r="AO32" s="4">
        <v>-1215282.1200000001</v>
      </c>
      <c r="AP32" s="4">
        <v>-1246443.2000000002</v>
      </c>
      <c r="AQ32" s="4">
        <v>-1277604.2800000003</v>
      </c>
      <c r="AR32" s="4">
        <v>-1308765.3600000001</v>
      </c>
      <c r="AS32" s="4">
        <v>-1339926.4400000002</v>
      </c>
      <c r="AT32" s="4">
        <v>-1371087.5200000003</v>
      </c>
      <c r="AU32" s="4">
        <v>-1402248.6</v>
      </c>
      <c r="AV32" s="4">
        <v>-1433409.6800000002</v>
      </c>
      <c r="AW32" s="4">
        <v>-1464570.7600000002</v>
      </c>
      <c r="AX32" s="4">
        <v>-1495731.8400000003</v>
      </c>
      <c r="AY32" s="4">
        <v>-1526892.9200000004</v>
      </c>
      <c r="AZ32" s="4">
        <v>-1558054.0000000002</v>
      </c>
      <c r="BA32" s="4">
        <v>-1589215.08</v>
      </c>
      <c r="BB32" s="4">
        <v>-1620376.1600000001</v>
      </c>
      <c r="BC32" s="4">
        <v>-1651537.2400000002</v>
      </c>
      <c r="BD32" s="4">
        <v>-1682698.32</v>
      </c>
      <c r="BE32" s="4">
        <v>-1713859.4</v>
      </c>
      <c r="BF32" s="4">
        <v>-1745020.48</v>
      </c>
      <c r="BG32" s="4">
        <v>-1776181.56</v>
      </c>
      <c r="BH32" s="4">
        <v>-1807342.64</v>
      </c>
      <c r="BI32" s="4">
        <v>-1838503.7199999997</v>
      </c>
      <c r="BJ32" s="4">
        <v>-1869664.7999999998</v>
      </c>
      <c r="BK32" s="4">
        <v>-1900825.88</v>
      </c>
      <c r="BL32" s="4">
        <v>-1931986.9599999997</v>
      </c>
      <c r="BM32" s="4">
        <v>-1963148.0399999996</v>
      </c>
      <c r="BN32" s="4">
        <v>-1994309.1199999996</v>
      </c>
      <c r="BO32" s="4">
        <v>-2025470.1999999997</v>
      </c>
      <c r="BP32" s="4">
        <v>-2056631.2799999996</v>
      </c>
      <c r="BQ32" s="4">
        <v>-2087792.3599999994</v>
      </c>
      <c r="BR32" s="4">
        <v>-2118953.4399999995</v>
      </c>
      <c r="BS32" s="4">
        <v>-2150114.5199999996</v>
      </c>
      <c r="BT32" s="4">
        <v>-2181275.5999999996</v>
      </c>
      <c r="BU32" s="4">
        <v>-2212436.6799999992</v>
      </c>
      <c r="BV32" s="4">
        <v>-2243597.7599999993</v>
      </c>
      <c r="BW32" s="4">
        <v>-2274758.8399999994</v>
      </c>
      <c r="BX32" s="4">
        <v>-2305919.919999999</v>
      </c>
      <c r="BY32" s="4">
        <v>-2337080.9999999991</v>
      </c>
      <c r="BZ32" s="4">
        <v>-2368242.0799999991</v>
      </c>
      <c r="CA32" s="4">
        <v>-2399403.1599999992</v>
      </c>
      <c r="CB32" s="4">
        <v>-2430564.2399999993</v>
      </c>
      <c r="CC32" s="4">
        <v>-2461725.3199999989</v>
      </c>
      <c r="CD32" s="4">
        <v>-2492886.399999999</v>
      </c>
      <c r="CE32" s="4">
        <v>-2524047.4799999991</v>
      </c>
      <c r="CF32" s="4">
        <v>-2555208.5599999987</v>
      </c>
      <c r="CG32" s="4">
        <v>-2586369.6399999987</v>
      </c>
      <c r="CH32" s="4">
        <v>-2617530.7199999988</v>
      </c>
      <c r="CI32" s="109">
        <v>-186966.47999999998</v>
      </c>
      <c r="CJ32" s="109">
        <v>-560899.43999999994</v>
      </c>
      <c r="CK32" s="109">
        <v>-934832.40000000037</v>
      </c>
      <c r="CL32" s="109">
        <v>-1308765.3599999999</v>
      </c>
      <c r="CM32" s="109">
        <v>-1682698.3200000003</v>
      </c>
      <c r="CN32" s="109">
        <v>-2056631.2799999996</v>
      </c>
      <c r="CO32" s="109">
        <v>-2430564.2399999993</v>
      </c>
      <c r="CY32" s="90"/>
    </row>
    <row r="33" spans="1:103" x14ac:dyDescent="0.3">
      <c r="A33" s="108" t="s">
        <v>605</v>
      </c>
      <c r="B33" s="4">
        <v>0</v>
      </c>
      <c r="C33" s="4">
        <v>-46986.67</v>
      </c>
      <c r="D33" s="4">
        <v>-93973.34</v>
      </c>
      <c r="E33" s="4">
        <v>-140960.01</v>
      </c>
      <c r="F33" s="4">
        <v>-187946.68</v>
      </c>
      <c r="G33" s="4">
        <v>-234933.35</v>
      </c>
      <c r="H33" s="4">
        <v>-281920.02</v>
      </c>
      <c r="I33" s="4">
        <v>-328906.69</v>
      </c>
      <c r="J33" s="4">
        <v>-375893.36</v>
      </c>
      <c r="K33" s="4">
        <v>-422880.03</v>
      </c>
      <c r="L33" s="4">
        <v>-469866.7</v>
      </c>
      <c r="M33" s="4">
        <v>-516853.37</v>
      </c>
      <c r="N33" s="4">
        <v>-563840.04</v>
      </c>
      <c r="O33" s="4">
        <v>-610826.71</v>
      </c>
      <c r="P33" s="4">
        <v>-657813.38</v>
      </c>
      <c r="Q33" s="4">
        <v>-704800.05</v>
      </c>
      <c r="R33" s="4">
        <v>-751786.72000000009</v>
      </c>
      <c r="S33" s="4">
        <v>-798773.39000000013</v>
      </c>
      <c r="T33" s="4">
        <v>-845760.06</v>
      </c>
      <c r="U33" s="4">
        <v>-892746.7300000001</v>
      </c>
      <c r="V33" s="4">
        <v>-939733.40000000014</v>
      </c>
      <c r="W33" s="4">
        <v>-986720.07000000007</v>
      </c>
      <c r="X33" s="4">
        <v>-1033706.7400000001</v>
      </c>
      <c r="Y33" s="4">
        <v>-1080693.4100000001</v>
      </c>
      <c r="Z33" s="4">
        <v>-1127680.08</v>
      </c>
      <c r="AA33" s="4">
        <v>-1174666.75</v>
      </c>
      <c r="AB33" s="4">
        <v>-1221653.42</v>
      </c>
      <c r="AC33" s="4">
        <v>-1268640.0900000001</v>
      </c>
      <c r="AD33" s="4">
        <v>-1315626.76</v>
      </c>
      <c r="AE33" s="4">
        <v>-1362613.43</v>
      </c>
      <c r="AF33" s="4">
        <v>-1409600.1</v>
      </c>
      <c r="AG33" s="4">
        <v>-1456586.77</v>
      </c>
      <c r="AH33" s="4">
        <v>-1503573.44</v>
      </c>
      <c r="AI33" s="4">
        <v>-1550560.1099999999</v>
      </c>
      <c r="AJ33" s="4">
        <v>-1597546.7799999998</v>
      </c>
      <c r="AK33" s="4">
        <v>-1644533.45</v>
      </c>
      <c r="AL33" s="4">
        <v>-1691520.1199999999</v>
      </c>
      <c r="AM33" s="4">
        <v>-1738506.7899999998</v>
      </c>
      <c r="AN33" s="4">
        <v>-1785493.46</v>
      </c>
      <c r="AO33" s="4">
        <v>-1832480.13</v>
      </c>
      <c r="AP33" s="4">
        <v>-1879466.7999999998</v>
      </c>
      <c r="AQ33" s="4">
        <v>-1926453.4699999997</v>
      </c>
      <c r="AR33" s="4">
        <v>-1973440.1399999997</v>
      </c>
      <c r="AS33" s="4">
        <v>-2020426.8099999998</v>
      </c>
      <c r="AT33" s="4">
        <v>-2067413.48</v>
      </c>
      <c r="AU33" s="4">
        <v>-2114400.15</v>
      </c>
      <c r="AV33" s="4">
        <v>-2161386.8199999998</v>
      </c>
      <c r="AW33" s="4">
        <v>-2208373.4900000002</v>
      </c>
      <c r="AX33" s="4">
        <v>-2255360.16</v>
      </c>
      <c r="AY33" s="4">
        <v>-2302346.83</v>
      </c>
      <c r="AZ33" s="4">
        <v>-2349333.5</v>
      </c>
      <c r="BA33" s="4">
        <v>-2396320.17</v>
      </c>
      <c r="BB33" s="4">
        <v>-2443306.8400000003</v>
      </c>
      <c r="BC33" s="4">
        <v>-2490293.5100000002</v>
      </c>
      <c r="BD33" s="4">
        <v>-2537280.1800000002</v>
      </c>
      <c r="BE33" s="4">
        <v>-2584266.8500000006</v>
      </c>
      <c r="BF33" s="4">
        <v>-2631253.5200000005</v>
      </c>
      <c r="BG33" s="4">
        <v>-2678240.1900000004</v>
      </c>
      <c r="BH33" s="4">
        <v>-2725226.8600000003</v>
      </c>
      <c r="BI33" s="4">
        <v>-2772213.5300000003</v>
      </c>
      <c r="BJ33" s="4">
        <v>-2819200.2000000007</v>
      </c>
      <c r="BK33" s="4">
        <v>-2866186.8700000006</v>
      </c>
      <c r="BL33" s="4">
        <v>-2913173.5400000005</v>
      </c>
      <c r="BM33" s="4">
        <v>-2960160.2100000009</v>
      </c>
      <c r="BN33" s="4">
        <v>-3007146.8800000008</v>
      </c>
      <c r="BO33" s="4">
        <v>-3054133.5500000007</v>
      </c>
      <c r="BP33" s="4">
        <v>-3101120.2200000007</v>
      </c>
      <c r="BQ33" s="4">
        <v>-3148106.8900000006</v>
      </c>
      <c r="BR33" s="4">
        <v>-3195093.560000001</v>
      </c>
      <c r="BS33" s="4">
        <v>-3242080.2300000009</v>
      </c>
      <c r="BT33" s="4">
        <v>-3289066.9000000008</v>
      </c>
      <c r="BU33" s="4">
        <v>-3336053.5700000012</v>
      </c>
      <c r="BV33" s="4">
        <v>-3383040.2400000012</v>
      </c>
      <c r="BW33" s="4">
        <v>-3430026.9100000011</v>
      </c>
      <c r="BX33" s="4">
        <v>-3477013.580000001</v>
      </c>
      <c r="BY33" s="4">
        <v>-3524000.2500000009</v>
      </c>
      <c r="BZ33" s="4">
        <v>-3570986.9200000013</v>
      </c>
      <c r="CA33" s="4">
        <v>-3617973.5900000012</v>
      </c>
      <c r="CB33" s="4">
        <v>-3664960.2600000012</v>
      </c>
      <c r="CC33" s="4">
        <v>-3711946.9300000016</v>
      </c>
      <c r="CD33" s="4">
        <v>-3758933.6000000015</v>
      </c>
      <c r="CE33" s="4">
        <v>-3805920.2700000014</v>
      </c>
      <c r="CF33" s="4">
        <v>-3852906.9400000013</v>
      </c>
      <c r="CG33" s="4">
        <v>-3899893.6100000013</v>
      </c>
      <c r="CH33" s="4">
        <v>-3946880.2800000012</v>
      </c>
      <c r="CI33" s="109">
        <v>-281920.02000000008</v>
      </c>
      <c r="CJ33" s="109">
        <v>-845760.06</v>
      </c>
      <c r="CK33" s="109">
        <v>-1409600.0999999999</v>
      </c>
      <c r="CL33" s="109">
        <v>-1973440.1399999997</v>
      </c>
      <c r="CM33" s="109">
        <v>-2537280.1800000002</v>
      </c>
      <c r="CN33" s="109">
        <v>-3101120.2200000011</v>
      </c>
      <c r="CO33" s="109">
        <v>-3664960.2600000007</v>
      </c>
      <c r="CY33" s="90"/>
    </row>
    <row r="34" spans="1:103" x14ac:dyDescent="0.3">
      <c r="A34" s="108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09"/>
      <c r="CJ34" s="109"/>
      <c r="CK34" s="109"/>
      <c r="CL34" s="109"/>
      <c r="CM34" s="109"/>
      <c r="CN34" s="109"/>
      <c r="CO34" s="109"/>
      <c r="CY34" s="90"/>
    </row>
    <row r="35" spans="1:103" x14ac:dyDescent="0.3">
      <c r="A35" s="108" t="s">
        <v>606</v>
      </c>
      <c r="B35" s="4">
        <v>-3054108</v>
      </c>
      <c r="C35" s="4">
        <v>-3054108</v>
      </c>
      <c r="D35" s="4">
        <v>-3054108</v>
      </c>
      <c r="E35" s="4">
        <v>484998.00999999978</v>
      </c>
      <c r="F35" s="4">
        <v>1809.070000000298</v>
      </c>
      <c r="G35" s="4">
        <v>1809.070000000298</v>
      </c>
      <c r="H35" s="4">
        <v>14602.580000000075</v>
      </c>
      <c r="I35" s="4">
        <v>14602.580000000075</v>
      </c>
      <c r="J35" s="4">
        <v>55044.860000000335</v>
      </c>
      <c r="K35" s="4">
        <v>116138.73000000045</v>
      </c>
      <c r="L35" s="4">
        <v>190011.45999999996</v>
      </c>
      <c r="M35" s="4">
        <v>218673.80999999959</v>
      </c>
      <c r="N35" s="4">
        <v>292495.62000000011</v>
      </c>
      <c r="O35" s="4">
        <v>0</v>
      </c>
      <c r="P35" s="4">
        <v>308904.89999999944</v>
      </c>
      <c r="Q35" s="4">
        <v>504737.84999999945</v>
      </c>
      <c r="R35" s="4">
        <v>1027478.2999999992</v>
      </c>
      <c r="S35" s="4">
        <v>1631014.8199999996</v>
      </c>
      <c r="T35" s="4">
        <v>1319822.4799999995</v>
      </c>
      <c r="U35" s="4">
        <v>1416927.7199999995</v>
      </c>
      <c r="V35" s="4">
        <v>1660464.5199999991</v>
      </c>
      <c r="W35" s="4">
        <v>551050.42666666559</v>
      </c>
      <c r="X35" s="4">
        <v>1367075.3299999989</v>
      </c>
      <c r="Y35" s="4">
        <v>1016858.6666666653</v>
      </c>
      <c r="Z35" s="4">
        <v>944002.32999999856</v>
      </c>
      <c r="AA35" s="4">
        <v>545358.66666666546</v>
      </c>
      <c r="AB35" s="4">
        <v>560025.32999999879</v>
      </c>
      <c r="AC35" s="4">
        <v>382025.33333333227</v>
      </c>
      <c r="AD35" s="4">
        <v>565463.00333333225</v>
      </c>
      <c r="AE35" s="4">
        <v>598901.33666666551</v>
      </c>
      <c r="AF35" s="4">
        <v>600999.99666666554</v>
      </c>
      <c r="AG35" s="4">
        <v>339166.66333333222</v>
      </c>
      <c r="AH35" s="4">
        <v>310833.33666666551</v>
      </c>
      <c r="AI35" s="4">
        <v>330149.99666666554</v>
      </c>
      <c r="AJ35" s="4">
        <v>416166.66333333222</v>
      </c>
      <c r="AK35" s="4">
        <v>324589.33666666551</v>
      </c>
      <c r="AL35" s="4">
        <v>3.3333320607198402E-3</v>
      </c>
      <c r="AM35" s="4">
        <v>820066.66999999876</v>
      </c>
      <c r="AN35" s="4">
        <v>822799.99999999872</v>
      </c>
      <c r="AO35" s="4">
        <v>803299.99999999884</v>
      </c>
      <c r="AP35" s="4">
        <v>803299.99999999884</v>
      </c>
      <c r="AQ35" s="4">
        <v>844966.66666666558</v>
      </c>
      <c r="AR35" s="4">
        <v>834966.66333333228</v>
      </c>
      <c r="AS35" s="4">
        <v>1190266.6699999988</v>
      </c>
      <c r="AT35" s="4">
        <v>834966.66666666581</v>
      </c>
      <c r="AU35" s="4">
        <v>1256423.3299999994</v>
      </c>
      <c r="AV35" s="4">
        <v>911633.33333333279</v>
      </c>
      <c r="AW35" s="4">
        <v>930366.66999999958</v>
      </c>
      <c r="AX35" s="4">
        <v>3.3333327592117712E-3</v>
      </c>
      <c r="AY35" s="4">
        <v>974633.33666666597</v>
      </c>
      <c r="AZ35" s="4">
        <v>974633.32999999938</v>
      </c>
      <c r="BA35" s="4">
        <v>974633.33333333279</v>
      </c>
      <c r="BB35" s="4">
        <v>974633.3366666662</v>
      </c>
      <c r="BC35" s="4">
        <v>974633.32999999938</v>
      </c>
      <c r="BD35" s="4">
        <v>655303.33333333267</v>
      </c>
      <c r="BE35" s="4">
        <v>659633.33666666585</v>
      </c>
      <c r="BF35" s="4">
        <v>322966.66333333257</v>
      </c>
      <c r="BG35" s="4">
        <v>237666.66999999923</v>
      </c>
      <c r="BH35" s="4">
        <v>204333.3333333325</v>
      </c>
      <c r="BI35" s="4">
        <v>171000.00333333248</v>
      </c>
      <c r="BJ35" s="4">
        <v>133386.33666666585</v>
      </c>
      <c r="BK35" s="4">
        <v>-3.3333341561956331E-3</v>
      </c>
      <c r="BL35" s="4">
        <v>-3.3333341561956331E-3</v>
      </c>
      <c r="BM35" s="4">
        <v>-3.3333341561956331E-3</v>
      </c>
      <c r="BN35" s="4">
        <v>-3.3333341561956331E-3</v>
      </c>
      <c r="BO35" s="4">
        <v>-3.3333341561956331E-3</v>
      </c>
      <c r="BP35" s="4">
        <v>-3.3333341561956331E-3</v>
      </c>
      <c r="BQ35" s="4">
        <v>-3.3333341561956331E-3</v>
      </c>
      <c r="BR35" s="4">
        <v>-3.3333341561956331E-3</v>
      </c>
      <c r="BS35" s="4">
        <v>-3.3333341561956331E-3</v>
      </c>
      <c r="BT35" s="4">
        <v>-3.3333341561956331E-3</v>
      </c>
      <c r="BU35" s="4">
        <v>-3.3333341561956331E-3</v>
      </c>
      <c r="BV35" s="4">
        <v>-3.3333341561956331E-3</v>
      </c>
      <c r="BW35" s="4">
        <v>-3.3333341561956331E-3</v>
      </c>
      <c r="BX35" s="4">
        <v>-3.3333341561956331E-3</v>
      </c>
      <c r="BY35" s="4">
        <v>-3.3333341561956331E-3</v>
      </c>
      <c r="BZ35" s="4">
        <v>-3.3333341561956331E-3</v>
      </c>
      <c r="CA35" s="4">
        <v>-3.3333341561956331E-3</v>
      </c>
      <c r="CB35" s="4">
        <v>-3.3333341561956331E-3</v>
      </c>
      <c r="CC35" s="4">
        <v>-3.3333341561956331E-3</v>
      </c>
      <c r="CD35" s="4">
        <v>-3.3333341561956331E-3</v>
      </c>
      <c r="CE35" s="4">
        <v>-3.3333341561956331E-3</v>
      </c>
      <c r="CF35" s="4">
        <v>-3.3333341561956331E-3</v>
      </c>
      <c r="CG35" s="4">
        <v>-3.3333341561956331E-3</v>
      </c>
      <c r="CH35" s="4">
        <v>-3.3333341561956331E-3</v>
      </c>
      <c r="CI35" s="109">
        <v>-597856.78538461518</v>
      </c>
      <c r="CJ35" s="109">
        <v>926217.92025640956</v>
      </c>
      <c r="CK35" s="109">
        <v>455206.30743589625</v>
      </c>
      <c r="CL35" s="109">
        <v>773312.05205128109</v>
      </c>
      <c r="CM35" s="109">
        <v>558265.87282051204</v>
      </c>
      <c r="CN35" s="109">
        <v>10260.484358973523</v>
      </c>
      <c r="CO35" s="109">
        <v>-3.3333341561956331E-3</v>
      </c>
      <c r="CP35" s="113" t="s">
        <v>607</v>
      </c>
      <c r="CY35" s="90"/>
    </row>
    <row r="36" spans="1:103" x14ac:dyDescent="0.3">
      <c r="A36" s="108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09"/>
      <c r="CJ36" s="109"/>
      <c r="CK36" s="109"/>
      <c r="CL36" s="109"/>
      <c r="CM36" s="109"/>
      <c r="CN36" s="109"/>
      <c r="CO36" s="109"/>
      <c r="CP36" s="114"/>
      <c r="CY36" s="90"/>
    </row>
    <row r="37" spans="1:103" x14ac:dyDescent="0.3">
      <c r="A37" s="108" t="s">
        <v>608</v>
      </c>
      <c r="B37" s="4">
        <v>-2881137</v>
      </c>
      <c r="C37" s="4">
        <v>-2881137</v>
      </c>
      <c r="D37" s="4">
        <v>-2881137</v>
      </c>
      <c r="E37" s="4">
        <v>-161623.74000000022</v>
      </c>
      <c r="F37" s="4">
        <v>-51137.890000000596</v>
      </c>
      <c r="G37" s="4">
        <v>-36604.450000000186</v>
      </c>
      <c r="H37" s="4">
        <v>-36077.469999999739</v>
      </c>
      <c r="I37" s="4">
        <v>-36077.469999999739</v>
      </c>
      <c r="J37" s="4">
        <v>-29507.519999999553</v>
      </c>
      <c r="K37" s="4">
        <v>-286768.79999999981</v>
      </c>
      <c r="L37" s="4">
        <v>-183484.51999999955</v>
      </c>
      <c r="M37" s="4">
        <v>26482.110000000335</v>
      </c>
      <c r="N37" s="4">
        <v>236473.79000000004</v>
      </c>
      <c r="O37" s="4">
        <v>0</v>
      </c>
      <c r="P37" s="4">
        <v>370589.87999999989</v>
      </c>
      <c r="Q37" s="4">
        <v>630231.98999999987</v>
      </c>
      <c r="R37" s="4">
        <v>433248.06000000011</v>
      </c>
      <c r="S37" s="4">
        <v>1083908.3699999999</v>
      </c>
      <c r="T37" s="4">
        <v>1004804.5399999995</v>
      </c>
      <c r="U37" s="4">
        <v>1204058.3699999996</v>
      </c>
      <c r="V37" s="4">
        <v>1467400.2199999993</v>
      </c>
      <c r="W37" s="4">
        <v>1113267.4266666661</v>
      </c>
      <c r="X37" s="4">
        <v>1515875.3299999994</v>
      </c>
      <c r="Y37" s="4">
        <v>1983308.6666666656</v>
      </c>
      <c r="Z37" s="4">
        <v>1140052.3299999987</v>
      </c>
      <c r="AA37" s="4">
        <v>1332358.6666666656</v>
      </c>
      <c r="AB37" s="4">
        <v>789025.32999999868</v>
      </c>
      <c r="AC37" s="4">
        <v>727525.33333333198</v>
      </c>
      <c r="AD37" s="4">
        <v>885463.00333333213</v>
      </c>
      <c r="AE37" s="4">
        <v>655333.33666666551</v>
      </c>
      <c r="AF37" s="4">
        <v>545999.99666666554</v>
      </c>
      <c r="AG37" s="4">
        <v>349166.66333333217</v>
      </c>
      <c r="AH37" s="4">
        <v>350833.33666666551</v>
      </c>
      <c r="AI37" s="4">
        <v>330149.99666666554</v>
      </c>
      <c r="AJ37" s="4">
        <v>416166.66333333217</v>
      </c>
      <c r="AK37" s="4">
        <v>311720.33666666551</v>
      </c>
      <c r="AL37" s="4">
        <v>3.333332046167925E-3</v>
      </c>
      <c r="AM37" s="4">
        <v>755066.66999999876</v>
      </c>
      <c r="AN37" s="4">
        <v>747799.99999999872</v>
      </c>
      <c r="AO37" s="4">
        <v>728299.9999999986</v>
      </c>
      <c r="AP37" s="4">
        <v>728299.9999999986</v>
      </c>
      <c r="AQ37" s="4">
        <v>825436.66666666535</v>
      </c>
      <c r="AR37" s="4">
        <v>819966.66333333205</v>
      </c>
      <c r="AS37" s="4">
        <v>1295266.6699999985</v>
      </c>
      <c r="AT37" s="4">
        <v>939966.66666666558</v>
      </c>
      <c r="AU37" s="4">
        <v>1341423.3299999991</v>
      </c>
      <c r="AV37" s="4">
        <v>996633.33333333256</v>
      </c>
      <c r="AW37" s="4">
        <v>955366.66999999934</v>
      </c>
      <c r="AX37" s="4">
        <v>3.3333325118292123E-3</v>
      </c>
      <c r="AY37" s="4">
        <v>1149633.3366666657</v>
      </c>
      <c r="AZ37" s="4">
        <v>1124633.3299999989</v>
      </c>
      <c r="BA37" s="4">
        <v>1124633.3333333321</v>
      </c>
      <c r="BB37" s="4">
        <v>1124633.3366666655</v>
      </c>
      <c r="BC37" s="4">
        <v>1124633.3299999984</v>
      </c>
      <c r="BD37" s="4">
        <v>1125303.3333333316</v>
      </c>
      <c r="BE37" s="4">
        <v>979633.33666666457</v>
      </c>
      <c r="BF37" s="4">
        <v>802966.66333333135</v>
      </c>
      <c r="BG37" s="4">
        <v>557666.66999999795</v>
      </c>
      <c r="BH37" s="4">
        <v>524333.33333333128</v>
      </c>
      <c r="BI37" s="4">
        <v>171000.00333333135</v>
      </c>
      <c r="BJ37" s="4">
        <v>133386.33666666472</v>
      </c>
      <c r="BK37" s="4">
        <v>-3.3333352766931057E-3</v>
      </c>
      <c r="BL37" s="4">
        <v>-3.3333352766931057E-3</v>
      </c>
      <c r="BM37" s="4">
        <v>-3.3333352766931057E-3</v>
      </c>
      <c r="BN37" s="4">
        <v>-3.3333352766931057E-3</v>
      </c>
      <c r="BO37" s="4">
        <v>-3.3333352766931057E-3</v>
      </c>
      <c r="BP37" s="4">
        <v>-3.3333352766931057E-3</v>
      </c>
      <c r="BQ37" s="4">
        <v>-3.3333352766931057E-3</v>
      </c>
      <c r="BR37" s="4">
        <v>-3.3333352766931057E-3</v>
      </c>
      <c r="BS37" s="4">
        <v>-3.3333352766931057E-3</v>
      </c>
      <c r="BT37" s="4">
        <v>-3.3333352766931057E-3</v>
      </c>
      <c r="BU37" s="4">
        <v>-3.3333352766931057E-3</v>
      </c>
      <c r="BV37" s="4">
        <v>-3.3333352766931057E-3</v>
      </c>
      <c r="BW37" s="4">
        <v>-3.3333352766931057E-3</v>
      </c>
      <c r="BX37" s="4">
        <v>-3.3333352766931057E-3</v>
      </c>
      <c r="BY37" s="4">
        <v>-3.3333352766931057E-3</v>
      </c>
      <c r="BZ37" s="4">
        <v>-3.3333352766931057E-3</v>
      </c>
      <c r="CA37" s="4">
        <v>-3.3333352766931057E-3</v>
      </c>
      <c r="CB37" s="4">
        <v>-3.3333352766931057E-3</v>
      </c>
      <c r="CC37" s="4">
        <v>-3.3333352766931057E-3</v>
      </c>
      <c r="CD37" s="4">
        <v>-3.3333352766931057E-3</v>
      </c>
      <c r="CE37" s="4">
        <v>-3.3333352766931057E-3</v>
      </c>
      <c r="CF37" s="4">
        <v>-3.3333352766931057E-3</v>
      </c>
      <c r="CG37" s="4">
        <v>-3.3333352766931057E-3</v>
      </c>
      <c r="CH37" s="4">
        <v>-3.3333352766931057E-3</v>
      </c>
      <c r="CI37" s="109">
        <v>-707825.92</v>
      </c>
      <c r="CJ37" s="109">
        <v>937170.69025640993</v>
      </c>
      <c r="CK37" s="109">
        <v>602599.61512820376</v>
      </c>
      <c r="CL37" s="109">
        <v>779502.05205128097</v>
      </c>
      <c r="CM37" s="109">
        <v>764804.33435897285</v>
      </c>
      <c r="CN37" s="109">
        <v>10260.484358972415</v>
      </c>
      <c r="CO37" s="109">
        <v>-3.3333352766931057E-3</v>
      </c>
      <c r="CP37" s="113" t="s">
        <v>607</v>
      </c>
      <c r="CY37" s="90"/>
    </row>
    <row r="38" spans="1:103" x14ac:dyDescent="0.3">
      <c r="A38" s="108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09"/>
      <c r="CJ38" s="109"/>
      <c r="CK38" s="109"/>
      <c r="CL38" s="109"/>
      <c r="CM38" s="109"/>
      <c r="CN38" s="109"/>
      <c r="CO38" s="109"/>
      <c r="CY38" s="90"/>
    </row>
    <row r="39" spans="1:103" x14ac:dyDescent="0.3">
      <c r="A39" s="108" t="s">
        <v>609</v>
      </c>
      <c r="B39" s="4">
        <v>-2366742</v>
      </c>
      <c r="C39" s="4">
        <v>-2366742</v>
      </c>
      <c r="D39" s="4">
        <v>-2366742</v>
      </c>
      <c r="E39" s="4">
        <v>-2381917</v>
      </c>
      <c r="F39" s="4">
        <v>-15171.359999999404</v>
      </c>
      <c r="G39" s="4">
        <v>-15171.359999999404</v>
      </c>
      <c r="H39" s="4">
        <v>-43583.709999999031</v>
      </c>
      <c r="I39" s="4">
        <v>-43583.709999999031</v>
      </c>
      <c r="J39" s="4">
        <v>-37208.149999999441</v>
      </c>
      <c r="K39" s="4">
        <v>607669.79000000097</v>
      </c>
      <c r="L39" s="4">
        <v>117620.01999999955</v>
      </c>
      <c r="M39" s="4">
        <v>169396.63999999966</v>
      </c>
      <c r="N39" s="4">
        <v>91661.609999999404</v>
      </c>
      <c r="O39" s="4">
        <v>0</v>
      </c>
      <c r="P39" s="4">
        <v>201542.63999999873</v>
      </c>
      <c r="Q39" s="4">
        <v>449766.41999999882</v>
      </c>
      <c r="R39" s="4">
        <v>385350.4599999988</v>
      </c>
      <c r="S39" s="4">
        <v>747283.94999999879</v>
      </c>
      <c r="T39" s="4">
        <v>801797.35999999882</v>
      </c>
      <c r="U39" s="4">
        <v>1164043.8399999989</v>
      </c>
      <c r="V39" s="4">
        <v>1510684.2799999984</v>
      </c>
      <c r="W39" s="4">
        <v>1602281.4166666651</v>
      </c>
      <c r="X39" s="4">
        <v>3174975.3299999987</v>
      </c>
      <c r="Y39" s="4">
        <v>2593208.6666666646</v>
      </c>
      <c r="Z39" s="4">
        <v>1532030.3299999975</v>
      </c>
      <c r="AA39" s="4">
        <v>811758.66666666442</v>
      </c>
      <c r="AB39" s="4">
        <v>1863225.3299999975</v>
      </c>
      <c r="AC39" s="4">
        <v>996547.33333333046</v>
      </c>
      <c r="AD39" s="4">
        <v>971463.00333333039</v>
      </c>
      <c r="AE39" s="4">
        <v>919333.33666666364</v>
      </c>
      <c r="AF39" s="4">
        <v>752999.99666666368</v>
      </c>
      <c r="AG39" s="4">
        <v>309166.6633333303</v>
      </c>
      <c r="AH39" s="4">
        <v>305833.33666666364</v>
      </c>
      <c r="AI39" s="4">
        <v>305149.99666666368</v>
      </c>
      <c r="AJ39" s="4">
        <v>401166.6633333303</v>
      </c>
      <c r="AK39" s="4">
        <v>326720.33666666364</v>
      </c>
      <c r="AL39" s="4">
        <v>3.3333301835227758E-3</v>
      </c>
      <c r="AM39" s="4">
        <v>410066.6699999969</v>
      </c>
      <c r="AN39" s="4">
        <v>377799.99999999697</v>
      </c>
      <c r="AO39" s="4">
        <v>358299.99999999697</v>
      </c>
      <c r="AP39" s="4">
        <v>358299.99999999697</v>
      </c>
      <c r="AQ39" s="4">
        <v>659966.66666666372</v>
      </c>
      <c r="AR39" s="4">
        <v>769966.66333333042</v>
      </c>
      <c r="AS39" s="4">
        <v>1125266.6699999969</v>
      </c>
      <c r="AT39" s="4">
        <v>769966.66666666372</v>
      </c>
      <c r="AU39" s="4">
        <v>1131423.329999997</v>
      </c>
      <c r="AV39" s="4">
        <v>786633.33333333023</v>
      </c>
      <c r="AW39" s="4">
        <v>856426.66999999702</v>
      </c>
      <c r="AX39" s="4">
        <v>3.3333304163534194E-3</v>
      </c>
      <c r="AY39" s="4">
        <v>764633.33666666364</v>
      </c>
      <c r="AZ39" s="4">
        <v>864633.32999999693</v>
      </c>
      <c r="BA39" s="4">
        <v>894633.33333333011</v>
      </c>
      <c r="BB39" s="4">
        <v>916474.33666666353</v>
      </c>
      <c r="BC39" s="4">
        <v>939633.32999999693</v>
      </c>
      <c r="BD39" s="4">
        <v>940303.33333333011</v>
      </c>
      <c r="BE39" s="4">
        <v>924633.33666666353</v>
      </c>
      <c r="BF39" s="4">
        <v>907966.66333333042</v>
      </c>
      <c r="BG39" s="4">
        <v>927166.66999999702</v>
      </c>
      <c r="BH39" s="4">
        <v>893833.33333333035</v>
      </c>
      <c r="BI39" s="4">
        <v>795256.0033333305</v>
      </c>
      <c r="BJ39" s="4">
        <v>617886.33666666388</v>
      </c>
      <c r="BK39" s="4">
        <v>-3.333336062496528E-3</v>
      </c>
      <c r="BL39" s="4">
        <v>-3.333336062496528E-3</v>
      </c>
      <c r="BM39" s="4">
        <v>-3.333336062496528E-3</v>
      </c>
      <c r="BN39" s="4">
        <v>-3.333336062496528E-3</v>
      </c>
      <c r="BO39" s="4">
        <v>-3.333336062496528E-3</v>
      </c>
      <c r="BP39" s="4">
        <v>-3.333336062496528E-3</v>
      </c>
      <c r="BQ39" s="4">
        <v>-3.333336062496528E-3</v>
      </c>
      <c r="BR39" s="4">
        <v>-3.333336062496528E-3</v>
      </c>
      <c r="BS39" s="4">
        <v>-3.333336062496528E-3</v>
      </c>
      <c r="BT39" s="4">
        <v>-3.333336062496528E-3</v>
      </c>
      <c r="BU39" s="4">
        <v>-3.333336062496528E-3</v>
      </c>
      <c r="BV39" s="4">
        <v>-3.333336062496528E-3</v>
      </c>
      <c r="BW39" s="4">
        <v>-3.333336062496528E-3</v>
      </c>
      <c r="BX39" s="4">
        <v>-3.333336062496528E-3</v>
      </c>
      <c r="BY39" s="4">
        <v>-3.333336062496528E-3</v>
      </c>
      <c r="BZ39" s="4">
        <v>-3.333336062496528E-3</v>
      </c>
      <c r="CA39" s="4">
        <v>-3.333336062496528E-3</v>
      </c>
      <c r="CB39" s="4">
        <v>-3.333336062496528E-3</v>
      </c>
      <c r="CC39" s="4">
        <v>-3.333336062496528E-3</v>
      </c>
      <c r="CD39" s="4">
        <v>-3.333336062496528E-3</v>
      </c>
      <c r="CE39" s="4">
        <v>-3.333336062496528E-3</v>
      </c>
      <c r="CF39" s="4">
        <v>-3.333336062496528E-3</v>
      </c>
      <c r="CG39" s="4">
        <v>-3.333336062496528E-3</v>
      </c>
      <c r="CH39" s="4">
        <v>-3.333336062496528E-3</v>
      </c>
      <c r="CI39" s="109">
        <v>-665424.09461538435</v>
      </c>
      <c r="CJ39" s="109">
        <v>1096509.7156410245</v>
      </c>
      <c r="CK39" s="109">
        <v>730414.99974358687</v>
      </c>
      <c r="CL39" s="109">
        <v>584932.052051279</v>
      </c>
      <c r="CM39" s="109">
        <v>799004.1035897407</v>
      </c>
      <c r="CN39" s="109">
        <v>47529.71512820237</v>
      </c>
      <c r="CO39" s="109">
        <v>-3.333336062496528E-3</v>
      </c>
      <c r="CP39" s="113" t="s">
        <v>607</v>
      </c>
      <c r="CY39" s="90"/>
    </row>
    <row r="40" spans="1:103" x14ac:dyDescent="0.3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09"/>
      <c r="CJ40" s="109"/>
      <c r="CK40" s="109"/>
      <c r="CL40" s="109"/>
      <c r="CM40" s="109"/>
      <c r="CN40" s="109"/>
      <c r="CO40" s="109"/>
      <c r="CY40" s="90"/>
    </row>
    <row r="41" spans="1:103" x14ac:dyDescent="0.3">
      <c r="A41" s="108" t="s">
        <v>610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109">
        <v>0</v>
      </c>
      <c r="CJ41" s="109">
        <v>0</v>
      </c>
      <c r="CK41" s="109">
        <v>0</v>
      </c>
      <c r="CL41" s="109">
        <v>0</v>
      </c>
      <c r="CM41" s="109">
        <v>0</v>
      </c>
      <c r="CN41" s="109">
        <v>0</v>
      </c>
      <c r="CO41" s="109">
        <v>0</v>
      </c>
      <c r="CY41" s="90"/>
    </row>
    <row r="42" spans="1:103" x14ac:dyDescent="0.3">
      <c r="A42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09"/>
      <c r="CJ42" s="109"/>
      <c r="CK42" s="109"/>
      <c r="CL42" s="109"/>
      <c r="CM42" s="109"/>
      <c r="CN42" s="109"/>
      <c r="CO42" s="109"/>
      <c r="CY42" s="90"/>
    </row>
    <row r="43" spans="1:103" x14ac:dyDescent="0.3">
      <c r="A43" s="108" t="s">
        <v>611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109">
        <v>0</v>
      </c>
      <c r="CJ43" s="109">
        <v>0</v>
      </c>
      <c r="CK43" s="109">
        <v>0</v>
      </c>
      <c r="CL43" s="109">
        <v>0</v>
      </c>
      <c r="CM43" s="109">
        <v>0</v>
      </c>
      <c r="CN43" s="109">
        <v>0</v>
      </c>
      <c r="CO43" s="109">
        <v>0</v>
      </c>
      <c r="CY43" s="90"/>
    </row>
    <row r="44" spans="1:103" x14ac:dyDescent="0.3">
      <c r="A4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09"/>
      <c r="CJ44" s="109"/>
      <c r="CK44" s="109"/>
      <c r="CL44" s="109"/>
      <c r="CM44" s="109"/>
      <c r="CN44" s="109"/>
      <c r="CO44" s="109"/>
      <c r="CY44" s="90"/>
    </row>
    <row r="45" spans="1:103" x14ac:dyDescent="0.3">
      <c r="A45" s="81" t="s">
        <v>612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109">
        <v>0</v>
      </c>
      <c r="CJ45" s="109">
        <v>0</v>
      </c>
      <c r="CK45" s="109">
        <v>0</v>
      </c>
      <c r="CL45" s="109">
        <v>0</v>
      </c>
      <c r="CM45" s="109">
        <v>0</v>
      </c>
      <c r="CN45" s="109">
        <v>0</v>
      </c>
      <c r="CO45" s="109">
        <v>0</v>
      </c>
      <c r="CY45" s="90"/>
    </row>
    <row r="46" spans="1:103" x14ac:dyDescent="0.3">
      <c r="A46" s="108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09"/>
      <c r="CJ46" s="109"/>
      <c r="CK46" s="109"/>
      <c r="CL46" s="109"/>
      <c r="CM46" s="109"/>
      <c r="CN46" s="109"/>
      <c r="CO46" s="109"/>
      <c r="CY46" s="90"/>
    </row>
    <row r="47" spans="1:103" ht="15" thickBot="1" x14ac:dyDescent="0.35">
      <c r="A47" s="108" t="s">
        <v>613</v>
      </c>
      <c r="B47" s="115">
        <v>-97894684.840000004</v>
      </c>
      <c r="C47" s="115">
        <v>-98562580.090000004</v>
      </c>
      <c r="D47" s="115">
        <v>-99230475.340000004</v>
      </c>
      <c r="E47" s="115">
        <v>-93654926.319999978</v>
      </c>
      <c r="F47" s="115">
        <v>-92328779.019999981</v>
      </c>
      <c r="G47" s="115">
        <v>-92982140.830000013</v>
      </c>
      <c r="H47" s="115">
        <v>-93665127.939999983</v>
      </c>
      <c r="I47" s="115">
        <v>-94333023.189999968</v>
      </c>
      <c r="J47" s="115">
        <v>-94947530.649999991</v>
      </c>
      <c r="K47" s="115">
        <v>-95166715.369999975</v>
      </c>
      <c r="L47" s="115">
        <v>-96147503.38000001</v>
      </c>
      <c r="M47" s="115">
        <v>-96524993.029999956</v>
      </c>
      <c r="N47" s="115">
        <v>-96986809.819999933</v>
      </c>
      <c r="O47" s="115">
        <v>-98275336.089999989</v>
      </c>
      <c r="P47" s="115">
        <v>-98062193.919999987</v>
      </c>
      <c r="Q47" s="115">
        <v>-98026390.329999968</v>
      </c>
      <c r="R47" s="115">
        <v>-98432945.019999981</v>
      </c>
      <c r="S47" s="115">
        <v>-97484709.949999973</v>
      </c>
      <c r="T47" s="115">
        <v>-98488387.959999964</v>
      </c>
      <c r="U47" s="115">
        <v>-98497677.659999937</v>
      </c>
      <c r="V47" s="115">
        <v>-98312053.819999948</v>
      </c>
      <c r="W47" s="115">
        <v>-100351898.81999996</v>
      </c>
      <c r="X47" s="115">
        <v>-98228467.349999964</v>
      </c>
      <c r="Y47" s="115">
        <v>-99360912.589999929</v>
      </c>
      <c r="Z47" s="115">
        <v>-102006098.84999995</v>
      </c>
      <c r="AA47" s="115">
        <v>-103600603.08999994</v>
      </c>
      <c r="AB47" s="115">
        <v>-103745698.34999995</v>
      </c>
      <c r="AC47" s="115">
        <v>-105519771.58999996</v>
      </c>
      <c r="AD47" s="115">
        <v>-105871375.82999992</v>
      </c>
      <c r="AE47" s="115">
        <v>-106788092.07999997</v>
      </c>
      <c r="AF47" s="115">
        <v>-107729555.34999995</v>
      </c>
      <c r="AG47" s="115">
        <v>-109299950.59999998</v>
      </c>
      <c r="AH47" s="115">
        <v>-109997845.82999995</v>
      </c>
      <c r="AI47" s="115">
        <v>-110667791.09999993</v>
      </c>
      <c r="AJ47" s="115">
        <v>-111067636.34999996</v>
      </c>
      <c r="AK47" s="115">
        <v>-112006001.57999997</v>
      </c>
      <c r="AL47" s="115">
        <v>-113636926.82999992</v>
      </c>
      <c r="AM47" s="115">
        <v>-112319622.07999991</v>
      </c>
      <c r="AN47" s="115">
        <v>-113024317.33999993</v>
      </c>
      <c r="AO47" s="115">
        <v>-113750712.58999993</v>
      </c>
      <c r="AP47" s="115">
        <v>-114418607.83999991</v>
      </c>
      <c r="AQ47" s="115">
        <v>-114646033.08999993</v>
      </c>
      <c r="AR47" s="115">
        <v>-115219398.34999993</v>
      </c>
      <c r="AS47" s="115">
        <v>-114701393.57999992</v>
      </c>
      <c r="AT47" s="115">
        <v>-116435188.83999988</v>
      </c>
      <c r="AU47" s="115">
        <v>-115918714.0999999</v>
      </c>
      <c r="AV47" s="115">
        <v>-117620979.33999993</v>
      </c>
      <c r="AW47" s="115">
        <v>-118241614.57999991</v>
      </c>
      <c r="AX47" s="115">
        <v>-121651669.82999991</v>
      </c>
      <c r="AY47" s="115">
        <v>-119430665.07999992</v>
      </c>
      <c r="AZ47" s="115">
        <v>-120023560.34999992</v>
      </c>
      <c r="BA47" s="115">
        <v>-120661455.58999993</v>
      </c>
      <c r="BB47" s="115">
        <v>-121307509.82999989</v>
      </c>
      <c r="BC47" s="115">
        <v>-121952246.09999989</v>
      </c>
      <c r="BD47" s="115">
        <v>-122938131.33999991</v>
      </c>
      <c r="BE47" s="115">
        <v>-123763036.57999992</v>
      </c>
      <c r="BF47" s="115">
        <v>-124960931.84999992</v>
      </c>
      <c r="BG47" s="115">
        <v>-125940227.07999988</v>
      </c>
      <c r="BH47" s="115">
        <v>-126708122.3399999</v>
      </c>
      <c r="BI47" s="115">
        <v>-127861261.57999991</v>
      </c>
      <c r="BJ47" s="115">
        <v>-128781753.82999988</v>
      </c>
      <c r="BK47" s="115">
        <v>-130334308.09999986</v>
      </c>
      <c r="BL47" s="115">
        <v>-131002203.34999986</v>
      </c>
      <c r="BM47" s="115">
        <v>-131670098.59999987</v>
      </c>
      <c r="BN47" s="115">
        <v>-132337993.84999987</v>
      </c>
      <c r="BO47" s="115">
        <v>-133005889.09999986</v>
      </c>
      <c r="BP47" s="115">
        <v>-133673784.34999987</v>
      </c>
      <c r="BQ47" s="115">
        <v>-134341679.59999985</v>
      </c>
      <c r="BR47" s="115">
        <v>-135009574.84999985</v>
      </c>
      <c r="BS47" s="115">
        <v>-135677470.09999985</v>
      </c>
      <c r="BT47" s="115">
        <v>-136345365.34999985</v>
      </c>
      <c r="BU47" s="115">
        <v>-137013260.59999985</v>
      </c>
      <c r="BV47" s="115">
        <v>-137681155.84999987</v>
      </c>
      <c r="BW47" s="115">
        <v>-138349051.09999985</v>
      </c>
      <c r="BX47" s="115">
        <v>-139016946.34999985</v>
      </c>
      <c r="BY47" s="115">
        <v>-139684841.59999985</v>
      </c>
      <c r="BZ47" s="115">
        <v>-140352736.84999985</v>
      </c>
      <c r="CA47" s="115">
        <v>-141020632.09999985</v>
      </c>
      <c r="CB47" s="115">
        <v>-141688527.34999985</v>
      </c>
      <c r="CC47" s="115">
        <v>-142356422.59999985</v>
      </c>
      <c r="CD47" s="115">
        <v>-143024317.84999985</v>
      </c>
      <c r="CE47" s="115">
        <v>-143692213.09999982</v>
      </c>
      <c r="CF47" s="115">
        <v>-144360108.34999982</v>
      </c>
      <c r="CG47" s="115">
        <v>-145028003.59999982</v>
      </c>
      <c r="CH47" s="115">
        <v>-145695898.84999982</v>
      </c>
      <c r="CI47" s="116">
        <v>-95571176.140000015</v>
      </c>
      <c r="CJ47" s="116">
        <v>-98083540.752307683</v>
      </c>
      <c r="CK47" s="116">
        <v>-107841334.4176923</v>
      </c>
      <c r="CL47" s="116">
        <v>-115506552.18384609</v>
      </c>
      <c r="CM47" s="116">
        <v>-123536967.02923065</v>
      </c>
      <c r="CN47" s="116">
        <v>-133605733.65615375</v>
      </c>
      <c r="CO47" s="116">
        <v>-141688527.34999987</v>
      </c>
      <c r="CY47" s="90"/>
    </row>
    <row r="48" spans="1:103" ht="15" thickTop="1" x14ac:dyDescent="0.3">
      <c r="A48" s="117" t="s">
        <v>614</v>
      </c>
      <c r="B48" s="1">
        <v>-77754038</v>
      </c>
      <c r="C48" s="1">
        <v>-77931896.75</v>
      </c>
      <c r="D48" s="1">
        <v>-78109755.5</v>
      </c>
      <c r="E48" s="1">
        <v>-72044169.979999989</v>
      </c>
      <c r="F48" s="1">
        <v>-70227986.180000007</v>
      </c>
      <c r="G48" s="1">
        <v>-70391311.48999998</v>
      </c>
      <c r="H48" s="1">
        <v>-70584262.099999979</v>
      </c>
      <c r="I48" s="1">
        <v>-70762120.849999979</v>
      </c>
      <c r="J48" s="1">
        <v>-70886591.809999987</v>
      </c>
      <c r="K48" s="1">
        <v>-70615740.029999971</v>
      </c>
      <c r="L48" s="1">
        <v>-71106491.539999992</v>
      </c>
      <c r="M48" s="1">
        <v>-70993944.689999983</v>
      </c>
      <c r="N48" s="1">
        <v>-70965724.979999959</v>
      </c>
      <c r="O48" s="1">
        <v>-71764214.74999997</v>
      </c>
      <c r="P48" s="1">
        <v>-71061036.079999968</v>
      </c>
      <c r="Q48" s="1">
        <v>-70535195.98999998</v>
      </c>
      <c r="R48" s="1">
        <v>-70451714.179999977</v>
      </c>
      <c r="S48" s="1">
        <v>-69013442.60999997</v>
      </c>
      <c r="T48" s="1">
        <v>-69527084.11999996</v>
      </c>
      <c r="U48" s="1">
        <v>-69046337.319999963</v>
      </c>
      <c r="V48" s="1">
        <v>-68370676.979999974</v>
      </c>
      <c r="W48" s="1">
        <v>-69920485.479999959</v>
      </c>
      <c r="X48" s="1">
        <v>-67307017.509999961</v>
      </c>
      <c r="Y48" s="1">
        <v>-67949426.24999994</v>
      </c>
      <c r="Z48" s="1">
        <v>-70104576.009999961</v>
      </c>
      <c r="AA48" s="1">
        <v>-71209043.74999994</v>
      </c>
      <c r="AB48" s="1">
        <v>-70864102.509999961</v>
      </c>
      <c r="AC48" s="1">
        <v>-72148139.24999997</v>
      </c>
      <c r="AD48" s="1">
        <v>-72009706.98999995</v>
      </c>
      <c r="AE48" s="1">
        <v>-72436386.739999965</v>
      </c>
      <c r="AF48" s="1">
        <v>-72887813.509999931</v>
      </c>
      <c r="AG48" s="1">
        <v>-73968172.259999961</v>
      </c>
      <c r="AH48" s="1">
        <v>-74176030.989999965</v>
      </c>
      <c r="AI48" s="1">
        <v>-74355939.759999931</v>
      </c>
      <c r="AJ48" s="1">
        <v>-74265748.509999961</v>
      </c>
      <c r="AK48" s="1">
        <v>-74714077.239999965</v>
      </c>
      <c r="AL48" s="1">
        <v>-75854965.98999995</v>
      </c>
      <c r="AM48" s="1">
        <v>-74047624.73999992</v>
      </c>
      <c r="AN48" s="1">
        <v>-74262283.499999925</v>
      </c>
      <c r="AO48" s="1">
        <v>-74498642.249999925</v>
      </c>
      <c r="AP48" s="1">
        <v>-74676500.999999925</v>
      </c>
      <c r="AQ48" s="1">
        <v>-74413889.749999925</v>
      </c>
      <c r="AR48" s="1">
        <v>-74497218.509999946</v>
      </c>
      <c r="AS48" s="1">
        <v>-73489177.23999992</v>
      </c>
      <c r="AT48" s="1">
        <v>-74732935.999999911</v>
      </c>
      <c r="AU48" s="1">
        <v>-73726424.759999916</v>
      </c>
      <c r="AV48" s="1">
        <v>-74938653.499999925</v>
      </c>
      <c r="AW48" s="1">
        <v>-75069252.239999905</v>
      </c>
      <c r="AX48" s="1">
        <v>-77989270.98999992</v>
      </c>
      <c r="AY48" s="1">
        <v>-75278229.73999992</v>
      </c>
      <c r="AZ48" s="1">
        <v>-75381088.509999916</v>
      </c>
      <c r="BA48" s="1">
        <v>-75528947.249999925</v>
      </c>
      <c r="BB48" s="1">
        <v>-75684964.98999992</v>
      </c>
      <c r="BC48" s="1">
        <v>-75839664.759999901</v>
      </c>
      <c r="BD48" s="1">
        <v>-76335513.499999911</v>
      </c>
      <c r="BE48" s="1">
        <v>-76670382.23999992</v>
      </c>
      <c r="BF48" s="1">
        <v>-77378241.009999916</v>
      </c>
      <c r="BG48" s="1">
        <v>-77867499.73999989</v>
      </c>
      <c r="BH48" s="1">
        <v>-78145358.499999911</v>
      </c>
      <c r="BI48" s="1">
        <v>-78808461.239999905</v>
      </c>
      <c r="BJ48" s="1">
        <v>-79238916.989999905</v>
      </c>
      <c r="BK48" s="1">
        <v>-80301434.759999871</v>
      </c>
      <c r="BL48" s="1">
        <v>-80479293.509999871</v>
      </c>
      <c r="BM48" s="1">
        <v>-80657152.259999871</v>
      </c>
      <c r="BN48" s="1">
        <v>-80835011.009999871</v>
      </c>
      <c r="BO48" s="1">
        <v>-81012869.759999871</v>
      </c>
      <c r="BP48" s="1">
        <v>-81190728.509999871</v>
      </c>
      <c r="BQ48" s="1">
        <v>-81368587.259999871</v>
      </c>
      <c r="BR48" s="1">
        <v>-81546446.009999871</v>
      </c>
      <c r="BS48" s="1">
        <v>-81724304.759999856</v>
      </c>
      <c r="BT48" s="1">
        <v>-81902163.509999856</v>
      </c>
      <c r="BU48" s="1">
        <v>-82080022.259999856</v>
      </c>
      <c r="BV48" s="1">
        <v>-82257881.009999856</v>
      </c>
      <c r="BW48" s="1">
        <v>-82435739.759999856</v>
      </c>
      <c r="BX48" s="1">
        <v>-82613598.509999856</v>
      </c>
      <c r="BY48" s="1">
        <v>-82791457.259999856</v>
      </c>
      <c r="BZ48" s="1">
        <v>-82969316.009999841</v>
      </c>
      <c r="CA48" s="1">
        <v>-83147174.759999841</v>
      </c>
      <c r="CB48" s="1">
        <v>-83325033.509999841</v>
      </c>
      <c r="CC48" s="1">
        <v>-83502892.259999841</v>
      </c>
      <c r="CD48" s="1">
        <v>-83680751.009999841</v>
      </c>
      <c r="CE48" s="1">
        <v>-83858609.759999841</v>
      </c>
      <c r="CF48" s="1">
        <v>-84036468.509999841</v>
      </c>
      <c r="CG48" s="1">
        <v>-84214327.259999841</v>
      </c>
      <c r="CH48" s="1">
        <v>-84392186.009999841</v>
      </c>
      <c r="CI48" s="118">
        <v>-72490310.299999997</v>
      </c>
      <c r="CJ48" s="118">
        <v>-69693610.173846141</v>
      </c>
      <c r="CK48" s="118">
        <v>-72999592.577692285</v>
      </c>
      <c r="CL48" s="118">
        <v>-74784372.343846083</v>
      </c>
      <c r="CM48" s="118">
        <v>-76934349.189230666</v>
      </c>
      <c r="CN48" s="118">
        <v>-81122677.81615375</v>
      </c>
      <c r="CO48" s="118">
        <v>-83325033.509999856</v>
      </c>
      <c r="CY48" s="90"/>
    </row>
    <row r="49" spans="1:103" x14ac:dyDescent="0.3">
      <c r="A49" s="108" t="s">
        <v>615</v>
      </c>
      <c r="B49" s="1">
        <v>-20140646.84</v>
      </c>
      <c r="C49" s="1">
        <v>-20630683.339999996</v>
      </c>
      <c r="D49" s="1">
        <v>-21120719.84</v>
      </c>
      <c r="E49" s="1">
        <v>-21610756.339999996</v>
      </c>
      <c r="F49" s="1">
        <v>-22100792.84</v>
      </c>
      <c r="G49" s="1">
        <v>-22590829.339999996</v>
      </c>
      <c r="H49" s="1">
        <v>-23080865.84</v>
      </c>
      <c r="I49" s="1">
        <v>-23570902.339999996</v>
      </c>
      <c r="J49" s="1">
        <v>-24060938.84</v>
      </c>
      <c r="K49" s="1">
        <v>-24550975.339999996</v>
      </c>
      <c r="L49" s="1">
        <v>-25041011.84</v>
      </c>
      <c r="M49" s="1">
        <v>-25531048.339999996</v>
      </c>
      <c r="N49" s="1">
        <v>-26021084.839999996</v>
      </c>
      <c r="O49" s="1">
        <v>-26511121.34</v>
      </c>
      <c r="P49" s="1">
        <v>-27001157.84</v>
      </c>
      <c r="Q49" s="1">
        <v>-27491194.34</v>
      </c>
      <c r="R49" s="1">
        <v>-27981230.84</v>
      </c>
      <c r="S49" s="1">
        <v>-28471267.339999996</v>
      </c>
      <c r="T49" s="1">
        <v>-28961303.84</v>
      </c>
      <c r="U49" s="1">
        <v>-29451340.339999996</v>
      </c>
      <c r="V49" s="1">
        <v>-29941376.84</v>
      </c>
      <c r="W49" s="1">
        <v>-30431413.34</v>
      </c>
      <c r="X49" s="1">
        <v>-30921449.84</v>
      </c>
      <c r="Y49" s="1">
        <v>-31411486.339999996</v>
      </c>
      <c r="Z49" s="1">
        <v>-31901522.839999996</v>
      </c>
      <c r="AA49" s="1">
        <v>-32391559.339999996</v>
      </c>
      <c r="AB49" s="1">
        <v>-32881595.840000004</v>
      </c>
      <c r="AC49" s="1">
        <v>-33371632.339999996</v>
      </c>
      <c r="AD49" s="1">
        <v>-33861668.839999996</v>
      </c>
      <c r="AE49" s="1">
        <v>-34351705.339999996</v>
      </c>
      <c r="AF49" s="1">
        <v>-34841741.839999996</v>
      </c>
      <c r="AG49" s="1">
        <v>-35331778.339999996</v>
      </c>
      <c r="AH49" s="1">
        <v>-35821814.839999996</v>
      </c>
      <c r="AI49" s="1">
        <v>-36311851.339999996</v>
      </c>
      <c r="AJ49" s="1">
        <v>-36801887.840000004</v>
      </c>
      <c r="AK49" s="1">
        <v>-37291924.339999996</v>
      </c>
      <c r="AL49" s="1">
        <v>-37781960.839999996</v>
      </c>
      <c r="AM49" s="1">
        <v>-38271997.339999996</v>
      </c>
      <c r="AN49" s="1">
        <v>-38762033.839999996</v>
      </c>
      <c r="AO49" s="1">
        <v>-39252070.339999989</v>
      </c>
      <c r="AP49" s="1">
        <v>-39742106.840000004</v>
      </c>
      <c r="AQ49" s="1">
        <v>-40232143.339999989</v>
      </c>
      <c r="AR49" s="1">
        <v>-40722179.839999996</v>
      </c>
      <c r="AS49" s="1">
        <v>-41212216.339999981</v>
      </c>
      <c r="AT49" s="1">
        <v>-41702252.839999996</v>
      </c>
      <c r="AU49" s="1">
        <v>-42192289.339999989</v>
      </c>
      <c r="AV49" s="1">
        <v>-42682325.839999996</v>
      </c>
      <c r="AW49" s="1">
        <v>-43172362.339999989</v>
      </c>
      <c r="AX49" s="1">
        <v>-43662398.839999989</v>
      </c>
      <c r="AY49" s="1">
        <v>-44152435.339999989</v>
      </c>
      <c r="AZ49" s="1">
        <v>-44642471.839999996</v>
      </c>
      <c r="BA49" s="1">
        <v>-45132508.339999996</v>
      </c>
      <c r="BB49" s="1">
        <v>-45622544.840000004</v>
      </c>
      <c r="BC49" s="1">
        <v>-46112581.339999989</v>
      </c>
      <c r="BD49" s="1">
        <v>-46602617.839999996</v>
      </c>
      <c r="BE49" s="1">
        <v>-47092654.339999989</v>
      </c>
      <c r="BF49" s="1">
        <v>-47582690.839999989</v>
      </c>
      <c r="BG49" s="1">
        <v>-48072727.339999996</v>
      </c>
      <c r="BH49" s="1">
        <v>-48562763.839999989</v>
      </c>
      <c r="BI49" s="1">
        <v>-49052800.339999996</v>
      </c>
      <c r="BJ49" s="1">
        <v>-49542836.839999989</v>
      </c>
      <c r="BK49" s="1">
        <v>-50032873.339999989</v>
      </c>
      <c r="BL49" s="1">
        <v>-50522909.839999989</v>
      </c>
      <c r="BM49" s="1">
        <v>-51012946.339999996</v>
      </c>
      <c r="BN49" s="1">
        <v>-51502982.839999996</v>
      </c>
      <c r="BO49" s="1">
        <v>-51993019.339999989</v>
      </c>
      <c r="BP49" s="1">
        <v>-52483055.839999989</v>
      </c>
      <c r="BQ49" s="1">
        <v>-52973092.339999989</v>
      </c>
      <c r="BR49" s="1">
        <v>-53463128.839999996</v>
      </c>
      <c r="BS49" s="1">
        <v>-53953165.339999989</v>
      </c>
      <c r="BT49" s="1">
        <v>-54443201.839999989</v>
      </c>
      <c r="BU49" s="1">
        <v>-54933238.339999996</v>
      </c>
      <c r="BV49" s="1">
        <v>-55423274.839999996</v>
      </c>
      <c r="BW49" s="1">
        <v>-55913311.339999989</v>
      </c>
      <c r="BX49" s="1">
        <v>-56403347.839999989</v>
      </c>
      <c r="BY49" s="1">
        <v>-56893384.339999989</v>
      </c>
      <c r="BZ49" s="1">
        <v>-57383420.839999989</v>
      </c>
      <c r="CA49" s="1">
        <v>-57873457.339999996</v>
      </c>
      <c r="CB49" s="1">
        <v>-58363493.839999981</v>
      </c>
      <c r="CC49" s="1">
        <v>-58853530.339999996</v>
      </c>
      <c r="CD49" s="1">
        <v>-59343566.839999989</v>
      </c>
      <c r="CE49" s="1">
        <v>-59833603.339999996</v>
      </c>
      <c r="CF49" s="1">
        <v>-60323639.839999989</v>
      </c>
      <c r="CG49" s="1">
        <v>-60813676.339999989</v>
      </c>
      <c r="CH49" s="1">
        <v>-61303712.839999989</v>
      </c>
      <c r="CI49" s="118">
        <v>-23080865.839999996</v>
      </c>
      <c r="CJ49" s="118">
        <v>-28389930.578461535</v>
      </c>
      <c r="CK49" s="118">
        <v>-34841741.839999996</v>
      </c>
      <c r="CL49" s="118">
        <v>-40722179.839999996</v>
      </c>
      <c r="CM49" s="118">
        <v>-46602617.840000004</v>
      </c>
      <c r="CN49" s="118">
        <v>-52483055.839999996</v>
      </c>
      <c r="CO49" s="118">
        <v>-58363493.839999981</v>
      </c>
      <c r="CY49" s="90"/>
    </row>
    <row r="50" spans="1:103" x14ac:dyDescent="0.3">
      <c r="A50" s="105"/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0</v>
      </c>
      <c r="AJ50" s="119">
        <v>0</v>
      </c>
      <c r="AK50" s="119">
        <v>0</v>
      </c>
      <c r="AL50" s="119">
        <v>0</v>
      </c>
      <c r="AM50" s="119">
        <v>0</v>
      </c>
      <c r="AN50" s="119">
        <v>0</v>
      </c>
      <c r="AO50" s="119">
        <v>0</v>
      </c>
      <c r="AP50" s="119">
        <v>0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119">
        <v>0</v>
      </c>
      <c r="AZ50" s="119">
        <v>0</v>
      </c>
      <c r="BA50" s="119">
        <v>0</v>
      </c>
      <c r="BB50" s="119">
        <v>0</v>
      </c>
      <c r="BC50" s="119">
        <v>0</v>
      </c>
      <c r="BD50" s="119">
        <v>0</v>
      </c>
      <c r="BE50" s="119">
        <v>0</v>
      </c>
      <c r="BF50" s="119">
        <v>0</v>
      </c>
      <c r="BG50" s="119">
        <v>0</v>
      </c>
      <c r="BH50" s="119">
        <v>0</v>
      </c>
      <c r="BI50" s="119">
        <v>0</v>
      </c>
      <c r="BJ50" s="119">
        <v>0</v>
      </c>
      <c r="BK50" s="119">
        <v>0</v>
      </c>
      <c r="BL50" s="119">
        <v>0</v>
      </c>
      <c r="BM50" s="119">
        <v>0</v>
      </c>
      <c r="BN50" s="119">
        <v>0</v>
      </c>
      <c r="BO50" s="119">
        <v>0</v>
      </c>
      <c r="BP50" s="119">
        <v>0</v>
      </c>
      <c r="BQ50" s="119">
        <v>0</v>
      </c>
      <c r="BR50" s="119">
        <v>0</v>
      </c>
      <c r="BS50" s="119">
        <v>0</v>
      </c>
      <c r="BT50" s="119">
        <v>0</v>
      </c>
      <c r="BU50" s="119">
        <v>0</v>
      </c>
      <c r="BV50" s="119">
        <v>0</v>
      </c>
      <c r="BW50" s="119">
        <v>0</v>
      </c>
      <c r="BX50" s="119">
        <v>0</v>
      </c>
      <c r="BY50" s="119">
        <v>0</v>
      </c>
      <c r="BZ50" s="119">
        <v>0</v>
      </c>
      <c r="CA50" s="119">
        <v>0</v>
      </c>
      <c r="CB50" s="119">
        <v>0</v>
      </c>
      <c r="CC50" s="119">
        <v>0</v>
      </c>
      <c r="CD50" s="119">
        <v>0</v>
      </c>
      <c r="CE50" s="119">
        <v>0</v>
      </c>
      <c r="CF50" s="119">
        <v>0</v>
      </c>
      <c r="CG50" s="119">
        <v>0</v>
      </c>
      <c r="CH50" s="119">
        <v>0</v>
      </c>
      <c r="CI50" s="120">
        <v>0</v>
      </c>
      <c r="CJ50" s="120">
        <v>0</v>
      </c>
      <c r="CK50" s="120">
        <v>0</v>
      </c>
      <c r="CL50" s="120">
        <v>0</v>
      </c>
      <c r="CM50" s="120">
        <v>0</v>
      </c>
      <c r="CN50" s="120">
        <v>0</v>
      </c>
      <c r="CO50" s="120">
        <v>0</v>
      </c>
      <c r="CY50" s="90"/>
    </row>
    <row r="51" spans="1:103" customFormat="1" x14ac:dyDescent="0.3">
      <c r="A51" s="121" t="s">
        <v>616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90"/>
      <c r="CQ51" s="90"/>
      <c r="CR51" s="90"/>
      <c r="CS51" s="90"/>
      <c r="CT51" s="90"/>
      <c r="CU51" s="90"/>
      <c r="CV51" s="90"/>
      <c r="CW51" s="90"/>
      <c r="CX51" s="90"/>
      <c r="CY51" s="90"/>
    </row>
    <row r="52" spans="1:103" x14ac:dyDescent="0.3">
      <c r="A52" s="124" t="s">
        <v>617</v>
      </c>
      <c r="B52" s="125">
        <v>-97894684.840000004</v>
      </c>
      <c r="C52" s="125">
        <v>-98562580.090000004</v>
      </c>
      <c r="D52" s="125">
        <v>-99230475.340000004</v>
      </c>
      <c r="E52" s="125">
        <v>-93654926.319999993</v>
      </c>
      <c r="F52" s="125">
        <v>-92328779.020000011</v>
      </c>
      <c r="G52" s="125">
        <v>-92982140.829999983</v>
      </c>
      <c r="H52" s="125">
        <v>-93665127.939999983</v>
      </c>
      <c r="I52" s="125">
        <v>-94333023.189999968</v>
      </c>
      <c r="J52" s="126">
        <v>-94947530.649999991</v>
      </c>
      <c r="K52" s="126">
        <v>-95166715.369999975</v>
      </c>
      <c r="L52" s="126">
        <v>-96147503.379999995</v>
      </c>
      <c r="M52" s="126">
        <v>-96524993.030000001</v>
      </c>
      <c r="N52" s="126">
        <v>-96986809.819999993</v>
      </c>
      <c r="O52" s="126">
        <v>-98275336.090000004</v>
      </c>
      <c r="P52" s="126">
        <v>-98062193.920000002</v>
      </c>
      <c r="Q52" s="126">
        <v>-98026390.340000004</v>
      </c>
      <c r="R52" s="126">
        <v>-98432945.030000001</v>
      </c>
      <c r="S52" s="126">
        <v>-97484709.959999993</v>
      </c>
      <c r="T52" s="126">
        <v>-98488387.969999999</v>
      </c>
      <c r="U52" s="126">
        <v>-98497677.670000002</v>
      </c>
      <c r="V52" s="126">
        <v>-98312053.829999998</v>
      </c>
      <c r="W52" s="126">
        <v>-100351898.83</v>
      </c>
      <c r="X52" s="126">
        <v>-98228467.359999999</v>
      </c>
      <c r="Y52" s="126">
        <v>-99360912.599999994</v>
      </c>
      <c r="Z52" s="126">
        <v>-102006098.86</v>
      </c>
      <c r="AA52" s="126">
        <v>-103600603.09999999</v>
      </c>
      <c r="AB52" s="126">
        <v>-103745698.36</v>
      </c>
      <c r="AC52" s="126">
        <v>-105519771.59999999</v>
      </c>
      <c r="AD52" s="126">
        <v>-105871375.84</v>
      </c>
      <c r="AE52" s="126">
        <v>-106788092.09</v>
      </c>
      <c r="AF52" s="126">
        <v>-107729555.36</v>
      </c>
      <c r="AG52" s="126">
        <v>-109299950.61</v>
      </c>
      <c r="AH52" s="126">
        <v>-109997845.84</v>
      </c>
      <c r="AI52" s="126">
        <v>-110667791.11</v>
      </c>
      <c r="AJ52" s="126">
        <v>-111067636.36</v>
      </c>
      <c r="AK52" s="126">
        <v>-112006001.59</v>
      </c>
      <c r="AL52" s="126">
        <v>-113636926.84</v>
      </c>
      <c r="AM52" s="126">
        <v>-112319622.09</v>
      </c>
      <c r="AN52" s="126">
        <v>-113024317.34999999</v>
      </c>
      <c r="AO52" s="126">
        <v>-113750712.59999999</v>
      </c>
      <c r="AP52" s="126">
        <v>-114418607.84999999</v>
      </c>
      <c r="AQ52" s="126">
        <v>-114646033.09999999</v>
      </c>
      <c r="AR52" s="126">
        <v>-115219398.36</v>
      </c>
      <c r="AS52" s="126">
        <v>-114701393.59</v>
      </c>
      <c r="AT52" s="126">
        <v>-116435188.84999999</v>
      </c>
      <c r="AU52" s="126">
        <v>-115918714.11</v>
      </c>
      <c r="AV52" s="126">
        <v>-117620979.34999999</v>
      </c>
      <c r="AW52" s="126">
        <v>-118241614.59</v>
      </c>
      <c r="AX52" s="126">
        <v>-121651669.84</v>
      </c>
      <c r="AY52" s="126">
        <v>-119430665.09</v>
      </c>
      <c r="AZ52" s="126">
        <v>-120023560.36</v>
      </c>
      <c r="BA52" s="126">
        <v>-120661455.59999999</v>
      </c>
      <c r="BB52" s="126">
        <v>-121307509.84</v>
      </c>
      <c r="BC52" s="126">
        <v>-121952246.11</v>
      </c>
      <c r="BD52" s="126">
        <v>-122938131.34999999</v>
      </c>
      <c r="BE52" s="126">
        <v>-123763036.59</v>
      </c>
      <c r="BF52" s="126">
        <v>-124960931.86</v>
      </c>
      <c r="BG52" s="126">
        <v>-125940227.09</v>
      </c>
      <c r="BH52" s="126">
        <v>-126708122.34999999</v>
      </c>
      <c r="BI52" s="126">
        <v>-127861261.59</v>
      </c>
      <c r="BJ52" s="126">
        <v>-128781753.84</v>
      </c>
      <c r="BK52" s="126">
        <v>-130334308.11</v>
      </c>
      <c r="BL52" s="126">
        <v>-131002203.36</v>
      </c>
      <c r="BM52" s="126">
        <v>-131670098.61</v>
      </c>
      <c r="BN52" s="126">
        <v>-132337993.86</v>
      </c>
      <c r="BO52" s="126">
        <v>-133005889.11</v>
      </c>
      <c r="BP52" s="126">
        <v>-133673784.36</v>
      </c>
      <c r="BQ52" s="126">
        <v>-134341679.61000001</v>
      </c>
      <c r="BR52" s="126">
        <v>-135009574.86000001</v>
      </c>
      <c r="BS52" s="126">
        <v>-135677470.11000001</v>
      </c>
      <c r="BT52" s="126">
        <v>-136345365.36000001</v>
      </c>
      <c r="BU52" s="126">
        <v>-137013260.61000001</v>
      </c>
      <c r="BV52" s="126">
        <v>-137681155.86000001</v>
      </c>
      <c r="BW52" s="126">
        <v>-138349051.11000001</v>
      </c>
      <c r="BX52" s="126">
        <v>-139016946.36000001</v>
      </c>
      <c r="BY52" s="126">
        <v>-139684841.61000001</v>
      </c>
      <c r="BZ52" s="126">
        <v>-140352736.86000001</v>
      </c>
      <c r="CA52" s="126">
        <v>-141020632.11000001</v>
      </c>
      <c r="CB52" s="126">
        <v>-141688527.36000001</v>
      </c>
      <c r="CC52" s="126">
        <v>-142356422.61000001</v>
      </c>
      <c r="CD52" s="126">
        <v>-143024317.86000001</v>
      </c>
      <c r="CE52" s="126">
        <v>-143692213.11000001</v>
      </c>
      <c r="CF52" s="126">
        <v>-144360108.36000001</v>
      </c>
      <c r="CG52" s="126">
        <v>-145028003.61000001</v>
      </c>
      <c r="CH52" s="126">
        <v>-145695898.86000001</v>
      </c>
      <c r="CI52" s="109">
        <v>-95571176.140000001</v>
      </c>
      <c r="CJ52" s="109">
        <v>-98654914.021538436</v>
      </c>
      <c r="CK52" s="109">
        <v>-107841334.42769231</v>
      </c>
      <c r="CL52" s="109">
        <v>-115506552.19384614</v>
      </c>
      <c r="CM52" s="109">
        <v>-123536967.03923075</v>
      </c>
      <c r="CN52" s="109">
        <v>-133605733.66615388</v>
      </c>
      <c r="CO52" s="109">
        <v>-141688527.36000007</v>
      </c>
      <c r="CY52" s="90"/>
    </row>
    <row r="53" spans="1:103" customFormat="1" x14ac:dyDescent="0.3">
      <c r="A53" s="81" t="s">
        <v>232</v>
      </c>
      <c r="B53" s="106">
        <v>0</v>
      </c>
      <c r="C53" s="106">
        <v>0</v>
      </c>
      <c r="D53" s="106">
        <v>0</v>
      </c>
      <c r="E53" s="106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-1.0000020265579224E-2</v>
      </c>
      <c r="R53" s="4">
        <v>-1.0000020265579224E-2</v>
      </c>
      <c r="S53" s="4">
        <v>-1.0000035166740417E-2</v>
      </c>
      <c r="T53" s="4">
        <v>-1.0000035166740417E-2</v>
      </c>
      <c r="U53" s="4">
        <v>-1.0000035166740417E-2</v>
      </c>
      <c r="V53" s="4">
        <v>-1.0000020265579224E-2</v>
      </c>
      <c r="W53" s="4">
        <v>-1.0000035166740417E-2</v>
      </c>
      <c r="X53" s="4">
        <v>-1.0000035166740417E-2</v>
      </c>
      <c r="Y53" s="4">
        <v>-1.0000050067901611E-2</v>
      </c>
      <c r="Z53" s="4">
        <v>-1.0000035166740417E-2</v>
      </c>
      <c r="AA53" s="4">
        <v>-1.0000050067901611E-2</v>
      </c>
      <c r="AB53" s="4">
        <v>-1.0000035166740417E-2</v>
      </c>
      <c r="AC53" s="4">
        <v>-1.0000020265579224E-2</v>
      </c>
      <c r="AD53" s="4">
        <v>-1.0000050067901611E-2</v>
      </c>
      <c r="AE53" s="4">
        <v>-1.0000050067901611E-2</v>
      </c>
      <c r="AF53" s="4">
        <v>-1.0000064969062805E-2</v>
      </c>
      <c r="AG53" s="4">
        <v>-1.0000035166740417E-2</v>
      </c>
      <c r="AH53" s="4">
        <v>-1.0000050067901611E-2</v>
      </c>
      <c r="AI53" s="4">
        <v>-1.0000064969062805E-2</v>
      </c>
      <c r="AJ53" s="4">
        <v>-1.0000035166740417E-2</v>
      </c>
      <c r="AK53" s="4">
        <v>-1.0000050067901611E-2</v>
      </c>
      <c r="AL53" s="4">
        <v>-1.0000050067901611E-2</v>
      </c>
      <c r="AM53" s="4">
        <v>-1.0000079870223999E-2</v>
      </c>
      <c r="AN53" s="4">
        <v>-1.0000079870223999E-2</v>
      </c>
      <c r="AO53" s="4">
        <v>-1.0000079870223999E-2</v>
      </c>
      <c r="AP53" s="4">
        <v>-1.0000064969062805E-2</v>
      </c>
      <c r="AQ53" s="4">
        <v>-1.0000079870223999E-2</v>
      </c>
      <c r="AR53" s="4">
        <v>-1.0000064969062805E-2</v>
      </c>
      <c r="AS53" s="4">
        <v>-1.0000109672546387E-2</v>
      </c>
      <c r="AT53" s="4">
        <v>-1.0000079870223999E-2</v>
      </c>
      <c r="AU53" s="4">
        <v>-1.0000094771385193E-2</v>
      </c>
      <c r="AV53" s="4">
        <v>-1.0000079870223999E-2</v>
      </c>
      <c r="AW53" s="4">
        <v>-1.0000109672546387E-2</v>
      </c>
      <c r="AX53" s="4">
        <v>-1.0000094771385193E-2</v>
      </c>
      <c r="AY53" s="4">
        <v>-1.0000094771385193E-2</v>
      </c>
      <c r="AZ53" s="4">
        <v>-1.0000094771385193E-2</v>
      </c>
      <c r="BA53" s="4">
        <v>-1.0000079870223999E-2</v>
      </c>
      <c r="BB53" s="4">
        <v>-1.0000079870223999E-2</v>
      </c>
      <c r="BC53" s="4">
        <v>-1.0000109672546387E-2</v>
      </c>
      <c r="BD53" s="4">
        <v>-1.0000079870223999E-2</v>
      </c>
      <c r="BE53" s="4">
        <v>-1.0000094771385193E-2</v>
      </c>
      <c r="BF53" s="4">
        <v>-1.0000094771385193E-2</v>
      </c>
      <c r="BG53" s="4">
        <v>-1.0000109672546387E-2</v>
      </c>
      <c r="BH53" s="4">
        <v>-1.0000094771385193E-2</v>
      </c>
      <c r="BI53" s="4">
        <v>-1.0000109672546387E-2</v>
      </c>
      <c r="BJ53" s="4">
        <v>-1.0000109672546387E-2</v>
      </c>
      <c r="BK53" s="4">
        <v>-1.0000139474868774E-2</v>
      </c>
      <c r="BL53" s="4">
        <v>-1.0000139474868774E-2</v>
      </c>
      <c r="BM53" s="4">
        <v>-1.0000124573707581E-2</v>
      </c>
      <c r="BN53" s="4">
        <v>-1.0000124573707581E-2</v>
      </c>
      <c r="BO53" s="4">
        <v>-1.0000139474868774E-2</v>
      </c>
      <c r="BP53" s="4">
        <v>-1.0000139474868774E-2</v>
      </c>
      <c r="BQ53" s="4">
        <v>-1.0000169277191162E-2</v>
      </c>
      <c r="BR53" s="4">
        <v>-1.0000139474868774E-2</v>
      </c>
      <c r="BS53" s="4">
        <v>-1.0000169277191162E-2</v>
      </c>
      <c r="BT53" s="4">
        <v>-1.0000169277191162E-2</v>
      </c>
      <c r="BU53" s="4">
        <v>-1.0000169277191162E-2</v>
      </c>
      <c r="BV53" s="4">
        <v>-1.0000169277191162E-2</v>
      </c>
      <c r="BW53" s="4">
        <v>-1.0000169277191162E-2</v>
      </c>
      <c r="BX53" s="4">
        <v>-1.0000169277191162E-2</v>
      </c>
      <c r="BY53" s="4">
        <v>-1.0000169277191162E-2</v>
      </c>
      <c r="BZ53" s="4">
        <v>-1.0000169277191162E-2</v>
      </c>
      <c r="CA53" s="4">
        <v>-1.0000169277191162E-2</v>
      </c>
      <c r="CB53" s="4">
        <v>-1.000019907951355E-2</v>
      </c>
      <c r="CC53" s="4">
        <v>-1.0000169277191162E-2</v>
      </c>
      <c r="CD53" s="4">
        <v>-1.0000169277191162E-2</v>
      </c>
      <c r="CE53" s="4">
        <v>-1.0000169277191162E-2</v>
      </c>
      <c r="CF53" s="4">
        <v>-1.0000169277191162E-2</v>
      </c>
      <c r="CG53" s="4">
        <v>-1.0000169277191162E-2</v>
      </c>
      <c r="CH53" s="4">
        <v>-1.0000169277191162E-2</v>
      </c>
      <c r="CI53" s="4">
        <v>0</v>
      </c>
      <c r="CJ53" s="4">
        <v>-571373.26923075318</v>
      </c>
      <c r="CK53" s="4">
        <v>-1.0000035166740417E-2</v>
      </c>
      <c r="CL53" s="4">
        <v>-1.0000050067901611E-2</v>
      </c>
      <c r="CM53" s="4">
        <v>-1.0000079870223999E-2</v>
      </c>
      <c r="CN53" s="4">
        <v>-1.0000139474868774E-2</v>
      </c>
      <c r="CO53" s="4">
        <v>-1.0000228881835938E-2</v>
      </c>
      <c r="CP53" s="90"/>
      <c r="CQ53" s="90"/>
      <c r="CR53" s="90"/>
      <c r="CS53" s="90"/>
      <c r="CT53" s="90"/>
      <c r="CU53" s="90"/>
      <c r="CV53" s="90"/>
      <c r="CW53" s="90"/>
      <c r="CX53" s="90"/>
      <c r="CY53" s="90"/>
    </row>
    <row r="54" spans="1:103" customFormat="1" x14ac:dyDescent="0.3">
      <c r="A54" s="8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90"/>
      <c r="CQ54" s="90"/>
      <c r="CR54" s="90"/>
      <c r="CS54" s="90"/>
      <c r="CT54" s="90"/>
      <c r="CU54" s="90"/>
      <c r="CV54" s="90"/>
      <c r="CW54" s="90"/>
      <c r="CX54" s="90"/>
      <c r="CY54" s="90"/>
    </row>
    <row r="55" spans="1:103" customFormat="1" x14ac:dyDescent="0.3">
      <c r="A55" s="121" t="s">
        <v>618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90"/>
      <c r="CQ55" s="90"/>
      <c r="CR55" s="90"/>
      <c r="CS55" s="90"/>
      <c r="CT55" s="90"/>
      <c r="CU55" s="90"/>
      <c r="CV55" s="90"/>
      <c r="CW55" s="90"/>
      <c r="CX55" s="90"/>
      <c r="CY55" s="90"/>
    </row>
    <row r="56" spans="1:103" customFormat="1" x14ac:dyDescent="0.3">
      <c r="A56" s="81" t="s">
        <v>619</v>
      </c>
      <c r="B56" s="4">
        <v>-135962499</v>
      </c>
      <c r="C56" s="4">
        <v>-136837552.92000002</v>
      </c>
      <c r="D56" s="4">
        <v>-137712606.84</v>
      </c>
      <c r="E56" s="4">
        <v>-132344216.48999999</v>
      </c>
      <c r="F56" s="4">
        <v>-131225227.86000001</v>
      </c>
      <c r="G56" s="4">
        <v>-132085748.33999997</v>
      </c>
      <c r="H56" s="4">
        <v>-132975894.11999997</v>
      </c>
      <c r="I56" s="4">
        <v>-133850948.03999998</v>
      </c>
      <c r="J56" s="4">
        <v>-134672614.16999999</v>
      </c>
      <c r="K56" s="4">
        <v>-135098957.55999997</v>
      </c>
      <c r="L56" s="4">
        <v>-136286904.23999998</v>
      </c>
      <c r="M56" s="4">
        <v>-136871552.56</v>
      </c>
      <c r="N56" s="4">
        <v>-137539477.81</v>
      </c>
      <c r="O56" s="4">
        <v>-139035162.74999997</v>
      </c>
      <c r="P56" s="4">
        <v>-123815544.61999996</v>
      </c>
      <c r="Q56" s="4">
        <v>-123956365.17999998</v>
      </c>
      <c r="R56" s="4">
        <v>-124570078.53999996</v>
      </c>
      <c r="S56" s="4">
        <v>-123791288.90999997</v>
      </c>
      <c r="T56" s="4">
        <v>-124961970.08999997</v>
      </c>
      <c r="U56" s="4">
        <v>-125178418.45999998</v>
      </c>
      <c r="V56" s="4">
        <v>-125085871.93999997</v>
      </c>
      <c r="W56" s="4">
        <v>-127332875.60999994</v>
      </c>
      <c r="X56" s="4">
        <v>-125416602.80999996</v>
      </c>
      <c r="Y56" s="4">
        <v>-126756206.71999995</v>
      </c>
      <c r="Z56" s="4">
        <v>-129608551.64999996</v>
      </c>
      <c r="AA56" s="4">
        <v>-131410214.55999994</v>
      </c>
      <c r="AB56" s="4">
        <v>-131762468.48999996</v>
      </c>
      <c r="AC56" s="4">
        <v>-133743700.39999998</v>
      </c>
      <c r="AD56" s="4">
        <v>-134302463.31</v>
      </c>
      <c r="AE56" s="4">
        <v>-135426338.22999996</v>
      </c>
      <c r="AF56" s="4">
        <v>-136574960.16999993</v>
      </c>
      <c r="AG56" s="4">
        <v>-138352514.08999997</v>
      </c>
      <c r="AH56" s="4">
        <v>-139257567.98999995</v>
      </c>
      <c r="AI56" s="4">
        <v>-140134671.92999992</v>
      </c>
      <c r="AJ56" s="4">
        <v>-140741675.84999996</v>
      </c>
      <c r="AK56" s="4">
        <v>-141887199.74999994</v>
      </c>
      <c r="AL56" s="4">
        <v>-143725283.66999996</v>
      </c>
      <c r="AM56" s="4">
        <v>-142615137.58999994</v>
      </c>
      <c r="AN56" s="4">
        <v>-143526991.51999992</v>
      </c>
      <c r="AO56" s="4">
        <v>-144460545.43999994</v>
      </c>
      <c r="AP56" s="4">
        <v>-145335599.35999992</v>
      </c>
      <c r="AQ56" s="4">
        <v>-145770183.27999991</v>
      </c>
      <c r="AR56" s="4">
        <v>-146550707.20999995</v>
      </c>
      <c r="AS56" s="4">
        <v>-146239861.10999995</v>
      </c>
      <c r="AT56" s="4">
        <v>-148180815.03999996</v>
      </c>
      <c r="AU56" s="4">
        <v>-147871498.96999991</v>
      </c>
      <c r="AV56" s="4">
        <v>-149780922.87999994</v>
      </c>
      <c r="AW56" s="4">
        <v>-150608716.78999993</v>
      </c>
      <c r="AX56" s="4">
        <v>-154225930.70999992</v>
      </c>
      <c r="AY56" s="4">
        <v>-152212084.62999988</v>
      </c>
      <c r="AZ56" s="4">
        <v>-153012138.5699999</v>
      </c>
      <c r="BA56" s="4">
        <v>-153857192.4799999</v>
      </c>
      <c r="BB56" s="4">
        <v>-154710405.38999993</v>
      </c>
      <c r="BC56" s="4">
        <v>-155562300.32999989</v>
      </c>
      <c r="BD56" s="4">
        <v>-156755344.23999992</v>
      </c>
      <c r="BE56" s="4">
        <v>-157787408.14999989</v>
      </c>
      <c r="BF56" s="4">
        <v>-159192462.08999991</v>
      </c>
      <c r="BG56" s="4">
        <v>-160378915.98999989</v>
      </c>
      <c r="BH56" s="4">
        <v>-161353969.91999987</v>
      </c>
      <c r="BI56" s="4">
        <v>-162714267.82999992</v>
      </c>
      <c r="BJ56" s="4">
        <v>-163841918.74999991</v>
      </c>
      <c r="BK56" s="4">
        <v>-165601631.68999991</v>
      </c>
      <c r="BL56" s="4">
        <v>-166476685.60999987</v>
      </c>
      <c r="BM56" s="4">
        <v>-167351739.52999988</v>
      </c>
      <c r="BN56" s="4">
        <v>-168226793.44999987</v>
      </c>
      <c r="BO56" s="4">
        <v>-169101847.36999989</v>
      </c>
      <c r="BP56" s="4">
        <v>-169976901.28999987</v>
      </c>
      <c r="BQ56" s="4">
        <v>-170851955.20999986</v>
      </c>
      <c r="BR56" s="4">
        <v>-171727009.12999988</v>
      </c>
      <c r="BS56" s="4">
        <v>-172602063.04999986</v>
      </c>
      <c r="BT56" s="4">
        <v>-173477116.96999988</v>
      </c>
      <c r="BU56" s="4">
        <v>-174352170.88999987</v>
      </c>
      <c r="BV56" s="4">
        <v>-175227224.80999988</v>
      </c>
      <c r="BW56" s="4">
        <v>-176102278.72999984</v>
      </c>
      <c r="BX56" s="4">
        <v>-176977332.64999983</v>
      </c>
      <c r="BY56" s="4">
        <v>-177852386.56999987</v>
      </c>
      <c r="BZ56" s="4">
        <v>-178727440.48999986</v>
      </c>
      <c r="CA56" s="4">
        <v>-179602494.40999988</v>
      </c>
      <c r="CB56" s="4">
        <v>-180477548.32999986</v>
      </c>
      <c r="CC56" s="4">
        <v>-181352602.24999988</v>
      </c>
      <c r="CD56" s="4">
        <v>-182227656.16999984</v>
      </c>
      <c r="CE56" s="4">
        <v>-183102710.08999985</v>
      </c>
      <c r="CF56" s="4">
        <v>-183977764.00999984</v>
      </c>
      <c r="CG56" s="4">
        <v>-184852817.92999983</v>
      </c>
      <c r="CH56" s="4">
        <v>-185727871.84999985</v>
      </c>
      <c r="CI56" s="4">
        <v>-134881861.53461537</v>
      </c>
      <c r="CJ56" s="4">
        <v>-127465262.69923075</v>
      </c>
      <c r="CK56" s="4">
        <v>-136686739.23769221</v>
      </c>
      <c r="CL56" s="4">
        <v>-146837861.0438461</v>
      </c>
      <c r="CM56" s="4">
        <v>-157354179.92923069</v>
      </c>
      <c r="CN56" s="4">
        <v>-169908850.59615374</v>
      </c>
      <c r="CO56" s="4">
        <v>-180477548.32999986</v>
      </c>
      <c r="CP56" s="90"/>
      <c r="CQ56" s="90"/>
      <c r="CR56" s="90"/>
      <c r="CS56" s="90"/>
      <c r="CT56" s="90"/>
      <c r="CU56" s="90"/>
      <c r="CV56" s="90"/>
      <c r="CW56" s="90"/>
      <c r="CX56" s="90"/>
      <c r="CY56" s="90"/>
    </row>
    <row r="57" spans="1:103" x14ac:dyDescent="0.3">
      <c r="A57" s="81" t="s">
        <v>620</v>
      </c>
      <c r="B57" s="4">
        <v>38067814.159999996</v>
      </c>
      <c r="C57" s="4">
        <v>38274972.829999998</v>
      </c>
      <c r="D57" s="4">
        <v>38482131.5</v>
      </c>
      <c r="E57" s="4">
        <v>38689290.170000002</v>
      </c>
      <c r="F57" s="4">
        <v>38896448.840000004</v>
      </c>
      <c r="G57" s="4">
        <v>39103607.510000005</v>
      </c>
      <c r="H57" s="4">
        <v>39310766.18</v>
      </c>
      <c r="I57" s="4">
        <v>39517924.850000009</v>
      </c>
      <c r="J57" s="4">
        <v>39725083.520000003</v>
      </c>
      <c r="K57" s="4">
        <v>39932242.190000005</v>
      </c>
      <c r="L57" s="4">
        <v>40139400.859999999</v>
      </c>
      <c r="M57" s="4">
        <v>40346559.530000001</v>
      </c>
      <c r="N57" s="4">
        <v>40552667.990000002</v>
      </c>
      <c r="O57" s="4">
        <v>40759826.660000004</v>
      </c>
      <c r="P57" s="4">
        <v>25753350.700000003</v>
      </c>
      <c r="Q57" s="4">
        <v>25929974.850000001</v>
      </c>
      <c r="R57" s="4">
        <v>26137133.52</v>
      </c>
      <c r="S57" s="4">
        <v>26306578.960000005</v>
      </c>
      <c r="T57" s="4">
        <v>26473582.130000003</v>
      </c>
      <c r="U57" s="4">
        <v>26680740.800000001</v>
      </c>
      <c r="V57" s="4">
        <v>26773818.120000001</v>
      </c>
      <c r="W57" s="4">
        <v>26980976.790000003</v>
      </c>
      <c r="X57" s="4">
        <v>27188135.460000005</v>
      </c>
      <c r="Y57" s="4">
        <v>27395294.13000001</v>
      </c>
      <c r="Z57" s="4">
        <v>27602452.800000001</v>
      </c>
      <c r="AA57" s="4">
        <v>27809611.470000003</v>
      </c>
      <c r="AB57" s="4">
        <v>28016770.140000004</v>
      </c>
      <c r="AC57" s="4">
        <v>28223928.81000001</v>
      </c>
      <c r="AD57" s="4">
        <v>28431087.480000004</v>
      </c>
      <c r="AE57" s="4">
        <v>28638246.150000002</v>
      </c>
      <c r="AF57" s="4">
        <v>28845404.820000004</v>
      </c>
      <c r="AG57" s="4">
        <v>29052563.49000001</v>
      </c>
      <c r="AH57" s="4">
        <v>29259722.160000008</v>
      </c>
      <c r="AI57" s="4">
        <v>29466880.830000002</v>
      </c>
      <c r="AJ57" s="4">
        <v>29674039.500000007</v>
      </c>
      <c r="AK57" s="4">
        <v>29881198.170000009</v>
      </c>
      <c r="AL57" s="4">
        <v>30088356.840000007</v>
      </c>
      <c r="AM57" s="4">
        <v>30295515.510000009</v>
      </c>
      <c r="AN57" s="4">
        <v>30502674.180000007</v>
      </c>
      <c r="AO57" s="4">
        <v>30709832.850000009</v>
      </c>
      <c r="AP57" s="4">
        <v>30916991.520000007</v>
      </c>
      <c r="AQ57" s="4">
        <v>31124150.190000009</v>
      </c>
      <c r="AR57" s="4">
        <v>31331308.860000007</v>
      </c>
      <c r="AS57" s="4">
        <v>31538467.530000012</v>
      </c>
      <c r="AT57" s="4">
        <v>31745626.20000001</v>
      </c>
      <c r="AU57" s="4">
        <v>31952784.870000008</v>
      </c>
      <c r="AV57" s="4">
        <v>32159943.54000001</v>
      </c>
      <c r="AW57" s="4">
        <v>32367102.210000012</v>
      </c>
      <c r="AX57" s="4">
        <v>32574260.88000001</v>
      </c>
      <c r="AY57" s="4">
        <v>32781419.550000008</v>
      </c>
      <c r="AZ57" s="4">
        <v>32988578.22000001</v>
      </c>
      <c r="BA57" s="4">
        <v>33195736.890000008</v>
      </c>
      <c r="BB57" s="4">
        <v>33402895.560000006</v>
      </c>
      <c r="BC57" s="4">
        <v>33610054.230000012</v>
      </c>
      <c r="BD57" s="4">
        <v>33817212.900000013</v>
      </c>
      <c r="BE57" s="4">
        <v>34024371.570000015</v>
      </c>
      <c r="BF57" s="4">
        <v>34231530.240000017</v>
      </c>
      <c r="BG57" s="4">
        <v>34438688.910000011</v>
      </c>
      <c r="BH57" s="4">
        <v>34645847.580000021</v>
      </c>
      <c r="BI57" s="4">
        <v>34853006.250000015</v>
      </c>
      <c r="BJ57" s="4">
        <v>35060164.920000017</v>
      </c>
      <c r="BK57" s="4">
        <v>35267323.590000018</v>
      </c>
      <c r="BL57" s="4">
        <v>35474482.26000002</v>
      </c>
      <c r="BM57" s="4">
        <v>35681640.930000022</v>
      </c>
      <c r="BN57" s="4">
        <v>35888799.600000016</v>
      </c>
      <c r="BO57" s="4">
        <v>36095958.270000011</v>
      </c>
      <c r="BP57" s="4">
        <v>36303116.940000013</v>
      </c>
      <c r="BQ57" s="4">
        <v>36510275.610000022</v>
      </c>
      <c r="BR57" s="4">
        <v>36717434.280000009</v>
      </c>
      <c r="BS57" s="4">
        <v>36924592.950000018</v>
      </c>
      <c r="BT57" s="4">
        <v>37131751.620000005</v>
      </c>
      <c r="BU57" s="4">
        <v>37338910.290000021</v>
      </c>
      <c r="BV57" s="4">
        <v>37546068.960000008</v>
      </c>
      <c r="BW57" s="4">
        <v>37753227.630000018</v>
      </c>
      <c r="BX57" s="4">
        <v>37960386.300000012</v>
      </c>
      <c r="BY57" s="4">
        <v>38167544.970000021</v>
      </c>
      <c r="BZ57" s="4">
        <v>38374703.640000015</v>
      </c>
      <c r="CA57" s="4">
        <v>38581862.310000017</v>
      </c>
      <c r="CB57" s="4">
        <v>38789020.980000019</v>
      </c>
      <c r="CC57" s="4">
        <v>38996179.650000021</v>
      </c>
      <c r="CD57" s="4">
        <v>39203338.320000023</v>
      </c>
      <c r="CE57" s="4">
        <v>39410496.990000024</v>
      </c>
      <c r="CF57" s="4">
        <v>39617655.660000011</v>
      </c>
      <c r="CG57" s="4">
        <v>39824814.330000021</v>
      </c>
      <c r="CH57" s="4">
        <v>40031973.000000015</v>
      </c>
      <c r="CI57" s="4">
        <v>39310685.394615389</v>
      </c>
      <c r="CJ57" s="4">
        <v>28810348.685384613</v>
      </c>
      <c r="CK57" s="4">
        <v>28845404.820000004</v>
      </c>
      <c r="CL57" s="4">
        <v>31331308.860000007</v>
      </c>
      <c r="CM57" s="4">
        <v>33817212.900000013</v>
      </c>
      <c r="CN57" s="4">
        <v>36303116.940000013</v>
      </c>
      <c r="CO57" s="4">
        <v>38789020.980000019</v>
      </c>
    </row>
    <row r="58" spans="1:103" ht="15" thickBot="1" x14ac:dyDescent="0.35">
      <c r="A58" s="81" t="s">
        <v>25</v>
      </c>
      <c r="B58" s="127">
        <v>-97894684.840000004</v>
      </c>
      <c r="C58" s="127">
        <v>-98562580.090000018</v>
      </c>
      <c r="D58" s="127">
        <v>-99230475.340000004</v>
      </c>
      <c r="E58" s="127">
        <v>-93654926.319999993</v>
      </c>
      <c r="F58" s="127">
        <v>-92328779.020000011</v>
      </c>
      <c r="G58" s="127">
        <v>-92982140.829999968</v>
      </c>
      <c r="H58" s="127">
        <v>-93665127.939999968</v>
      </c>
      <c r="I58" s="127">
        <v>-94333023.189999968</v>
      </c>
      <c r="J58" s="127">
        <v>-94947530.649999976</v>
      </c>
      <c r="K58" s="127">
        <v>-95166715.369999975</v>
      </c>
      <c r="L58" s="127">
        <v>-96147503.37999998</v>
      </c>
      <c r="M58" s="127">
        <v>-96524993.030000001</v>
      </c>
      <c r="N58" s="127">
        <v>-96986809.819999993</v>
      </c>
      <c r="O58" s="127">
        <v>-98275336.089999974</v>
      </c>
      <c r="P58" s="127">
        <v>-98062193.919999957</v>
      </c>
      <c r="Q58" s="127">
        <v>-98026390.329999983</v>
      </c>
      <c r="R58" s="127">
        <v>-98432945.019999966</v>
      </c>
      <c r="S58" s="127">
        <v>-97484709.949999958</v>
      </c>
      <c r="T58" s="127">
        <v>-98488387.959999979</v>
      </c>
      <c r="U58" s="127">
        <v>-98497677.659999982</v>
      </c>
      <c r="V58" s="127">
        <v>-98312053.819999963</v>
      </c>
      <c r="W58" s="127">
        <v>-100351898.81999993</v>
      </c>
      <c r="X58" s="127">
        <v>-98228467.349999949</v>
      </c>
      <c r="Y58" s="127">
        <v>-99360912.589999944</v>
      </c>
      <c r="Z58" s="127">
        <v>-102006098.84999996</v>
      </c>
      <c r="AA58" s="127">
        <v>-103600603.08999994</v>
      </c>
      <c r="AB58" s="127">
        <v>-103745698.34999996</v>
      </c>
      <c r="AC58" s="127">
        <v>-105519771.58999997</v>
      </c>
      <c r="AD58" s="127">
        <v>-105871375.83</v>
      </c>
      <c r="AE58" s="127">
        <v>-106788092.07999995</v>
      </c>
      <c r="AF58" s="127">
        <v>-107729555.34999992</v>
      </c>
      <c r="AG58" s="127">
        <v>-109299950.59999996</v>
      </c>
      <c r="AH58" s="127">
        <v>-109997845.82999994</v>
      </c>
      <c r="AI58" s="127">
        <v>-110667791.09999992</v>
      </c>
      <c r="AJ58" s="127">
        <v>-111067636.34999996</v>
      </c>
      <c r="AK58" s="127">
        <v>-112006001.57999992</v>
      </c>
      <c r="AL58" s="127">
        <v>-113636926.82999995</v>
      </c>
      <c r="AM58" s="127">
        <v>-112319622.07999994</v>
      </c>
      <c r="AN58" s="127">
        <v>-113024317.33999991</v>
      </c>
      <c r="AO58" s="127">
        <v>-113750712.58999993</v>
      </c>
      <c r="AP58" s="127">
        <v>-114418607.83999991</v>
      </c>
      <c r="AQ58" s="127">
        <v>-114646033.0899999</v>
      </c>
      <c r="AR58" s="127">
        <v>-115219398.34999993</v>
      </c>
      <c r="AS58" s="127">
        <v>-114701393.57999994</v>
      </c>
      <c r="AT58" s="127">
        <v>-116435188.83999994</v>
      </c>
      <c r="AU58" s="127">
        <v>-115918714.0999999</v>
      </c>
      <c r="AV58" s="127">
        <v>-117620979.33999993</v>
      </c>
      <c r="AW58" s="127">
        <v>-118241614.57999992</v>
      </c>
      <c r="AX58" s="127">
        <v>-121651669.82999991</v>
      </c>
      <c r="AY58" s="127">
        <v>-119430665.07999986</v>
      </c>
      <c r="AZ58" s="127">
        <v>-120023560.34999989</v>
      </c>
      <c r="BA58" s="127">
        <v>-120661455.58999988</v>
      </c>
      <c r="BB58" s="127">
        <v>-121307509.82999992</v>
      </c>
      <c r="BC58" s="127">
        <v>-121952246.09999987</v>
      </c>
      <c r="BD58" s="127">
        <v>-122938131.33999991</v>
      </c>
      <c r="BE58" s="127">
        <v>-123763036.57999986</v>
      </c>
      <c r="BF58" s="127">
        <v>-124960931.8499999</v>
      </c>
      <c r="BG58" s="127">
        <v>-125940227.07999988</v>
      </c>
      <c r="BH58" s="127">
        <v>-126708122.33999985</v>
      </c>
      <c r="BI58" s="127">
        <v>-127861261.57999991</v>
      </c>
      <c r="BJ58" s="127">
        <v>-128781753.82999989</v>
      </c>
      <c r="BK58" s="127">
        <v>-130334308.09999989</v>
      </c>
      <c r="BL58" s="127">
        <v>-131002203.34999985</v>
      </c>
      <c r="BM58" s="127">
        <v>-131670098.59999986</v>
      </c>
      <c r="BN58" s="127">
        <v>-132337993.84999985</v>
      </c>
      <c r="BO58" s="127">
        <v>-133005889.09999987</v>
      </c>
      <c r="BP58" s="127">
        <v>-133673784.34999986</v>
      </c>
      <c r="BQ58" s="127">
        <v>-134341679.59999985</v>
      </c>
      <c r="BR58" s="127">
        <v>-135009574.84999987</v>
      </c>
      <c r="BS58" s="127">
        <v>-135677470.09999985</v>
      </c>
      <c r="BT58" s="127">
        <v>-136345365.34999987</v>
      </c>
      <c r="BU58" s="127">
        <v>-137013260.59999985</v>
      </c>
      <c r="BV58" s="127">
        <v>-137681155.84999987</v>
      </c>
      <c r="BW58" s="127">
        <v>-138349051.09999982</v>
      </c>
      <c r="BX58" s="127">
        <v>-139016946.34999982</v>
      </c>
      <c r="BY58" s="127">
        <v>-139684841.59999985</v>
      </c>
      <c r="BZ58" s="127">
        <v>-140352736.84999985</v>
      </c>
      <c r="CA58" s="127">
        <v>-141020632.09999985</v>
      </c>
      <c r="CB58" s="127">
        <v>-141688527.34999985</v>
      </c>
      <c r="CC58" s="127">
        <v>-142356422.59999985</v>
      </c>
      <c r="CD58" s="127">
        <v>-143024317.84999982</v>
      </c>
      <c r="CE58" s="127">
        <v>-143692213.09999985</v>
      </c>
      <c r="CF58" s="127">
        <v>-144360108.34999985</v>
      </c>
      <c r="CG58" s="127">
        <v>-145028003.59999982</v>
      </c>
      <c r="CH58" s="127">
        <v>-145695898.84999985</v>
      </c>
      <c r="CI58" s="127">
        <v>-95571176.139999986</v>
      </c>
      <c r="CJ58" s="127">
        <v>-98654914.013846129</v>
      </c>
      <c r="CK58" s="127">
        <v>-107841334.4176922</v>
      </c>
      <c r="CL58" s="127">
        <v>-115506552.18384609</v>
      </c>
      <c r="CM58" s="127">
        <v>-123536967.02923068</v>
      </c>
      <c r="CN58" s="127">
        <v>-133605733.65615372</v>
      </c>
      <c r="CO58" s="127">
        <v>-141688527.34999985</v>
      </c>
    </row>
    <row r="59" spans="1:103" ht="15" thickTop="1" x14ac:dyDescent="0.3">
      <c r="A59" s="81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</row>
    <row r="60" spans="1:103" customFormat="1" x14ac:dyDescent="0.3">
      <c r="A60" s="121" t="s">
        <v>621</v>
      </c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90"/>
      <c r="CQ60" s="90"/>
      <c r="CR60" s="90"/>
      <c r="CS60" s="90"/>
      <c r="CT60" s="90"/>
      <c r="CU60" s="90"/>
      <c r="CV60" s="90"/>
      <c r="CW60" s="90"/>
      <c r="CX60" s="90"/>
      <c r="CY60" s="90"/>
    </row>
    <row r="61" spans="1:103" x14ac:dyDescent="0.3">
      <c r="A61" s="81" t="s">
        <v>622</v>
      </c>
      <c r="B61" s="4">
        <v>-77754038</v>
      </c>
      <c r="C61" s="4">
        <v>-77931896.75</v>
      </c>
      <c r="D61" s="4">
        <v>-78109755.5</v>
      </c>
      <c r="E61" s="4">
        <v>-72044169.979999974</v>
      </c>
      <c r="F61" s="4">
        <v>-70227986.179999992</v>
      </c>
      <c r="G61" s="4">
        <v>-70391311.489999995</v>
      </c>
      <c r="H61" s="4">
        <v>-70584262.099999994</v>
      </c>
      <c r="I61" s="4">
        <v>-70762120.849999979</v>
      </c>
      <c r="J61" s="4">
        <v>-70886591.809999987</v>
      </c>
      <c r="K61" s="4">
        <v>-70615740.029999971</v>
      </c>
      <c r="L61" s="4">
        <v>-71106491.539999992</v>
      </c>
      <c r="M61" s="4">
        <v>-70993944.689999968</v>
      </c>
      <c r="N61" s="4">
        <v>-70965724.979999989</v>
      </c>
      <c r="O61" s="4">
        <v>-71764214.75</v>
      </c>
      <c r="P61" s="4">
        <v>-71061036.079999968</v>
      </c>
      <c r="Q61" s="4">
        <v>-70535195.98999998</v>
      </c>
      <c r="R61" s="4">
        <v>-70451714.179999962</v>
      </c>
      <c r="S61" s="4">
        <v>-69013442.60999997</v>
      </c>
      <c r="T61" s="4">
        <v>-69527084.11999996</v>
      </c>
      <c r="U61" s="4">
        <v>-69046337.319999963</v>
      </c>
      <c r="V61" s="4">
        <v>-68370676.979999945</v>
      </c>
      <c r="W61" s="4">
        <v>-69920485.479999974</v>
      </c>
      <c r="X61" s="4">
        <v>-67307017.509999976</v>
      </c>
      <c r="Y61" s="4">
        <v>-67949426.249999955</v>
      </c>
      <c r="Z61" s="4">
        <v>-70104576.009999961</v>
      </c>
      <c r="AA61" s="4">
        <v>-71209043.749999955</v>
      </c>
      <c r="AB61" s="4">
        <v>-70864102.509999961</v>
      </c>
      <c r="AC61" s="4">
        <v>-72148139.24999994</v>
      </c>
      <c r="AD61" s="4">
        <v>-72009706.98999995</v>
      </c>
      <c r="AE61" s="4">
        <v>-72436386.73999995</v>
      </c>
      <c r="AF61" s="4">
        <v>-72887813.509999961</v>
      </c>
      <c r="AG61" s="4">
        <v>-73968172.259999946</v>
      </c>
      <c r="AH61" s="4">
        <v>-74176030.989999935</v>
      </c>
      <c r="AI61" s="4">
        <v>-74355939.759999946</v>
      </c>
      <c r="AJ61" s="4">
        <v>-74265748.509999946</v>
      </c>
      <c r="AK61" s="4">
        <v>-74714077.23999992</v>
      </c>
      <c r="AL61" s="4">
        <v>-75854965.98999992</v>
      </c>
      <c r="AM61" s="4">
        <v>-74047624.73999995</v>
      </c>
      <c r="AN61" s="4">
        <v>-74262283.49999994</v>
      </c>
      <c r="AO61" s="4">
        <v>-74498642.249999925</v>
      </c>
      <c r="AP61" s="4">
        <v>-74676500.999999925</v>
      </c>
      <c r="AQ61" s="4">
        <v>-74413889.749999925</v>
      </c>
      <c r="AR61" s="4">
        <v>-74497218.509999931</v>
      </c>
      <c r="AS61" s="4">
        <v>-73489177.23999992</v>
      </c>
      <c r="AT61" s="4">
        <v>-74732935.999999925</v>
      </c>
      <c r="AU61" s="4">
        <v>-73726424.759999931</v>
      </c>
      <c r="AV61" s="4">
        <v>-74938653.499999925</v>
      </c>
      <c r="AW61" s="4">
        <v>-75069252.23999992</v>
      </c>
      <c r="AX61" s="4">
        <v>-77989270.989999905</v>
      </c>
      <c r="AY61" s="4">
        <v>-75278229.739999905</v>
      </c>
      <c r="AZ61" s="4">
        <v>-75381088.509999916</v>
      </c>
      <c r="BA61" s="4">
        <v>-75528947.249999896</v>
      </c>
      <c r="BB61" s="4">
        <v>-75684964.98999989</v>
      </c>
      <c r="BC61" s="4">
        <v>-75839664.759999916</v>
      </c>
      <c r="BD61" s="4">
        <v>-76335513.499999911</v>
      </c>
      <c r="BE61" s="4">
        <v>-76670382.23999989</v>
      </c>
      <c r="BF61" s="4">
        <v>-77378241.009999901</v>
      </c>
      <c r="BG61" s="4">
        <v>-77867499.739999905</v>
      </c>
      <c r="BH61" s="4">
        <v>-78145358.499999896</v>
      </c>
      <c r="BI61" s="4">
        <v>-78808461.239999875</v>
      </c>
      <c r="BJ61" s="4">
        <v>-79238916.98999989</v>
      </c>
      <c r="BK61" s="4">
        <v>-80301434.759999901</v>
      </c>
      <c r="BL61" s="4">
        <v>-80479293.509999901</v>
      </c>
      <c r="BM61" s="4">
        <v>-80657152.259999886</v>
      </c>
      <c r="BN61" s="4">
        <v>-80835011.009999886</v>
      </c>
      <c r="BO61" s="4">
        <v>-81012869.759999886</v>
      </c>
      <c r="BP61" s="4">
        <v>-81190728.509999886</v>
      </c>
      <c r="BQ61" s="4">
        <v>-81368587.259999871</v>
      </c>
      <c r="BR61" s="4">
        <v>-81546446.009999871</v>
      </c>
      <c r="BS61" s="4">
        <v>-81724304.759999886</v>
      </c>
      <c r="BT61" s="4">
        <v>-81902163.509999886</v>
      </c>
      <c r="BU61" s="4">
        <v>-82080022.259999871</v>
      </c>
      <c r="BV61" s="4">
        <v>-82257881.009999871</v>
      </c>
      <c r="BW61" s="4">
        <v>-82435739.759999871</v>
      </c>
      <c r="BX61" s="4">
        <v>-82613598.509999871</v>
      </c>
      <c r="BY61" s="4">
        <v>-82791457.259999856</v>
      </c>
      <c r="BZ61" s="4">
        <v>-82969316.009999871</v>
      </c>
      <c r="CA61" s="4">
        <v>-83147174.759999871</v>
      </c>
      <c r="CB61" s="4">
        <v>-83325033.509999871</v>
      </c>
      <c r="CC61" s="4">
        <v>-83502892.259999856</v>
      </c>
      <c r="CD61" s="4">
        <v>-83680751.009999856</v>
      </c>
      <c r="CE61" s="4">
        <v>-83858609.759999856</v>
      </c>
      <c r="CF61" s="4">
        <v>-84036468.509999856</v>
      </c>
      <c r="CG61" s="4">
        <v>-84214327.259999841</v>
      </c>
      <c r="CH61" s="4">
        <v>-84392186.009999841</v>
      </c>
      <c r="CI61" s="4">
        <v>-72490310.299999982</v>
      </c>
      <c r="CJ61" s="4">
        <v>-69693610.173846126</v>
      </c>
      <c r="CK61" s="4">
        <v>-72999592.57769227</v>
      </c>
      <c r="CL61" s="4">
        <v>-74784372.343846068</v>
      </c>
      <c r="CM61" s="4">
        <v>-76934349.18923068</v>
      </c>
      <c r="CN61" s="4">
        <v>-81122677.816153735</v>
      </c>
      <c r="CO61" s="4">
        <v>-83325033.509999871</v>
      </c>
    </row>
    <row r="62" spans="1:103" x14ac:dyDescent="0.3">
      <c r="A62" s="81" t="s">
        <v>615</v>
      </c>
      <c r="B62" s="4">
        <v>-20140646.84</v>
      </c>
      <c r="C62" s="4">
        <v>-20630683.340000004</v>
      </c>
      <c r="D62" s="4">
        <v>-21120719.840000004</v>
      </c>
      <c r="E62" s="4">
        <v>-21610756.340000004</v>
      </c>
      <c r="F62" s="4">
        <v>-22100792.839999996</v>
      </c>
      <c r="G62" s="4">
        <v>-22590829.340000004</v>
      </c>
      <c r="H62" s="4">
        <v>-23080865.840000004</v>
      </c>
      <c r="I62" s="4">
        <v>-23570902.34</v>
      </c>
      <c r="J62" s="4">
        <v>-24060938.839999996</v>
      </c>
      <c r="K62" s="4">
        <v>-24550975.340000007</v>
      </c>
      <c r="L62" s="4">
        <v>-25041011.84</v>
      </c>
      <c r="M62" s="4">
        <v>-25531048.340000004</v>
      </c>
      <c r="N62" s="4">
        <v>-26021084.839999996</v>
      </c>
      <c r="O62" s="4">
        <v>-26511121.340000004</v>
      </c>
      <c r="P62" s="4">
        <v>-27001157.839999992</v>
      </c>
      <c r="Q62" s="4">
        <v>-27491194.339999996</v>
      </c>
      <c r="R62" s="4">
        <v>-27981230.839999996</v>
      </c>
      <c r="S62" s="4">
        <v>-28471267.34</v>
      </c>
      <c r="T62" s="4">
        <v>-28961303.840000004</v>
      </c>
      <c r="U62" s="4">
        <v>-29451340.339999996</v>
      </c>
      <c r="V62" s="4">
        <v>-29941376.839999992</v>
      </c>
      <c r="W62" s="4">
        <v>-30431413.339999996</v>
      </c>
      <c r="X62" s="4">
        <v>-30921449.840000004</v>
      </c>
      <c r="Y62" s="4">
        <v>-31411486.339999992</v>
      </c>
      <c r="Z62" s="4">
        <v>-31901522.840000004</v>
      </c>
      <c r="AA62" s="4">
        <v>-32391559.339999996</v>
      </c>
      <c r="AB62" s="4">
        <v>-32881595.840000004</v>
      </c>
      <c r="AC62" s="4">
        <v>-33371632.339999992</v>
      </c>
      <c r="AD62" s="4">
        <v>-33861668.839999996</v>
      </c>
      <c r="AE62" s="4">
        <v>-34351705.339999996</v>
      </c>
      <c r="AF62" s="4">
        <v>-34841741.840000004</v>
      </c>
      <c r="AG62" s="4">
        <v>-35331778.339999989</v>
      </c>
      <c r="AH62" s="4">
        <v>-35821814.839999996</v>
      </c>
      <c r="AI62" s="4">
        <v>-36311851.339999996</v>
      </c>
      <c r="AJ62" s="4">
        <v>-36801887.840000004</v>
      </c>
      <c r="AK62" s="4">
        <v>-37291924.339999989</v>
      </c>
      <c r="AL62" s="4">
        <v>-37781960.839999996</v>
      </c>
      <c r="AM62" s="4">
        <v>-38271997.339999989</v>
      </c>
      <c r="AN62" s="4">
        <v>-38762033.840000004</v>
      </c>
      <c r="AO62" s="4">
        <v>-39252070.339999981</v>
      </c>
      <c r="AP62" s="4">
        <v>-39742106.839999996</v>
      </c>
      <c r="AQ62" s="4">
        <v>-40232143.339999989</v>
      </c>
      <c r="AR62" s="4">
        <v>-40722179.840000004</v>
      </c>
      <c r="AS62" s="4">
        <v>-41212216.339999989</v>
      </c>
      <c r="AT62" s="4">
        <v>-41702252.839999989</v>
      </c>
      <c r="AU62" s="4">
        <v>-42192289.339999996</v>
      </c>
      <c r="AV62" s="4">
        <v>-42682325.840000004</v>
      </c>
      <c r="AW62" s="4">
        <v>-43172362.339999989</v>
      </c>
      <c r="AX62" s="4">
        <v>-43662398.839999989</v>
      </c>
      <c r="AY62" s="4">
        <v>-44152435.339999989</v>
      </c>
      <c r="AZ62" s="4">
        <v>-44642471.839999996</v>
      </c>
      <c r="BA62" s="4">
        <v>-45132508.339999989</v>
      </c>
      <c r="BB62" s="4">
        <v>-45622544.839999989</v>
      </c>
      <c r="BC62" s="4">
        <v>-46112581.339999996</v>
      </c>
      <c r="BD62" s="4">
        <v>-46602617.839999989</v>
      </c>
      <c r="BE62" s="4">
        <v>-47092654.339999996</v>
      </c>
      <c r="BF62" s="4">
        <v>-47582690.840000004</v>
      </c>
      <c r="BG62" s="4">
        <v>-48072727.339999989</v>
      </c>
      <c r="BH62" s="4">
        <v>-48562763.839999996</v>
      </c>
      <c r="BI62" s="4">
        <v>-49052800.339999989</v>
      </c>
      <c r="BJ62" s="4">
        <v>-49542836.839999989</v>
      </c>
      <c r="BK62" s="4">
        <v>-50032873.339999996</v>
      </c>
      <c r="BL62" s="4">
        <v>-50522909.839999989</v>
      </c>
      <c r="BM62" s="4">
        <v>-51012946.339999989</v>
      </c>
      <c r="BN62" s="4">
        <v>-51502982.839999996</v>
      </c>
      <c r="BO62" s="4">
        <v>-51993019.339999981</v>
      </c>
      <c r="BP62" s="4">
        <v>-52483055.840000004</v>
      </c>
      <c r="BQ62" s="4">
        <v>-52973092.339999981</v>
      </c>
      <c r="BR62" s="4">
        <v>-53463128.839999996</v>
      </c>
      <c r="BS62" s="4">
        <v>-53953165.339999989</v>
      </c>
      <c r="BT62" s="4">
        <v>-54443201.839999989</v>
      </c>
      <c r="BU62" s="4">
        <v>-54933238.339999989</v>
      </c>
      <c r="BV62" s="4">
        <v>-55423274.839999996</v>
      </c>
      <c r="BW62" s="4">
        <v>-55913311.339999981</v>
      </c>
      <c r="BX62" s="4">
        <v>-56403347.839999989</v>
      </c>
      <c r="BY62" s="4">
        <v>-56893384.339999981</v>
      </c>
      <c r="BZ62" s="4">
        <v>-57383420.839999989</v>
      </c>
      <c r="CA62" s="4">
        <v>-57873457.340000004</v>
      </c>
      <c r="CB62" s="4">
        <v>-58363493.839999996</v>
      </c>
      <c r="CC62" s="4">
        <v>-58853530.339999981</v>
      </c>
      <c r="CD62" s="4">
        <v>-59343566.839999989</v>
      </c>
      <c r="CE62" s="4">
        <v>-59833603.339999981</v>
      </c>
      <c r="CF62" s="4">
        <v>-60323639.839999989</v>
      </c>
      <c r="CG62" s="4">
        <v>-60813676.339999981</v>
      </c>
      <c r="CH62" s="4">
        <v>-61303712.839999989</v>
      </c>
      <c r="CI62" s="4">
        <v>-23080865.840000004</v>
      </c>
      <c r="CJ62" s="4">
        <v>-28961303.840000004</v>
      </c>
      <c r="CK62" s="4">
        <v>-34841741.840000004</v>
      </c>
      <c r="CL62" s="4">
        <v>-40722179.840000004</v>
      </c>
      <c r="CM62" s="4">
        <v>-46602617.839999989</v>
      </c>
      <c r="CN62" s="4">
        <v>-52483055.839999989</v>
      </c>
      <c r="CO62" s="4">
        <v>-58363493.839999996</v>
      </c>
    </row>
    <row r="63" spans="1:103" ht="15" thickBot="1" x14ac:dyDescent="0.35">
      <c r="A63" s="81" t="s">
        <v>25</v>
      </c>
      <c r="B63" s="129">
        <v>-97894684.840000004</v>
      </c>
      <c r="C63" s="129">
        <v>-98562580.090000004</v>
      </c>
      <c r="D63" s="129">
        <v>-99230475.340000004</v>
      </c>
      <c r="E63" s="129">
        <v>-93654926.319999978</v>
      </c>
      <c r="F63" s="129">
        <v>-92328779.019999981</v>
      </c>
      <c r="G63" s="129">
        <v>-92982140.829999998</v>
      </c>
      <c r="H63" s="129">
        <v>-93665127.939999998</v>
      </c>
      <c r="I63" s="129">
        <v>-94333023.189999983</v>
      </c>
      <c r="J63" s="129">
        <v>-94947530.649999976</v>
      </c>
      <c r="K63" s="129">
        <v>-95166715.369999975</v>
      </c>
      <c r="L63" s="129">
        <v>-96147503.379999995</v>
      </c>
      <c r="M63" s="129">
        <v>-96524993.029999971</v>
      </c>
      <c r="N63" s="129">
        <v>-96986809.819999993</v>
      </c>
      <c r="O63" s="129">
        <v>-98275336.090000004</v>
      </c>
      <c r="P63" s="129">
        <v>-98062193.919999957</v>
      </c>
      <c r="Q63" s="129">
        <v>-98026390.329999983</v>
      </c>
      <c r="R63" s="129">
        <v>-98432945.019999951</v>
      </c>
      <c r="S63" s="129">
        <v>-97484709.949999973</v>
      </c>
      <c r="T63" s="129">
        <v>-98488387.959999964</v>
      </c>
      <c r="U63" s="129">
        <v>-98497677.659999967</v>
      </c>
      <c r="V63" s="129">
        <v>-98312053.819999933</v>
      </c>
      <c r="W63" s="129">
        <v>-100351898.81999996</v>
      </c>
      <c r="X63" s="129">
        <v>-98228467.349999979</v>
      </c>
      <c r="Y63" s="129">
        <v>-99360912.589999944</v>
      </c>
      <c r="Z63" s="129">
        <v>-102006098.84999996</v>
      </c>
      <c r="AA63" s="129">
        <v>-103600603.08999994</v>
      </c>
      <c r="AB63" s="129">
        <v>-103745698.34999996</v>
      </c>
      <c r="AC63" s="129">
        <v>-105519771.58999993</v>
      </c>
      <c r="AD63" s="129">
        <v>-105871375.82999995</v>
      </c>
      <c r="AE63" s="129">
        <v>-106788092.07999995</v>
      </c>
      <c r="AF63" s="129">
        <v>-107729555.34999996</v>
      </c>
      <c r="AG63" s="129">
        <v>-109299950.59999993</v>
      </c>
      <c r="AH63" s="129">
        <v>-109997845.82999992</v>
      </c>
      <c r="AI63" s="129">
        <v>-110667791.09999993</v>
      </c>
      <c r="AJ63" s="129">
        <v>-111067636.34999995</v>
      </c>
      <c r="AK63" s="129">
        <v>-112006001.57999991</v>
      </c>
      <c r="AL63" s="129">
        <v>-113636926.82999992</v>
      </c>
      <c r="AM63" s="129">
        <v>-112319622.07999994</v>
      </c>
      <c r="AN63" s="129">
        <v>-113024317.33999994</v>
      </c>
      <c r="AO63" s="129">
        <v>-113750712.58999991</v>
      </c>
      <c r="AP63" s="129">
        <v>-114418607.83999991</v>
      </c>
      <c r="AQ63" s="129">
        <v>-114646033.08999991</v>
      </c>
      <c r="AR63" s="129">
        <v>-115219398.34999993</v>
      </c>
      <c r="AS63" s="129">
        <v>-114701393.57999991</v>
      </c>
      <c r="AT63" s="129">
        <v>-116435188.83999991</v>
      </c>
      <c r="AU63" s="129">
        <v>-115918714.09999993</v>
      </c>
      <c r="AV63" s="129">
        <v>-117620979.33999993</v>
      </c>
      <c r="AW63" s="129">
        <v>-118241614.57999991</v>
      </c>
      <c r="AX63" s="129">
        <v>-121651669.82999989</v>
      </c>
      <c r="AY63" s="129">
        <v>-119430665.07999989</v>
      </c>
      <c r="AZ63" s="129">
        <v>-120023560.3499999</v>
      </c>
      <c r="BA63" s="129">
        <v>-120661455.58999988</v>
      </c>
      <c r="BB63" s="129">
        <v>-121307509.82999988</v>
      </c>
      <c r="BC63" s="129">
        <v>-121952246.0999999</v>
      </c>
      <c r="BD63" s="129">
        <v>-122938131.3399999</v>
      </c>
      <c r="BE63" s="129">
        <v>-123763036.57999989</v>
      </c>
      <c r="BF63" s="129">
        <v>-124960931.8499999</v>
      </c>
      <c r="BG63" s="129">
        <v>-125940227.07999989</v>
      </c>
      <c r="BH63" s="129">
        <v>-126708122.33999988</v>
      </c>
      <c r="BI63" s="129">
        <v>-127861261.57999986</v>
      </c>
      <c r="BJ63" s="129">
        <v>-128781753.82999988</v>
      </c>
      <c r="BK63" s="129">
        <v>-130334308.0999999</v>
      </c>
      <c r="BL63" s="129">
        <v>-131002203.34999989</v>
      </c>
      <c r="BM63" s="129">
        <v>-131670098.59999987</v>
      </c>
      <c r="BN63" s="129">
        <v>-132337993.84999987</v>
      </c>
      <c r="BO63" s="129">
        <v>-133005889.09999987</v>
      </c>
      <c r="BP63" s="129">
        <v>-133673784.34999989</v>
      </c>
      <c r="BQ63" s="129">
        <v>-134341679.59999985</v>
      </c>
      <c r="BR63" s="129">
        <v>-135009574.84999987</v>
      </c>
      <c r="BS63" s="129">
        <v>-135677470.09999987</v>
      </c>
      <c r="BT63" s="129">
        <v>-136345365.34999987</v>
      </c>
      <c r="BU63" s="129">
        <v>-137013260.59999985</v>
      </c>
      <c r="BV63" s="129">
        <v>-137681155.84999987</v>
      </c>
      <c r="BW63" s="129">
        <v>-138349051.09999985</v>
      </c>
      <c r="BX63" s="129">
        <v>-139016946.34999985</v>
      </c>
      <c r="BY63" s="129">
        <v>-139684841.59999985</v>
      </c>
      <c r="BZ63" s="129">
        <v>-140352736.84999985</v>
      </c>
      <c r="CA63" s="129">
        <v>-141020632.09999987</v>
      </c>
      <c r="CB63" s="129">
        <v>-141688527.34999987</v>
      </c>
      <c r="CC63" s="129">
        <v>-142356422.59999985</v>
      </c>
      <c r="CD63" s="129">
        <v>-143024317.84999985</v>
      </c>
      <c r="CE63" s="129">
        <v>-143692213.09999985</v>
      </c>
      <c r="CF63" s="129">
        <v>-144360108.34999985</v>
      </c>
      <c r="CG63" s="129">
        <v>-145028003.59999982</v>
      </c>
      <c r="CH63" s="129">
        <v>-145695898.84999985</v>
      </c>
      <c r="CI63" s="129">
        <v>-95571176.139999986</v>
      </c>
      <c r="CJ63" s="129">
        <v>-98654914.013846129</v>
      </c>
      <c r="CK63" s="129">
        <v>-107841334.41769227</v>
      </c>
      <c r="CL63" s="129">
        <v>-115506552.18384607</v>
      </c>
      <c r="CM63" s="129">
        <v>-123536967.02923067</v>
      </c>
      <c r="CN63" s="129">
        <v>-133605733.65615372</v>
      </c>
      <c r="CO63" s="129">
        <v>-141688527.34999987</v>
      </c>
    </row>
    <row r="64" spans="1:103" customFormat="1" ht="15" thickTop="1" x14ac:dyDescent="0.3">
      <c r="A64" s="8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90"/>
      <c r="CQ64" s="90"/>
      <c r="CR64" s="90"/>
      <c r="CS64" s="90"/>
      <c r="CT64" s="90"/>
      <c r="CU64" s="90"/>
      <c r="CV64" s="90"/>
      <c r="CW64" s="90"/>
      <c r="CX64" s="90"/>
      <c r="CY64" s="90"/>
    </row>
    <row r="65" spans="1:103" customFormat="1" x14ac:dyDescent="0.3">
      <c r="A65" s="121" t="s">
        <v>623</v>
      </c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90"/>
      <c r="CQ65" s="90"/>
      <c r="CR65" s="90"/>
      <c r="CS65" s="90"/>
      <c r="CT65" s="90"/>
      <c r="CU65" s="90"/>
      <c r="CV65" s="90"/>
      <c r="CW65" s="90"/>
      <c r="CX65" s="90"/>
      <c r="CY65" s="90"/>
    </row>
    <row r="66" spans="1:103" customFormat="1" x14ac:dyDescent="0.3">
      <c r="A66" s="81" t="s">
        <v>624</v>
      </c>
      <c r="B66" s="90"/>
      <c r="C66" s="4">
        <v>-875053.91999999993</v>
      </c>
      <c r="D66" s="4">
        <v>-875053.91999999993</v>
      </c>
      <c r="E66" s="4">
        <v>-875053.91999999993</v>
      </c>
      <c r="F66" s="4">
        <v>-875053.91999999993</v>
      </c>
      <c r="G66" s="4">
        <v>-875053.91999999993</v>
      </c>
      <c r="H66" s="4">
        <v>-875053.91999999993</v>
      </c>
      <c r="I66" s="4">
        <v>-875053.91999999993</v>
      </c>
      <c r="J66" s="4">
        <v>-875053.91999999993</v>
      </c>
      <c r="K66" s="4">
        <v>-875053.91999999993</v>
      </c>
      <c r="L66" s="4">
        <v>-875053.91999999993</v>
      </c>
      <c r="M66" s="4">
        <v>-875053.91999999993</v>
      </c>
      <c r="N66" s="4">
        <v>-875053.91999999993</v>
      </c>
      <c r="O66" s="4">
        <v>-875053.91999999993</v>
      </c>
      <c r="P66" s="4">
        <v>-875053.91999999993</v>
      </c>
      <c r="Q66" s="4">
        <v>-875053.91999999993</v>
      </c>
      <c r="R66" s="4">
        <v>-875053.91999999993</v>
      </c>
      <c r="S66" s="4">
        <v>-875053.91999999993</v>
      </c>
      <c r="T66" s="4">
        <v>-875053.91999999993</v>
      </c>
      <c r="U66" s="4">
        <v>-875053.91999999993</v>
      </c>
      <c r="V66" s="4">
        <v>-875053.91999999993</v>
      </c>
      <c r="W66" s="4">
        <v>-875053.91999999993</v>
      </c>
      <c r="X66" s="4">
        <v>-875053.91999999993</v>
      </c>
      <c r="Y66" s="4">
        <v>-875053.91999999993</v>
      </c>
      <c r="Z66" s="4">
        <v>-875053.91999999993</v>
      </c>
      <c r="AA66" s="4">
        <v>-875053.91999999993</v>
      </c>
      <c r="AB66" s="4">
        <v>-875053.91999999993</v>
      </c>
      <c r="AC66" s="4">
        <v>-875053.91999999993</v>
      </c>
      <c r="AD66" s="4">
        <v>-875053.91999999993</v>
      </c>
      <c r="AE66" s="4">
        <v>-875053.91999999993</v>
      </c>
      <c r="AF66" s="4">
        <v>-875053.91999999993</v>
      </c>
      <c r="AG66" s="4">
        <v>-875053.91999999993</v>
      </c>
      <c r="AH66" s="4">
        <v>-875053.91999999993</v>
      </c>
      <c r="AI66" s="4">
        <v>-875053.91999999993</v>
      </c>
      <c r="AJ66" s="4">
        <v>-875053.91999999993</v>
      </c>
      <c r="AK66" s="4">
        <v>-875053.91999999993</v>
      </c>
      <c r="AL66" s="4">
        <v>-875053.91999999993</v>
      </c>
      <c r="AM66" s="4">
        <v>-875053.91999999993</v>
      </c>
      <c r="AN66" s="4">
        <v>-875053.91999999993</v>
      </c>
      <c r="AO66" s="4">
        <v>-875053.91999999993</v>
      </c>
      <c r="AP66" s="4">
        <v>-875053.91999999993</v>
      </c>
      <c r="AQ66" s="4">
        <v>-875053.91999999993</v>
      </c>
      <c r="AR66" s="4">
        <v>-875053.91999999993</v>
      </c>
      <c r="AS66" s="4">
        <v>-875053.91999999993</v>
      </c>
      <c r="AT66" s="4">
        <v>-875053.91999999993</v>
      </c>
      <c r="AU66" s="4">
        <v>-875053.91999999993</v>
      </c>
      <c r="AV66" s="4">
        <v>-875053.91999999993</v>
      </c>
      <c r="AW66" s="4">
        <v>-875053.91999999993</v>
      </c>
      <c r="AX66" s="4">
        <v>-875053.91999999993</v>
      </c>
      <c r="AY66" s="4">
        <v>-875053.91999999993</v>
      </c>
      <c r="AZ66" s="4">
        <v>-875053.91999999993</v>
      </c>
      <c r="BA66" s="4">
        <v>-875053.91999999993</v>
      </c>
      <c r="BB66" s="4">
        <v>-875053.91999999993</v>
      </c>
      <c r="BC66" s="4">
        <v>-875053.91999999993</v>
      </c>
      <c r="BD66" s="4">
        <v>-875053.91999999993</v>
      </c>
      <c r="BE66" s="4">
        <v>-875053.91999999993</v>
      </c>
      <c r="BF66" s="4">
        <v>-875053.91999999993</v>
      </c>
      <c r="BG66" s="4">
        <v>-875053.91999999993</v>
      </c>
      <c r="BH66" s="4">
        <v>-875053.91999999993</v>
      </c>
      <c r="BI66" s="4">
        <v>-875053.91999999993</v>
      </c>
      <c r="BJ66" s="4">
        <v>-875053.91999999993</v>
      </c>
      <c r="BK66" s="4">
        <v>-875053.91999999993</v>
      </c>
      <c r="BL66" s="4">
        <v>-875053.91999999993</v>
      </c>
      <c r="BM66" s="4">
        <v>-875053.91999999993</v>
      </c>
      <c r="BN66" s="4">
        <v>-875053.91999999993</v>
      </c>
      <c r="BO66" s="4">
        <v>-875053.91999999993</v>
      </c>
      <c r="BP66" s="4">
        <v>-875053.91999999993</v>
      </c>
      <c r="BQ66" s="4">
        <v>-875053.91999999993</v>
      </c>
      <c r="BR66" s="4">
        <v>-875053.91999999993</v>
      </c>
      <c r="BS66" s="4">
        <v>-875053.91999999993</v>
      </c>
      <c r="BT66" s="4">
        <v>-875053.91999999993</v>
      </c>
      <c r="BU66" s="4">
        <v>-875053.91999999993</v>
      </c>
      <c r="BV66" s="4">
        <v>-875053.91999999993</v>
      </c>
      <c r="BW66" s="4">
        <v>-875053.91999999993</v>
      </c>
      <c r="BX66" s="4">
        <v>-875053.91999999993</v>
      </c>
      <c r="BY66" s="4">
        <v>-875053.91999999993</v>
      </c>
      <c r="BZ66" s="4">
        <v>-875053.91999999993</v>
      </c>
      <c r="CA66" s="4">
        <v>-875053.91999999993</v>
      </c>
      <c r="CB66" s="4">
        <v>-875053.91999999993</v>
      </c>
      <c r="CC66" s="4">
        <v>-875053.91999999993</v>
      </c>
      <c r="CD66" s="4">
        <v>-875053.91999999993</v>
      </c>
      <c r="CE66" s="4">
        <v>-875053.91999999993</v>
      </c>
      <c r="CF66" s="4">
        <v>-875053.91999999993</v>
      </c>
      <c r="CG66" s="4">
        <v>-875053.91999999993</v>
      </c>
      <c r="CH66" s="4">
        <v>-875053.91999999993</v>
      </c>
      <c r="CI66" s="4">
        <v>-10500647.039999999</v>
      </c>
      <c r="CJ66" s="4">
        <v>-10500647.039999999</v>
      </c>
      <c r="CK66" s="4">
        <v>-10500647.039999999</v>
      </c>
      <c r="CL66" s="4">
        <v>-10500647.039999999</v>
      </c>
      <c r="CM66" s="4">
        <v>-10500647.039999999</v>
      </c>
      <c r="CN66" s="4">
        <v>-10500647.039999999</v>
      </c>
      <c r="CO66" s="4">
        <v>-10500647.039999999</v>
      </c>
      <c r="CP66" s="90"/>
      <c r="CQ66" s="90"/>
      <c r="CR66" s="90"/>
      <c r="CS66" s="90"/>
      <c r="CT66" s="90"/>
      <c r="CU66" s="90"/>
      <c r="CV66" s="90"/>
      <c r="CW66" s="90"/>
      <c r="CX66" s="90"/>
      <c r="CY66" s="90"/>
    </row>
    <row r="67" spans="1:103" x14ac:dyDescent="0.3">
      <c r="A67" s="81" t="s">
        <v>625</v>
      </c>
      <c r="C67" s="4">
        <v>207158.67</v>
      </c>
      <c r="D67" s="4">
        <v>207158.67</v>
      </c>
      <c r="E67" s="4">
        <v>207158.67</v>
      </c>
      <c r="F67" s="4">
        <v>207158.67</v>
      </c>
      <c r="G67" s="4">
        <v>207158.67</v>
      </c>
      <c r="H67" s="4">
        <v>207158.67</v>
      </c>
      <c r="I67" s="4">
        <v>207158.67</v>
      </c>
      <c r="J67" s="4">
        <v>207158.67</v>
      </c>
      <c r="K67" s="4">
        <v>207158.67</v>
      </c>
      <c r="L67" s="4">
        <v>207158.67</v>
      </c>
      <c r="M67" s="4">
        <v>207158.67</v>
      </c>
      <c r="N67" s="4">
        <v>207158.67</v>
      </c>
      <c r="O67" s="4">
        <v>207158.67</v>
      </c>
      <c r="P67" s="4">
        <v>207158.67</v>
      </c>
      <c r="Q67" s="4">
        <v>207158.67</v>
      </c>
      <c r="R67" s="4">
        <v>207158.67</v>
      </c>
      <c r="S67" s="4">
        <v>207158.67</v>
      </c>
      <c r="T67" s="4">
        <v>207158.67</v>
      </c>
      <c r="U67" s="4">
        <v>207158.67</v>
      </c>
      <c r="V67" s="4">
        <v>207158.67</v>
      </c>
      <c r="W67" s="4">
        <v>207158.67</v>
      </c>
      <c r="X67" s="4">
        <v>207158.67</v>
      </c>
      <c r="Y67" s="4">
        <v>207158.67</v>
      </c>
      <c r="Z67" s="4">
        <v>207158.67</v>
      </c>
      <c r="AA67" s="4">
        <v>207158.67</v>
      </c>
      <c r="AB67" s="4">
        <v>207158.67</v>
      </c>
      <c r="AC67" s="4">
        <v>207158.67</v>
      </c>
      <c r="AD67" s="4">
        <v>207158.67</v>
      </c>
      <c r="AE67" s="4">
        <v>207158.67</v>
      </c>
      <c r="AF67" s="4">
        <v>207158.67</v>
      </c>
      <c r="AG67" s="4">
        <v>207158.67</v>
      </c>
      <c r="AH67" s="4">
        <v>207158.67</v>
      </c>
      <c r="AI67" s="4">
        <v>207158.67</v>
      </c>
      <c r="AJ67" s="4">
        <v>207158.67</v>
      </c>
      <c r="AK67" s="4">
        <v>207158.67</v>
      </c>
      <c r="AL67" s="4">
        <v>207158.67</v>
      </c>
      <c r="AM67" s="4">
        <v>207158.67</v>
      </c>
      <c r="AN67" s="4">
        <v>207158.67</v>
      </c>
      <c r="AO67" s="4">
        <v>207158.67</v>
      </c>
      <c r="AP67" s="4">
        <v>207158.67</v>
      </c>
      <c r="AQ67" s="4">
        <v>207158.67</v>
      </c>
      <c r="AR67" s="4">
        <v>207158.67</v>
      </c>
      <c r="AS67" s="4">
        <v>207158.67</v>
      </c>
      <c r="AT67" s="4">
        <v>207158.67</v>
      </c>
      <c r="AU67" s="4">
        <v>207158.67</v>
      </c>
      <c r="AV67" s="4">
        <v>207158.67</v>
      </c>
      <c r="AW67" s="4">
        <v>207158.67</v>
      </c>
      <c r="AX67" s="4">
        <v>207158.67</v>
      </c>
      <c r="AY67" s="4">
        <v>207158.67</v>
      </c>
      <c r="AZ67" s="4">
        <v>207158.67</v>
      </c>
      <c r="BA67" s="4">
        <v>207158.67</v>
      </c>
      <c r="BB67" s="4">
        <v>207158.67</v>
      </c>
      <c r="BC67" s="4">
        <v>207158.67</v>
      </c>
      <c r="BD67" s="4">
        <v>207158.67</v>
      </c>
      <c r="BE67" s="4">
        <v>207158.67</v>
      </c>
      <c r="BF67" s="4">
        <v>207158.67</v>
      </c>
      <c r="BG67" s="4">
        <v>207158.67</v>
      </c>
      <c r="BH67" s="4">
        <v>207158.67</v>
      </c>
      <c r="BI67" s="4">
        <v>207158.67</v>
      </c>
      <c r="BJ67" s="4">
        <v>207158.67</v>
      </c>
      <c r="BK67" s="4">
        <v>207158.67</v>
      </c>
      <c r="BL67" s="4">
        <v>207158.67</v>
      </c>
      <c r="BM67" s="4">
        <v>207158.67</v>
      </c>
      <c r="BN67" s="4">
        <v>207158.67</v>
      </c>
      <c r="BO67" s="4">
        <v>207158.67</v>
      </c>
      <c r="BP67" s="4">
        <v>207158.67</v>
      </c>
      <c r="BQ67" s="4">
        <v>207158.67</v>
      </c>
      <c r="BR67" s="4">
        <v>207158.67</v>
      </c>
      <c r="BS67" s="4">
        <v>207158.67</v>
      </c>
      <c r="BT67" s="4">
        <v>207158.67</v>
      </c>
      <c r="BU67" s="4">
        <v>207158.67</v>
      </c>
      <c r="BV67" s="4">
        <v>207158.67</v>
      </c>
      <c r="BW67" s="4">
        <v>207158.67</v>
      </c>
      <c r="BX67" s="4">
        <v>207158.67</v>
      </c>
      <c r="BY67" s="4">
        <v>207158.67</v>
      </c>
      <c r="BZ67" s="4">
        <v>207158.67</v>
      </c>
      <c r="CA67" s="4">
        <v>207158.67</v>
      </c>
      <c r="CB67" s="4">
        <v>207158.67</v>
      </c>
      <c r="CC67" s="4">
        <v>207158.67</v>
      </c>
      <c r="CD67" s="4">
        <v>207158.67</v>
      </c>
      <c r="CE67" s="4">
        <v>207158.67</v>
      </c>
      <c r="CF67" s="4">
        <v>207158.67</v>
      </c>
      <c r="CG67" s="4">
        <v>207158.67</v>
      </c>
      <c r="CH67" s="4">
        <v>207158.67</v>
      </c>
      <c r="CI67" s="4">
        <v>2485904.04</v>
      </c>
      <c r="CJ67" s="4">
        <v>2485904.04</v>
      </c>
      <c r="CK67" s="4">
        <v>2485904.04</v>
      </c>
      <c r="CL67" s="4">
        <v>2485904.04</v>
      </c>
      <c r="CM67" s="4">
        <v>2485904.04</v>
      </c>
      <c r="CN67" s="4">
        <v>2485904.04</v>
      </c>
      <c r="CO67" s="4">
        <v>2485904.04</v>
      </c>
    </row>
    <row r="68" spans="1:103" ht="15" thickBot="1" x14ac:dyDescent="0.35">
      <c r="A68" s="81" t="s">
        <v>25</v>
      </c>
      <c r="C68" s="127">
        <v>-667895.24999999988</v>
      </c>
      <c r="D68" s="127">
        <v>-667895.24999999988</v>
      </c>
      <c r="E68" s="127">
        <v>-667895.24999999988</v>
      </c>
      <c r="F68" s="127">
        <v>-667895.24999999988</v>
      </c>
      <c r="G68" s="127">
        <v>-667895.24999999988</v>
      </c>
      <c r="H68" s="127">
        <v>-667895.24999999988</v>
      </c>
      <c r="I68" s="127">
        <v>-667895.24999999988</v>
      </c>
      <c r="J68" s="127">
        <v>-667895.24999999988</v>
      </c>
      <c r="K68" s="127">
        <v>-667895.24999999988</v>
      </c>
      <c r="L68" s="127">
        <v>-667895.24999999988</v>
      </c>
      <c r="M68" s="127">
        <v>-667895.24999999988</v>
      </c>
      <c r="N68" s="127">
        <v>-667895.24999999988</v>
      </c>
      <c r="O68" s="127">
        <v>-667895.24999999988</v>
      </c>
      <c r="P68" s="127">
        <v>-667895.24999999988</v>
      </c>
      <c r="Q68" s="127">
        <v>-667895.24999999988</v>
      </c>
      <c r="R68" s="127">
        <v>-667895.24999999988</v>
      </c>
      <c r="S68" s="127">
        <v>-667895.24999999988</v>
      </c>
      <c r="T68" s="127">
        <v>-667895.24999999988</v>
      </c>
      <c r="U68" s="127">
        <v>-667895.24999999988</v>
      </c>
      <c r="V68" s="127">
        <v>-667895.24999999988</v>
      </c>
      <c r="W68" s="127">
        <v>-667895.24999999988</v>
      </c>
      <c r="X68" s="127">
        <v>-667895.24999999988</v>
      </c>
      <c r="Y68" s="127">
        <v>-667895.24999999988</v>
      </c>
      <c r="Z68" s="127">
        <v>-667895.24999999988</v>
      </c>
      <c r="AA68" s="127">
        <v>-667895.24999999988</v>
      </c>
      <c r="AB68" s="127">
        <v>-667895.24999999988</v>
      </c>
      <c r="AC68" s="127">
        <v>-667895.24999999988</v>
      </c>
      <c r="AD68" s="127">
        <v>-667895.24999999988</v>
      </c>
      <c r="AE68" s="127">
        <v>-667895.24999999988</v>
      </c>
      <c r="AF68" s="127">
        <v>-667895.24999999988</v>
      </c>
      <c r="AG68" s="127">
        <v>-667895.24999999988</v>
      </c>
      <c r="AH68" s="127">
        <v>-667895.24999999988</v>
      </c>
      <c r="AI68" s="127">
        <v>-667895.24999999988</v>
      </c>
      <c r="AJ68" s="127">
        <v>-667895.24999999988</v>
      </c>
      <c r="AK68" s="127">
        <v>-667895.24999999988</v>
      </c>
      <c r="AL68" s="127">
        <v>-667895.24999999988</v>
      </c>
      <c r="AM68" s="127">
        <v>-667895.24999999988</v>
      </c>
      <c r="AN68" s="127">
        <v>-667895.24999999988</v>
      </c>
      <c r="AO68" s="127">
        <v>-667895.24999999988</v>
      </c>
      <c r="AP68" s="127">
        <v>-667895.24999999988</v>
      </c>
      <c r="AQ68" s="127">
        <v>-667895.24999999988</v>
      </c>
      <c r="AR68" s="127">
        <v>-667895.24999999988</v>
      </c>
      <c r="AS68" s="127">
        <v>-667895.24999999988</v>
      </c>
      <c r="AT68" s="127">
        <v>-667895.24999999988</v>
      </c>
      <c r="AU68" s="127">
        <v>-667895.24999999988</v>
      </c>
      <c r="AV68" s="127">
        <v>-667895.24999999988</v>
      </c>
      <c r="AW68" s="127">
        <v>-667895.24999999988</v>
      </c>
      <c r="AX68" s="127">
        <v>-667895.24999999988</v>
      </c>
      <c r="AY68" s="127">
        <v>-667895.24999999988</v>
      </c>
      <c r="AZ68" s="127">
        <v>-667895.24999999988</v>
      </c>
      <c r="BA68" s="127">
        <v>-667895.24999999988</v>
      </c>
      <c r="BB68" s="127">
        <v>-667895.24999999988</v>
      </c>
      <c r="BC68" s="127">
        <v>-667895.24999999988</v>
      </c>
      <c r="BD68" s="127">
        <v>-667895.24999999988</v>
      </c>
      <c r="BE68" s="127">
        <v>-667895.24999999988</v>
      </c>
      <c r="BF68" s="127">
        <v>-667895.24999999988</v>
      </c>
      <c r="BG68" s="127">
        <v>-667895.24999999988</v>
      </c>
      <c r="BH68" s="127">
        <v>-667895.24999999988</v>
      </c>
      <c r="BI68" s="127">
        <v>-667895.24999999988</v>
      </c>
      <c r="BJ68" s="127">
        <v>-667895.24999999988</v>
      </c>
      <c r="BK68" s="127">
        <v>-667895.24999999988</v>
      </c>
      <c r="BL68" s="127">
        <v>-667895.24999999988</v>
      </c>
      <c r="BM68" s="127">
        <v>-667895.24999999988</v>
      </c>
      <c r="BN68" s="127">
        <v>-667895.24999999988</v>
      </c>
      <c r="BO68" s="127">
        <v>-667895.24999999988</v>
      </c>
      <c r="BP68" s="127">
        <v>-667895.24999999988</v>
      </c>
      <c r="BQ68" s="127">
        <v>-667895.24999999988</v>
      </c>
      <c r="BR68" s="127">
        <v>-667895.24999999988</v>
      </c>
      <c r="BS68" s="127">
        <v>-667895.24999999988</v>
      </c>
      <c r="BT68" s="127">
        <v>-667895.24999999988</v>
      </c>
      <c r="BU68" s="127">
        <v>-667895.24999999988</v>
      </c>
      <c r="BV68" s="127">
        <v>-667895.24999999988</v>
      </c>
      <c r="BW68" s="127">
        <v>-667895.24999999988</v>
      </c>
      <c r="BX68" s="127">
        <v>-667895.24999999988</v>
      </c>
      <c r="BY68" s="127">
        <v>-667895.24999999988</v>
      </c>
      <c r="BZ68" s="127">
        <v>-667895.24999999988</v>
      </c>
      <c r="CA68" s="127">
        <v>-667895.24999999988</v>
      </c>
      <c r="CB68" s="127">
        <v>-667895.24999999988</v>
      </c>
      <c r="CC68" s="127">
        <v>-667895.24999999988</v>
      </c>
      <c r="CD68" s="127">
        <v>-667895.24999999988</v>
      </c>
      <c r="CE68" s="127">
        <v>-667895.24999999988</v>
      </c>
      <c r="CF68" s="127">
        <v>-667895.24999999988</v>
      </c>
      <c r="CG68" s="127">
        <v>-667895.24999999988</v>
      </c>
      <c r="CH68" s="127">
        <v>-667895.24999999988</v>
      </c>
      <c r="CI68" s="127">
        <v>-8014742.9999999991</v>
      </c>
      <c r="CJ68" s="127">
        <v>-8014742.9999999991</v>
      </c>
      <c r="CK68" s="127">
        <v>-8014742.9999999991</v>
      </c>
      <c r="CL68" s="127">
        <v>-8014742.9999999991</v>
      </c>
      <c r="CM68" s="127">
        <v>-8014742.9999999991</v>
      </c>
      <c r="CN68" s="127">
        <v>-8014742.9999999991</v>
      </c>
      <c r="CO68" s="127">
        <v>-8014742.9999999991</v>
      </c>
    </row>
    <row r="69" spans="1:103" ht="15" thickTop="1" x14ac:dyDescent="0.3">
      <c r="A69" s="81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</row>
    <row r="70" spans="1:103" customFormat="1" x14ac:dyDescent="0.3">
      <c r="A70" s="121" t="s">
        <v>626</v>
      </c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90"/>
      <c r="CQ70" s="90"/>
      <c r="CR70" s="90"/>
      <c r="CS70" s="90"/>
      <c r="CT70" s="90"/>
      <c r="CU70" s="90"/>
      <c r="CV70" s="90"/>
      <c r="CW70" s="90"/>
      <c r="CX70" s="90"/>
      <c r="CY70" s="90"/>
    </row>
    <row r="71" spans="1:103" x14ac:dyDescent="0.3">
      <c r="A71" s="81" t="s">
        <v>622</v>
      </c>
      <c r="C71" s="4">
        <v>-177858.74999999997</v>
      </c>
      <c r="D71" s="4">
        <v>-177858.74999999997</v>
      </c>
      <c r="E71" s="4">
        <v>-177858.74999999997</v>
      </c>
      <c r="F71" s="4">
        <v>-177858.74999999997</v>
      </c>
      <c r="G71" s="4">
        <v>-177858.74999999997</v>
      </c>
      <c r="H71" s="4">
        <v>-177858.74999999997</v>
      </c>
      <c r="I71" s="4">
        <v>-177858.74999999997</v>
      </c>
      <c r="J71" s="4">
        <v>-177858.74999999997</v>
      </c>
      <c r="K71" s="4">
        <v>-177858.74999999997</v>
      </c>
      <c r="L71" s="4">
        <v>-177858.74999999997</v>
      </c>
      <c r="M71" s="4">
        <v>-177858.74999999997</v>
      </c>
      <c r="N71" s="4">
        <v>-177858.74999999997</v>
      </c>
      <c r="O71" s="4">
        <v>-177858.74999999997</v>
      </c>
      <c r="P71" s="4">
        <v>-177858.74999999997</v>
      </c>
      <c r="Q71" s="4">
        <v>-177858.74999999997</v>
      </c>
      <c r="R71" s="4">
        <v>-177858.74999999997</v>
      </c>
      <c r="S71" s="4">
        <v>-177858.74999999997</v>
      </c>
      <c r="T71" s="4">
        <v>-177858.74999999997</v>
      </c>
      <c r="U71" s="4">
        <v>-177858.74999999997</v>
      </c>
      <c r="V71" s="4">
        <v>-177858.74999999997</v>
      </c>
      <c r="W71" s="4">
        <v>-177858.74999999997</v>
      </c>
      <c r="X71" s="4">
        <v>-177858.74999999997</v>
      </c>
      <c r="Y71" s="4">
        <v>-177858.74999999997</v>
      </c>
      <c r="Z71" s="4">
        <v>-177858.74999999997</v>
      </c>
      <c r="AA71" s="4">
        <v>-177858.74999999997</v>
      </c>
      <c r="AB71" s="4">
        <v>-177858.74999999997</v>
      </c>
      <c r="AC71" s="4">
        <v>-177858.74999999997</v>
      </c>
      <c r="AD71" s="4">
        <v>-177858.74999999997</v>
      </c>
      <c r="AE71" s="4">
        <v>-177858.74999999997</v>
      </c>
      <c r="AF71" s="4">
        <v>-177858.74999999997</v>
      </c>
      <c r="AG71" s="4">
        <v>-177858.74999999997</v>
      </c>
      <c r="AH71" s="4">
        <v>-177858.74999999997</v>
      </c>
      <c r="AI71" s="4">
        <v>-177858.74999999997</v>
      </c>
      <c r="AJ71" s="4">
        <v>-177858.74999999997</v>
      </c>
      <c r="AK71" s="4">
        <v>-177858.74999999997</v>
      </c>
      <c r="AL71" s="4">
        <v>-177858.74999999997</v>
      </c>
      <c r="AM71" s="4">
        <v>-177858.74999999997</v>
      </c>
      <c r="AN71" s="4">
        <v>-177858.74999999997</v>
      </c>
      <c r="AO71" s="4">
        <v>-177858.74999999997</v>
      </c>
      <c r="AP71" s="4">
        <v>-177858.74999999997</v>
      </c>
      <c r="AQ71" s="4">
        <v>-177858.74999999997</v>
      </c>
      <c r="AR71" s="4">
        <v>-177858.74999999997</v>
      </c>
      <c r="AS71" s="4">
        <v>-177858.74999999997</v>
      </c>
      <c r="AT71" s="4">
        <v>-177858.74999999997</v>
      </c>
      <c r="AU71" s="4">
        <v>-177858.74999999997</v>
      </c>
      <c r="AV71" s="4">
        <v>-177858.74999999997</v>
      </c>
      <c r="AW71" s="4">
        <v>-177858.74999999997</v>
      </c>
      <c r="AX71" s="4">
        <v>-177858.74999999997</v>
      </c>
      <c r="AY71" s="4">
        <v>-177858.74999999997</v>
      </c>
      <c r="AZ71" s="4">
        <v>-177858.74999999997</v>
      </c>
      <c r="BA71" s="4">
        <v>-177858.74999999997</v>
      </c>
      <c r="BB71" s="4">
        <v>-177858.74999999997</v>
      </c>
      <c r="BC71" s="4">
        <v>-177858.74999999997</v>
      </c>
      <c r="BD71" s="4">
        <v>-177858.74999999997</v>
      </c>
      <c r="BE71" s="4">
        <v>-177858.74999999997</v>
      </c>
      <c r="BF71" s="4">
        <v>-177858.74999999997</v>
      </c>
      <c r="BG71" s="4">
        <v>-177858.74999999997</v>
      </c>
      <c r="BH71" s="4">
        <v>-177858.74999999997</v>
      </c>
      <c r="BI71" s="4">
        <v>-177858.74999999997</v>
      </c>
      <c r="BJ71" s="4">
        <v>-177858.74999999997</v>
      </c>
      <c r="BK71" s="4">
        <v>-177858.74999999997</v>
      </c>
      <c r="BL71" s="4">
        <v>-177858.74999999997</v>
      </c>
      <c r="BM71" s="4">
        <v>-177858.74999999997</v>
      </c>
      <c r="BN71" s="4">
        <v>-177858.74999999997</v>
      </c>
      <c r="BO71" s="4">
        <v>-177858.74999999997</v>
      </c>
      <c r="BP71" s="4">
        <v>-177858.74999999997</v>
      </c>
      <c r="BQ71" s="4">
        <v>-177858.74999999997</v>
      </c>
      <c r="BR71" s="4">
        <v>-177858.74999999997</v>
      </c>
      <c r="BS71" s="4">
        <v>-177858.74999999997</v>
      </c>
      <c r="BT71" s="4">
        <v>-177858.74999999997</v>
      </c>
      <c r="BU71" s="4">
        <v>-177858.74999999997</v>
      </c>
      <c r="BV71" s="4">
        <v>-177858.74999999997</v>
      </c>
      <c r="BW71" s="4">
        <v>-177858.74999999997</v>
      </c>
      <c r="BX71" s="4">
        <v>-177858.74999999997</v>
      </c>
      <c r="BY71" s="4">
        <v>-177858.74999999997</v>
      </c>
      <c r="BZ71" s="4">
        <v>-177858.74999999997</v>
      </c>
      <c r="CA71" s="4">
        <v>-177858.74999999997</v>
      </c>
      <c r="CB71" s="4">
        <v>-177858.74999999997</v>
      </c>
      <c r="CC71" s="4">
        <v>-177858.74999999997</v>
      </c>
      <c r="CD71" s="4">
        <v>-177858.74999999997</v>
      </c>
      <c r="CE71" s="4">
        <v>-177858.74999999997</v>
      </c>
      <c r="CF71" s="4">
        <v>-177858.74999999997</v>
      </c>
      <c r="CG71" s="4">
        <v>-177858.74999999997</v>
      </c>
      <c r="CH71" s="4">
        <v>-177858.74999999997</v>
      </c>
      <c r="CI71" s="4">
        <v>-2134305.0000000005</v>
      </c>
      <c r="CJ71" s="4">
        <v>-2134305.0000000005</v>
      </c>
      <c r="CK71" s="4">
        <v>-2134305.0000000005</v>
      </c>
      <c r="CL71" s="4">
        <v>-2134305.0000000005</v>
      </c>
      <c r="CM71" s="4">
        <v>-2134305.0000000005</v>
      </c>
      <c r="CN71" s="4">
        <v>-2134305.0000000005</v>
      </c>
      <c r="CO71" s="4">
        <v>-2134305.0000000005</v>
      </c>
    </row>
    <row r="72" spans="1:103" x14ac:dyDescent="0.3">
      <c r="A72" s="81" t="s">
        <v>615</v>
      </c>
      <c r="C72" s="4">
        <v>-490036.5</v>
      </c>
      <c r="D72" s="4">
        <v>-490036.5</v>
      </c>
      <c r="E72" s="4">
        <v>-490036.5</v>
      </c>
      <c r="F72" s="4">
        <v>-490036.5</v>
      </c>
      <c r="G72" s="4">
        <v>-490036.5</v>
      </c>
      <c r="H72" s="4">
        <v>-490036.5</v>
      </c>
      <c r="I72" s="4">
        <v>-490036.5</v>
      </c>
      <c r="J72" s="4">
        <v>-490036.5</v>
      </c>
      <c r="K72" s="4">
        <v>-490036.5</v>
      </c>
      <c r="L72" s="4">
        <v>-490036.5</v>
      </c>
      <c r="M72" s="4">
        <v>-490036.5</v>
      </c>
      <c r="N72" s="4">
        <v>-490036.5</v>
      </c>
      <c r="O72" s="4">
        <v>-490036.5</v>
      </c>
      <c r="P72" s="4">
        <v>-490036.5</v>
      </c>
      <c r="Q72" s="4">
        <v>-490036.5</v>
      </c>
      <c r="R72" s="4">
        <v>-490036.5</v>
      </c>
      <c r="S72" s="4">
        <v>-490036.5</v>
      </c>
      <c r="T72" s="4">
        <v>-490036.5</v>
      </c>
      <c r="U72" s="4">
        <v>-490036.5</v>
      </c>
      <c r="V72" s="4">
        <v>-490036.5</v>
      </c>
      <c r="W72" s="4">
        <v>-490036.5</v>
      </c>
      <c r="X72" s="4">
        <v>-490036.5</v>
      </c>
      <c r="Y72" s="4">
        <v>-490036.5</v>
      </c>
      <c r="Z72" s="4">
        <v>-490036.5</v>
      </c>
      <c r="AA72" s="4">
        <v>-490036.5</v>
      </c>
      <c r="AB72" s="4">
        <v>-490036.5</v>
      </c>
      <c r="AC72" s="4">
        <v>-490036.5</v>
      </c>
      <c r="AD72" s="4">
        <v>-490036.5</v>
      </c>
      <c r="AE72" s="4">
        <v>-490036.5</v>
      </c>
      <c r="AF72" s="4">
        <v>-490036.5</v>
      </c>
      <c r="AG72" s="4">
        <v>-490036.5</v>
      </c>
      <c r="AH72" s="4">
        <v>-490036.5</v>
      </c>
      <c r="AI72" s="4">
        <v>-490036.5</v>
      </c>
      <c r="AJ72" s="4">
        <v>-490036.5</v>
      </c>
      <c r="AK72" s="4">
        <v>-490036.5</v>
      </c>
      <c r="AL72" s="4">
        <v>-490036.5</v>
      </c>
      <c r="AM72" s="4">
        <v>-490036.5</v>
      </c>
      <c r="AN72" s="4">
        <v>-490036.5</v>
      </c>
      <c r="AO72" s="4">
        <v>-490036.5</v>
      </c>
      <c r="AP72" s="4">
        <v>-490036.5</v>
      </c>
      <c r="AQ72" s="4">
        <v>-490036.5</v>
      </c>
      <c r="AR72" s="4">
        <v>-490036.5</v>
      </c>
      <c r="AS72" s="4">
        <v>-490036.5</v>
      </c>
      <c r="AT72" s="4">
        <v>-490036.5</v>
      </c>
      <c r="AU72" s="4">
        <v>-490036.5</v>
      </c>
      <c r="AV72" s="4">
        <v>-490036.5</v>
      </c>
      <c r="AW72" s="4">
        <v>-490036.5</v>
      </c>
      <c r="AX72" s="4">
        <v>-490036.5</v>
      </c>
      <c r="AY72" s="4">
        <v>-490036.5</v>
      </c>
      <c r="AZ72" s="4">
        <v>-490036.5</v>
      </c>
      <c r="BA72" s="4">
        <v>-490036.5</v>
      </c>
      <c r="BB72" s="4">
        <v>-490036.5</v>
      </c>
      <c r="BC72" s="4">
        <v>-490036.5</v>
      </c>
      <c r="BD72" s="4">
        <v>-490036.5</v>
      </c>
      <c r="BE72" s="4">
        <v>-490036.5</v>
      </c>
      <c r="BF72" s="4">
        <v>-490036.5</v>
      </c>
      <c r="BG72" s="4">
        <v>-490036.5</v>
      </c>
      <c r="BH72" s="4">
        <v>-490036.5</v>
      </c>
      <c r="BI72" s="4">
        <v>-490036.5</v>
      </c>
      <c r="BJ72" s="4">
        <v>-490036.5</v>
      </c>
      <c r="BK72" s="4">
        <v>-490036.5</v>
      </c>
      <c r="BL72" s="4">
        <v>-490036.5</v>
      </c>
      <c r="BM72" s="4">
        <v>-490036.5</v>
      </c>
      <c r="BN72" s="4">
        <v>-490036.5</v>
      </c>
      <c r="BO72" s="4">
        <v>-490036.5</v>
      </c>
      <c r="BP72" s="4">
        <v>-490036.5</v>
      </c>
      <c r="BQ72" s="4">
        <v>-490036.5</v>
      </c>
      <c r="BR72" s="4">
        <v>-490036.5</v>
      </c>
      <c r="BS72" s="4">
        <v>-490036.5</v>
      </c>
      <c r="BT72" s="4">
        <v>-490036.5</v>
      </c>
      <c r="BU72" s="4">
        <v>-490036.5</v>
      </c>
      <c r="BV72" s="4">
        <v>-490036.5</v>
      </c>
      <c r="BW72" s="4">
        <v>-490036.5</v>
      </c>
      <c r="BX72" s="4">
        <v>-490036.5</v>
      </c>
      <c r="BY72" s="4">
        <v>-490036.5</v>
      </c>
      <c r="BZ72" s="4">
        <v>-490036.5</v>
      </c>
      <c r="CA72" s="4">
        <v>-490036.5</v>
      </c>
      <c r="CB72" s="4">
        <v>-490036.5</v>
      </c>
      <c r="CC72" s="4">
        <v>-490036.5</v>
      </c>
      <c r="CD72" s="4">
        <v>-490036.5</v>
      </c>
      <c r="CE72" s="4">
        <v>-490036.5</v>
      </c>
      <c r="CF72" s="4">
        <v>-490036.5</v>
      </c>
      <c r="CG72" s="4">
        <v>-490036.5</v>
      </c>
      <c r="CH72" s="4">
        <v>-490036.5</v>
      </c>
      <c r="CI72" s="4">
        <v>-5880438</v>
      </c>
      <c r="CJ72" s="4">
        <v>-5880438</v>
      </c>
      <c r="CK72" s="4">
        <v>-5880438</v>
      </c>
      <c r="CL72" s="4">
        <v>-5880438</v>
      </c>
      <c r="CM72" s="4">
        <v>-5880438</v>
      </c>
      <c r="CN72" s="4">
        <v>-5880438</v>
      </c>
      <c r="CO72" s="4">
        <v>-5880438</v>
      </c>
    </row>
    <row r="73" spans="1:103" ht="15" thickBot="1" x14ac:dyDescent="0.35">
      <c r="A73" s="81" t="s">
        <v>25</v>
      </c>
      <c r="C73" s="129">
        <v>-667895.25</v>
      </c>
      <c r="D73" s="129">
        <v>-667895.25</v>
      </c>
      <c r="E73" s="129">
        <v>-667895.25</v>
      </c>
      <c r="F73" s="129">
        <v>-667895.25</v>
      </c>
      <c r="G73" s="129">
        <v>-667895.25</v>
      </c>
      <c r="H73" s="129">
        <v>-667895.25</v>
      </c>
      <c r="I73" s="129">
        <v>-667895.25</v>
      </c>
      <c r="J73" s="129">
        <v>-667895.25</v>
      </c>
      <c r="K73" s="129">
        <v>-667895.25</v>
      </c>
      <c r="L73" s="129">
        <v>-667895.25</v>
      </c>
      <c r="M73" s="129">
        <v>-667895.25</v>
      </c>
      <c r="N73" s="129">
        <v>-667895.25</v>
      </c>
      <c r="O73" s="129">
        <v>-667895.25</v>
      </c>
      <c r="P73" s="129">
        <v>-667895.25</v>
      </c>
      <c r="Q73" s="129">
        <v>-667895.25</v>
      </c>
      <c r="R73" s="129">
        <v>-667895.25</v>
      </c>
      <c r="S73" s="129">
        <v>-667895.25</v>
      </c>
      <c r="T73" s="129">
        <v>-667895.25</v>
      </c>
      <c r="U73" s="129">
        <v>-667895.25</v>
      </c>
      <c r="V73" s="129">
        <v>-667895.25</v>
      </c>
      <c r="W73" s="129">
        <v>-667895.25</v>
      </c>
      <c r="X73" s="129">
        <v>-667895.25</v>
      </c>
      <c r="Y73" s="129">
        <v>-667895.25</v>
      </c>
      <c r="Z73" s="129">
        <v>-667895.25</v>
      </c>
      <c r="AA73" s="129">
        <v>-667895.25</v>
      </c>
      <c r="AB73" s="129">
        <v>-667895.25</v>
      </c>
      <c r="AC73" s="129">
        <v>-667895.25</v>
      </c>
      <c r="AD73" s="129">
        <v>-667895.25</v>
      </c>
      <c r="AE73" s="129">
        <v>-667895.25</v>
      </c>
      <c r="AF73" s="129">
        <v>-667895.25</v>
      </c>
      <c r="AG73" s="129">
        <v>-667895.25</v>
      </c>
      <c r="AH73" s="129">
        <v>-667895.25</v>
      </c>
      <c r="AI73" s="129">
        <v>-667895.25</v>
      </c>
      <c r="AJ73" s="129">
        <v>-667895.25</v>
      </c>
      <c r="AK73" s="129">
        <v>-667895.25</v>
      </c>
      <c r="AL73" s="129">
        <v>-667895.25</v>
      </c>
      <c r="AM73" s="129">
        <v>-667895.25</v>
      </c>
      <c r="AN73" s="129">
        <v>-667895.25</v>
      </c>
      <c r="AO73" s="129">
        <v>-667895.25</v>
      </c>
      <c r="AP73" s="129">
        <v>-667895.25</v>
      </c>
      <c r="AQ73" s="129">
        <v>-667895.25</v>
      </c>
      <c r="AR73" s="129">
        <v>-667895.25</v>
      </c>
      <c r="AS73" s="129">
        <v>-667895.25</v>
      </c>
      <c r="AT73" s="129">
        <v>-667895.25</v>
      </c>
      <c r="AU73" s="129">
        <v>-667895.25</v>
      </c>
      <c r="AV73" s="129">
        <v>-667895.25</v>
      </c>
      <c r="AW73" s="129">
        <v>-667895.25</v>
      </c>
      <c r="AX73" s="129">
        <v>-667895.25</v>
      </c>
      <c r="AY73" s="129">
        <v>-667895.25</v>
      </c>
      <c r="AZ73" s="129">
        <v>-667895.25</v>
      </c>
      <c r="BA73" s="129">
        <v>-667895.25</v>
      </c>
      <c r="BB73" s="129">
        <v>-667895.25</v>
      </c>
      <c r="BC73" s="129">
        <v>-667895.25</v>
      </c>
      <c r="BD73" s="129">
        <v>-667895.25</v>
      </c>
      <c r="BE73" s="129">
        <v>-667895.25</v>
      </c>
      <c r="BF73" s="129">
        <v>-667895.25</v>
      </c>
      <c r="BG73" s="129">
        <v>-667895.25</v>
      </c>
      <c r="BH73" s="129">
        <v>-667895.25</v>
      </c>
      <c r="BI73" s="129">
        <v>-667895.25</v>
      </c>
      <c r="BJ73" s="129">
        <v>-667895.25</v>
      </c>
      <c r="BK73" s="129">
        <v>-667895.25</v>
      </c>
      <c r="BL73" s="129">
        <v>-667895.25</v>
      </c>
      <c r="BM73" s="129">
        <v>-667895.25</v>
      </c>
      <c r="BN73" s="129">
        <v>-667895.25</v>
      </c>
      <c r="BO73" s="129">
        <v>-667895.25</v>
      </c>
      <c r="BP73" s="129">
        <v>-667895.25</v>
      </c>
      <c r="BQ73" s="129">
        <v>-667895.25</v>
      </c>
      <c r="BR73" s="129">
        <v>-667895.25</v>
      </c>
      <c r="BS73" s="129">
        <v>-667895.25</v>
      </c>
      <c r="BT73" s="129">
        <v>-667895.25</v>
      </c>
      <c r="BU73" s="129">
        <v>-667895.25</v>
      </c>
      <c r="BV73" s="129">
        <v>-667895.25</v>
      </c>
      <c r="BW73" s="129">
        <v>-667895.25</v>
      </c>
      <c r="BX73" s="129">
        <v>-667895.25</v>
      </c>
      <c r="BY73" s="129">
        <v>-667895.25</v>
      </c>
      <c r="BZ73" s="129">
        <v>-667895.25</v>
      </c>
      <c r="CA73" s="129">
        <v>-667895.25</v>
      </c>
      <c r="CB73" s="129">
        <v>-667895.25</v>
      </c>
      <c r="CC73" s="129">
        <v>-667895.25</v>
      </c>
      <c r="CD73" s="129">
        <v>-667895.25</v>
      </c>
      <c r="CE73" s="129">
        <v>-667895.25</v>
      </c>
      <c r="CF73" s="129">
        <v>-667895.25</v>
      </c>
      <c r="CG73" s="129">
        <v>-667895.25</v>
      </c>
      <c r="CH73" s="129">
        <v>-667895.25</v>
      </c>
      <c r="CI73" s="129">
        <v>-8014743</v>
      </c>
      <c r="CJ73" s="129">
        <v>-8014743</v>
      </c>
      <c r="CK73" s="129">
        <v>-8014743</v>
      </c>
      <c r="CL73" s="129">
        <v>-8014743</v>
      </c>
      <c r="CM73" s="129">
        <v>-8014743</v>
      </c>
      <c r="CN73" s="129">
        <v>-8014743</v>
      </c>
      <c r="CO73" s="129">
        <v>-8014743</v>
      </c>
    </row>
    <row r="74" spans="1:103" ht="15" thickTop="1" x14ac:dyDescent="0.3"/>
    <row r="75" spans="1:103" customFormat="1" x14ac:dyDescent="0.3">
      <c r="A75" s="121" t="s">
        <v>627</v>
      </c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90"/>
      <c r="CQ75" s="90"/>
      <c r="CR75" s="90"/>
      <c r="CS75" s="90"/>
      <c r="CT75" s="90"/>
      <c r="CU75" s="90"/>
      <c r="CV75" s="90"/>
      <c r="CW75" s="90"/>
      <c r="CX75" s="90"/>
      <c r="CY75" s="90"/>
    </row>
    <row r="76" spans="1:103" customFormat="1" x14ac:dyDescent="0.3">
      <c r="A76" s="81" t="s">
        <v>628</v>
      </c>
      <c r="B76" s="90"/>
      <c r="C76" s="4">
        <v>0</v>
      </c>
      <c r="D76" s="4">
        <v>0</v>
      </c>
      <c r="E76" s="4">
        <v>6243444.2699999996</v>
      </c>
      <c r="F76" s="4">
        <v>4133298.56</v>
      </c>
      <c r="G76" s="4">
        <v>14533.44</v>
      </c>
      <c r="H76" s="4">
        <v>-15091.86</v>
      </c>
      <c r="I76" s="4">
        <v>0</v>
      </c>
      <c r="J76" s="4">
        <v>53387.789999999994</v>
      </c>
      <c r="K76" s="4">
        <v>448710.52999999991</v>
      </c>
      <c r="L76" s="4">
        <v>410915.76</v>
      </c>
      <c r="M76" s="4">
        <v>598037.08000000007</v>
      </c>
      <c r="N76" s="4">
        <v>621681.23</v>
      </c>
      <c r="O76" s="4">
        <v>0</v>
      </c>
      <c r="P76" s="4">
        <v>1848241</v>
      </c>
      <c r="Q76" s="4">
        <v>1615270.77</v>
      </c>
      <c r="R76" s="4">
        <v>1846076.81</v>
      </c>
      <c r="S76" s="4">
        <v>3499920.37</v>
      </c>
      <c r="T76" s="4">
        <v>3166579.88</v>
      </c>
      <c r="U76" s="4">
        <v>3785029.9299999997</v>
      </c>
      <c r="V76" s="4">
        <v>4752630.3699999992</v>
      </c>
      <c r="W76" s="4">
        <v>3266599.2700000005</v>
      </c>
      <c r="X76" s="4">
        <v>6057926</v>
      </c>
      <c r="Y76" s="4">
        <v>5593376</v>
      </c>
      <c r="Z76" s="4">
        <v>3616085</v>
      </c>
      <c r="AA76" s="4">
        <v>2689476</v>
      </c>
      <c r="AB76" s="4">
        <v>3212276</v>
      </c>
      <c r="AC76" s="4">
        <v>2106098</v>
      </c>
      <c r="AD76" s="4">
        <v>2422389</v>
      </c>
      <c r="AE76" s="4">
        <v>2173568</v>
      </c>
      <c r="AF76" s="4">
        <v>1900000</v>
      </c>
      <c r="AG76" s="4">
        <v>997500</v>
      </c>
      <c r="AH76" s="4">
        <v>967500</v>
      </c>
      <c r="AI76" s="4">
        <v>965450</v>
      </c>
      <c r="AJ76" s="4">
        <v>1233500</v>
      </c>
      <c r="AK76" s="4">
        <v>963030</v>
      </c>
      <c r="AL76" s="4">
        <v>884499.99999999988</v>
      </c>
      <c r="AM76" s="4">
        <v>1985200.0000000002</v>
      </c>
      <c r="AN76" s="4">
        <v>1948400</v>
      </c>
      <c r="AO76" s="4">
        <v>1889900</v>
      </c>
      <c r="AP76" s="4">
        <v>1889900</v>
      </c>
      <c r="AQ76" s="4">
        <v>2330370</v>
      </c>
      <c r="AR76" s="4">
        <v>2424900</v>
      </c>
      <c r="AS76" s="4">
        <v>3610799.9999999995</v>
      </c>
      <c r="AT76" s="4">
        <v>2544900</v>
      </c>
      <c r="AU76" s="4">
        <v>3729270.0000000005</v>
      </c>
      <c r="AV76" s="4">
        <v>2694900</v>
      </c>
      <c r="AW76" s="4">
        <v>2742160</v>
      </c>
      <c r="AX76" s="4">
        <v>2457900</v>
      </c>
      <c r="AY76" s="4">
        <v>2888900</v>
      </c>
      <c r="AZ76" s="4">
        <v>2963900</v>
      </c>
      <c r="BA76" s="4">
        <v>2993900</v>
      </c>
      <c r="BB76" s="4">
        <v>3015741</v>
      </c>
      <c r="BC76" s="4">
        <v>3038900</v>
      </c>
      <c r="BD76" s="4">
        <v>2720910</v>
      </c>
      <c r="BE76" s="4">
        <v>2563900</v>
      </c>
      <c r="BF76" s="4">
        <v>2033900.0000000002</v>
      </c>
      <c r="BG76" s="4">
        <v>1722500</v>
      </c>
      <c r="BH76" s="4">
        <v>1622500</v>
      </c>
      <c r="BI76" s="4">
        <v>1137256</v>
      </c>
      <c r="BJ76" s="4">
        <v>884659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12508916.799999997</v>
      </c>
      <c r="CJ76" s="4">
        <v>39047735.399999999</v>
      </c>
      <c r="CK76" s="4">
        <v>20515287</v>
      </c>
      <c r="CL76" s="4">
        <v>30248600.000000004</v>
      </c>
      <c r="CM76" s="4">
        <v>27586966</v>
      </c>
      <c r="CN76" s="4">
        <v>0</v>
      </c>
      <c r="CO76" s="4">
        <v>0</v>
      </c>
      <c r="CP76" s="90"/>
      <c r="CQ76" s="90"/>
      <c r="CR76" s="90"/>
      <c r="CS76" s="90"/>
      <c r="CT76" s="90"/>
      <c r="CU76" s="90"/>
      <c r="CV76" s="90"/>
      <c r="CW76" s="90"/>
      <c r="CX76" s="90"/>
      <c r="CY76" s="90"/>
    </row>
    <row r="77" spans="1:103" x14ac:dyDescent="0.3">
      <c r="A77" s="81" t="s">
        <v>629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-1050.21</v>
      </c>
      <c r="O77" s="4">
        <v>0</v>
      </c>
      <c r="P77" s="4">
        <v>-14741.84</v>
      </c>
      <c r="Q77" s="4">
        <v>-30534.519999999997</v>
      </c>
      <c r="R77" s="4">
        <v>0</v>
      </c>
      <c r="S77" s="4">
        <v>-37713.230000000003</v>
      </c>
      <c r="T77" s="4">
        <v>-40155.5</v>
      </c>
      <c r="U77" s="4">
        <v>0</v>
      </c>
      <c r="V77" s="4">
        <v>-114081.35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-1050.21</v>
      </c>
      <c r="CJ77" s="4">
        <v>-237226.44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</row>
    <row r="78" spans="1:103" ht="15" thickBot="1" x14ac:dyDescent="0.35">
      <c r="A78" s="81" t="s">
        <v>25</v>
      </c>
      <c r="C78" s="127">
        <v>0</v>
      </c>
      <c r="D78" s="127">
        <v>0</v>
      </c>
      <c r="E78" s="127">
        <v>6243444.2699999996</v>
      </c>
      <c r="F78" s="127">
        <v>4133298.56</v>
      </c>
      <c r="G78" s="127">
        <v>14533.44</v>
      </c>
      <c r="H78" s="127">
        <v>-15091.86</v>
      </c>
      <c r="I78" s="127">
        <v>0</v>
      </c>
      <c r="J78" s="127">
        <v>53387.789999999994</v>
      </c>
      <c r="K78" s="127">
        <v>448710.52999999991</v>
      </c>
      <c r="L78" s="127">
        <v>410915.76</v>
      </c>
      <c r="M78" s="127">
        <v>598037.08000000007</v>
      </c>
      <c r="N78" s="127">
        <v>620631.02</v>
      </c>
      <c r="O78" s="127">
        <v>0</v>
      </c>
      <c r="P78" s="127">
        <v>1833499.16</v>
      </c>
      <c r="Q78" s="127">
        <v>1584736.25</v>
      </c>
      <c r="R78" s="127">
        <v>1846076.81</v>
      </c>
      <c r="S78" s="127">
        <v>3462207.14</v>
      </c>
      <c r="T78" s="127">
        <v>3126424.38</v>
      </c>
      <c r="U78" s="127">
        <v>3785029.9299999997</v>
      </c>
      <c r="V78" s="127">
        <v>4638549.0199999996</v>
      </c>
      <c r="W78" s="127">
        <v>3266599.2700000005</v>
      </c>
      <c r="X78" s="127">
        <v>6057926</v>
      </c>
      <c r="Y78" s="127">
        <v>5593376</v>
      </c>
      <c r="Z78" s="127">
        <v>3616085</v>
      </c>
      <c r="AA78" s="127">
        <v>2689476</v>
      </c>
      <c r="AB78" s="127">
        <v>3212276</v>
      </c>
      <c r="AC78" s="127">
        <v>2106098</v>
      </c>
      <c r="AD78" s="127">
        <v>2422389</v>
      </c>
      <c r="AE78" s="127">
        <v>2173568</v>
      </c>
      <c r="AF78" s="127">
        <v>1900000</v>
      </c>
      <c r="AG78" s="127">
        <v>997500</v>
      </c>
      <c r="AH78" s="127">
        <v>967500</v>
      </c>
      <c r="AI78" s="127">
        <v>965450</v>
      </c>
      <c r="AJ78" s="127">
        <v>1233500</v>
      </c>
      <c r="AK78" s="127">
        <v>963030</v>
      </c>
      <c r="AL78" s="127">
        <v>884499.99999999988</v>
      </c>
      <c r="AM78" s="127">
        <v>1985200.0000000002</v>
      </c>
      <c r="AN78" s="127">
        <v>1948400</v>
      </c>
      <c r="AO78" s="127">
        <v>1889900</v>
      </c>
      <c r="AP78" s="127">
        <v>1889900</v>
      </c>
      <c r="AQ78" s="127">
        <v>2330370</v>
      </c>
      <c r="AR78" s="127">
        <v>2424900</v>
      </c>
      <c r="AS78" s="127">
        <v>3610799.9999999995</v>
      </c>
      <c r="AT78" s="127">
        <v>2544900</v>
      </c>
      <c r="AU78" s="127">
        <v>3729270.0000000005</v>
      </c>
      <c r="AV78" s="127">
        <v>2694900</v>
      </c>
      <c r="AW78" s="127">
        <v>2742160</v>
      </c>
      <c r="AX78" s="127">
        <v>2457900</v>
      </c>
      <c r="AY78" s="127">
        <v>2888900</v>
      </c>
      <c r="AZ78" s="127">
        <v>2963900</v>
      </c>
      <c r="BA78" s="127">
        <v>2993900</v>
      </c>
      <c r="BB78" s="127">
        <v>3015741</v>
      </c>
      <c r="BC78" s="127">
        <v>3038900</v>
      </c>
      <c r="BD78" s="127">
        <v>2720910</v>
      </c>
      <c r="BE78" s="127">
        <v>2563900</v>
      </c>
      <c r="BF78" s="127">
        <v>2033900.0000000002</v>
      </c>
      <c r="BG78" s="127">
        <v>1722500</v>
      </c>
      <c r="BH78" s="127">
        <v>1622500</v>
      </c>
      <c r="BI78" s="127">
        <v>1137256</v>
      </c>
      <c r="BJ78" s="127">
        <v>884659</v>
      </c>
      <c r="BK78" s="127">
        <v>0</v>
      </c>
      <c r="BL78" s="127">
        <v>0</v>
      </c>
      <c r="BM78" s="127">
        <v>0</v>
      </c>
      <c r="BN78" s="127">
        <v>0</v>
      </c>
      <c r="BO78" s="127">
        <v>0</v>
      </c>
      <c r="BP78" s="127">
        <v>0</v>
      </c>
      <c r="BQ78" s="127">
        <v>0</v>
      </c>
      <c r="BR78" s="127">
        <v>0</v>
      </c>
      <c r="BS78" s="127">
        <v>0</v>
      </c>
      <c r="BT78" s="127">
        <v>0</v>
      </c>
      <c r="BU78" s="127">
        <v>0</v>
      </c>
      <c r="BV78" s="127">
        <v>0</v>
      </c>
      <c r="BW78" s="127">
        <v>0</v>
      </c>
      <c r="BX78" s="127">
        <v>0</v>
      </c>
      <c r="BY78" s="127">
        <v>0</v>
      </c>
      <c r="BZ78" s="127">
        <v>0</v>
      </c>
      <c r="CA78" s="127">
        <v>0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0</v>
      </c>
      <c r="CI78" s="127">
        <v>12507866.589999996</v>
      </c>
      <c r="CJ78" s="127">
        <v>38810508.960000001</v>
      </c>
      <c r="CK78" s="127">
        <v>20515287</v>
      </c>
      <c r="CL78" s="127">
        <v>30248600.000000004</v>
      </c>
      <c r="CM78" s="127">
        <v>27586966</v>
      </c>
      <c r="CN78" s="127">
        <v>0</v>
      </c>
      <c r="CO78" s="127">
        <v>0</v>
      </c>
    </row>
    <row r="79" spans="1:103" ht="15" thickTop="1" x14ac:dyDescent="0.3">
      <c r="A79" s="81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</row>
    <row r="80" spans="1:103" customFormat="1" x14ac:dyDescent="0.3">
      <c r="A80" s="121" t="s">
        <v>630</v>
      </c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90"/>
      <c r="CQ80" s="90"/>
      <c r="CR80" s="90"/>
      <c r="CS80" s="90"/>
      <c r="CT80" s="90"/>
      <c r="CU80" s="90"/>
      <c r="CV80" s="90"/>
      <c r="CW80" s="90"/>
      <c r="CX80" s="90"/>
      <c r="CY80" s="90"/>
    </row>
    <row r="81" spans="1:103" x14ac:dyDescent="0.3">
      <c r="A81" s="81" t="s">
        <v>622</v>
      </c>
      <c r="C81" s="4">
        <v>0</v>
      </c>
      <c r="D81" s="4">
        <v>0</v>
      </c>
      <c r="E81" s="4">
        <v>6243444.2699999996</v>
      </c>
      <c r="F81" s="4">
        <v>4133298.56</v>
      </c>
      <c r="G81" s="4">
        <v>14533.44</v>
      </c>
      <c r="H81" s="4">
        <v>-15091.86</v>
      </c>
      <c r="I81" s="4">
        <v>0</v>
      </c>
      <c r="J81" s="4">
        <v>53387.789999999994</v>
      </c>
      <c r="K81" s="4">
        <v>448710.52999999991</v>
      </c>
      <c r="L81" s="4">
        <v>410915.76</v>
      </c>
      <c r="M81" s="4">
        <v>598037.08000000007</v>
      </c>
      <c r="N81" s="4">
        <v>620631.02</v>
      </c>
      <c r="O81" s="4">
        <v>0</v>
      </c>
      <c r="P81" s="4">
        <v>1833499.16</v>
      </c>
      <c r="Q81" s="4">
        <v>1584736.25</v>
      </c>
      <c r="R81" s="4">
        <v>1846076.81</v>
      </c>
      <c r="S81" s="4">
        <v>3462207.14</v>
      </c>
      <c r="T81" s="4">
        <v>3126424.38</v>
      </c>
      <c r="U81" s="4">
        <v>3785029.9299999997</v>
      </c>
      <c r="V81" s="4">
        <v>4638549.0199999996</v>
      </c>
      <c r="W81" s="4">
        <v>3266599.2700000005</v>
      </c>
      <c r="X81" s="4">
        <v>6057926</v>
      </c>
      <c r="Y81" s="4">
        <v>5593376</v>
      </c>
      <c r="Z81" s="4">
        <v>3616085</v>
      </c>
      <c r="AA81" s="4">
        <v>2689476</v>
      </c>
      <c r="AB81" s="4">
        <v>3212276</v>
      </c>
      <c r="AC81" s="4">
        <v>2106098</v>
      </c>
      <c r="AD81" s="4">
        <v>2422389</v>
      </c>
      <c r="AE81" s="4">
        <v>2173568</v>
      </c>
      <c r="AF81" s="4">
        <v>1900000</v>
      </c>
      <c r="AG81" s="4">
        <v>997500</v>
      </c>
      <c r="AH81" s="4">
        <v>967500</v>
      </c>
      <c r="AI81" s="4">
        <v>965450</v>
      </c>
      <c r="AJ81" s="4">
        <v>1233500</v>
      </c>
      <c r="AK81" s="4">
        <v>963030</v>
      </c>
      <c r="AL81" s="4">
        <v>884499.99999999988</v>
      </c>
      <c r="AM81" s="4">
        <v>1985200.0000000002</v>
      </c>
      <c r="AN81" s="4">
        <v>1948400</v>
      </c>
      <c r="AO81" s="4">
        <v>1889900</v>
      </c>
      <c r="AP81" s="4">
        <v>1889900</v>
      </c>
      <c r="AQ81" s="4">
        <v>2330370</v>
      </c>
      <c r="AR81" s="4">
        <v>2424900</v>
      </c>
      <c r="AS81" s="4">
        <v>3610799.9999999995</v>
      </c>
      <c r="AT81" s="4">
        <v>2544900</v>
      </c>
      <c r="AU81" s="4">
        <v>3729270.0000000005</v>
      </c>
      <c r="AV81" s="4">
        <v>2694900</v>
      </c>
      <c r="AW81" s="4">
        <v>2742160</v>
      </c>
      <c r="AX81" s="4">
        <v>2457900</v>
      </c>
      <c r="AY81" s="4">
        <v>2888900</v>
      </c>
      <c r="AZ81" s="4">
        <v>2963900</v>
      </c>
      <c r="BA81" s="4">
        <v>2993900</v>
      </c>
      <c r="BB81" s="4">
        <v>3015741</v>
      </c>
      <c r="BC81" s="4">
        <v>3038900</v>
      </c>
      <c r="BD81" s="4">
        <v>2720910</v>
      </c>
      <c r="BE81" s="4">
        <v>2563900</v>
      </c>
      <c r="BF81" s="4">
        <v>2033900.0000000002</v>
      </c>
      <c r="BG81" s="4">
        <v>1722500</v>
      </c>
      <c r="BH81" s="4">
        <v>1622500</v>
      </c>
      <c r="BI81" s="4">
        <v>1137256</v>
      </c>
      <c r="BJ81" s="4">
        <v>884659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12507866.589999996</v>
      </c>
      <c r="CJ81" s="4">
        <v>38810508.960000001</v>
      </c>
      <c r="CK81" s="4">
        <v>20515287</v>
      </c>
      <c r="CL81" s="4">
        <v>30248600.000000004</v>
      </c>
      <c r="CM81" s="4">
        <v>27586966</v>
      </c>
      <c r="CN81" s="4">
        <v>0</v>
      </c>
      <c r="CO81" s="4">
        <v>0</v>
      </c>
    </row>
    <row r="82" spans="1:103" x14ac:dyDescent="0.3">
      <c r="A82" s="81" t="s">
        <v>615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</row>
    <row r="83" spans="1:103" ht="15" thickBot="1" x14ac:dyDescent="0.35">
      <c r="A83" s="81" t="s">
        <v>25</v>
      </c>
      <c r="C83" s="129">
        <v>0</v>
      </c>
      <c r="D83" s="129">
        <v>0</v>
      </c>
      <c r="E83" s="129">
        <v>6243444.2699999996</v>
      </c>
      <c r="F83" s="129">
        <v>4133298.56</v>
      </c>
      <c r="G83" s="129">
        <v>14533.44</v>
      </c>
      <c r="H83" s="129">
        <v>-15091.86</v>
      </c>
      <c r="I83" s="129">
        <v>0</v>
      </c>
      <c r="J83" s="129">
        <v>53387.789999999994</v>
      </c>
      <c r="K83" s="129">
        <v>448710.52999999991</v>
      </c>
      <c r="L83" s="129">
        <v>410915.76</v>
      </c>
      <c r="M83" s="129">
        <v>598037.08000000007</v>
      </c>
      <c r="N83" s="129">
        <v>620631.02</v>
      </c>
      <c r="O83" s="129">
        <v>0</v>
      </c>
      <c r="P83" s="129">
        <v>1833499.16</v>
      </c>
      <c r="Q83" s="129">
        <v>1584736.25</v>
      </c>
      <c r="R83" s="129">
        <v>1846076.81</v>
      </c>
      <c r="S83" s="129">
        <v>3462207.14</v>
      </c>
      <c r="T83" s="129">
        <v>3126424.38</v>
      </c>
      <c r="U83" s="129">
        <v>3785029.9299999997</v>
      </c>
      <c r="V83" s="129">
        <v>4638549.0199999996</v>
      </c>
      <c r="W83" s="129">
        <v>3266599.2700000005</v>
      </c>
      <c r="X83" s="129">
        <v>6057926</v>
      </c>
      <c r="Y83" s="129">
        <v>5593376</v>
      </c>
      <c r="Z83" s="129">
        <v>3616085</v>
      </c>
      <c r="AA83" s="129">
        <v>2689476</v>
      </c>
      <c r="AB83" s="129">
        <v>3212276</v>
      </c>
      <c r="AC83" s="129">
        <v>2106098</v>
      </c>
      <c r="AD83" s="129">
        <v>2422389</v>
      </c>
      <c r="AE83" s="129">
        <v>2173568</v>
      </c>
      <c r="AF83" s="129">
        <v>1900000</v>
      </c>
      <c r="AG83" s="129">
        <v>997500</v>
      </c>
      <c r="AH83" s="129">
        <v>967500</v>
      </c>
      <c r="AI83" s="129">
        <v>965450</v>
      </c>
      <c r="AJ83" s="129">
        <v>1233500</v>
      </c>
      <c r="AK83" s="129">
        <v>963030</v>
      </c>
      <c r="AL83" s="129">
        <v>884499.99999999988</v>
      </c>
      <c r="AM83" s="129">
        <v>1985200.0000000002</v>
      </c>
      <c r="AN83" s="129">
        <v>1948400</v>
      </c>
      <c r="AO83" s="129">
        <v>1889900</v>
      </c>
      <c r="AP83" s="129">
        <v>1889900</v>
      </c>
      <c r="AQ83" s="129">
        <v>2330370</v>
      </c>
      <c r="AR83" s="129">
        <v>2424900</v>
      </c>
      <c r="AS83" s="129">
        <v>3610799.9999999995</v>
      </c>
      <c r="AT83" s="129">
        <v>2544900</v>
      </c>
      <c r="AU83" s="129">
        <v>3729270.0000000005</v>
      </c>
      <c r="AV83" s="129">
        <v>2694900</v>
      </c>
      <c r="AW83" s="129">
        <v>2742160</v>
      </c>
      <c r="AX83" s="129">
        <v>2457900</v>
      </c>
      <c r="AY83" s="129">
        <v>2888900</v>
      </c>
      <c r="AZ83" s="129">
        <v>2963900</v>
      </c>
      <c r="BA83" s="129">
        <v>2993900</v>
      </c>
      <c r="BB83" s="129">
        <v>3015741</v>
      </c>
      <c r="BC83" s="129">
        <v>3038900</v>
      </c>
      <c r="BD83" s="129">
        <v>2720910</v>
      </c>
      <c r="BE83" s="129">
        <v>2563900</v>
      </c>
      <c r="BF83" s="129">
        <v>2033900.0000000002</v>
      </c>
      <c r="BG83" s="129">
        <v>1722500</v>
      </c>
      <c r="BH83" s="129">
        <v>1622500</v>
      </c>
      <c r="BI83" s="129">
        <v>1137256</v>
      </c>
      <c r="BJ83" s="129">
        <v>884659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>
        <v>0</v>
      </c>
      <c r="CB83" s="129">
        <v>0</v>
      </c>
      <c r="CC83" s="129">
        <v>0</v>
      </c>
      <c r="CD83" s="129">
        <v>0</v>
      </c>
      <c r="CE83" s="129">
        <v>0</v>
      </c>
      <c r="CF83" s="129">
        <v>0</v>
      </c>
      <c r="CG83" s="129">
        <v>0</v>
      </c>
      <c r="CH83" s="129">
        <v>0</v>
      </c>
      <c r="CI83" s="129">
        <v>12507866.589999996</v>
      </c>
      <c r="CJ83" s="129">
        <v>38810508.960000001</v>
      </c>
      <c r="CK83" s="129">
        <v>20515287</v>
      </c>
      <c r="CL83" s="129">
        <v>30248600.000000004</v>
      </c>
      <c r="CM83" s="129">
        <v>27586966</v>
      </c>
      <c r="CN83" s="129">
        <v>0</v>
      </c>
      <c r="CO83" s="129">
        <v>0</v>
      </c>
    </row>
    <row r="84" spans="1:103" ht="15" thickTop="1" x14ac:dyDescent="0.3"/>
    <row r="85" spans="1:103" customFormat="1" x14ac:dyDescent="0.3">
      <c r="A85" s="121" t="s">
        <v>631</v>
      </c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90"/>
      <c r="CQ85" s="90"/>
      <c r="CR85" s="90"/>
      <c r="CS85" s="90"/>
      <c r="CT85" s="90"/>
      <c r="CU85" s="90"/>
      <c r="CV85" s="90"/>
      <c r="CW85" s="90"/>
      <c r="CX85" s="90"/>
      <c r="CY85" s="90"/>
    </row>
    <row r="86" spans="1:103" customFormat="1" x14ac:dyDescent="0.3">
      <c r="A86" s="81" t="s">
        <v>632</v>
      </c>
      <c r="B86" s="90"/>
      <c r="C86" s="4">
        <v>0</v>
      </c>
      <c r="D86" s="4">
        <v>0</v>
      </c>
      <c r="E86" s="4">
        <v>0</v>
      </c>
      <c r="F86" s="4">
        <v>-2139256.0099999998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-723808.52000000142</v>
      </c>
      <c r="M86" s="4">
        <v>-307631.48</v>
      </c>
      <c r="N86" s="4">
        <v>-414552.55999999959</v>
      </c>
      <c r="O86" s="4">
        <v>-620631.02</v>
      </c>
      <c r="P86" s="4">
        <v>-952461.74</v>
      </c>
      <c r="Q86" s="4">
        <v>-881037.40999999992</v>
      </c>
      <c r="R86" s="4">
        <v>-1584736.25</v>
      </c>
      <c r="S86" s="4">
        <v>-1846076.8199999994</v>
      </c>
      <c r="T86" s="4">
        <v>-3462207.1400000006</v>
      </c>
      <c r="U86" s="4">
        <v>-3126424.38</v>
      </c>
      <c r="V86" s="4">
        <v>-3785029.9299999997</v>
      </c>
      <c r="W86" s="4">
        <v>-4638549.0200000005</v>
      </c>
      <c r="X86" s="4">
        <v>-3266599.28</v>
      </c>
      <c r="Y86" s="4">
        <v>-6057925.9900000002</v>
      </c>
      <c r="Z86" s="4">
        <v>-5593376.0099999998</v>
      </c>
      <c r="AA86" s="4">
        <v>-3616084.99</v>
      </c>
      <c r="AB86" s="4">
        <v>-2689476.01</v>
      </c>
      <c r="AC86" s="4">
        <v>-3212275.99</v>
      </c>
      <c r="AD86" s="4">
        <v>-2106097.9899999998</v>
      </c>
      <c r="AE86" s="4">
        <v>-2422389</v>
      </c>
      <c r="AF86" s="4">
        <v>-2173568.02</v>
      </c>
      <c r="AG86" s="4">
        <v>-1900000</v>
      </c>
      <c r="AH86" s="4">
        <v>-997499.98</v>
      </c>
      <c r="AI86" s="4">
        <v>-967500.02</v>
      </c>
      <c r="AJ86" s="4">
        <v>-965450</v>
      </c>
      <c r="AK86" s="4">
        <v>-1233499.98</v>
      </c>
      <c r="AL86" s="4">
        <v>-1847530</v>
      </c>
      <c r="AM86" s="4">
        <v>0</v>
      </c>
      <c r="AN86" s="4">
        <v>-1985200.01</v>
      </c>
      <c r="AO86" s="4">
        <v>-1948400</v>
      </c>
      <c r="AP86" s="4">
        <v>-1889900</v>
      </c>
      <c r="AQ86" s="4">
        <v>-1889900</v>
      </c>
      <c r="AR86" s="4">
        <v>-2330370.0100000002</v>
      </c>
      <c r="AS86" s="4">
        <v>-2424899.98</v>
      </c>
      <c r="AT86" s="4">
        <v>-3610800.01</v>
      </c>
      <c r="AU86" s="4">
        <v>-2544900.0100000002</v>
      </c>
      <c r="AV86" s="4">
        <v>-3729269.99</v>
      </c>
      <c r="AW86" s="4">
        <v>-2694899.9899999998</v>
      </c>
      <c r="AX86" s="4">
        <v>-5200060</v>
      </c>
      <c r="AY86" s="4">
        <v>0</v>
      </c>
      <c r="AZ86" s="4">
        <v>-2888900.02</v>
      </c>
      <c r="BA86" s="4">
        <v>-2963899.99</v>
      </c>
      <c r="BB86" s="4">
        <v>-2993899.99</v>
      </c>
      <c r="BC86" s="4">
        <v>-3015741.02</v>
      </c>
      <c r="BD86" s="4">
        <v>-3038899.99</v>
      </c>
      <c r="BE86" s="4">
        <v>-2720909.99</v>
      </c>
      <c r="BF86" s="4">
        <v>-2563900.02</v>
      </c>
      <c r="BG86" s="4">
        <v>-2033899.98</v>
      </c>
      <c r="BH86" s="4">
        <v>-1722500.0100000002</v>
      </c>
      <c r="BI86" s="4">
        <v>-1622499.9899999998</v>
      </c>
      <c r="BJ86" s="4">
        <v>-1137256</v>
      </c>
      <c r="BK86" s="4">
        <v>-884659.02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-3585248.5700000008</v>
      </c>
      <c r="CJ86" s="4">
        <v>-35815054.990000002</v>
      </c>
      <c r="CK86" s="4">
        <v>-24131371.98</v>
      </c>
      <c r="CL86" s="4">
        <v>-30248600</v>
      </c>
      <c r="CM86" s="4">
        <v>-26702307</v>
      </c>
      <c r="CN86" s="4">
        <v>-884659.02</v>
      </c>
      <c r="CO86" s="4">
        <v>0</v>
      </c>
      <c r="CP86" s="90"/>
      <c r="CQ86" s="90"/>
      <c r="CR86" s="90"/>
      <c r="CS86" s="90"/>
      <c r="CT86" s="90"/>
      <c r="CU86" s="90"/>
      <c r="CV86" s="90"/>
      <c r="CW86" s="90"/>
      <c r="CX86" s="90"/>
      <c r="CY86" s="90"/>
    </row>
    <row r="87" spans="1:103" x14ac:dyDescent="0.3">
      <c r="A87" s="81" t="s">
        <v>633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</row>
    <row r="88" spans="1:103" ht="15" thickBot="1" x14ac:dyDescent="0.35">
      <c r="A88" s="81" t="s">
        <v>25</v>
      </c>
      <c r="C88" s="127">
        <v>0</v>
      </c>
      <c r="D88" s="127">
        <v>0</v>
      </c>
      <c r="E88" s="127">
        <v>0</v>
      </c>
      <c r="F88" s="127">
        <v>-2139256.0099999998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-723808.52000000142</v>
      </c>
      <c r="M88" s="127">
        <v>-307631.48</v>
      </c>
      <c r="N88" s="127">
        <v>-414552.55999999959</v>
      </c>
      <c r="O88" s="127">
        <v>-620631.02</v>
      </c>
      <c r="P88" s="127">
        <v>-952461.74</v>
      </c>
      <c r="Q88" s="127">
        <v>-881037.40999999992</v>
      </c>
      <c r="R88" s="127">
        <v>-1584736.25</v>
      </c>
      <c r="S88" s="127">
        <v>-1846076.8199999994</v>
      </c>
      <c r="T88" s="127">
        <v>-3462207.1400000006</v>
      </c>
      <c r="U88" s="127">
        <v>-3126424.38</v>
      </c>
      <c r="V88" s="127">
        <v>-3785029.9299999997</v>
      </c>
      <c r="W88" s="127">
        <v>-4638549.0200000005</v>
      </c>
      <c r="X88" s="127">
        <v>-3266599.28</v>
      </c>
      <c r="Y88" s="127">
        <v>-6057925.9900000002</v>
      </c>
      <c r="Z88" s="127">
        <v>-5593376.0099999998</v>
      </c>
      <c r="AA88" s="127">
        <v>-3616084.99</v>
      </c>
      <c r="AB88" s="127">
        <v>-2689476.01</v>
      </c>
      <c r="AC88" s="127">
        <v>-3212275.99</v>
      </c>
      <c r="AD88" s="127">
        <v>-2106097.9899999998</v>
      </c>
      <c r="AE88" s="127">
        <v>-2422389</v>
      </c>
      <c r="AF88" s="127">
        <v>-2173568.02</v>
      </c>
      <c r="AG88" s="127">
        <v>-1900000</v>
      </c>
      <c r="AH88" s="127">
        <v>-997499.98</v>
      </c>
      <c r="AI88" s="127">
        <v>-967500.02</v>
      </c>
      <c r="AJ88" s="127">
        <v>-965450</v>
      </c>
      <c r="AK88" s="127">
        <v>-1233499.98</v>
      </c>
      <c r="AL88" s="127">
        <v>-1847530</v>
      </c>
      <c r="AM88" s="127">
        <v>0</v>
      </c>
      <c r="AN88" s="127">
        <v>-1985200.01</v>
      </c>
      <c r="AO88" s="127">
        <v>-1948400</v>
      </c>
      <c r="AP88" s="127">
        <v>-1889900</v>
      </c>
      <c r="AQ88" s="127">
        <v>-1889900</v>
      </c>
      <c r="AR88" s="127">
        <v>-2330370.0100000002</v>
      </c>
      <c r="AS88" s="127">
        <v>-2424899.98</v>
      </c>
      <c r="AT88" s="127">
        <v>-3610800.01</v>
      </c>
      <c r="AU88" s="127">
        <v>-2544900.0100000002</v>
      </c>
      <c r="AV88" s="127">
        <v>-3729269.99</v>
      </c>
      <c r="AW88" s="127">
        <v>-2694899.9899999998</v>
      </c>
      <c r="AX88" s="127">
        <v>-5200060</v>
      </c>
      <c r="AY88" s="127">
        <v>0</v>
      </c>
      <c r="AZ88" s="127">
        <v>-2888900.02</v>
      </c>
      <c r="BA88" s="127">
        <v>-2963899.99</v>
      </c>
      <c r="BB88" s="127">
        <v>-2993899.99</v>
      </c>
      <c r="BC88" s="127">
        <v>-3015741.02</v>
      </c>
      <c r="BD88" s="127">
        <v>-3038899.99</v>
      </c>
      <c r="BE88" s="127">
        <v>-2720909.99</v>
      </c>
      <c r="BF88" s="127">
        <v>-2563900.02</v>
      </c>
      <c r="BG88" s="127">
        <v>-2033899.98</v>
      </c>
      <c r="BH88" s="127">
        <v>-1722500.0100000002</v>
      </c>
      <c r="BI88" s="127">
        <v>-1622499.9899999998</v>
      </c>
      <c r="BJ88" s="127">
        <v>-1137256</v>
      </c>
      <c r="BK88" s="127">
        <v>-884659.02</v>
      </c>
      <c r="BL88" s="127">
        <v>0</v>
      </c>
      <c r="BM88" s="127">
        <v>0</v>
      </c>
      <c r="BN88" s="127">
        <v>0</v>
      </c>
      <c r="BO88" s="127">
        <v>0</v>
      </c>
      <c r="BP88" s="127">
        <v>0</v>
      </c>
      <c r="BQ88" s="127">
        <v>0</v>
      </c>
      <c r="BR88" s="127">
        <v>0</v>
      </c>
      <c r="BS88" s="127">
        <v>0</v>
      </c>
      <c r="BT88" s="127">
        <v>0</v>
      </c>
      <c r="BU88" s="127">
        <v>0</v>
      </c>
      <c r="BV88" s="127">
        <v>0</v>
      </c>
      <c r="BW88" s="127">
        <v>0</v>
      </c>
      <c r="BX88" s="127">
        <v>0</v>
      </c>
      <c r="BY88" s="127">
        <v>0</v>
      </c>
      <c r="BZ88" s="127">
        <v>0</v>
      </c>
      <c r="CA88" s="127">
        <v>0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127">
        <v>0</v>
      </c>
      <c r="CH88" s="127">
        <v>0</v>
      </c>
      <c r="CI88" s="127">
        <v>-3585248.5700000008</v>
      </c>
      <c r="CJ88" s="127">
        <v>-35815054.990000002</v>
      </c>
      <c r="CK88" s="127">
        <v>-24131371.98</v>
      </c>
      <c r="CL88" s="127">
        <v>-30248600</v>
      </c>
      <c r="CM88" s="127">
        <v>-26702307</v>
      </c>
      <c r="CN88" s="127">
        <v>-884659.02</v>
      </c>
      <c r="CO88" s="127">
        <v>0</v>
      </c>
    </row>
    <row r="89" spans="1:103" ht="15" thickTop="1" x14ac:dyDescent="0.3">
      <c r="A89" s="81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</row>
    <row r="90" spans="1:103" customFormat="1" x14ac:dyDescent="0.3">
      <c r="A90" s="121" t="s">
        <v>634</v>
      </c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123"/>
      <c r="CF90" s="123"/>
      <c r="CG90" s="123"/>
      <c r="CH90" s="123"/>
      <c r="CI90" s="123"/>
      <c r="CJ90" s="123"/>
      <c r="CK90" s="123"/>
      <c r="CL90" s="123"/>
      <c r="CM90" s="123"/>
      <c r="CN90" s="123"/>
      <c r="CO90" s="123"/>
      <c r="CP90" s="90"/>
      <c r="CQ90" s="90"/>
      <c r="CR90" s="90"/>
      <c r="CS90" s="90"/>
      <c r="CT90" s="90"/>
      <c r="CU90" s="90"/>
      <c r="CV90" s="90"/>
      <c r="CW90" s="90"/>
      <c r="CX90" s="90"/>
      <c r="CY90" s="90"/>
    </row>
    <row r="91" spans="1:103" x14ac:dyDescent="0.3">
      <c r="A91" s="81" t="s">
        <v>622</v>
      </c>
      <c r="C91" s="4">
        <v>0</v>
      </c>
      <c r="D91" s="4">
        <v>0</v>
      </c>
      <c r="E91" s="4">
        <v>0</v>
      </c>
      <c r="F91" s="4">
        <v>-2139256.0099999998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-723808.52000000142</v>
      </c>
      <c r="M91" s="4">
        <v>-307631.48</v>
      </c>
      <c r="N91" s="4">
        <v>-414552.55999999959</v>
      </c>
      <c r="O91" s="4">
        <v>-620631.02</v>
      </c>
      <c r="P91" s="4">
        <v>-952461.74</v>
      </c>
      <c r="Q91" s="4">
        <v>-881037.40999999992</v>
      </c>
      <c r="R91" s="4">
        <v>-1584736.25</v>
      </c>
      <c r="S91" s="4">
        <v>-1846076.8199999994</v>
      </c>
      <c r="T91" s="4">
        <v>-3462207.1400000006</v>
      </c>
      <c r="U91" s="4">
        <v>-3126424.38</v>
      </c>
      <c r="V91" s="4">
        <v>-3785029.9299999997</v>
      </c>
      <c r="W91" s="4">
        <v>-4638549.0200000005</v>
      </c>
      <c r="X91" s="4">
        <v>-3266599.28</v>
      </c>
      <c r="Y91" s="4">
        <v>-6057925.9900000002</v>
      </c>
      <c r="Z91" s="4">
        <v>-5593376.0099999998</v>
      </c>
      <c r="AA91" s="4">
        <v>-3616084.99</v>
      </c>
      <c r="AB91" s="4">
        <v>-2689476.01</v>
      </c>
      <c r="AC91" s="4">
        <v>-3212275.99</v>
      </c>
      <c r="AD91" s="4">
        <v>-2106097.9899999998</v>
      </c>
      <c r="AE91" s="4">
        <v>-2422389</v>
      </c>
      <c r="AF91" s="4">
        <v>-2173568.02</v>
      </c>
      <c r="AG91" s="4">
        <v>-1900000</v>
      </c>
      <c r="AH91" s="4">
        <v>-997499.98</v>
      </c>
      <c r="AI91" s="4">
        <v>-967500.02</v>
      </c>
      <c r="AJ91" s="4">
        <v>-965450</v>
      </c>
      <c r="AK91" s="4">
        <v>-1233499.98</v>
      </c>
      <c r="AL91" s="4">
        <v>-1847530</v>
      </c>
      <c r="AM91" s="4">
        <v>0</v>
      </c>
      <c r="AN91" s="4">
        <v>-1985200.01</v>
      </c>
      <c r="AO91" s="4">
        <v>-1948400</v>
      </c>
      <c r="AP91" s="4">
        <v>-1889900</v>
      </c>
      <c r="AQ91" s="4">
        <v>-1889900</v>
      </c>
      <c r="AR91" s="4">
        <v>-2330370.0100000002</v>
      </c>
      <c r="AS91" s="4">
        <v>-2424899.98</v>
      </c>
      <c r="AT91" s="4">
        <v>-3610800.01</v>
      </c>
      <c r="AU91" s="4">
        <v>-2544900.0100000002</v>
      </c>
      <c r="AV91" s="4">
        <v>-3729269.99</v>
      </c>
      <c r="AW91" s="4">
        <v>-2694899.9899999998</v>
      </c>
      <c r="AX91" s="4">
        <v>-5200060</v>
      </c>
      <c r="AY91" s="4">
        <v>0</v>
      </c>
      <c r="AZ91" s="4">
        <v>-2888900.02</v>
      </c>
      <c r="BA91" s="4">
        <v>-2963899.99</v>
      </c>
      <c r="BB91" s="4">
        <v>-2993899.99</v>
      </c>
      <c r="BC91" s="4">
        <v>-3015741.02</v>
      </c>
      <c r="BD91" s="4">
        <v>-3038899.99</v>
      </c>
      <c r="BE91" s="4">
        <v>-2720909.99</v>
      </c>
      <c r="BF91" s="4">
        <v>-2563900.02</v>
      </c>
      <c r="BG91" s="4">
        <v>-2033899.98</v>
      </c>
      <c r="BH91" s="4">
        <v>-1722500.0100000002</v>
      </c>
      <c r="BI91" s="4">
        <v>-1622499.9899999998</v>
      </c>
      <c r="BJ91" s="4">
        <v>-1137256</v>
      </c>
      <c r="BK91" s="4">
        <v>-884659.02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-3585248.5700000008</v>
      </c>
      <c r="CJ91" s="4">
        <v>-35815054.990000002</v>
      </c>
      <c r="CK91" s="4">
        <v>-24131371.98</v>
      </c>
      <c r="CL91" s="4">
        <v>-30248600</v>
      </c>
      <c r="CM91" s="4">
        <v>-26702307</v>
      </c>
      <c r="CN91" s="4">
        <v>-884659.02</v>
      </c>
      <c r="CO91" s="4">
        <v>0</v>
      </c>
    </row>
    <row r="92" spans="1:103" x14ac:dyDescent="0.3">
      <c r="A92" s="81" t="s">
        <v>615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</row>
    <row r="93" spans="1:103" ht="15" thickBot="1" x14ac:dyDescent="0.35">
      <c r="A93" s="81" t="s">
        <v>25</v>
      </c>
      <c r="C93" s="129">
        <v>0</v>
      </c>
      <c r="D93" s="129">
        <v>0</v>
      </c>
      <c r="E93" s="129">
        <v>0</v>
      </c>
      <c r="F93" s="129">
        <v>-2139256.0099999998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-723808.52000000142</v>
      </c>
      <c r="M93" s="129">
        <v>-307631.48</v>
      </c>
      <c r="N93" s="129">
        <v>-414552.55999999959</v>
      </c>
      <c r="O93" s="129">
        <v>-620631.02</v>
      </c>
      <c r="P93" s="129">
        <v>-952461.74</v>
      </c>
      <c r="Q93" s="129">
        <v>-881037.40999999992</v>
      </c>
      <c r="R93" s="129">
        <v>-1584736.25</v>
      </c>
      <c r="S93" s="129">
        <v>-1846076.8199999994</v>
      </c>
      <c r="T93" s="129">
        <v>-3462207.1400000006</v>
      </c>
      <c r="U93" s="129">
        <v>-3126424.38</v>
      </c>
      <c r="V93" s="129">
        <v>-3785029.9299999997</v>
      </c>
      <c r="W93" s="129">
        <v>-4638549.0200000005</v>
      </c>
      <c r="X93" s="129">
        <v>-3266599.28</v>
      </c>
      <c r="Y93" s="129">
        <v>-6057925.9900000002</v>
      </c>
      <c r="Z93" s="129">
        <v>-5593376.0099999998</v>
      </c>
      <c r="AA93" s="129">
        <v>-3616084.99</v>
      </c>
      <c r="AB93" s="129">
        <v>-2689476.01</v>
      </c>
      <c r="AC93" s="129">
        <v>-3212275.99</v>
      </c>
      <c r="AD93" s="129">
        <v>-2106097.9899999998</v>
      </c>
      <c r="AE93" s="129">
        <v>-2422389</v>
      </c>
      <c r="AF93" s="129">
        <v>-2173568.02</v>
      </c>
      <c r="AG93" s="129">
        <v>-1900000</v>
      </c>
      <c r="AH93" s="129">
        <v>-997499.98</v>
      </c>
      <c r="AI93" s="129">
        <v>-967500.02</v>
      </c>
      <c r="AJ93" s="129">
        <v>-965450</v>
      </c>
      <c r="AK93" s="129">
        <v>-1233499.98</v>
      </c>
      <c r="AL93" s="129">
        <v>-1847530</v>
      </c>
      <c r="AM93" s="129">
        <v>0</v>
      </c>
      <c r="AN93" s="129">
        <v>-1985200.01</v>
      </c>
      <c r="AO93" s="129">
        <v>-1948400</v>
      </c>
      <c r="AP93" s="129">
        <v>-1889900</v>
      </c>
      <c r="AQ93" s="129">
        <v>-1889900</v>
      </c>
      <c r="AR93" s="129">
        <v>-2330370.0100000002</v>
      </c>
      <c r="AS93" s="129">
        <v>-2424899.98</v>
      </c>
      <c r="AT93" s="129">
        <v>-3610800.01</v>
      </c>
      <c r="AU93" s="129">
        <v>-2544900.0100000002</v>
      </c>
      <c r="AV93" s="129">
        <v>-3729269.99</v>
      </c>
      <c r="AW93" s="129">
        <v>-2694899.9899999998</v>
      </c>
      <c r="AX93" s="129">
        <v>-5200060</v>
      </c>
      <c r="AY93" s="129">
        <v>0</v>
      </c>
      <c r="AZ93" s="129">
        <v>-2888900.02</v>
      </c>
      <c r="BA93" s="129">
        <v>-2963899.99</v>
      </c>
      <c r="BB93" s="129">
        <v>-2993899.99</v>
      </c>
      <c r="BC93" s="129">
        <v>-3015741.02</v>
      </c>
      <c r="BD93" s="129">
        <v>-3038899.99</v>
      </c>
      <c r="BE93" s="129">
        <v>-2720909.99</v>
      </c>
      <c r="BF93" s="129">
        <v>-2563900.02</v>
      </c>
      <c r="BG93" s="129">
        <v>-2033899.98</v>
      </c>
      <c r="BH93" s="129">
        <v>-1722500.0100000002</v>
      </c>
      <c r="BI93" s="129">
        <v>-1622499.9899999998</v>
      </c>
      <c r="BJ93" s="129">
        <v>-1137256</v>
      </c>
      <c r="BK93" s="129">
        <v>-884659.02</v>
      </c>
      <c r="BL93" s="129">
        <v>0</v>
      </c>
      <c r="BM93" s="129">
        <v>0</v>
      </c>
      <c r="BN93" s="129">
        <v>0</v>
      </c>
      <c r="BO93" s="129">
        <v>0</v>
      </c>
      <c r="BP93" s="129">
        <v>0</v>
      </c>
      <c r="BQ93" s="129">
        <v>0</v>
      </c>
      <c r="BR93" s="129">
        <v>0</v>
      </c>
      <c r="BS93" s="129">
        <v>0</v>
      </c>
      <c r="BT93" s="129">
        <v>0</v>
      </c>
      <c r="BU93" s="129">
        <v>0</v>
      </c>
      <c r="BV93" s="129">
        <v>0</v>
      </c>
      <c r="BW93" s="129">
        <v>0</v>
      </c>
      <c r="BX93" s="129">
        <v>0</v>
      </c>
      <c r="BY93" s="129">
        <v>0</v>
      </c>
      <c r="BZ93" s="129">
        <v>0</v>
      </c>
      <c r="CA93" s="129">
        <v>0</v>
      </c>
      <c r="CB93" s="129">
        <v>0</v>
      </c>
      <c r="CC93" s="129">
        <v>0</v>
      </c>
      <c r="CD93" s="129">
        <v>0</v>
      </c>
      <c r="CE93" s="129">
        <v>0</v>
      </c>
      <c r="CF93" s="129">
        <v>0</v>
      </c>
      <c r="CG93" s="129">
        <v>0</v>
      </c>
      <c r="CH93" s="129">
        <v>0</v>
      </c>
      <c r="CI93" s="129">
        <v>-3585248.5700000008</v>
      </c>
      <c r="CJ93" s="129">
        <v>-35815054.990000002</v>
      </c>
      <c r="CK93" s="129">
        <v>-24131371.98</v>
      </c>
      <c r="CL93" s="129">
        <v>-30248600</v>
      </c>
      <c r="CM93" s="129">
        <v>-26702307</v>
      </c>
      <c r="CN93" s="129">
        <v>-884659.02</v>
      </c>
      <c r="CO93" s="129">
        <v>0</v>
      </c>
    </row>
    <row r="94" spans="1:103" ht="15" thickTop="1" x14ac:dyDescent="0.3"/>
  </sheetData>
  <conditionalFormatting sqref="B8:CH45">
    <cfRule type="cellIs" dxfId="0" priority="1" operator="greaterThan">
      <formula>0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F37" sqref="F37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67" t="s">
        <v>635</v>
      </c>
    </row>
    <row r="4" spans="3:15" x14ac:dyDescent="0.3">
      <c r="C4" s="66" t="s">
        <v>636</v>
      </c>
    </row>
    <row r="7" spans="3:15" x14ac:dyDescent="0.3">
      <c r="C7" s="66" t="s">
        <v>637</v>
      </c>
      <c r="G7" s="73" t="s">
        <v>638</v>
      </c>
    </row>
    <row r="9" spans="3:15" x14ac:dyDescent="0.3">
      <c r="C9" s="66" t="s">
        <v>639</v>
      </c>
      <c r="N9" s="71">
        <v>34300</v>
      </c>
      <c r="O9" s="72" t="s">
        <v>478</v>
      </c>
    </row>
    <row r="10" spans="3:15" x14ac:dyDescent="0.3">
      <c r="N10" s="71">
        <v>34800</v>
      </c>
      <c r="O10" s="72" t="s">
        <v>479</v>
      </c>
    </row>
    <row r="11" spans="3:15" x14ac:dyDescent="0.3">
      <c r="C11" s="70" t="s">
        <v>640</v>
      </c>
      <c r="N11" s="71">
        <v>37101</v>
      </c>
      <c r="O11" s="72" t="s">
        <v>510</v>
      </c>
    </row>
    <row r="12" spans="3:15" x14ac:dyDescent="0.3">
      <c r="N12" s="71">
        <v>37102</v>
      </c>
      <c r="O12" s="72" t="s">
        <v>511</v>
      </c>
    </row>
    <row r="13" spans="3:15" x14ac:dyDescent="0.3">
      <c r="C13" s="66" t="s">
        <v>641</v>
      </c>
      <c r="N13" s="71">
        <v>37103</v>
      </c>
      <c r="O13" s="72" t="s">
        <v>512</v>
      </c>
    </row>
    <row r="14" spans="3:15" x14ac:dyDescent="0.3">
      <c r="C14" s="66" t="s">
        <v>642</v>
      </c>
    </row>
    <row r="15" spans="3:15" x14ac:dyDescent="0.3">
      <c r="C15" s="66" t="s">
        <v>643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E7B54C8-AE9A-438E-91E6-F9DA21EDA7BD}"/>
</file>

<file path=customXml/itemProps2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B-09 2025R</vt:lpstr>
      <vt:lpstr>ASDR FY2</vt:lpstr>
      <vt:lpstr>10803</vt:lpstr>
      <vt:lpstr>Instructions</vt:lpstr>
      <vt:lpstr>'B-09 2025R'!Print_Area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cp:lastPrinted>2024-04-08T19:25:17Z</cp:lastPrinted>
  <dcterms:created xsi:type="dcterms:W3CDTF">2020-08-11T15:11:46Z</dcterms:created>
  <dcterms:modified xsi:type="dcterms:W3CDTF">2024-04-08T19:25:29Z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