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69231051-5BC8-4D19-AFE4-0108130328B2}" xr6:coauthVersionLast="47" xr6:coauthVersionMax="47" xr10:uidLastSave="{00000000-0000-0000-0000-000000000000}"/>
  <bookViews>
    <workbookView xWindow="-108" yWindow="-108" windowWidth="23256" windowHeight="12576" xr2:uid="{01A4AB86-2E88-46C9-8F8E-624534CF033F}"/>
  </bookViews>
  <sheets>
    <sheet name="C-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2MEACT" localSheetId="0">'[1]Page 1'!#REF!</definedName>
    <definedName name="_12MEACT">'[1]Page 1'!#REF!</definedName>
    <definedName name="_12MEBUD" localSheetId="0">'[1]Page 1'!#REF!</definedName>
    <definedName name="_12MEBUD">'[1]Page 1'!#REF!</definedName>
    <definedName name="_1B_15" localSheetId="0">#REF!</definedName>
    <definedName name="_1B_15">#REF!</definedName>
    <definedName name="_C44">#REF!</definedName>
    <definedName name="_Key1" hidden="1">#REF!</definedName>
    <definedName name="_Order1" hidden="1">255</definedName>
    <definedName name="_Sort" hidden="1">#REF!</definedName>
    <definedName name="a">[2]Sheet1!$B$10</definedName>
    <definedName name="ADJTS">#REF!</definedName>
    <definedName name="AP_OTHER">#REF!</definedName>
    <definedName name="ASSUMPTIONS">#REF!</definedName>
    <definedName name="BAL">#REF!</definedName>
    <definedName name="BalDat">[3]BALSHT!$A$818:$O$892</definedName>
    <definedName name="BalDatData" localSheetId="0">#REF!</definedName>
    <definedName name="BalDatData">#REF!</definedName>
    <definedName name="BENEFITS_EXP" localSheetId="0">#REF!</definedName>
    <definedName name="BENEFITS_EXP">#REF!</definedName>
    <definedName name="BS_Forecast" localSheetId="0">#REF!</definedName>
    <definedName name="BS_Forecast">#REF!</definedName>
    <definedName name="BS_Plan" localSheetId="0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SHFLS">'[4]CASH FLOWS BKUP'!#REF!</definedName>
    <definedName name="CF_Forecast" localSheetId="0">#REF!</definedName>
    <definedName name="CF_Forecast">#REF!</definedName>
    <definedName name="CF_Plan2" localSheetId="0">#REF!</definedName>
    <definedName name="CF_Plan2">#REF!</definedName>
    <definedName name="CMACT" localSheetId="0">'[1]Page 1'!#REF!</definedName>
    <definedName name="CMACT">'[1]Page 1'!#REF!</definedName>
    <definedName name="CMBUD" localSheetId="0">'[1]Page 1'!#REF!</definedName>
    <definedName name="CMBUD">'[1]Page 1'!#REF!</definedName>
    <definedName name="CONSCF4A" localSheetId="0">#REF!</definedName>
    <definedName name="CONSCF4A">#REF!</definedName>
    <definedName name="CONSCF4B" localSheetId="0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'[5]DAT ACCOUNTS'!$A$1:$D$65536</definedName>
    <definedName name="DEC" localSheetId="0">#REF!</definedName>
    <definedName name="DEC">#REF!</definedName>
    <definedName name="DEC_Proj" localSheetId="0">#REF!</definedName>
    <definedName name="DEC_Proj">#REF!</definedName>
    <definedName name="DETAIL146234" localSheetId="0">#REF!</definedName>
    <definedName name="DETAIL146234">#REF!</definedName>
    <definedName name="DocketNum" localSheetId="0">'[6]from Others ---&gt;&gt;'!$B$5</definedName>
    <definedName name="DocketNum">'[7]from Others ---&gt;&gt;'!$B$5</definedName>
    <definedName name="DocKetNumber">[8]SetupData!$B$6</definedName>
    <definedName name="DOWNLOAD">[9]Download!$A$1:$D$2443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OR_DENISE_O.">#REF!</definedName>
    <definedName name="FullDocketNumber">[8]SetupData!$B$7</definedName>
    <definedName name="GLDOWNLOAD">#REF!</definedName>
    <definedName name="HistYear" localSheetId="0">'[6]from Others ---&gt;&gt;'!$B$17</definedName>
    <definedName name="HistYear">'[7]from Others ---&gt;&gt;'!$B$17</definedName>
    <definedName name="intangibles">[10]MFR_SUMMARY!$D$22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NOI">#REF!</definedName>
    <definedName name="OTHER_CF">#REF!</definedName>
    <definedName name="OTHER_CR">#REF!</definedName>
    <definedName name="PAGE10">#REF!</definedName>
    <definedName name="PAGE1A">'[11]Page 1 last month YTD'!#REF!</definedName>
    <definedName name="PAGE1C">'[11]Page 1 last month YTD'!#REF!</definedName>
    <definedName name="PAGE1D">'[11]Page 1 last month YTD'!#REF!</definedName>
    <definedName name="PAGE1D2">'[11]Page 1 last month YTD'!#REF!</definedName>
    <definedName name="PAGE2A">#REF!</definedName>
    <definedName name="PAGE2B">#REF!</definedName>
    <definedName name="PAGE6">#REF!</definedName>
    <definedName name="PAGE7">#REF!</definedName>
    <definedName name="PAGE8">#REF!</definedName>
    <definedName name="PAGE9">#REF!</definedName>
    <definedName name="PE_CPYIS">'[1]PEC Income Stmt'!#REF!</definedName>
    <definedName name="PLine1" localSheetId="0">'[6]from Others ---&gt;&gt;'!$B$8</definedName>
    <definedName name="PLine1">'[7]from Others ---&gt;&gt;'!$B$8</definedName>
    <definedName name="PLine2" localSheetId="0">'[6]from Others ---&gt;&gt;'!$B$9</definedName>
    <definedName name="PLine2">'[7]from Others ---&gt;&gt;'!$B$9</definedName>
    <definedName name="PLine3" localSheetId="0">'[6]from Others ---&gt;&gt;'!$B$10</definedName>
    <definedName name="PLine3">'[7]from Others ---&gt;&gt;'!$B$10</definedName>
    <definedName name="PLine4" localSheetId="0">'[6]from Others ---&gt;&gt;'!$B$11</definedName>
    <definedName name="PLine4">'[7]from Others ---&gt;&gt;'!$B$11</definedName>
    <definedName name="_xlnm.Print_Area" localSheetId="0">'C-22'!$A$1:$S$318</definedName>
    <definedName name="printa1a_d12">#N/A</definedName>
    <definedName name="PriorYear" localSheetId="0">'[6]from Others ---&gt;&gt;'!$B$16</definedName>
    <definedName name="PriorYear">'[7]from Others ---&gt;&gt;'!$B$16</definedName>
    <definedName name="PYEGYASSTS" localSheetId="0">#REF!</definedName>
    <definedName name="PYEGYASSTS">#REF!</definedName>
    <definedName name="PYEGYLIABS" localSheetId="0">#REF!</definedName>
    <definedName name="PYEGYLIABS">#REF!</definedName>
    <definedName name="PYISWP" localSheetId="0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[12]Sheet1!$B$10</definedName>
    <definedName name="ScheduleData">[8]Schedules!$C$3:$G$102</definedName>
    <definedName name="SURV">'[13]SURV ACCOUNTS'!$A$1:$C$453</definedName>
    <definedName name="TestYear" localSheetId="0">'[6]from Others ---&gt;&gt;'!$B$15</definedName>
    <definedName name="TestYear">'[7]from Others ---&gt;&gt;'!$B$15</definedName>
    <definedName name="TYL1_">[8]SetupData!$B$24</definedName>
    <definedName name="TYL2_">[8]SetupData!$B$25</definedName>
    <definedName name="TYL3_">[8]SetupData!$B$26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'[1]Page 1'!#REF!</definedName>
    <definedName name="YTDBUD">'[1]Page 1'!#REF!</definedName>
    <definedName name="Z_2A078061_226A_4F0A_B4D4_D18DDDD4F2B8_.wvu.Rows" localSheetId="0" hidden="1">'C-22'!#REF!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4" i="1" l="1"/>
  <c r="P132" i="1"/>
  <c r="I284" i="1"/>
  <c r="P22" i="1" l="1"/>
  <c r="H153" i="1"/>
  <c r="G46" i="1" l="1"/>
  <c r="P47" i="1"/>
  <c r="P46" i="1"/>
  <c r="N46" i="1"/>
  <c r="P28" i="1"/>
  <c r="N28" i="1"/>
  <c r="I14" i="1" s="1"/>
  <c r="P23" i="1" l="1"/>
  <c r="I21" i="1" l="1"/>
  <c r="H157" i="1"/>
  <c r="G157" i="1"/>
  <c r="R140" i="1"/>
  <c r="G79" i="1"/>
  <c r="G53" i="1"/>
  <c r="N53" i="1" s="1"/>
  <c r="P53" i="1"/>
  <c r="P194" i="1"/>
  <c r="N194" i="1"/>
  <c r="I178" i="1" s="1"/>
  <c r="I177" i="1" s="1"/>
  <c r="N257" i="1"/>
  <c r="P189" i="1"/>
  <c r="P190" i="1"/>
  <c r="N189" i="1"/>
  <c r="P188" i="1" l="1"/>
  <c r="R300" i="1" l="1"/>
  <c r="H313" i="1" l="1"/>
  <c r="G313" i="1"/>
  <c r="I288" i="1"/>
  <c r="G258" i="1"/>
  <c r="N252" i="1"/>
  <c r="P252" i="1" s="1"/>
  <c r="P187" i="1"/>
  <c r="P191" i="1"/>
  <c r="P192" i="1"/>
  <c r="P193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I185" i="1"/>
  <c r="I186" i="1" s="1"/>
  <c r="I212" i="1" s="1"/>
  <c r="I248" i="1"/>
  <c r="I157" i="1"/>
  <c r="G155" i="1"/>
  <c r="I155" i="1" s="1"/>
  <c r="G154" i="1"/>
  <c r="I154" i="1" s="1"/>
  <c r="G184" i="1"/>
  <c r="G185" i="1" s="1"/>
  <c r="P282" i="1"/>
  <c r="I22" i="1"/>
  <c r="G78" i="1"/>
  <c r="G209" i="1"/>
  <c r="N209" i="1" s="1"/>
  <c r="G241" i="1"/>
  <c r="G312" i="1"/>
  <c r="I312" i="1" s="1"/>
  <c r="G311" i="1"/>
  <c r="I311" i="1" s="1"/>
  <c r="G310" i="1"/>
  <c r="I310" i="1" s="1"/>
  <c r="Q273" i="1"/>
  <c r="G273" i="1"/>
  <c r="A273" i="1"/>
  <c r="Q272" i="1"/>
  <c r="Q271" i="1"/>
  <c r="G271" i="1"/>
  <c r="Q270" i="1"/>
  <c r="G270" i="1"/>
  <c r="G269" i="1"/>
  <c r="H268" i="1"/>
  <c r="A268" i="1"/>
  <c r="G247" i="1"/>
  <c r="G246" i="1"/>
  <c r="G245" i="1"/>
  <c r="G244" i="1"/>
  <c r="G243" i="1"/>
  <c r="G242" i="1"/>
  <c r="G236" i="1"/>
  <c r="N236" i="1" s="1"/>
  <c r="P235" i="1"/>
  <c r="G235" i="1"/>
  <c r="N235" i="1" s="1"/>
  <c r="P234" i="1"/>
  <c r="G234" i="1"/>
  <c r="N234" i="1" s="1"/>
  <c r="P233" i="1"/>
  <c r="G233" i="1"/>
  <c r="N233" i="1" s="1"/>
  <c r="P232" i="1"/>
  <c r="G232" i="1"/>
  <c r="N232" i="1" s="1"/>
  <c r="P231" i="1"/>
  <c r="G231" i="1"/>
  <c r="N231" i="1" s="1"/>
  <c r="P230" i="1"/>
  <c r="G230" i="1"/>
  <c r="N230" i="1" s="1"/>
  <c r="P229" i="1"/>
  <c r="G229" i="1"/>
  <c r="N229" i="1" s="1"/>
  <c r="Q222" i="1"/>
  <c r="G222" i="1"/>
  <c r="A222" i="1"/>
  <c r="Q221" i="1"/>
  <c r="Q220" i="1"/>
  <c r="G220" i="1"/>
  <c r="Q219" i="1"/>
  <c r="G219" i="1"/>
  <c r="G218" i="1"/>
  <c r="H217" i="1"/>
  <c r="A217" i="1"/>
  <c r="G211" i="1"/>
  <c r="N211" i="1" s="1"/>
  <c r="G210" i="1"/>
  <c r="N210" i="1" s="1"/>
  <c r="G208" i="1"/>
  <c r="N208" i="1" s="1"/>
  <c r="G207" i="1"/>
  <c r="N207" i="1" s="1"/>
  <c r="G206" i="1"/>
  <c r="N206" i="1" s="1"/>
  <c r="G205" i="1"/>
  <c r="N205" i="1" s="1"/>
  <c r="G204" i="1"/>
  <c r="N204" i="1" s="1"/>
  <c r="G203" i="1"/>
  <c r="N203" i="1" s="1"/>
  <c r="G202" i="1"/>
  <c r="N202" i="1" s="1"/>
  <c r="G201" i="1"/>
  <c r="N201" i="1" s="1"/>
  <c r="G200" i="1"/>
  <c r="N200" i="1" s="1"/>
  <c r="G199" i="1"/>
  <c r="N199" i="1"/>
  <c r="G198" i="1"/>
  <c r="N198" i="1" s="1"/>
  <c r="G197" i="1"/>
  <c r="N197" i="1" s="1"/>
  <c r="G196" i="1"/>
  <c r="N196" i="1" s="1"/>
  <c r="G195" i="1"/>
  <c r="N195" i="1"/>
  <c r="G194" i="1"/>
  <c r="G193" i="1"/>
  <c r="N193" i="1" s="1"/>
  <c r="G192" i="1"/>
  <c r="N192" i="1" s="1"/>
  <c r="G191" i="1"/>
  <c r="N191" i="1" s="1"/>
  <c r="G190" i="1"/>
  <c r="N190" i="1" s="1"/>
  <c r="G188" i="1"/>
  <c r="N188" i="1" s="1"/>
  <c r="G187" i="1"/>
  <c r="N187" i="1" s="1"/>
  <c r="G181" i="1"/>
  <c r="G179" i="1"/>
  <c r="G178" i="1"/>
  <c r="G177" i="1"/>
  <c r="Q170" i="1"/>
  <c r="G170" i="1"/>
  <c r="A170" i="1"/>
  <c r="Q169" i="1"/>
  <c r="Q168" i="1"/>
  <c r="G168" i="1"/>
  <c r="Q167" i="1"/>
  <c r="G167" i="1"/>
  <c r="G166" i="1"/>
  <c r="H165" i="1"/>
  <c r="A165" i="1"/>
  <c r="G156" i="1"/>
  <c r="I156" i="1" s="1"/>
  <c r="Q115" i="1"/>
  <c r="G115" i="1"/>
  <c r="A115" i="1"/>
  <c r="Q114" i="1"/>
  <c r="G114" i="1"/>
  <c r="Q113" i="1"/>
  <c r="G113" i="1"/>
  <c r="Q112" i="1"/>
  <c r="G112" i="1"/>
  <c r="G111" i="1"/>
  <c r="H110" i="1"/>
  <c r="A110" i="1"/>
  <c r="Q109" i="1"/>
  <c r="Q164" i="1"/>
  <c r="Q216" i="1" s="1"/>
  <c r="Q267" i="1" s="1"/>
  <c r="Q318" i="1" s="1"/>
  <c r="A109" i="1"/>
  <c r="A164" i="1" s="1"/>
  <c r="A216" i="1" s="1"/>
  <c r="A267" i="1" s="1"/>
  <c r="A318" i="1" s="1"/>
  <c r="I81" i="1"/>
  <c r="G77" i="1"/>
  <c r="G76" i="1"/>
  <c r="G75" i="1"/>
  <c r="G74" i="1"/>
  <c r="Q64" i="1"/>
  <c r="G64" i="1"/>
  <c r="A64" i="1"/>
  <c r="Q63" i="1"/>
  <c r="G63" i="1"/>
  <c r="Q62" i="1"/>
  <c r="G62" i="1"/>
  <c r="Q61" i="1"/>
  <c r="G61" i="1"/>
  <c r="G60" i="1"/>
  <c r="H59" i="1"/>
  <c r="A59" i="1"/>
  <c r="P54" i="1"/>
  <c r="P52" i="1"/>
  <c r="G52" i="1"/>
  <c r="N52" i="1" s="1"/>
  <c r="P51" i="1"/>
  <c r="G51" i="1"/>
  <c r="N51" i="1" s="1"/>
  <c r="P50" i="1"/>
  <c r="G50" i="1"/>
  <c r="N50" i="1" s="1"/>
  <c r="P49" i="1"/>
  <c r="G49" i="1"/>
  <c r="N49" i="1" s="1"/>
  <c r="P48" i="1"/>
  <c r="G48" i="1"/>
  <c r="N48" i="1" s="1"/>
  <c r="G47" i="1"/>
  <c r="N47" i="1" s="1"/>
  <c r="P45" i="1"/>
  <c r="G45" i="1"/>
  <c r="N45" i="1" s="1"/>
  <c r="P44" i="1"/>
  <c r="G44" i="1"/>
  <c r="N44" i="1"/>
  <c r="P43" i="1"/>
  <c r="G43" i="1"/>
  <c r="N43" i="1" s="1"/>
  <c r="P42" i="1"/>
  <c r="G42" i="1"/>
  <c r="N42" i="1" s="1"/>
  <c r="P41" i="1"/>
  <c r="G41" i="1"/>
  <c r="N41" i="1" s="1"/>
  <c r="P40" i="1"/>
  <c r="G40" i="1"/>
  <c r="N40" i="1" s="1"/>
  <c r="P39" i="1"/>
  <c r="G39" i="1"/>
  <c r="N39" i="1" s="1"/>
  <c r="P38" i="1"/>
  <c r="G38" i="1"/>
  <c r="N38" i="1" s="1"/>
  <c r="P37" i="1"/>
  <c r="G37" i="1"/>
  <c r="N37" i="1" s="1"/>
  <c r="P36" i="1"/>
  <c r="G36" i="1"/>
  <c r="N36" i="1" s="1"/>
  <c r="P35" i="1"/>
  <c r="G35" i="1"/>
  <c r="N35" i="1" s="1"/>
  <c r="P34" i="1"/>
  <c r="G34" i="1"/>
  <c r="N34" i="1" s="1"/>
  <c r="P33" i="1"/>
  <c r="G33" i="1"/>
  <c r="N33" i="1" s="1"/>
  <c r="P32" i="1"/>
  <c r="G32" i="1"/>
  <c r="N32" i="1" s="1"/>
  <c r="P31" i="1"/>
  <c r="G31" i="1"/>
  <c r="N31" i="1" s="1"/>
  <c r="P30" i="1"/>
  <c r="G30" i="1"/>
  <c r="N30" i="1" s="1"/>
  <c r="P29" i="1"/>
  <c r="G29" i="1"/>
  <c r="N29" i="1" s="1"/>
  <c r="G28" i="1"/>
  <c r="P27" i="1"/>
  <c r="G27" i="1"/>
  <c r="N27" i="1" s="1"/>
  <c r="P26" i="1"/>
  <c r="G26" i="1"/>
  <c r="N26" i="1" s="1"/>
  <c r="P25" i="1"/>
  <c r="G25" i="1"/>
  <c r="N25" i="1" s="1"/>
  <c r="P24" i="1"/>
  <c r="G24" i="1"/>
  <c r="N24" i="1" s="1"/>
  <c r="G23" i="1"/>
  <c r="N23" i="1" s="1"/>
  <c r="G20" i="1"/>
  <c r="G17" i="1"/>
  <c r="G15" i="1"/>
  <c r="G14" i="1"/>
  <c r="I13" i="1"/>
  <c r="G13" i="1" s="1"/>
  <c r="G54" i="1"/>
  <c r="N54" i="1" s="1"/>
  <c r="P236" i="1"/>
  <c r="G21" i="1" l="1"/>
  <c r="G22" i="1" s="1"/>
  <c r="I56" i="1"/>
  <c r="I70" i="1" s="1"/>
  <c r="G248" i="1"/>
  <c r="G81" i="1"/>
  <c r="I313" i="1"/>
  <c r="I228" i="1"/>
  <c r="I237" i="1" s="1"/>
  <c r="G186" i="1"/>
  <c r="N186" i="1" s="1"/>
  <c r="P186" i="1" s="1"/>
  <c r="P212" i="1" s="1"/>
  <c r="N22" i="1" l="1"/>
  <c r="G56" i="1"/>
  <c r="G70" i="1" s="1"/>
  <c r="G83" i="1"/>
  <c r="G85" i="1" s="1"/>
  <c r="N85" i="1" s="1"/>
  <c r="P85" i="1" s="1"/>
  <c r="G212" i="1"/>
  <c r="G228" i="1" s="1"/>
  <c r="G237" i="1" s="1"/>
  <c r="G250" i="1" s="1"/>
  <c r="G254" i="1" s="1"/>
  <c r="N56" i="1" l="1"/>
  <c r="N70" i="1" s="1"/>
  <c r="N94" i="1" s="1"/>
  <c r="P56" i="1"/>
  <c r="P70" i="1" s="1"/>
  <c r="G262" i="1"/>
  <c r="H308" i="1" s="1"/>
  <c r="G87" i="1"/>
  <c r="G94" i="1" s="1"/>
  <c r="N212" i="1"/>
  <c r="N228" i="1" s="1"/>
  <c r="N237" i="1" s="1"/>
  <c r="N262" i="1" s="1"/>
  <c r="P228" i="1"/>
  <c r="P237" i="1" s="1"/>
  <c r="P292" i="1" s="1"/>
  <c r="G309" i="1" s="1"/>
  <c r="I280" i="1"/>
  <c r="I292" i="1" s="1"/>
  <c r="R70" i="1" l="1"/>
  <c r="R292" i="1"/>
  <c r="R302" i="1" s="1"/>
  <c r="G308" i="1"/>
  <c r="I308" i="1" s="1"/>
  <c r="H152" i="1"/>
  <c r="H158" i="1" s="1"/>
  <c r="I122" i="1"/>
  <c r="H309" i="1" l="1"/>
  <c r="G314" i="1"/>
  <c r="G153" i="1" l="1"/>
  <c r="I153" i="1" s="1"/>
  <c r="I126" i="1"/>
  <c r="H314" i="1"/>
  <c r="I309" i="1"/>
  <c r="I314" i="1" s="1"/>
  <c r="I132" i="1" l="1"/>
  <c r="R132" i="1" s="1"/>
  <c r="R142" i="1" s="1"/>
  <c r="G152" i="1" l="1"/>
  <c r="G158" i="1" s="1"/>
  <c r="I152" i="1" l="1"/>
  <c r="I1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Valdes, Amnerys</author>
    <author>Locke, Elizabeth</author>
  </authors>
  <commentList>
    <comment ref="I20" authorId="0" shapeId="0" xr:uid="{527183DF-C710-4CBA-B05A-8AC57D436DF6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Total Book Depr - Non-Utility = Utility only</t>
        </r>
      </text>
    </comment>
    <comment ref="G94" authorId="0" shapeId="0" xr:uid="{9E07174D-B6C2-4EB1-8E46-C5BB543C8936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Agrees to Rpt 51013</t>
        </r>
      </text>
    </comment>
    <comment ref="I132" authorId="0" shapeId="0" xr:uid="{A8A21EDD-A4FC-49BD-A1F1-87C6E52ED705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Agrees to Rpt 51013</t>
        </r>
      </text>
    </comment>
    <comment ref="I158" authorId="0" shapeId="0" xr:uid="{49D94391-2F22-4976-91BC-C0EF5D4AD429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Agrees to Rpt 54515</t>
        </r>
      </text>
    </comment>
    <comment ref="I184" authorId="0" shapeId="0" xr:uid="{9C74B84A-FE9D-4C20-B819-03683C22DDA8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Utility only = Total Book Depr - Non-Utility
</t>
        </r>
      </text>
    </comment>
    <comment ref="G262" authorId="0" shapeId="0" xr:uid="{76591D33-0D25-4EFF-9837-20EEA3CA376B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Agrees to Rpt 51013</t>
        </r>
      </text>
    </comment>
    <comment ref="I292" authorId="0" shapeId="0" xr:uid="{207CBB6C-D8F0-408F-AB2F-704827950C66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Agrees to Rpt 51013</t>
        </r>
      </text>
    </comment>
    <comment ref="I314" authorId="1" shapeId="0" xr:uid="{E05F997F-61FC-4B37-8489-F3306A9CF139}">
      <text>
        <r>
          <rPr>
            <b/>
            <sz val="9"/>
            <color indexed="81"/>
            <rFont val="Tahoma"/>
            <family val="2"/>
          </rPr>
          <t>Locke, Elizabeth:</t>
        </r>
        <r>
          <rPr>
            <sz val="9"/>
            <color indexed="81"/>
            <rFont val="Tahoma"/>
            <family val="2"/>
          </rPr>
          <t xml:space="preserve">
Agrees to C-4</t>
        </r>
      </text>
    </comment>
  </commentList>
</comments>
</file>

<file path=xl/sharedStrings.xml><?xml version="1.0" encoding="utf-8"?>
<sst xmlns="http://schemas.openxmlformats.org/spreadsheetml/2006/main" count="291" uniqueCount="131">
  <si>
    <t>SCHEDULE C-22</t>
  </si>
  <si>
    <t>STATE AND FEDERAL INCOME TAX CALCULATION</t>
  </si>
  <si>
    <t>Page 1 of 6</t>
  </si>
  <si>
    <t>FLORIDA PUBLIC SERVICE COMMISSION</t>
  </si>
  <si>
    <t xml:space="preserve">                 EXPLANATION:</t>
  </si>
  <si>
    <t xml:space="preserve">Provide the calculation of state and federal income taxes for the historical base year and the </t>
  </si>
  <si>
    <t xml:space="preserve">       Type of data shown:</t>
  </si>
  <si>
    <t>projected test year.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</si>
  <si>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</si>
  <si>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</si>
  <si>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</si>
  <si>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</si>
  <si>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</si>
  <si>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(Dollars in 000's)</t>
  </si>
  <si>
    <t>Line</t>
  </si>
  <si>
    <t>CURRENT TAX</t>
  </si>
  <si>
    <t>DEFERRED TAX</t>
  </si>
  <si>
    <t>No.</t>
  </si>
  <si>
    <t>DESCRIPTION</t>
  </si>
  <si>
    <t>STATE</t>
  </si>
  <si>
    <t>FEDERAL</t>
  </si>
  <si>
    <t>TOTAL</t>
  </si>
  <si>
    <t>NET UTILITY OPERATING INCOME</t>
  </si>
  <si>
    <t>ADD INCOME TAX ACCOUNTS</t>
  </si>
  <si>
    <t>LESS INTEREST CHARGES (FROM C-23)</t>
  </si>
  <si>
    <t>INCOME PER BOOKS</t>
  </si>
  <si>
    <t>TEMPORARY ADJUSTMENTS TO TAXABLE INCOME (LIST)</t>
  </si>
  <si>
    <t xml:space="preserve">     ADD:  BOOK DEPRECIATION</t>
  </si>
  <si>
    <t xml:space="preserve">     LESS:  TAX DEPRECIATION</t>
  </si>
  <si>
    <t xml:space="preserve"> TAX OVER BOOK DEPRECIATION</t>
  </si>
  <si>
    <t>ACCRUED BONUS</t>
  </si>
  <si>
    <t>DEFERRED COMPENSATION</t>
  </si>
  <si>
    <t>MEDICAL &amp; LIFE BENEFITS-FAS 106</t>
  </si>
  <si>
    <t xml:space="preserve"> FAS 112</t>
  </si>
  <si>
    <t>LONG TERM INCENTIVE</t>
  </si>
  <si>
    <t>DEDUCTIBLE CONTRIBUTION</t>
  </si>
  <si>
    <t>PENSION</t>
  </si>
  <si>
    <t xml:space="preserve"> RESTORATION PLAN</t>
  </si>
  <si>
    <t>SUPPLEMENTAL EXECUTIVE RETIREMENT PLAN</t>
  </si>
  <si>
    <t>VACATION</t>
  </si>
  <si>
    <t>BOND REFINANCING</t>
  </si>
  <si>
    <t>BAD DEBT</t>
  </si>
  <si>
    <t>DEFERRED FUEL</t>
  </si>
  <si>
    <t>DEFERRED LEASE</t>
  </si>
  <si>
    <t>FIBER OPTIC</t>
  </si>
  <si>
    <t>INSURANCE RESERVE</t>
  </si>
  <si>
    <t xml:space="preserve"> DEFERRED REVENUE</t>
  </si>
  <si>
    <t xml:space="preserve"> UNBILLED REVENUES</t>
  </si>
  <si>
    <t xml:space="preserve"> DEFERRED INTEREST</t>
  </si>
  <si>
    <t>RATE CASE</t>
  </si>
  <si>
    <t>SECTION 174</t>
  </si>
  <si>
    <t>STORM PROTECTION CLAUSE</t>
  </si>
  <si>
    <t xml:space="preserve"> AMORTIZATION</t>
  </si>
  <si>
    <t xml:space="preserve"> TAXABLE GRANTS</t>
  </si>
  <si>
    <t>CIAC</t>
  </si>
  <si>
    <t>CLEAN ENERGY TRANS MECHANISM</t>
  </si>
  <si>
    <t xml:space="preserve"> COST OF REMOVAL</t>
  </si>
  <si>
    <t>DISMANTLEMENT COSTS</t>
  </si>
  <si>
    <t>GAIN/LOSS SALE OF ASSETS</t>
  </si>
  <si>
    <t>REPAIR CAPITALIZED ON BOOKS</t>
  </si>
  <si>
    <t>DREDGING</t>
  </si>
  <si>
    <t xml:space="preserve"> CAPITALIZED INTEREST</t>
  </si>
  <si>
    <t>TOTAL TEMPORARY DIFFERENCES</t>
  </si>
  <si>
    <t>Total may not foot due to rounding.</t>
  </si>
  <si>
    <t>Supporting Schedules:  C-23</t>
  </si>
  <si>
    <t>Recap Schedules:  C-4</t>
  </si>
  <si>
    <t>Page 2 of 6</t>
  </si>
  <si>
    <t xml:space="preserve">                  EXPLANATION:</t>
  </si>
  <si>
    <t>PERMANENT ADJUSTMENTS TO TAXABLE INCOME (LIST)</t>
  </si>
  <si>
    <t>MEALS 50%</t>
  </si>
  <si>
    <t>SOLAR ITC DEPRECIATION</t>
  </si>
  <si>
    <t>CLUB DUES</t>
  </si>
  <si>
    <t xml:space="preserve"> TRANSPORTATION FRINGE</t>
  </si>
  <si>
    <t xml:space="preserve"> PENALTIES</t>
  </si>
  <si>
    <t>RESEARCH EXPENSE</t>
  </si>
  <si>
    <t>TOTAL PERMANENT ADJUSTMENTS</t>
  </si>
  <si>
    <t xml:space="preserve">STATE TAXABLE INCOME (LOSS) </t>
  </si>
  <si>
    <t xml:space="preserve"> NET OPERATING LOSS</t>
  </si>
  <si>
    <t>STATE INCOME TAX (5.5%)</t>
  </si>
  <si>
    <t>ADJUSTMENTS TO FEDERAL INCOME TAX</t>
  </si>
  <si>
    <t>MEDICARE PART D SUBSIDY AMORTIZATION</t>
  </si>
  <si>
    <t>STATE INCOME TAX</t>
  </si>
  <si>
    <t>Page 3 of 6</t>
  </si>
  <si>
    <t>FEDERAL TAXABLE INCOME</t>
  </si>
  <si>
    <t>.</t>
  </si>
  <si>
    <t>FEDERAL INCOME TAX (21% )</t>
  </si>
  <si>
    <t xml:space="preserve">FEDERAL INCOME TAX </t>
  </si>
  <si>
    <t>ITC AMORTIZATION</t>
  </si>
  <si>
    <t>PRODUCTION TAX CREDIT</t>
  </si>
  <si>
    <t xml:space="preserve"> R&amp;D TAX CREDIT</t>
  </si>
  <si>
    <t>AMORTIZATION OF DEFICIENT / EXCESS DEFERRED TAXES</t>
  </si>
  <si>
    <t>TOTAL INCOME TAXES</t>
  </si>
  <si>
    <t>SUMMARY OF INCOME TAX EXPENSE:</t>
  </si>
  <si>
    <t>CURRENT TAX EXPENSE</t>
  </si>
  <si>
    <t>DEFERRED INCOME TAXES</t>
  </si>
  <si>
    <t>INVESTMENT TAX CREDITS, NET</t>
  </si>
  <si>
    <t>AMORT OF EXCESS DEFERRED TAXES</t>
  </si>
  <si>
    <t>TOTAL INCOME TAX PROVISION</t>
  </si>
  <si>
    <t>Page 4 of 6</t>
  </si>
  <si>
    <t>401K PERFORMANCE MATCH</t>
  </si>
  <si>
    <t>ACCRUED SEVERANCE</t>
  </si>
  <si>
    <t>LONG TERM MEDICAL - FAS 112</t>
  </si>
  <si>
    <t>RESTORATION PLAN</t>
  </si>
  <si>
    <t>DEFERRED REVENUE</t>
  </si>
  <si>
    <t>LEGAL EXPENSES</t>
  </si>
  <si>
    <t>UNBILLED REVENUES</t>
  </si>
  <si>
    <t>DEFERRED INTEREST</t>
  </si>
  <si>
    <t>SUBTOTAL TEMPORARY DIFFERENCES</t>
  </si>
  <si>
    <t>Page 5 of 6</t>
  </si>
  <si>
    <t>AMORTIZATION</t>
  </si>
  <si>
    <t>COST OF REMOVAL</t>
  </si>
  <si>
    <t>REPAIRS</t>
  </si>
  <si>
    <t>CAPITALIZED INTEREST</t>
  </si>
  <si>
    <t>STATE TAX TRUEUP</t>
  </si>
  <si>
    <t>TRANSPORTATION</t>
  </si>
  <si>
    <t>PENALTIES</t>
  </si>
  <si>
    <t>AFUDC EQUITY</t>
  </si>
  <si>
    <t>AFUDC EQUITY-DEPR</t>
  </si>
  <si>
    <t>STATE TAXABLE INCOME (LOSS)</t>
  </si>
  <si>
    <t xml:space="preserve">NET OPERATING LOSS </t>
  </si>
  <si>
    <t>ADJUSTMENTS TO STATE INCOME TAX</t>
  </si>
  <si>
    <t>OUT OF PERIOD ADJUSTMENTS</t>
  </si>
  <si>
    <t>TOTAL ADJUSTMENTS TO STATE INCOME TAX</t>
  </si>
  <si>
    <t>Page 6 of 6</t>
  </si>
  <si>
    <t xml:space="preserve">FEDERAL TAXABLE INCOME </t>
  </si>
  <si>
    <t>NET OPERATING LOSS</t>
  </si>
  <si>
    <t>TOTAL ADJUSTMENTS TO FEDERAL INCOME TAX</t>
  </si>
  <si>
    <t>AMORTIZATION OF EXCESS DEFERRED TAXES</t>
  </si>
  <si>
    <t xml:space="preserve"> </t>
  </si>
  <si>
    <t>DOCKET No. 20240026-EI</t>
  </si>
  <si>
    <t>Witness: V. Strickland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</si>
</sst>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0_);\(#,##0.000\)"/>
    <numFmt numFmtId="167" formatCode="_(* #,##0.0000_);_(* \(#,##0.0000\);_(* &quot;-&quot;??_);_(@_)"/>
    <numFmt numFmtId="168" formatCode="_(* #,##0.000000_);_(* \(#,##0.000000\);_(* &quot;-&quot;??_);_(@_)"/>
    <numFmt numFmtId="169" formatCode="_(* #,##0.00000_);_(* \(#,##0.00000\);_(* &quot;-&quot;??_);_(@_)"/>
    <numFmt numFmtId="170" formatCode="_(* #,##0.00000000_);_(* \(#,##0.00000000\);_(* &quot;-&quot;??_);_(@_)"/>
    <numFmt numFmtId="171" formatCode="_(&quot;$&quot;* #,##0.000_);_(&quot;$&quot;* \(#,##0.00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u val="singleAccounting"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69">
    <xf numFmtId="0" fontId="0" fillId="0" borderId="0" xfId="0"/>
    <xf numFmtId="164" fontId="2" fillId="0" borderId="0" xfId="2" applyNumberFormat="1" applyFont="1" applyFill="1"/>
    <xf numFmtId="164" fontId="2" fillId="0" borderId="0" xfId="2" applyNumberFormat="1" applyFont="1" applyFill="1" applyBorder="1"/>
    <xf numFmtId="164" fontId="2" fillId="0" borderId="0" xfId="1" applyNumberFormat="1" applyFont="1" applyFill="1" applyBorder="1"/>
    <xf numFmtId="165" fontId="2" fillId="0" borderId="0" xfId="1" applyNumberFormat="1" applyFont="1" applyFill="1" applyBorder="1"/>
    <xf numFmtId="165" fontId="2" fillId="0" borderId="0" xfId="1" applyNumberFormat="1" applyFont="1" applyFill="1"/>
    <xf numFmtId="165" fontId="2" fillId="0" borderId="3" xfId="1" applyNumberFormat="1" applyFont="1" applyFill="1" applyBorder="1"/>
    <xf numFmtId="165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Border="1"/>
    <xf numFmtId="168" fontId="2" fillId="0" borderId="0" xfId="1" applyNumberFormat="1" applyFont="1" applyFill="1" applyBorder="1"/>
    <xf numFmtId="165" fontId="2" fillId="0" borderId="5" xfId="1" applyNumberFormat="1" applyFont="1" applyFill="1" applyBorder="1"/>
    <xf numFmtId="169" fontId="2" fillId="0" borderId="0" xfId="1" applyNumberFormat="1" applyFont="1" applyFill="1" applyBorder="1"/>
    <xf numFmtId="164" fontId="2" fillId="0" borderId="6" xfId="1" applyNumberFormat="1" applyFont="1" applyFill="1" applyBorder="1"/>
    <xf numFmtId="37" fontId="2" fillId="0" borderId="0" xfId="2" applyNumberFormat="1" applyFont="1" applyFill="1"/>
    <xf numFmtId="43" fontId="2" fillId="0" borderId="0" xfId="1" applyFont="1" applyFill="1"/>
    <xf numFmtId="165" fontId="5" fillId="0" borderId="0" xfId="1" applyNumberFormat="1" applyFont="1" applyFill="1" applyBorder="1" applyAlignment="1">
      <alignment horizontal="center"/>
    </xf>
    <xf numFmtId="170" fontId="2" fillId="0" borderId="0" xfId="1" applyNumberFormat="1" applyFont="1" applyFill="1" applyBorder="1"/>
    <xf numFmtId="164" fontId="2" fillId="0" borderId="0" xfId="1" applyNumberFormat="1" applyFont="1" applyFill="1"/>
    <xf numFmtId="165" fontId="2" fillId="0" borderId="0" xfId="1" applyNumberFormat="1" applyFont="1" applyFill="1" applyBorder="1" applyAlignment="1">
      <alignment horizontal="right"/>
    </xf>
    <xf numFmtId="0" fontId="2" fillId="0" borderId="1" xfId="3" applyFont="1" applyFill="1" applyBorder="1"/>
    <xf numFmtId="0" fontId="2" fillId="0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horizontal="right"/>
    </xf>
    <xf numFmtId="0" fontId="2" fillId="0" borderId="0" xfId="3" applyFont="1" applyFill="1"/>
    <xf numFmtId="0" fontId="2" fillId="0" borderId="2" xfId="3" applyFont="1" applyFill="1" applyBorder="1" applyAlignment="1">
      <alignment horizontal="left"/>
    </xf>
    <xf numFmtId="0" fontId="2" fillId="0" borderId="0" xfId="3" applyFont="1" applyFill="1" applyAlignment="1">
      <alignment horizontal="left"/>
    </xf>
    <xf numFmtId="0" fontId="2" fillId="0" borderId="0" xfId="3" applyFont="1" applyFill="1" applyAlignment="1">
      <alignment horizontal="right"/>
    </xf>
    <xf numFmtId="41" fontId="2" fillId="0" borderId="0" xfId="3" applyNumberFormat="1" applyFont="1" applyFill="1" applyAlignment="1">
      <alignment horizontal="left"/>
    </xf>
    <xf numFmtId="0" fontId="2" fillId="0" borderId="1" xfId="0" applyFont="1" applyFill="1" applyBorder="1"/>
    <xf numFmtId="0" fontId="2" fillId="0" borderId="0" xfId="3" applyFont="1" applyFill="1" applyAlignment="1">
      <alignment horizontal="center"/>
    </xf>
    <xf numFmtId="0" fontId="2" fillId="0" borderId="0" xfId="3" quotePrefix="1" applyFont="1" applyFill="1" applyAlignment="1">
      <alignment horizontal="center"/>
    </xf>
    <xf numFmtId="0" fontId="2" fillId="0" borderId="3" xfId="3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14" fontId="2" fillId="0" borderId="4" xfId="3" applyNumberFormat="1" applyFont="1" applyFill="1" applyBorder="1" applyAlignment="1">
      <alignment horizontal="center"/>
    </xf>
    <xf numFmtId="14" fontId="2" fillId="0" borderId="1" xfId="3" quotePrefix="1" applyNumberFormat="1" applyFont="1" applyFill="1" applyBorder="1" applyAlignment="1">
      <alignment horizontal="center"/>
    </xf>
    <xf numFmtId="14" fontId="2" fillId="0" borderId="1" xfId="3" applyNumberFormat="1" applyFont="1" applyFill="1" applyBorder="1" applyAlignment="1">
      <alignment horizontal="center"/>
    </xf>
    <xf numFmtId="0" fontId="2" fillId="0" borderId="1" xfId="3" quotePrefix="1" applyFont="1" applyFill="1" applyBorder="1" applyAlignment="1">
      <alignment horizontal="center"/>
    </xf>
    <xf numFmtId="5" fontId="2" fillId="0" borderId="0" xfId="3" applyNumberFormat="1" applyFont="1" applyFill="1" applyAlignment="1">
      <alignment horizontal="center"/>
    </xf>
    <xf numFmtId="164" fontId="2" fillId="0" borderId="0" xfId="3" applyNumberFormat="1" applyFont="1" applyFill="1" applyAlignment="1">
      <alignment horizontal="center"/>
    </xf>
    <xf numFmtId="14" fontId="2" fillId="0" borderId="0" xfId="3" applyNumberFormat="1" applyFont="1" applyFill="1" applyAlignment="1">
      <alignment horizontal="center"/>
    </xf>
    <xf numFmtId="14" fontId="2" fillId="0" borderId="0" xfId="3" quotePrefix="1" applyNumberFormat="1" applyFont="1" applyFill="1" applyAlignment="1">
      <alignment horizontal="center"/>
    </xf>
    <xf numFmtId="0" fontId="2" fillId="0" borderId="1" xfId="3" applyFont="1" applyFill="1" applyBorder="1" applyAlignment="1">
      <alignment horizontal="left"/>
    </xf>
    <xf numFmtId="0" fontId="4" fillId="0" borderId="0" xfId="3" applyFont="1" applyFill="1"/>
    <xf numFmtId="165" fontId="2" fillId="0" borderId="0" xfId="3" applyNumberFormat="1" applyFont="1" applyFill="1"/>
    <xf numFmtId="165" fontId="2" fillId="0" borderId="3" xfId="3" applyNumberFormat="1" applyFont="1" applyFill="1" applyBorder="1"/>
    <xf numFmtId="164" fontId="2" fillId="0" borderId="0" xfId="3" applyNumberFormat="1" applyFont="1" applyFill="1"/>
    <xf numFmtId="0" fontId="2" fillId="0" borderId="1" xfId="4" applyFont="1" applyFill="1" applyBorder="1" applyAlignment="1">
      <alignment horizontal="center" wrapText="1"/>
    </xf>
    <xf numFmtId="0" fontId="2" fillId="0" borderId="0" xfId="0" applyFont="1" applyFill="1"/>
    <xf numFmtId="165" fontId="2" fillId="0" borderId="0" xfId="0" applyNumberFormat="1" applyFont="1" applyFill="1"/>
    <xf numFmtId="6" fontId="2" fillId="0" borderId="0" xfId="3" applyNumberFormat="1" applyFont="1" applyFill="1"/>
    <xf numFmtId="37" fontId="2" fillId="0" borderId="0" xfId="3" applyNumberFormat="1" applyFont="1" applyFill="1"/>
    <xf numFmtId="3" fontId="2" fillId="0" borderId="0" xfId="3" applyNumberFormat="1" applyFont="1" applyFill="1"/>
    <xf numFmtId="0" fontId="2" fillId="0" borderId="6" xfId="3" applyFont="1" applyFill="1" applyBorder="1"/>
    <xf numFmtId="171" fontId="2" fillId="0" borderId="1" xfId="3" applyNumberFormat="1" applyFont="1" applyFill="1" applyBorder="1"/>
    <xf numFmtId="164" fontId="2" fillId="0" borderId="1" xfId="3" applyNumberFormat="1" applyFont="1" applyFill="1" applyBorder="1"/>
    <xf numFmtId="0" fontId="2" fillId="0" borderId="0" xfId="3" applyFont="1" applyFill="1" applyAlignment="1">
      <alignment horizontal="center"/>
    </xf>
    <xf numFmtId="0" fontId="8" fillId="0" borderId="0" xfId="3" applyFont="1" applyFill="1" applyAlignment="1">
      <alignment horizontal="right"/>
    </xf>
    <xf numFmtId="0" fontId="9" fillId="0" borderId="0" xfId="3" applyFont="1" applyFill="1"/>
    <xf numFmtId="0" fontId="1" fillId="0" borderId="0" xfId="3" applyFont="1" applyFill="1" applyAlignment="1">
      <alignment horizontal="center"/>
    </xf>
    <xf numFmtId="0" fontId="2" fillId="0" borderId="0" xfId="4" applyFont="1" applyFill="1" applyAlignment="1">
      <alignment horizontal="right" wrapText="1"/>
    </xf>
    <xf numFmtId="0" fontId="2" fillId="0" borderId="0" xfId="4" applyFont="1" applyFill="1" applyAlignment="1">
      <alignment wrapText="1"/>
    </xf>
    <xf numFmtId="165" fontId="2" fillId="0" borderId="0" xfId="1" quotePrefix="1" applyNumberFormat="1" applyFont="1" applyFill="1" applyBorder="1" applyAlignment="1">
      <alignment horizontal="center"/>
    </xf>
    <xf numFmtId="166" fontId="2" fillId="0" borderId="0" xfId="1" applyNumberFormat="1" applyFont="1" applyFill="1" applyBorder="1"/>
    <xf numFmtId="165" fontId="2" fillId="0" borderId="0" xfId="1" quotePrefix="1" applyNumberFormat="1" applyFont="1" applyFill="1"/>
    <xf numFmtId="0" fontId="2" fillId="0" borderId="0" xfId="4" quotePrefix="1" applyFont="1" applyFill="1" applyAlignment="1">
      <alignment horizontal="right" wrapText="1"/>
    </xf>
    <xf numFmtId="0" fontId="10" fillId="0" borderId="0" xfId="3" applyFont="1" applyFill="1"/>
    <xf numFmtId="165" fontId="11" fillId="0" borderId="0" xfId="1" applyNumberFormat="1" applyFont="1" applyFill="1"/>
    <xf numFmtId="37" fontId="2" fillId="0" borderId="3" xfId="3" applyNumberFormat="1" applyFont="1" applyFill="1" applyBorder="1"/>
    <xf numFmtId="165" fontId="12" fillId="0" borderId="0" xfId="1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3" xfId="3" xr:uid="{2CC03A5A-DAEA-4C50-9E49-338FDDCA7018}"/>
    <cellStyle name="Normal_Sheet1" xfId="4" xr:uid="{7E753849-6475-47D8-B88E-8C1F99DE2254}"/>
  </cellStyles>
  <dxfs count="0"/>
  <tableStyles count="1" defaultTableStyle="TableStyleMedium2" defaultPivotStyle="PivotStyleLight16">
    <tableStyle name="Invisible" pivot="0" table="0" count="0" xr9:uid="{7C324270-F5D7-4BC6-9320-038D581A74F3}"/>
  </tableStyles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EOUT/PAGES/2006/FEB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XV/AppData/Local/Microsoft/Windows/Temporary%20Internet%20Files/Content.Outlook/R0XXJMNP/mfr_template_2014_budget_12201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TXB/Thuy/Check%20Financial%20pages/0905%20CHECK%20PAGE%201%20TO%20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krbk/LOCALS~1/Temp/MFR_2008%20Actu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SR%202007%20Budget_Final_FILED_0227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CAS/LOCALS~1/Temp/MFR_E_BJ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3%20Rate%20Case%20Documents\MFRs\2014%20MFRs\FINAL_MFRs_2014_0205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BUDGET/UPDATE/2007/EARNINGS%20ESTIMATES/2007_12&amp;0_EE%20Dec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xSurv-06Dec_021407_FIL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ECTRIC\Rate%20Case\2022%20Rate%20Case\2022%20RATE%20CASE%20DRY%20RUN\2022%20RATE%20CASE%20Tax%20MFR's_incl%202021%20&amp;%202022%20Budget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DATA\ELECTRIC\Rate%20Case\2024%20Rate%20Case\2022-2024%20RATE%20CASE%20DRY%20RUN\2024%20RATE%20CASE%20Tax%20MFR's_2022%20DRY%20RUN%20-%2009.26.23.xlsm" TargetMode="External"/><Relationship Id="rId1" Type="http://schemas.openxmlformats.org/officeDocument/2006/relationships/externalLinkPath" Target="https://tecoenergy.sharepoint.com/SHARDATA/ELECTRIC/Rate%20Case/2024%20Rate%20Case/2022-2024%20RATE%20CASE%20DRY%20RUN/2024%20RATE%20CASE%20Tax%20MFR's_2022%20DRY%20RUN%20-%2009.26.2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gulatory\2021%20Rate%20Case\MFR\Final%20Versions\2021%20Rate%20Case%20MFR%20-%20All%20Templates%20-%20Link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LOSEOUT/PAGES/2004/FIN%20REPORT/JUN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LH_Notes"/>
      <sheetName val="MFR_SUMMARY"/>
      <sheetName val="MFR_EXTRACT"/>
      <sheetName val="B-7"/>
      <sheetName val="B-9"/>
      <sheetName val="SOP worksht"/>
      <sheetName val="&lt;&lt;not_used&gt;&gt;"/>
      <sheetName val="BALSHT"/>
      <sheetName val="acq_adj"/>
      <sheetName val="TST_DISMANTLEME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_FAC"/>
      <sheetName val="SEPSTUDY"/>
      <sheetName val="O_M"/>
      <sheetName val="Cap Struct"/>
      <sheetName val="BALSHT"/>
      <sheetName val="D-1b"/>
      <sheetName val="A-1"/>
      <sheetName val="B-1"/>
      <sheetName val="B-2"/>
      <sheetName val="B-3"/>
      <sheetName val="B-3_page #"/>
      <sheetName val="B-17"/>
      <sheetName val="B-6"/>
      <sheetName val="NOI"/>
      <sheetName val="C-1"/>
      <sheetName val="C-2"/>
      <sheetName val="C-3"/>
      <sheetName val="C-4"/>
      <sheetName val="C-5"/>
      <sheetName val="C-11"/>
      <sheetName val="C-23"/>
      <sheetName val="C-44"/>
      <sheetName val="D-1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2Formatted"/>
      <sheetName val="B-22draft"/>
      <sheetName val="B-23 Formatted"/>
      <sheetName val="B-23draft"/>
      <sheetName val="C-20 (from Brady G.)"/>
      <sheetName val="C-21 (from Brady G.)"/>
      <sheetName val="C-22Formatted"/>
      <sheetName val="C-23 (Hal B.)"/>
      <sheetName val="C-23 2021 From Hal "/>
      <sheetName val="C-22draft"/>
      <sheetName val="C-25"/>
      <sheetName val="C-26"/>
      <sheetName val="C-27"/>
      <sheetName val="C-28"/>
      <sheetName val="from Others ---&gt;&gt;"/>
      <sheetName val="G-12 (see C-22 (12-31-06)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-22"/>
      <sheetName val="B-23 "/>
      <sheetName val="C-22"/>
      <sheetName val="C-25"/>
      <sheetName val="C-26"/>
      <sheetName val="C-27"/>
      <sheetName val="C-28"/>
      <sheetName val="from Others ---&gt;&gt;"/>
      <sheetName val="C-20 (from Brady G.)"/>
      <sheetName val="C-21 (from Brady G.)"/>
      <sheetName val="C-23 Final 2.24.21"/>
      <sheetName val="C-23 (from Riley)"/>
      <sheetName val="G-12 (see C-22 (12-31-06)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Data"/>
      <sheetName val="Schedules"/>
      <sheetName val="A-1"/>
      <sheetName val="A-2"/>
      <sheetName val="A-3"/>
      <sheetName val="A-4"/>
      <sheetName val="A-5"/>
      <sheetName val="BalDat"/>
      <sheetName val="BsWksHY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4C1ED-1BD8-4B06-8B60-A52870039E93}">
  <sheetPr>
    <tabColor rgb="FFFFFF00"/>
  </sheetPr>
  <dimension ref="A1:AQ328"/>
  <sheetViews>
    <sheetView tabSelected="1" view="pageBreakPreview" zoomScale="80" zoomScaleNormal="100" zoomScaleSheetLayoutView="80" workbookViewId="0">
      <selection activeCell="J97" sqref="J97:J98"/>
    </sheetView>
  </sheetViews>
  <sheetFormatPr defaultColWidth="9.109375" defaultRowHeight="14.1" customHeight="1" x14ac:dyDescent="0.2"/>
  <cols>
    <col min="1" max="1" width="3.5546875" style="22" customWidth="1"/>
    <col min="2" max="2" width="6.88671875" style="22" bestFit="1" customWidth="1"/>
    <col min="3" max="3" width="9.5546875" style="22" customWidth="1"/>
    <col min="4" max="4" width="18.5546875" style="22" customWidth="1"/>
    <col min="5" max="5" width="9.5546875" style="22" customWidth="1"/>
    <col min="6" max="6" width="7.44140625" style="22" customWidth="1"/>
    <col min="7" max="15" width="9.5546875" style="22" customWidth="1"/>
    <col min="16" max="16" width="10.109375" style="22" customWidth="1"/>
    <col min="17" max="18" width="9.5546875" style="22" customWidth="1"/>
    <col min="19" max="19" width="10.44140625" style="22" customWidth="1"/>
    <col min="20" max="20" width="13.33203125" style="22" bestFit="1" customWidth="1"/>
    <col min="21" max="16384" width="9.109375" style="22"/>
  </cols>
  <sheetData>
    <row r="1" spans="1:19" ht="14.1" customHeight="1" thickBot="1" x14ac:dyDescent="0.25">
      <c r="A1" s="19" t="s">
        <v>0</v>
      </c>
      <c r="B1" s="19"/>
      <c r="C1" s="19"/>
      <c r="D1" s="19"/>
      <c r="E1" s="19"/>
      <c r="F1" s="19"/>
      <c r="G1" s="19"/>
      <c r="H1" s="20" t="s">
        <v>1</v>
      </c>
      <c r="I1" s="20"/>
      <c r="J1" s="20"/>
      <c r="K1" s="20"/>
      <c r="L1" s="20"/>
      <c r="M1" s="19"/>
      <c r="N1" s="19"/>
      <c r="O1" s="19"/>
      <c r="P1" s="19"/>
      <c r="Q1" s="19"/>
      <c r="R1" s="19"/>
      <c r="S1" s="21" t="s">
        <v>2</v>
      </c>
    </row>
    <row r="2" spans="1:19" ht="14.1" customHeight="1" x14ac:dyDescent="0.2">
      <c r="A2" s="22" t="s">
        <v>3</v>
      </c>
      <c r="F2" s="22" t="s">
        <v>4</v>
      </c>
      <c r="G2" s="22" t="s">
        <v>5</v>
      </c>
      <c r="K2" s="23"/>
      <c r="L2" s="23"/>
      <c r="N2" s="23"/>
      <c r="O2" s="23"/>
      <c r="P2" s="23" t="s">
        <v>6</v>
      </c>
      <c r="S2" s="24"/>
    </row>
    <row r="3" spans="1:19" ht="14.1" customHeight="1" x14ac:dyDescent="0.2">
      <c r="G3" s="22" t="s">
        <v>7</v>
      </c>
      <c r="K3" s="25"/>
      <c r="L3" s="24"/>
      <c r="O3" s="56"/>
      <c r="P3" s="25" t="s">
        <v>8</v>
      </c>
      <c r="Q3" s="26" t="s">
        <v>9</v>
      </c>
      <c r="S3" s="25"/>
    </row>
    <row r="4" spans="1:19" ht="14.1" customHeight="1" x14ac:dyDescent="0.2">
      <c r="A4" s="22" t="s">
        <v>10</v>
      </c>
      <c r="K4" s="25"/>
      <c r="L4" s="24"/>
      <c r="M4" s="25"/>
      <c r="O4" s="56"/>
      <c r="P4" s="25"/>
      <c r="Q4" s="26" t="s">
        <v>11</v>
      </c>
      <c r="S4" s="25"/>
    </row>
    <row r="5" spans="1:19" ht="14.1" customHeight="1" x14ac:dyDescent="0.25">
      <c r="G5" s="57"/>
      <c r="K5" s="25"/>
      <c r="L5" s="24"/>
      <c r="M5" s="25"/>
      <c r="O5" s="56"/>
      <c r="P5" s="25"/>
      <c r="Q5" s="26" t="s">
        <v>12</v>
      </c>
      <c r="S5" s="25"/>
    </row>
    <row r="6" spans="1:19" ht="14.1" customHeight="1" thickBot="1" x14ac:dyDescent="0.25">
      <c r="A6" s="19" t="s">
        <v>129</v>
      </c>
      <c r="B6" s="19"/>
      <c r="C6" s="19"/>
      <c r="D6" s="19"/>
      <c r="E6" s="19"/>
      <c r="F6" s="19"/>
      <c r="G6" s="19"/>
      <c r="H6" s="19"/>
      <c r="I6" s="19"/>
      <c r="J6" s="20" t="s">
        <v>13</v>
      </c>
      <c r="K6" s="20"/>
      <c r="L6" s="19"/>
      <c r="M6" s="19"/>
      <c r="N6" s="19"/>
      <c r="O6" s="19"/>
      <c r="P6" s="19"/>
      <c r="Q6" s="27" t="s">
        <v>130</v>
      </c>
      <c r="R6" s="19"/>
      <c r="S6" s="19"/>
    </row>
    <row r="7" spans="1:19" ht="14.1" customHeight="1" x14ac:dyDescent="0.2"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8"/>
      <c r="R7" s="28"/>
      <c r="S7" s="29"/>
    </row>
    <row r="8" spans="1:19" ht="14.1" customHeight="1" x14ac:dyDescent="0.2">
      <c r="B8" s="28"/>
      <c r="C8" s="29"/>
      <c r="D8" s="29"/>
      <c r="E8" s="29"/>
      <c r="F8" s="29"/>
      <c r="G8" s="29"/>
      <c r="H8" s="28"/>
      <c r="I8" s="28"/>
      <c r="J8" s="29"/>
      <c r="K8" s="29"/>
      <c r="L8" s="28"/>
      <c r="M8" s="29"/>
      <c r="N8" s="29"/>
      <c r="O8" s="29"/>
      <c r="P8" s="29"/>
      <c r="Q8" s="28"/>
      <c r="R8" s="28"/>
      <c r="S8" s="29"/>
    </row>
    <row r="9" spans="1:19" ht="14.1" customHeight="1" x14ac:dyDescent="0.25">
      <c r="B9" s="28"/>
      <c r="C9" s="28"/>
      <c r="D9" s="28"/>
      <c r="E9" s="5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ht="14.1" customHeight="1" x14ac:dyDescent="0.2">
      <c r="A10" s="22" t="s">
        <v>14</v>
      </c>
      <c r="B10" s="28"/>
      <c r="C10" s="28"/>
      <c r="D10" s="28"/>
      <c r="E10" s="28"/>
      <c r="F10" s="29"/>
      <c r="G10" s="30"/>
      <c r="H10" s="30"/>
      <c r="I10" s="30" t="s">
        <v>15</v>
      </c>
      <c r="J10" s="30"/>
      <c r="K10" s="31"/>
      <c r="L10" s="29"/>
      <c r="M10" s="29"/>
      <c r="N10" s="30"/>
      <c r="O10" s="30"/>
      <c r="P10" s="31" t="s">
        <v>16</v>
      </c>
      <c r="Q10" s="31"/>
      <c r="R10" s="31"/>
      <c r="S10" s="28"/>
    </row>
    <row r="11" spans="1:19" ht="14.1" customHeight="1" thickBot="1" x14ac:dyDescent="0.25">
      <c r="A11" s="19" t="s">
        <v>17</v>
      </c>
      <c r="B11" s="32"/>
      <c r="C11" s="32" t="s">
        <v>18</v>
      </c>
      <c r="D11" s="32"/>
      <c r="E11" s="32"/>
      <c r="F11" s="32"/>
      <c r="G11" s="33" t="s">
        <v>19</v>
      </c>
      <c r="H11" s="33"/>
      <c r="I11" s="33" t="s">
        <v>20</v>
      </c>
      <c r="J11" s="34"/>
      <c r="K11" s="35" t="s">
        <v>21</v>
      </c>
      <c r="L11" s="34"/>
      <c r="M11" s="34"/>
      <c r="N11" s="36" t="s">
        <v>19</v>
      </c>
      <c r="O11" s="36"/>
      <c r="P11" s="36" t="s">
        <v>20</v>
      </c>
      <c r="Q11" s="36"/>
      <c r="R11" s="36" t="s">
        <v>21</v>
      </c>
      <c r="S11" s="36"/>
    </row>
    <row r="12" spans="1:19" ht="14.1" customHeight="1" x14ac:dyDescent="0.2">
      <c r="A12" s="22">
        <v>1</v>
      </c>
      <c r="B12" s="59"/>
      <c r="C12" s="1"/>
      <c r="D12" s="1"/>
      <c r="E12" s="1"/>
      <c r="F12" s="2"/>
      <c r="G12" s="2"/>
      <c r="H12" s="2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4.1" customHeight="1" x14ac:dyDescent="0.2">
      <c r="A13" s="22">
        <v>2</v>
      </c>
      <c r="B13" s="59"/>
      <c r="C13" s="1" t="s">
        <v>22</v>
      </c>
      <c r="D13" s="28"/>
      <c r="E13" s="28"/>
      <c r="F13" s="28"/>
      <c r="G13" s="3">
        <f>+I13</f>
        <v>587662</v>
      </c>
      <c r="H13" s="37"/>
      <c r="I13" s="38">
        <f>+I17-I14+I15</f>
        <v>587662</v>
      </c>
      <c r="J13" s="39"/>
      <c r="L13" s="40"/>
      <c r="M13" s="40"/>
      <c r="N13" s="29"/>
      <c r="O13" s="29"/>
      <c r="P13" s="29"/>
      <c r="Q13" s="2"/>
      <c r="R13" s="2"/>
      <c r="S13" s="2"/>
    </row>
    <row r="14" spans="1:19" ht="14.1" customHeight="1" x14ac:dyDescent="0.2">
      <c r="A14" s="22">
        <v>3</v>
      </c>
      <c r="B14" s="60"/>
      <c r="C14" s="1" t="s">
        <v>23</v>
      </c>
      <c r="D14" s="1"/>
      <c r="E14" s="1"/>
      <c r="F14" s="2"/>
      <c r="G14" s="4">
        <f>+I14</f>
        <v>28851</v>
      </c>
      <c r="H14" s="4"/>
      <c r="I14" s="4">
        <f>28915+SUM(N28:P28)</f>
        <v>28851</v>
      </c>
      <c r="J14" s="5"/>
      <c r="K14" s="5"/>
      <c r="L14" s="5"/>
      <c r="M14" s="5"/>
      <c r="N14" s="5"/>
      <c r="O14" s="5"/>
      <c r="P14" s="5"/>
      <c r="Q14" s="4"/>
      <c r="R14" s="4"/>
      <c r="S14" s="4"/>
    </row>
    <row r="15" spans="1:19" ht="14.1" customHeight="1" x14ac:dyDescent="0.2">
      <c r="A15" s="22">
        <v>4</v>
      </c>
      <c r="B15" s="60"/>
      <c r="C15" s="1" t="s">
        <v>24</v>
      </c>
      <c r="F15" s="2"/>
      <c r="G15" s="6">
        <f>+I15</f>
        <v>206541</v>
      </c>
      <c r="H15" s="4"/>
      <c r="I15" s="6">
        <v>206541</v>
      </c>
      <c r="J15" s="5"/>
      <c r="K15" s="5"/>
      <c r="L15" s="5"/>
      <c r="M15" s="4"/>
      <c r="N15" s="4"/>
      <c r="O15" s="4"/>
      <c r="P15" s="4"/>
      <c r="Q15" s="4"/>
      <c r="R15" s="4"/>
      <c r="S15" s="4"/>
    </row>
    <row r="16" spans="1:19" ht="14.1" customHeight="1" x14ac:dyDescent="0.2">
      <c r="A16" s="22">
        <v>5</v>
      </c>
      <c r="B16" s="60"/>
      <c r="C16" s="1"/>
      <c r="F16" s="4"/>
      <c r="G16" s="4"/>
      <c r="H16" s="4"/>
      <c r="I16" s="4"/>
      <c r="J16" s="5"/>
      <c r="K16" s="5"/>
      <c r="L16" s="5"/>
      <c r="M16" s="4"/>
      <c r="N16" s="4"/>
      <c r="O16" s="4"/>
      <c r="P16" s="4"/>
      <c r="Q16" s="4"/>
      <c r="R16" s="4"/>
      <c r="S16" s="4"/>
    </row>
    <row r="17" spans="1:19" ht="14.1" customHeight="1" x14ac:dyDescent="0.2">
      <c r="A17" s="22">
        <v>6</v>
      </c>
      <c r="B17" s="60"/>
      <c r="C17" s="1" t="s">
        <v>25</v>
      </c>
      <c r="F17" s="4"/>
      <c r="G17" s="6">
        <f>I17</f>
        <v>409972</v>
      </c>
      <c r="H17" s="4"/>
      <c r="I17" s="6">
        <v>409972</v>
      </c>
      <c r="J17" s="4"/>
      <c r="K17" s="7"/>
      <c r="L17" s="4"/>
      <c r="M17" s="4"/>
      <c r="N17" s="4"/>
      <c r="O17" s="4"/>
      <c r="P17" s="4"/>
      <c r="Q17" s="4"/>
      <c r="R17" s="4"/>
      <c r="S17" s="4"/>
    </row>
    <row r="18" spans="1:19" ht="14.1" customHeight="1" x14ac:dyDescent="0.2">
      <c r="A18" s="22">
        <v>7</v>
      </c>
      <c r="B18" s="60"/>
      <c r="C18" s="1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4.1" customHeight="1" x14ac:dyDescent="0.2">
      <c r="A19" s="22">
        <v>8</v>
      </c>
      <c r="B19" s="60"/>
      <c r="C19" s="1" t="s">
        <v>26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4.1" customHeight="1" x14ac:dyDescent="0.2">
      <c r="A20" s="22">
        <v>9</v>
      </c>
      <c r="B20" s="60"/>
      <c r="C20" s="1" t="s">
        <v>27</v>
      </c>
      <c r="F20" s="4"/>
      <c r="G20" s="5">
        <f t="shared" ref="G20" si="0">I20</f>
        <v>552854</v>
      </c>
      <c r="H20" s="4"/>
      <c r="I20" s="4">
        <v>552854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4.1" customHeight="1" x14ac:dyDescent="0.2">
      <c r="A21" s="22">
        <v>10</v>
      </c>
      <c r="B21" s="60"/>
      <c r="C21" s="1" t="s">
        <v>28</v>
      </c>
      <c r="F21" s="4"/>
      <c r="G21" s="6">
        <f>-333539-G20</f>
        <v>-886393</v>
      </c>
      <c r="H21" s="61"/>
      <c r="I21" s="6">
        <f>-324730-I20</f>
        <v>-877584</v>
      </c>
      <c r="J21" s="4"/>
      <c r="K21" s="4"/>
      <c r="L21" s="4"/>
      <c r="M21" s="62"/>
      <c r="N21" s="4"/>
      <c r="P21" s="4"/>
      <c r="R21" s="4"/>
      <c r="S21" s="4"/>
    </row>
    <row r="22" spans="1:19" ht="14.1" customHeight="1" x14ac:dyDescent="0.2">
      <c r="A22" s="22">
        <v>11</v>
      </c>
      <c r="B22" s="60"/>
      <c r="C22" s="1"/>
      <c r="D22" s="22" t="s">
        <v>29</v>
      </c>
      <c r="F22" s="4"/>
      <c r="G22" s="4">
        <f>+G20+G21</f>
        <v>-333539</v>
      </c>
      <c r="H22" s="61"/>
      <c r="I22" s="4">
        <f>+I20+I21</f>
        <v>-324730</v>
      </c>
      <c r="J22" s="4"/>
      <c r="K22" s="4"/>
      <c r="M22" s="4"/>
      <c r="N22" s="4">
        <f>-G22*0.055</f>
        <v>18344.645</v>
      </c>
      <c r="O22" s="4"/>
      <c r="P22" s="5">
        <f>(-I22-N22)*0.21+1</f>
        <v>64341.924549999996</v>
      </c>
      <c r="Q22" s="4"/>
      <c r="R22" s="4"/>
      <c r="S22" s="4"/>
    </row>
    <row r="23" spans="1:19" ht="14.1" customHeight="1" x14ac:dyDescent="0.2">
      <c r="A23" s="22">
        <v>12</v>
      </c>
      <c r="B23" s="60"/>
      <c r="C23" s="1"/>
      <c r="D23" s="1" t="s">
        <v>30</v>
      </c>
      <c r="E23" s="1"/>
      <c r="F23" s="1"/>
      <c r="G23" s="5">
        <f t="shared" ref="G23:G53" si="1">I23</f>
        <v>1014</v>
      </c>
      <c r="H23" s="1"/>
      <c r="I23" s="5">
        <v>1014</v>
      </c>
      <c r="J23" s="4"/>
      <c r="K23" s="4"/>
      <c r="L23" s="4"/>
      <c r="M23" s="4"/>
      <c r="N23" s="4">
        <f>-G23*0.055</f>
        <v>-55.77</v>
      </c>
      <c r="O23" s="8"/>
      <c r="P23" s="4">
        <f>-I23*0.19845</f>
        <v>-201.22829999999999</v>
      </c>
      <c r="Q23" s="4"/>
      <c r="R23" s="4"/>
      <c r="S23" s="4"/>
    </row>
    <row r="24" spans="1:19" ht="14.1" customHeight="1" x14ac:dyDescent="0.2">
      <c r="A24" s="22">
        <v>13</v>
      </c>
      <c r="B24" s="60"/>
      <c r="C24" s="1"/>
      <c r="D24" s="1" t="s">
        <v>31</v>
      </c>
      <c r="E24" s="1"/>
      <c r="F24" s="1"/>
      <c r="G24" s="5">
        <f t="shared" si="1"/>
        <v>683</v>
      </c>
      <c r="H24" s="1"/>
      <c r="I24" s="5">
        <v>683</v>
      </c>
      <c r="J24" s="4"/>
      <c r="K24" s="4"/>
      <c r="L24" s="4"/>
      <c r="M24" s="4"/>
      <c r="N24" s="4">
        <f t="shared" ref="N24:N52" si="2">-G24*0.055</f>
        <v>-37.564999999999998</v>
      </c>
      <c r="O24" s="8"/>
      <c r="P24" s="4">
        <f t="shared" ref="P24:P52" si="3">-I24*0.19845</f>
        <v>-135.54134999999999</v>
      </c>
      <c r="Q24" s="4"/>
      <c r="R24" s="4"/>
      <c r="S24" s="4"/>
    </row>
    <row r="25" spans="1:19" ht="14.1" customHeight="1" x14ac:dyDescent="0.2">
      <c r="A25" s="22">
        <v>14</v>
      </c>
      <c r="B25" s="60"/>
      <c r="C25" s="1"/>
      <c r="D25" s="1" t="s">
        <v>32</v>
      </c>
      <c r="E25" s="1"/>
      <c r="F25" s="1"/>
      <c r="G25" s="5">
        <f t="shared" si="1"/>
        <v>-5000</v>
      </c>
      <c r="H25" s="1"/>
      <c r="I25" s="5">
        <v>-5000</v>
      </c>
      <c r="J25" s="4"/>
      <c r="K25" s="4"/>
      <c r="L25" s="4"/>
      <c r="M25" s="4"/>
      <c r="N25" s="4">
        <f t="shared" si="2"/>
        <v>275</v>
      </c>
      <c r="O25" s="8"/>
      <c r="P25" s="4">
        <f t="shared" si="3"/>
        <v>992.24999999999989</v>
      </c>
      <c r="Q25" s="4"/>
      <c r="R25" s="4"/>
      <c r="S25" s="4"/>
    </row>
    <row r="26" spans="1:19" ht="14.1" customHeight="1" x14ac:dyDescent="0.2">
      <c r="A26" s="22">
        <v>15</v>
      </c>
      <c r="B26" s="60"/>
      <c r="D26" s="22" t="s">
        <v>33</v>
      </c>
      <c r="G26" s="5">
        <f t="shared" si="1"/>
        <v>-700</v>
      </c>
      <c r="I26" s="63">
        <v>-700</v>
      </c>
      <c r="N26" s="4">
        <f t="shared" si="2"/>
        <v>38.5</v>
      </c>
      <c r="O26" s="8"/>
      <c r="P26" s="4">
        <f t="shared" si="3"/>
        <v>138.91499999999999</v>
      </c>
      <c r="Q26" s="4"/>
      <c r="R26" s="4"/>
      <c r="S26" s="4"/>
    </row>
    <row r="27" spans="1:19" ht="14.1" customHeight="1" x14ac:dyDescent="0.2">
      <c r="A27" s="22">
        <v>16</v>
      </c>
      <c r="B27" s="60"/>
      <c r="C27" s="1"/>
      <c r="D27" s="1" t="s">
        <v>34</v>
      </c>
      <c r="E27" s="1"/>
      <c r="F27" s="1"/>
      <c r="G27" s="5">
        <f t="shared" si="1"/>
        <v>2077</v>
      </c>
      <c r="H27" s="1"/>
      <c r="I27" s="5">
        <v>2077</v>
      </c>
      <c r="J27" s="4"/>
      <c r="K27" s="4"/>
      <c r="L27" s="4"/>
      <c r="M27" s="4"/>
      <c r="N27" s="4">
        <f t="shared" si="2"/>
        <v>-114.235</v>
      </c>
      <c r="O27" s="8"/>
      <c r="P27" s="4">
        <f t="shared" si="3"/>
        <v>-412.18064999999996</v>
      </c>
      <c r="Q27" s="4"/>
      <c r="R27" s="4"/>
      <c r="S27" s="4"/>
    </row>
    <row r="28" spans="1:19" ht="14.1" customHeight="1" x14ac:dyDescent="0.2">
      <c r="A28" s="22">
        <v>17</v>
      </c>
      <c r="B28" s="60"/>
      <c r="C28" s="1"/>
      <c r="D28" s="1" t="s">
        <v>35</v>
      </c>
      <c r="G28" s="5">
        <f t="shared" si="1"/>
        <v>0</v>
      </c>
      <c r="I28" s="5">
        <v>0</v>
      </c>
      <c r="N28" s="4">
        <f>ROUND(-250*0.055,0)</f>
        <v>-14</v>
      </c>
      <c r="O28" s="8"/>
      <c r="P28" s="4">
        <f>ROUND(-250*0.19845,0)</f>
        <v>-50</v>
      </c>
      <c r="Q28" s="4"/>
      <c r="R28" s="4"/>
      <c r="S28" s="4"/>
    </row>
    <row r="29" spans="1:19" ht="14.1" customHeight="1" x14ac:dyDescent="0.2">
      <c r="A29" s="22">
        <v>18</v>
      </c>
      <c r="B29" s="60"/>
      <c r="C29" s="1"/>
      <c r="D29" s="1" t="s">
        <v>36</v>
      </c>
      <c r="E29" s="1"/>
      <c r="F29" s="1"/>
      <c r="G29" s="5">
        <f t="shared" si="1"/>
        <v>-8843</v>
      </c>
      <c r="H29" s="1"/>
      <c r="I29" s="5">
        <v>-8843</v>
      </c>
      <c r="J29" s="4"/>
      <c r="K29" s="4"/>
      <c r="L29" s="4"/>
      <c r="M29" s="4"/>
      <c r="N29" s="4">
        <f t="shared" si="2"/>
        <v>486.36500000000001</v>
      </c>
      <c r="O29" s="8"/>
      <c r="P29" s="4">
        <f t="shared" si="3"/>
        <v>1754.8933499999998</v>
      </c>
      <c r="Q29" s="4"/>
      <c r="R29" s="4"/>
      <c r="S29" s="4"/>
    </row>
    <row r="30" spans="1:19" ht="14.1" customHeight="1" x14ac:dyDescent="0.2">
      <c r="A30" s="22">
        <v>19</v>
      </c>
      <c r="B30" s="60"/>
      <c r="D30" s="22" t="s">
        <v>37</v>
      </c>
      <c r="G30" s="5">
        <f t="shared" si="1"/>
        <v>130</v>
      </c>
      <c r="I30" s="22">
        <v>130</v>
      </c>
      <c r="N30" s="4">
        <f t="shared" si="2"/>
        <v>-7.15</v>
      </c>
      <c r="O30" s="8"/>
      <c r="P30" s="4">
        <f t="shared" si="3"/>
        <v>-25.798499999999997</v>
      </c>
      <c r="Q30" s="4"/>
      <c r="R30" s="4"/>
      <c r="S30" s="4"/>
    </row>
    <row r="31" spans="1:19" ht="14.1" customHeight="1" x14ac:dyDescent="0.2">
      <c r="A31" s="22">
        <v>20</v>
      </c>
      <c r="B31" s="60"/>
      <c r="D31" s="1" t="s">
        <v>38</v>
      </c>
      <c r="E31" s="1"/>
      <c r="F31" s="1"/>
      <c r="G31" s="5">
        <f t="shared" si="1"/>
        <v>-176</v>
      </c>
      <c r="H31" s="1"/>
      <c r="I31" s="5">
        <v>-176</v>
      </c>
      <c r="J31" s="4"/>
      <c r="K31" s="4"/>
      <c r="L31" s="4"/>
      <c r="M31" s="4"/>
      <c r="N31" s="4">
        <f t="shared" si="2"/>
        <v>9.68</v>
      </c>
      <c r="O31" s="8"/>
      <c r="P31" s="4">
        <f t="shared" si="3"/>
        <v>34.927199999999999</v>
      </c>
      <c r="Q31" s="4"/>
      <c r="R31" s="4"/>
      <c r="S31" s="4"/>
    </row>
    <row r="32" spans="1:19" ht="14.1" customHeight="1" x14ac:dyDescent="0.2">
      <c r="A32" s="22">
        <v>21</v>
      </c>
      <c r="B32" s="60"/>
      <c r="C32" s="1"/>
      <c r="D32" s="1" t="s">
        <v>39</v>
      </c>
      <c r="E32" s="1"/>
      <c r="F32" s="1"/>
      <c r="G32" s="5">
        <f t="shared" si="1"/>
        <v>329</v>
      </c>
      <c r="H32" s="1"/>
      <c r="I32" s="5">
        <v>329</v>
      </c>
      <c r="J32" s="4"/>
      <c r="K32" s="4"/>
      <c r="L32" s="4"/>
      <c r="M32" s="4"/>
      <c r="N32" s="4">
        <f t="shared" si="2"/>
        <v>-18.094999999999999</v>
      </c>
      <c r="O32" s="8"/>
      <c r="P32" s="4">
        <f t="shared" si="3"/>
        <v>-65.290049999999994</v>
      </c>
      <c r="Q32" s="4"/>
      <c r="R32" s="4"/>
      <c r="S32" s="4"/>
    </row>
    <row r="33" spans="1:19" ht="14.1" customHeight="1" x14ac:dyDescent="0.2">
      <c r="A33" s="22">
        <v>22</v>
      </c>
      <c r="B33" s="60"/>
      <c r="C33" s="1"/>
      <c r="D33" s="1" t="s">
        <v>40</v>
      </c>
      <c r="E33" s="1"/>
      <c r="F33" s="1"/>
      <c r="G33" s="5">
        <f t="shared" si="1"/>
        <v>26</v>
      </c>
      <c r="H33" s="1"/>
      <c r="I33" s="5">
        <v>26</v>
      </c>
      <c r="J33" s="4"/>
      <c r="K33" s="4"/>
      <c r="L33" s="4"/>
      <c r="M33" s="4"/>
      <c r="N33" s="4">
        <f t="shared" si="2"/>
        <v>-1.43</v>
      </c>
      <c r="O33" s="8"/>
      <c r="P33" s="4">
        <f t="shared" si="3"/>
        <v>-5.1597</v>
      </c>
      <c r="Q33" s="4"/>
      <c r="R33" s="4"/>
      <c r="S33" s="4"/>
    </row>
    <row r="34" spans="1:19" ht="14.1" customHeight="1" x14ac:dyDescent="0.2">
      <c r="A34" s="22">
        <v>23</v>
      </c>
      <c r="B34" s="60"/>
      <c r="C34" s="1"/>
      <c r="D34" s="1" t="s">
        <v>41</v>
      </c>
      <c r="E34" s="1"/>
      <c r="F34" s="1"/>
      <c r="G34" s="5">
        <f t="shared" si="1"/>
        <v>-7</v>
      </c>
      <c r="H34" s="1"/>
      <c r="I34" s="5">
        <v>-7</v>
      </c>
      <c r="J34" s="4"/>
      <c r="K34" s="4"/>
      <c r="L34" s="4"/>
      <c r="M34" s="4"/>
      <c r="N34" s="4">
        <f t="shared" si="2"/>
        <v>0.38500000000000001</v>
      </c>
      <c r="O34" s="8"/>
      <c r="P34" s="4">
        <f t="shared" si="3"/>
        <v>1.3891499999999999</v>
      </c>
      <c r="Q34" s="4"/>
      <c r="R34" s="4"/>
      <c r="S34" s="4"/>
    </row>
    <row r="35" spans="1:19" ht="14.1" customHeight="1" x14ac:dyDescent="0.2">
      <c r="A35" s="22">
        <v>24</v>
      </c>
      <c r="B35" s="60"/>
      <c r="C35" s="1"/>
      <c r="D35" s="1" t="s">
        <v>42</v>
      </c>
      <c r="E35" s="1"/>
      <c r="F35" s="1"/>
      <c r="G35" s="5">
        <f t="shared" si="1"/>
        <v>-1314</v>
      </c>
      <c r="H35" s="1"/>
      <c r="I35" s="5">
        <v>-1314</v>
      </c>
      <c r="J35" s="4"/>
      <c r="K35" s="4"/>
      <c r="L35" s="4"/>
      <c r="M35" s="4"/>
      <c r="N35" s="4">
        <f t="shared" si="2"/>
        <v>72.27</v>
      </c>
      <c r="O35" s="8"/>
      <c r="P35" s="4">
        <f t="shared" si="3"/>
        <v>260.76329999999996</v>
      </c>
      <c r="Q35" s="4"/>
      <c r="R35" s="4"/>
      <c r="S35" s="4"/>
    </row>
    <row r="36" spans="1:19" ht="14.1" customHeight="1" x14ac:dyDescent="0.2">
      <c r="A36" s="22">
        <v>25</v>
      </c>
      <c r="B36" s="60"/>
      <c r="C36" s="1"/>
      <c r="D36" s="1" t="s">
        <v>43</v>
      </c>
      <c r="E36" s="1"/>
      <c r="F36" s="1"/>
      <c r="G36" s="5">
        <f t="shared" si="1"/>
        <v>425</v>
      </c>
      <c r="H36" s="1"/>
      <c r="I36" s="5">
        <v>425</v>
      </c>
      <c r="J36" s="4"/>
      <c r="K36" s="4"/>
      <c r="L36" s="4"/>
      <c r="M36" s="4"/>
      <c r="N36" s="4">
        <f t="shared" si="2"/>
        <v>-23.375</v>
      </c>
      <c r="O36" s="8"/>
      <c r="P36" s="4">
        <f t="shared" si="3"/>
        <v>-84.341249999999988</v>
      </c>
      <c r="Q36" s="4"/>
      <c r="R36" s="4"/>
      <c r="S36" s="4"/>
    </row>
    <row r="37" spans="1:19" ht="14.1" customHeight="1" x14ac:dyDescent="0.2">
      <c r="A37" s="22">
        <v>26</v>
      </c>
      <c r="B37" s="60"/>
      <c r="C37" s="1"/>
      <c r="D37" s="1" t="s">
        <v>44</v>
      </c>
      <c r="E37" s="1"/>
      <c r="F37" s="1"/>
      <c r="G37" s="4">
        <f t="shared" si="1"/>
        <v>4</v>
      </c>
      <c r="H37" s="1"/>
      <c r="I37" s="5">
        <v>4</v>
      </c>
      <c r="J37" s="4"/>
      <c r="K37" s="4"/>
      <c r="L37" s="4"/>
      <c r="M37" s="4"/>
      <c r="N37" s="4">
        <f t="shared" si="2"/>
        <v>-0.22</v>
      </c>
      <c r="O37" s="8"/>
      <c r="P37" s="4">
        <f t="shared" si="3"/>
        <v>-0.79379999999999995</v>
      </c>
      <c r="Q37" s="4"/>
      <c r="R37" s="4"/>
      <c r="S37" s="4"/>
    </row>
    <row r="38" spans="1:19" ht="14.1" customHeight="1" x14ac:dyDescent="0.2">
      <c r="A38" s="22">
        <v>27</v>
      </c>
      <c r="B38" s="60"/>
      <c r="C38" s="1"/>
      <c r="D38" s="1" t="s">
        <v>45</v>
      </c>
      <c r="G38" s="4">
        <f t="shared" si="1"/>
        <v>69</v>
      </c>
      <c r="H38" s="4"/>
      <c r="I38" s="5">
        <v>69</v>
      </c>
      <c r="J38" s="4"/>
      <c r="K38" s="4"/>
      <c r="L38" s="4"/>
      <c r="M38" s="4"/>
      <c r="N38" s="4">
        <f t="shared" si="2"/>
        <v>-3.7949999999999999</v>
      </c>
      <c r="O38" s="4"/>
      <c r="P38" s="4">
        <f t="shared" si="3"/>
        <v>-13.693049999999999</v>
      </c>
      <c r="Q38" s="4"/>
      <c r="R38" s="4"/>
      <c r="S38" s="4"/>
    </row>
    <row r="39" spans="1:19" ht="14.1" customHeight="1" x14ac:dyDescent="0.2">
      <c r="A39" s="22">
        <v>28</v>
      </c>
      <c r="B39" s="60"/>
      <c r="C39" s="1"/>
      <c r="D39" s="1" t="s">
        <v>46</v>
      </c>
      <c r="G39" s="4">
        <f t="shared" si="1"/>
        <v>-5523</v>
      </c>
      <c r="H39" s="4"/>
      <c r="I39" s="5">
        <v>-5523</v>
      </c>
      <c r="J39" s="4"/>
      <c r="K39" s="4"/>
      <c r="L39" s="4"/>
      <c r="M39" s="4"/>
      <c r="N39" s="4">
        <f t="shared" si="2"/>
        <v>303.76499999999999</v>
      </c>
      <c r="O39" s="4"/>
      <c r="P39" s="4">
        <f t="shared" si="3"/>
        <v>1096.03935</v>
      </c>
      <c r="Q39" s="4"/>
      <c r="R39" s="4"/>
      <c r="S39" s="4"/>
    </row>
    <row r="40" spans="1:19" ht="14.1" customHeight="1" x14ac:dyDescent="0.2">
      <c r="A40" s="22">
        <v>29</v>
      </c>
      <c r="B40" s="60"/>
      <c r="C40" s="1"/>
      <c r="D40" s="22" t="s">
        <v>47</v>
      </c>
      <c r="G40" s="4">
        <f t="shared" si="1"/>
        <v>-2485</v>
      </c>
      <c r="H40" s="4"/>
      <c r="I40" s="4">
        <v>-2485</v>
      </c>
      <c r="J40" s="4"/>
      <c r="K40" s="4"/>
      <c r="L40" s="4"/>
      <c r="M40" s="4"/>
      <c r="N40" s="4">
        <f t="shared" si="2"/>
        <v>136.67500000000001</v>
      </c>
      <c r="O40" s="4"/>
      <c r="P40" s="4">
        <f t="shared" si="3"/>
        <v>493.14824999999996</v>
      </c>
      <c r="Q40" s="4"/>
      <c r="R40" s="4"/>
      <c r="S40" s="4"/>
    </row>
    <row r="41" spans="1:19" ht="14.1" customHeight="1" x14ac:dyDescent="0.2">
      <c r="A41" s="22">
        <v>30</v>
      </c>
      <c r="B41" s="60"/>
      <c r="C41" s="1"/>
      <c r="D41" s="1" t="s">
        <v>48</v>
      </c>
      <c r="G41" s="4">
        <f t="shared" si="1"/>
        <v>98</v>
      </c>
      <c r="H41" s="5"/>
      <c r="I41" s="5">
        <v>98</v>
      </c>
      <c r="J41" s="5"/>
      <c r="K41" s="5"/>
      <c r="L41" s="5"/>
      <c r="M41" s="5"/>
      <c r="N41" s="4">
        <f t="shared" si="2"/>
        <v>-5.39</v>
      </c>
      <c r="O41" s="4"/>
      <c r="P41" s="4">
        <f t="shared" si="3"/>
        <v>-19.4481</v>
      </c>
      <c r="Q41" s="4"/>
      <c r="R41" s="4"/>
      <c r="S41" s="4"/>
    </row>
    <row r="42" spans="1:19" ht="14.1" customHeight="1" x14ac:dyDescent="0.2">
      <c r="A42" s="22">
        <v>31</v>
      </c>
      <c r="B42" s="60"/>
      <c r="C42" s="1"/>
      <c r="D42" s="1" t="s">
        <v>49</v>
      </c>
      <c r="G42" s="4">
        <f t="shared" si="1"/>
        <v>1143</v>
      </c>
      <c r="H42" s="5"/>
      <c r="I42" s="5">
        <v>1143</v>
      </c>
      <c r="J42" s="5"/>
      <c r="K42" s="5"/>
      <c r="L42" s="5"/>
      <c r="M42" s="5"/>
      <c r="N42" s="4">
        <f t="shared" si="2"/>
        <v>-62.865000000000002</v>
      </c>
      <c r="O42" s="4"/>
      <c r="P42" s="4">
        <f t="shared" si="3"/>
        <v>-226.82834999999997</v>
      </c>
      <c r="Q42" s="4"/>
      <c r="R42" s="4"/>
      <c r="S42" s="4"/>
    </row>
    <row r="43" spans="1:19" ht="14.1" customHeight="1" x14ac:dyDescent="0.2">
      <c r="A43" s="22">
        <v>32</v>
      </c>
      <c r="B43" s="60"/>
      <c r="C43" s="1"/>
      <c r="D43" s="1" t="s">
        <v>50</v>
      </c>
      <c r="G43" s="4">
        <f t="shared" si="1"/>
        <v>-34713</v>
      </c>
      <c r="H43" s="5"/>
      <c r="I43" s="5">
        <v>-34713</v>
      </c>
      <c r="J43" s="5"/>
      <c r="K43" s="5"/>
      <c r="L43" s="5"/>
      <c r="M43" s="5"/>
      <c r="N43" s="4">
        <f t="shared" si="2"/>
        <v>1909.2149999999999</v>
      </c>
      <c r="O43" s="4"/>
      <c r="P43" s="4">
        <f t="shared" si="3"/>
        <v>6888.7948499999993</v>
      </c>
      <c r="Q43" s="4"/>
      <c r="R43" s="4"/>
      <c r="S43" s="4"/>
    </row>
    <row r="44" spans="1:19" ht="14.1" customHeight="1" x14ac:dyDescent="0.2">
      <c r="A44" s="22">
        <v>33</v>
      </c>
      <c r="B44" s="60"/>
      <c r="C44" s="1"/>
      <c r="D44" s="1" t="s">
        <v>51</v>
      </c>
      <c r="G44" s="4">
        <f t="shared" si="1"/>
        <v>-8276</v>
      </c>
      <c r="H44" s="5"/>
      <c r="I44" s="5">
        <v>-8276</v>
      </c>
      <c r="J44" s="5"/>
      <c r="K44" s="5"/>
      <c r="L44" s="5"/>
      <c r="M44" s="5"/>
      <c r="N44" s="4">
        <f t="shared" si="2"/>
        <v>455.18</v>
      </c>
      <c r="O44" s="4"/>
      <c r="P44" s="4">
        <f t="shared" si="3"/>
        <v>1642.3721999999998</v>
      </c>
      <c r="Q44" s="4"/>
      <c r="R44" s="4"/>
      <c r="S44" s="4"/>
    </row>
    <row r="45" spans="1:19" ht="14.1" customHeight="1" x14ac:dyDescent="0.2">
      <c r="A45" s="22">
        <v>34</v>
      </c>
      <c r="B45" s="60"/>
      <c r="C45" s="1"/>
      <c r="D45" s="22" t="s">
        <v>52</v>
      </c>
      <c r="G45" s="4">
        <f t="shared" si="1"/>
        <v>9043</v>
      </c>
      <c r="H45" s="5"/>
      <c r="I45" s="5">
        <v>9043</v>
      </c>
      <c r="J45" s="5"/>
      <c r="K45" s="5"/>
      <c r="L45" s="5"/>
      <c r="M45" s="5"/>
      <c r="N45" s="4">
        <f t="shared" si="2"/>
        <v>-497.36500000000001</v>
      </c>
      <c r="O45" s="4"/>
      <c r="P45" s="4">
        <f t="shared" si="3"/>
        <v>-1794.5833499999999</v>
      </c>
      <c r="Q45" s="4"/>
      <c r="R45" s="4"/>
      <c r="S45" s="4"/>
    </row>
    <row r="46" spans="1:19" ht="14.1" customHeight="1" x14ac:dyDescent="0.2">
      <c r="A46" s="22">
        <v>35</v>
      </c>
      <c r="B46" s="60"/>
      <c r="C46" s="1"/>
      <c r="D46" s="22" t="s">
        <v>53</v>
      </c>
      <c r="G46" s="4">
        <f t="shared" si="1"/>
        <v>47726</v>
      </c>
      <c r="H46" s="5"/>
      <c r="I46" s="5">
        <v>47726</v>
      </c>
      <c r="J46" s="5"/>
      <c r="K46" s="5"/>
      <c r="L46" s="5"/>
      <c r="M46" s="5"/>
      <c r="N46" s="4">
        <f t="shared" si="2"/>
        <v>-2624.93</v>
      </c>
      <c r="O46" s="4"/>
      <c r="P46" s="4">
        <f t="shared" si="3"/>
        <v>-9471.2246999999988</v>
      </c>
      <c r="Q46" s="4"/>
      <c r="R46" s="4"/>
      <c r="S46" s="4"/>
    </row>
    <row r="47" spans="1:19" ht="14.1" customHeight="1" x14ac:dyDescent="0.2">
      <c r="A47" s="22">
        <v>36</v>
      </c>
      <c r="B47" s="64"/>
      <c r="C47" s="1"/>
      <c r="D47" s="1" t="s">
        <v>54</v>
      </c>
      <c r="G47" s="4">
        <f t="shared" si="1"/>
        <v>6795</v>
      </c>
      <c r="H47" s="5"/>
      <c r="I47" s="5">
        <v>6795</v>
      </c>
      <c r="J47" s="5"/>
      <c r="K47" s="5"/>
      <c r="L47" s="5"/>
      <c r="M47" s="5"/>
      <c r="N47" s="4">
        <f t="shared" si="2"/>
        <v>-373.72500000000002</v>
      </c>
      <c r="O47" s="4"/>
      <c r="P47" s="4">
        <f t="shared" si="3"/>
        <v>-1348.46775</v>
      </c>
      <c r="Q47" s="4"/>
      <c r="R47" s="4"/>
      <c r="S47" s="4"/>
    </row>
    <row r="48" spans="1:19" ht="14.1" customHeight="1" x14ac:dyDescent="0.2">
      <c r="A48" s="22">
        <v>37</v>
      </c>
      <c r="B48" s="64"/>
      <c r="C48" s="1"/>
      <c r="D48" s="1" t="s">
        <v>55</v>
      </c>
      <c r="G48" s="4">
        <f t="shared" si="1"/>
        <v>-17123</v>
      </c>
      <c r="H48" s="5"/>
      <c r="I48" s="5">
        <v>-17123</v>
      </c>
      <c r="J48" s="5"/>
      <c r="K48" s="5"/>
      <c r="L48" s="5"/>
      <c r="M48" s="5"/>
      <c r="N48" s="4">
        <f t="shared" si="2"/>
        <v>941.76499999999999</v>
      </c>
      <c r="O48" s="4"/>
      <c r="P48" s="4">
        <f t="shared" si="3"/>
        <v>3398.05935</v>
      </c>
      <c r="Q48" s="4"/>
      <c r="R48" s="4"/>
      <c r="S48" s="4"/>
    </row>
    <row r="49" spans="1:19" ht="14.1" customHeight="1" x14ac:dyDescent="0.2">
      <c r="A49" s="22">
        <v>38</v>
      </c>
      <c r="B49" s="60"/>
      <c r="D49" s="22" t="s">
        <v>56</v>
      </c>
      <c r="F49" s="4"/>
      <c r="G49" s="4">
        <f t="shared" si="1"/>
        <v>-5711</v>
      </c>
      <c r="H49" s="4"/>
      <c r="I49" s="4">
        <v>-5711</v>
      </c>
      <c r="J49" s="4"/>
      <c r="K49" s="4"/>
      <c r="L49" s="4"/>
      <c r="M49" s="4"/>
      <c r="N49" s="4">
        <f t="shared" si="2"/>
        <v>314.10500000000002</v>
      </c>
      <c r="O49" s="4"/>
      <c r="P49" s="4">
        <f t="shared" si="3"/>
        <v>1133.3479499999999</v>
      </c>
      <c r="Q49" s="4"/>
      <c r="R49" s="4"/>
      <c r="S49" s="4"/>
    </row>
    <row r="50" spans="1:19" ht="14.1" customHeight="1" x14ac:dyDescent="0.2">
      <c r="A50" s="22">
        <v>39</v>
      </c>
      <c r="B50" s="60"/>
      <c r="D50" s="2" t="s">
        <v>57</v>
      </c>
      <c r="G50" s="4">
        <f t="shared" si="1"/>
        <v>17442</v>
      </c>
      <c r="H50" s="4"/>
      <c r="I50" s="4">
        <v>17442</v>
      </c>
      <c r="J50" s="4"/>
      <c r="K50" s="4"/>
      <c r="L50" s="4"/>
      <c r="M50" s="4"/>
      <c r="N50" s="4">
        <f t="shared" si="2"/>
        <v>-959.31000000000006</v>
      </c>
      <c r="O50" s="4"/>
      <c r="P50" s="4">
        <f t="shared" si="3"/>
        <v>-3461.3648999999996</v>
      </c>
      <c r="Q50" s="4"/>
      <c r="R50" s="4"/>
      <c r="S50" s="4"/>
    </row>
    <row r="51" spans="1:19" ht="14.1" customHeight="1" x14ac:dyDescent="0.2">
      <c r="A51" s="22">
        <v>40</v>
      </c>
      <c r="B51" s="60"/>
      <c r="D51" s="2" t="s">
        <v>58</v>
      </c>
      <c r="G51" s="4">
        <f t="shared" si="1"/>
        <v>0</v>
      </c>
      <c r="H51" s="4"/>
      <c r="I51" s="4">
        <v>0</v>
      </c>
      <c r="J51" s="4"/>
      <c r="K51" s="4"/>
      <c r="L51" s="4"/>
      <c r="M51" s="4"/>
      <c r="N51" s="4">
        <f t="shared" si="2"/>
        <v>0</v>
      </c>
      <c r="O51" s="4"/>
      <c r="P51" s="4">
        <f t="shared" si="3"/>
        <v>0</v>
      </c>
      <c r="Q51" s="4"/>
      <c r="R51" s="4"/>
      <c r="S51" s="4"/>
    </row>
    <row r="52" spans="1:19" ht="14.1" customHeight="1" x14ac:dyDescent="0.2">
      <c r="A52" s="22">
        <v>41</v>
      </c>
      <c r="B52" s="60"/>
      <c r="D52" s="2" t="s">
        <v>59</v>
      </c>
      <c r="G52" s="4">
        <f t="shared" si="1"/>
        <v>25857</v>
      </c>
      <c r="H52" s="4"/>
      <c r="I52" s="4">
        <v>25857</v>
      </c>
      <c r="J52" s="4"/>
      <c r="K52" s="4"/>
      <c r="L52" s="4"/>
      <c r="M52" s="4"/>
      <c r="N52" s="4">
        <f t="shared" si="2"/>
        <v>-1422.135</v>
      </c>
      <c r="P52" s="4">
        <f t="shared" si="3"/>
        <v>-5131.3216499999999</v>
      </c>
      <c r="Q52" s="4"/>
      <c r="R52" s="4"/>
      <c r="S52" s="4"/>
    </row>
    <row r="53" spans="1:19" ht="14.1" customHeight="1" x14ac:dyDescent="0.2">
      <c r="A53" s="22">
        <v>42</v>
      </c>
      <c r="B53" s="60"/>
      <c r="D53" s="22" t="s">
        <v>60</v>
      </c>
      <c r="G53" s="22">
        <f t="shared" si="1"/>
        <v>213</v>
      </c>
      <c r="I53" s="4">
        <v>213</v>
      </c>
      <c r="N53" s="4">
        <f t="shared" ref="N53" si="4">-G53*0.055</f>
        <v>-11.715</v>
      </c>
      <c r="P53" s="4">
        <f t="shared" ref="P53" si="5">-I53*0.19845</f>
        <v>-42.269849999999998</v>
      </c>
      <c r="R53" s="4"/>
      <c r="S53" s="4"/>
    </row>
    <row r="54" spans="1:19" ht="14.1" customHeight="1" x14ac:dyDescent="0.2">
      <c r="A54" s="22">
        <v>43</v>
      </c>
      <c r="B54" s="60"/>
      <c r="D54" s="22" t="s">
        <v>61</v>
      </c>
      <c r="G54" s="6">
        <f>I54</f>
        <v>8429</v>
      </c>
      <c r="H54" s="4"/>
      <c r="I54" s="6">
        <v>8429</v>
      </c>
      <c r="J54" s="5"/>
      <c r="K54" s="4"/>
      <c r="L54" s="5"/>
      <c r="M54" s="4"/>
      <c r="N54" s="6">
        <f>-G54*0.055</f>
        <v>-463.59500000000003</v>
      </c>
      <c r="P54" s="6">
        <f>-I54*0.19845</f>
        <v>-1672.73505</v>
      </c>
      <c r="R54" s="4"/>
      <c r="S54" s="4"/>
    </row>
    <row r="55" spans="1:19" ht="14.1" customHeight="1" x14ac:dyDescent="0.2">
      <c r="A55" s="22">
        <v>44</v>
      </c>
      <c r="B55" s="60"/>
      <c r="C55" s="2"/>
      <c r="Q55" s="4"/>
      <c r="R55" s="4"/>
      <c r="S55" s="4"/>
    </row>
    <row r="56" spans="1:19" ht="14.1" customHeight="1" x14ac:dyDescent="0.2">
      <c r="A56" s="22">
        <v>45</v>
      </c>
      <c r="B56" s="60"/>
      <c r="C56" s="1" t="s">
        <v>62</v>
      </c>
      <c r="F56" s="4"/>
      <c r="G56" s="4">
        <f>SUM(G22:G54)</f>
        <v>-301907</v>
      </c>
      <c r="H56" s="4"/>
      <c r="I56" s="4">
        <f>SUM(I22:I54)</f>
        <v>-293098</v>
      </c>
      <c r="J56" s="4"/>
      <c r="K56" s="4"/>
      <c r="L56" s="4"/>
      <c r="M56" s="4"/>
      <c r="N56" s="4">
        <f>SUM(N22:N54)</f>
        <v>16590.884999999995</v>
      </c>
      <c r="O56" s="4"/>
      <c r="P56" s="4">
        <f>SUM(P22:P54)</f>
        <v>58014.554150000011</v>
      </c>
      <c r="Q56" s="4"/>
      <c r="R56" s="4"/>
      <c r="S56" s="4"/>
    </row>
    <row r="57" spans="1:19" ht="14.1" customHeight="1" thickBot="1" x14ac:dyDescent="0.25">
      <c r="A57" s="19">
        <v>46</v>
      </c>
      <c r="B57" s="46" t="s">
        <v>63</v>
      </c>
      <c r="C57" s="46"/>
      <c r="D57" s="46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 ht="14.1" customHeight="1" x14ac:dyDescent="0.2">
      <c r="A58" s="22" t="s">
        <v>64</v>
      </c>
      <c r="Q58" s="22" t="s">
        <v>65</v>
      </c>
    </row>
    <row r="59" spans="1:19" ht="14.1" customHeight="1" thickBot="1" x14ac:dyDescent="0.25">
      <c r="A59" s="19" t="str">
        <f>+$A$1</f>
        <v>SCHEDULE C-22</v>
      </c>
      <c r="B59" s="19"/>
      <c r="C59" s="19"/>
      <c r="D59" s="19"/>
      <c r="E59" s="19"/>
      <c r="F59" s="19"/>
      <c r="G59" s="19"/>
      <c r="H59" s="20" t="str">
        <f>+$H$1</f>
        <v>STATE AND FEDERAL INCOME TAX CALCULATION</v>
      </c>
      <c r="I59" s="20"/>
      <c r="J59" s="20"/>
      <c r="K59" s="20"/>
      <c r="L59" s="20"/>
      <c r="M59" s="19"/>
      <c r="N59" s="19"/>
      <c r="O59" s="19"/>
      <c r="P59" s="19"/>
      <c r="Q59" s="19"/>
      <c r="R59" s="19"/>
      <c r="S59" s="21" t="s">
        <v>66</v>
      </c>
    </row>
    <row r="60" spans="1:19" ht="14.1" customHeight="1" x14ac:dyDescent="0.2">
      <c r="A60" s="22" t="s">
        <v>3</v>
      </c>
      <c r="E60" s="22" t="s">
        <v>67</v>
      </c>
      <c r="G60" s="22" t="str">
        <f>IF(+$G$2="","",$G$2)</f>
        <v xml:space="preserve">Provide the calculation of state and federal income taxes for the historical base year and the </v>
      </c>
      <c r="K60" s="23"/>
      <c r="L60" s="23"/>
      <c r="N60" s="23"/>
      <c r="O60" s="23"/>
      <c r="P60" s="23" t="s">
        <v>6</v>
      </c>
      <c r="S60" s="24"/>
    </row>
    <row r="61" spans="1:19" ht="14.1" customHeight="1" x14ac:dyDescent="0.2">
      <c r="G61" s="22" t="str">
        <f>IF(+$G$3="","",$G$3)</f>
        <v>projected test year.</v>
      </c>
      <c r="K61" s="25"/>
      <c r="L61" s="24"/>
      <c r="O61" s="25"/>
      <c r="P61" s="25" t="s">
        <v>8</v>
      </c>
      <c r="Q61" s="24" t="str">
        <f>$Q$3</f>
        <v>Projected Test Year Ended 12/31/2025</v>
      </c>
      <c r="S61" s="25"/>
    </row>
    <row r="62" spans="1:19" ht="14.1" customHeight="1" x14ac:dyDescent="0.2">
      <c r="A62" s="22" t="s">
        <v>10</v>
      </c>
      <c r="G62" s="22" t="str">
        <f>IF(+$G$4="","",$G$4)</f>
        <v/>
      </c>
      <c r="K62" s="25"/>
      <c r="L62" s="24"/>
      <c r="M62" s="25"/>
      <c r="P62" s="25"/>
      <c r="Q62" s="24" t="str">
        <f>$Q$4</f>
        <v>Projected Prior Year Ended 12/31/2024</v>
      </c>
      <c r="S62" s="25"/>
    </row>
    <row r="63" spans="1:19" ht="14.1" customHeight="1" x14ac:dyDescent="0.25">
      <c r="G63" s="65" t="str">
        <f>IF(+$G$5="","",$G$5)</f>
        <v/>
      </c>
      <c r="K63" s="25"/>
      <c r="L63" s="24"/>
      <c r="M63" s="25"/>
      <c r="Q63" s="24" t="str">
        <f>$Q$5</f>
        <v>Historical Prior Year Ended 12/31/2023</v>
      </c>
      <c r="S63" s="25"/>
    </row>
    <row r="64" spans="1:19" ht="14.1" customHeight="1" thickBot="1" x14ac:dyDescent="0.25">
      <c r="A64" s="19" t="str">
        <f>A6</f>
        <v>DOCKET No. 20240026-EI</v>
      </c>
      <c r="B64" s="19"/>
      <c r="C64" s="19"/>
      <c r="D64" s="19"/>
      <c r="E64" s="19"/>
      <c r="F64" s="19"/>
      <c r="G64" s="19" t="str">
        <f>IF(+$G$6="","",$G$6)</f>
        <v/>
      </c>
      <c r="H64" s="19"/>
      <c r="I64" s="19"/>
      <c r="J64" s="20" t="s">
        <v>13</v>
      </c>
      <c r="K64" s="20"/>
      <c r="L64" s="19"/>
      <c r="M64" s="19"/>
      <c r="N64" s="19"/>
      <c r="O64" s="19"/>
      <c r="P64" s="19"/>
      <c r="Q64" s="41" t="str">
        <f>$Q$6</f>
        <v>Witness: V. Strickland</v>
      </c>
      <c r="R64" s="19"/>
      <c r="S64" s="19"/>
    </row>
    <row r="65" spans="1:19" ht="14.1" customHeight="1" x14ac:dyDescent="0.2"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8"/>
      <c r="R65" s="28"/>
      <c r="S65" s="29"/>
    </row>
    <row r="66" spans="1:19" ht="14.1" customHeight="1" x14ac:dyDescent="0.2">
      <c r="B66" s="28"/>
      <c r="C66" s="29"/>
      <c r="D66" s="29"/>
      <c r="E66" s="29"/>
      <c r="F66" s="29"/>
      <c r="G66" s="29"/>
      <c r="H66" s="28"/>
      <c r="I66" s="28"/>
      <c r="J66" s="29"/>
      <c r="K66" s="29"/>
      <c r="L66" s="28"/>
      <c r="M66" s="29"/>
      <c r="N66" s="29"/>
      <c r="O66" s="29"/>
      <c r="P66" s="29"/>
      <c r="Q66" s="28"/>
      <c r="R66" s="28"/>
      <c r="S66" s="29"/>
    </row>
    <row r="67" spans="1:19" ht="14.1" customHeight="1" x14ac:dyDescent="0.2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</row>
    <row r="68" spans="1:19" ht="14.1" customHeight="1" x14ac:dyDescent="0.2">
      <c r="A68" s="22" t="s">
        <v>14</v>
      </c>
      <c r="B68" s="28"/>
      <c r="C68" s="28"/>
      <c r="D68" s="28"/>
      <c r="E68" s="28"/>
      <c r="F68" s="29"/>
      <c r="G68" s="30"/>
      <c r="H68" s="30"/>
      <c r="I68" s="30" t="s">
        <v>15</v>
      </c>
      <c r="J68" s="30"/>
      <c r="K68" s="31"/>
      <c r="L68" s="29"/>
      <c r="M68" s="29"/>
      <c r="N68" s="30"/>
      <c r="O68" s="30"/>
      <c r="P68" s="31" t="s">
        <v>16</v>
      </c>
      <c r="Q68" s="31"/>
      <c r="R68" s="31"/>
      <c r="S68" s="28"/>
    </row>
    <row r="69" spans="1:19" ht="14.1" customHeight="1" thickBot="1" x14ac:dyDescent="0.25">
      <c r="A69" s="19" t="s">
        <v>17</v>
      </c>
      <c r="B69" s="32"/>
      <c r="C69" s="32" t="s">
        <v>18</v>
      </c>
      <c r="D69" s="32"/>
      <c r="E69" s="32"/>
      <c r="F69" s="32"/>
      <c r="G69" s="35" t="s">
        <v>19</v>
      </c>
      <c r="H69" s="35"/>
      <c r="I69" s="35" t="s">
        <v>20</v>
      </c>
      <c r="J69" s="34"/>
      <c r="K69" s="35" t="s">
        <v>21</v>
      </c>
      <c r="L69" s="34"/>
      <c r="M69" s="34"/>
      <c r="N69" s="36" t="s">
        <v>19</v>
      </c>
      <c r="O69" s="36"/>
      <c r="P69" s="36" t="s">
        <v>20</v>
      </c>
      <c r="Q69" s="36"/>
      <c r="R69" s="36" t="s">
        <v>21</v>
      </c>
      <c r="S69" s="36"/>
    </row>
    <row r="70" spans="1:19" ht="14.1" customHeight="1" x14ac:dyDescent="0.2">
      <c r="A70" s="22">
        <v>1</v>
      </c>
      <c r="B70" s="59"/>
      <c r="C70" s="1" t="s">
        <v>62</v>
      </c>
      <c r="D70" s="1"/>
      <c r="E70" s="1"/>
      <c r="F70" s="2"/>
      <c r="G70" s="2">
        <f>G56</f>
        <v>-301907</v>
      </c>
      <c r="H70" s="2"/>
      <c r="I70" s="2">
        <f>I56</f>
        <v>-293098</v>
      </c>
      <c r="J70" s="1"/>
      <c r="K70" s="1"/>
      <c r="L70" s="1"/>
      <c r="M70" s="1"/>
      <c r="N70" s="2">
        <f>N56</f>
        <v>16590.884999999995</v>
      </c>
      <c r="O70" s="1"/>
      <c r="P70" s="2">
        <f>P56</f>
        <v>58014.554150000011</v>
      </c>
      <c r="Q70" s="1"/>
      <c r="R70" s="1">
        <f>N70+P70</f>
        <v>74605.439150000006</v>
      </c>
      <c r="S70" s="1"/>
    </row>
    <row r="71" spans="1:19" ht="14.1" customHeight="1" x14ac:dyDescent="0.2">
      <c r="A71" s="22">
        <v>2</v>
      </c>
      <c r="B71" s="59"/>
    </row>
    <row r="72" spans="1:19" ht="14.1" customHeight="1" x14ac:dyDescent="0.2">
      <c r="A72" s="22">
        <v>3</v>
      </c>
      <c r="B72" s="60"/>
      <c r="Q72" s="2"/>
      <c r="R72" s="2"/>
      <c r="S72" s="2"/>
    </row>
    <row r="73" spans="1:19" ht="14.1" customHeight="1" x14ac:dyDescent="0.2">
      <c r="A73" s="22">
        <v>4</v>
      </c>
      <c r="B73" s="60"/>
      <c r="C73" s="1" t="s">
        <v>68</v>
      </c>
      <c r="F73" s="4"/>
      <c r="G73" s="4"/>
      <c r="H73" s="4"/>
      <c r="I73" s="4"/>
      <c r="J73" s="5"/>
      <c r="K73" s="4"/>
      <c r="L73" s="5"/>
      <c r="M73" s="4"/>
      <c r="N73" s="4"/>
      <c r="O73" s="4"/>
      <c r="P73" s="4"/>
      <c r="Q73" s="4"/>
      <c r="R73" s="4"/>
      <c r="S73" s="4"/>
    </row>
    <row r="74" spans="1:19" ht="14.1" customHeight="1" x14ac:dyDescent="0.2">
      <c r="A74" s="22">
        <v>5</v>
      </c>
      <c r="B74" s="60"/>
      <c r="C74" s="1"/>
      <c r="D74" s="1" t="s">
        <v>69</v>
      </c>
      <c r="F74" s="4"/>
      <c r="G74" s="4">
        <f t="shared" ref="G74:G79" si="6">+I74</f>
        <v>868</v>
      </c>
      <c r="H74" s="4"/>
      <c r="I74" s="4">
        <v>868</v>
      </c>
      <c r="J74" s="5"/>
      <c r="K74" s="4"/>
      <c r="L74" s="5"/>
      <c r="M74" s="4"/>
      <c r="N74" s="4"/>
      <c r="O74" s="4"/>
      <c r="P74" s="4"/>
      <c r="Q74" s="4"/>
      <c r="R74" s="4"/>
      <c r="S74" s="4"/>
    </row>
    <row r="75" spans="1:19" ht="14.1" customHeight="1" x14ac:dyDescent="0.2">
      <c r="A75" s="22">
        <v>6</v>
      </c>
      <c r="B75" s="60"/>
      <c r="C75" s="1"/>
      <c r="D75" s="1" t="s">
        <v>70</v>
      </c>
      <c r="F75" s="4"/>
      <c r="G75" s="4">
        <f t="shared" si="6"/>
        <v>6245</v>
      </c>
      <c r="H75" s="4"/>
      <c r="I75" s="4">
        <v>6245</v>
      </c>
      <c r="J75" s="5"/>
      <c r="K75" s="4"/>
      <c r="L75" s="5"/>
      <c r="M75" s="4"/>
      <c r="N75" s="4"/>
      <c r="O75" s="4"/>
      <c r="P75" s="4"/>
      <c r="S75" s="4"/>
    </row>
    <row r="76" spans="1:19" ht="14.1" customHeight="1" x14ac:dyDescent="0.2">
      <c r="A76" s="22">
        <v>7</v>
      </c>
      <c r="B76" s="60"/>
      <c r="C76" s="1"/>
      <c r="D76" s="1" t="s">
        <v>71</v>
      </c>
      <c r="F76" s="4"/>
      <c r="G76" s="4">
        <f t="shared" si="6"/>
        <v>1</v>
      </c>
      <c r="H76" s="4"/>
      <c r="I76" s="4">
        <v>1</v>
      </c>
      <c r="J76" s="5"/>
      <c r="K76" s="4"/>
      <c r="L76" s="5"/>
      <c r="M76" s="4"/>
      <c r="N76" s="4"/>
      <c r="O76" s="4"/>
      <c r="P76" s="4"/>
      <c r="Q76" s="4"/>
      <c r="R76" s="4"/>
      <c r="S76" s="4"/>
    </row>
    <row r="77" spans="1:19" ht="14.1" customHeight="1" x14ac:dyDescent="0.2">
      <c r="A77" s="22">
        <v>8</v>
      </c>
      <c r="B77" s="60"/>
      <c r="C77" s="1"/>
      <c r="D77" s="22" t="s">
        <v>72</v>
      </c>
      <c r="G77" s="5">
        <f t="shared" si="6"/>
        <v>131</v>
      </c>
      <c r="H77" s="5"/>
      <c r="I77" s="5">
        <v>131</v>
      </c>
      <c r="J77" s="5"/>
      <c r="K77" s="4"/>
      <c r="L77" s="5"/>
      <c r="M77" s="4"/>
      <c r="N77" s="4"/>
      <c r="O77" s="4"/>
      <c r="P77" s="4"/>
      <c r="Q77" s="4"/>
      <c r="R77" s="4"/>
      <c r="S77" s="4"/>
    </row>
    <row r="78" spans="1:19" ht="14.1" customHeight="1" x14ac:dyDescent="0.2">
      <c r="A78" s="22">
        <v>9</v>
      </c>
      <c r="B78" s="60"/>
      <c r="C78" s="1"/>
      <c r="D78" s="22" t="s">
        <v>73</v>
      </c>
      <c r="G78" s="4">
        <f t="shared" ref="G78" si="7">+I78</f>
        <v>75</v>
      </c>
      <c r="H78" s="4"/>
      <c r="I78" s="4">
        <v>75</v>
      </c>
      <c r="J78" s="5"/>
      <c r="K78" s="4"/>
      <c r="L78" s="5"/>
      <c r="M78" s="4"/>
      <c r="N78" s="4"/>
      <c r="O78" s="4"/>
      <c r="P78" s="4"/>
      <c r="Q78" s="4"/>
      <c r="R78" s="4"/>
      <c r="S78" s="4"/>
    </row>
    <row r="79" spans="1:19" ht="14.1" customHeight="1" x14ac:dyDescent="0.2">
      <c r="A79" s="22">
        <v>10</v>
      </c>
      <c r="B79" s="60"/>
      <c r="D79" s="22" t="s">
        <v>74</v>
      </c>
      <c r="G79" s="6">
        <f t="shared" si="6"/>
        <v>0</v>
      </c>
      <c r="H79" s="5"/>
      <c r="I79" s="6">
        <v>0</v>
      </c>
      <c r="O79" s="4"/>
      <c r="P79" s="4"/>
      <c r="Q79" s="4"/>
      <c r="R79" s="4"/>
      <c r="S79" s="4"/>
    </row>
    <row r="80" spans="1:19" ht="14.1" customHeight="1" x14ac:dyDescent="0.2">
      <c r="A80" s="22">
        <v>11</v>
      </c>
      <c r="B80" s="60"/>
      <c r="G80" s="4"/>
      <c r="H80" s="5"/>
      <c r="I80" s="4"/>
      <c r="P80" s="4"/>
      <c r="Q80" s="4"/>
      <c r="R80" s="4"/>
      <c r="S80" s="4"/>
    </row>
    <row r="81" spans="1:19" ht="14.1" customHeight="1" x14ac:dyDescent="0.2">
      <c r="A81" s="22">
        <v>12</v>
      </c>
      <c r="B81" s="60"/>
      <c r="C81" s="1" t="s">
        <v>75</v>
      </c>
      <c r="F81" s="4"/>
      <c r="G81" s="4">
        <f>SUM(G74:G80)</f>
        <v>7320</v>
      </c>
      <c r="H81" s="4"/>
      <c r="I81" s="4">
        <f>SUM(I74:I80)</f>
        <v>7320</v>
      </c>
      <c r="J81" s="5"/>
      <c r="K81" s="4"/>
      <c r="L81" s="5"/>
      <c r="M81" s="4"/>
      <c r="N81" s="4"/>
      <c r="O81" s="4"/>
      <c r="P81" s="4"/>
      <c r="Q81" s="4"/>
      <c r="R81" s="4"/>
      <c r="S81" s="4"/>
    </row>
    <row r="82" spans="1:19" ht="14.1" customHeight="1" x14ac:dyDescent="0.2">
      <c r="A82" s="22">
        <v>13</v>
      </c>
      <c r="B82" s="60"/>
      <c r="C82" s="1"/>
      <c r="F82" s="4"/>
      <c r="G82" s="4"/>
      <c r="H82" s="4"/>
      <c r="I82" s="4"/>
      <c r="J82" s="5"/>
      <c r="K82" s="4"/>
      <c r="L82" s="5"/>
      <c r="M82" s="4"/>
      <c r="N82" s="4"/>
      <c r="O82" s="4"/>
      <c r="P82" s="4"/>
      <c r="Q82" s="4"/>
      <c r="R82" s="4"/>
      <c r="S82" s="4"/>
    </row>
    <row r="83" spans="1:19" ht="14.1" customHeight="1" x14ac:dyDescent="0.2">
      <c r="A83" s="22">
        <v>14</v>
      </c>
      <c r="B83" s="60"/>
      <c r="C83" s="1" t="s">
        <v>76</v>
      </c>
      <c r="F83" s="4"/>
      <c r="G83" s="4">
        <f>+G17+G70+G81</f>
        <v>115385</v>
      </c>
      <c r="H83" s="5"/>
      <c r="I83" s="4"/>
      <c r="J83" s="5"/>
      <c r="K83" s="4"/>
      <c r="L83" s="5"/>
      <c r="M83" s="4"/>
      <c r="O83" s="4"/>
      <c r="P83" s="4"/>
      <c r="Q83" s="4"/>
      <c r="R83" s="4"/>
      <c r="S83" s="4"/>
    </row>
    <row r="84" spans="1:19" ht="14.1" customHeight="1" x14ac:dyDescent="0.2">
      <c r="A84" s="22">
        <v>15</v>
      </c>
      <c r="B84" s="60"/>
      <c r="O84" s="4"/>
      <c r="P84" s="4"/>
      <c r="Q84" s="4"/>
      <c r="R84" s="4"/>
      <c r="S84" s="4"/>
    </row>
    <row r="85" spans="1:19" ht="14.1" customHeight="1" x14ac:dyDescent="0.2">
      <c r="A85" s="22">
        <v>16</v>
      </c>
      <c r="B85" s="60"/>
      <c r="C85" s="22" t="s">
        <v>77</v>
      </c>
      <c r="G85" s="4">
        <f>-G83*0</f>
        <v>0</v>
      </c>
      <c r="N85" s="4">
        <f>-G85*0.055</f>
        <v>0</v>
      </c>
      <c r="O85" s="4"/>
      <c r="P85" s="4">
        <f>-N85*0.21</f>
        <v>0</v>
      </c>
      <c r="Q85" s="4"/>
      <c r="R85" s="4"/>
      <c r="S85" s="9"/>
    </row>
    <row r="86" spans="1:19" ht="14.1" customHeight="1" x14ac:dyDescent="0.2">
      <c r="A86" s="22">
        <v>17</v>
      </c>
      <c r="B86" s="60"/>
      <c r="O86" s="4"/>
      <c r="P86" s="4"/>
      <c r="Q86" s="4"/>
      <c r="R86" s="4"/>
      <c r="S86" s="4"/>
    </row>
    <row r="87" spans="1:19" ht="14.1" customHeight="1" x14ac:dyDescent="0.2">
      <c r="A87" s="22">
        <v>18</v>
      </c>
      <c r="B87" s="60"/>
      <c r="C87" s="1" t="s">
        <v>78</v>
      </c>
      <c r="F87" s="4"/>
      <c r="G87" s="10">
        <f>(G83+G85)*0.055</f>
        <v>6346.1750000000002</v>
      </c>
      <c r="H87" s="4"/>
      <c r="I87" s="4"/>
      <c r="J87" s="5"/>
      <c r="K87" s="4"/>
      <c r="L87" s="5"/>
      <c r="M87" s="4"/>
      <c r="N87" s="4"/>
      <c r="O87" s="4"/>
      <c r="P87" s="4"/>
      <c r="Q87" s="4"/>
      <c r="R87" s="4"/>
      <c r="S87" s="4"/>
    </row>
    <row r="88" spans="1:19" ht="14.1" customHeight="1" x14ac:dyDescent="0.2">
      <c r="A88" s="22">
        <v>19</v>
      </c>
      <c r="B88" s="60"/>
      <c r="C88" s="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11"/>
    </row>
    <row r="89" spans="1:19" ht="14.1" customHeight="1" x14ac:dyDescent="0.2">
      <c r="A89" s="22">
        <v>20</v>
      </c>
      <c r="B89" s="60"/>
      <c r="C89" s="1" t="s">
        <v>79</v>
      </c>
      <c r="F89" s="4"/>
      <c r="G89" s="4">
        <v>0</v>
      </c>
      <c r="H89" s="4"/>
      <c r="I89" s="4"/>
      <c r="J89" s="4"/>
      <c r="K89" s="4"/>
      <c r="L89" s="4"/>
      <c r="M89" s="4"/>
      <c r="N89" s="4">
        <v>0</v>
      </c>
      <c r="O89" s="4"/>
      <c r="P89" s="4"/>
      <c r="Q89" s="4"/>
      <c r="R89" s="4"/>
      <c r="S89" s="4"/>
    </row>
    <row r="90" spans="1:19" ht="14.1" customHeight="1" x14ac:dyDescent="0.2">
      <c r="A90" s="22">
        <v>21</v>
      </c>
      <c r="B90" s="60"/>
      <c r="C90" s="1"/>
      <c r="O90" s="4"/>
      <c r="P90" s="4"/>
      <c r="Q90" s="4"/>
      <c r="R90" s="4"/>
      <c r="S90" s="4"/>
    </row>
    <row r="91" spans="1:19" ht="14.1" customHeight="1" x14ac:dyDescent="0.2">
      <c r="A91" s="22">
        <v>22</v>
      </c>
      <c r="B91" s="60"/>
      <c r="C91" s="1" t="s">
        <v>80</v>
      </c>
      <c r="F91" s="4"/>
      <c r="G91" s="4"/>
      <c r="H91" s="4"/>
      <c r="I91" s="4"/>
      <c r="J91" s="5"/>
      <c r="K91" s="4"/>
      <c r="L91" s="5"/>
      <c r="M91" s="4"/>
      <c r="N91" s="4">
        <v>0</v>
      </c>
      <c r="O91" s="4"/>
      <c r="P91" s="4"/>
      <c r="Q91" s="4"/>
      <c r="R91" s="4"/>
      <c r="S91" s="4"/>
    </row>
    <row r="92" spans="1:19" ht="14.1" customHeight="1" x14ac:dyDescent="0.2">
      <c r="A92" s="22">
        <v>23</v>
      </c>
      <c r="B92" s="60"/>
      <c r="C92" s="1"/>
      <c r="O92" s="4"/>
      <c r="P92" s="4"/>
      <c r="Q92" s="4"/>
      <c r="R92" s="4"/>
      <c r="S92" s="4"/>
    </row>
    <row r="93" spans="1:19" ht="14.1" customHeight="1" x14ac:dyDescent="0.2">
      <c r="A93" s="22">
        <v>24</v>
      </c>
      <c r="B93" s="60"/>
      <c r="O93" s="4"/>
      <c r="P93" s="4"/>
      <c r="Q93" s="4"/>
      <c r="R93" s="4"/>
      <c r="S93" s="4"/>
    </row>
    <row r="94" spans="1:19" ht="14.1" customHeight="1" thickBot="1" x14ac:dyDescent="0.25">
      <c r="A94" s="22">
        <v>25</v>
      </c>
      <c r="B94" s="60"/>
      <c r="C94" s="1" t="s">
        <v>81</v>
      </c>
      <c r="F94" s="4"/>
      <c r="G94" s="12">
        <f>G87+G89+G91</f>
        <v>6346.1750000000002</v>
      </c>
      <c r="H94" s="4"/>
      <c r="I94" s="4"/>
      <c r="J94" s="4"/>
      <c r="K94" s="4"/>
      <c r="L94" s="4"/>
      <c r="M94" s="4"/>
      <c r="N94" s="12">
        <f>N70+N85+N91+N89</f>
        <v>16590.884999999995</v>
      </c>
      <c r="O94" s="4"/>
      <c r="P94" s="4"/>
      <c r="Q94" s="4"/>
      <c r="R94" s="4"/>
      <c r="S94" s="4"/>
    </row>
    <row r="95" spans="1:19" ht="14.1" customHeight="1" thickTop="1" x14ac:dyDescent="0.2">
      <c r="A95" s="22">
        <v>26</v>
      </c>
      <c r="B95" s="60"/>
      <c r="Q95" s="4"/>
      <c r="R95" s="4"/>
      <c r="S95" s="4"/>
    </row>
    <row r="96" spans="1:19" ht="14.1" customHeight="1" x14ac:dyDescent="0.2">
      <c r="A96" s="22">
        <v>27</v>
      </c>
      <c r="B96" s="60"/>
      <c r="Q96" s="4"/>
      <c r="R96" s="4"/>
      <c r="S96" s="4"/>
    </row>
    <row r="97" spans="1:19" ht="14.1" customHeight="1" x14ac:dyDescent="0.2">
      <c r="A97" s="22">
        <v>28</v>
      </c>
      <c r="B97" s="60"/>
    </row>
    <row r="98" spans="1:19" ht="14.1" customHeight="1" x14ac:dyDescent="0.2">
      <c r="A98" s="22">
        <v>29</v>
      </c>
      <c r="B98" s="60"/>
      <c r="Q98" s="4"/>
      <c r="R98" s="4"/>
      <c r="S98" s="4"/>
    </row>
    <row r="99" spans="1:19" ht="14.1" customHeight="1" x14ac:dyDescent="0.2">
      <c r="A99" s="22">
        <v>30</v>
      </c>
      <c r="B99" s="60"/>
      <c r="Q99" s="4"/>
      <c r="R99" s="4"/>
      <c r="S99" s="4"/>
    </row>
    <row r="100" spans="1:19" ht="14.1" customHeight="1" x14ac:dyDescent="0.2">
      <c r="A100" s="22">
        <v>31</v>
      </c>
      <c r="B100" s="64"/>
      <c r="Q100" s="4"/>
      <c r="R100" s="4"/>
      <c r="S100" s="4"/>
    </row>
    <row r="101" spans="1:19" ht="14.1" customHeight="1" x14ac:dyDescent="0.2">
      <c r="A101" s="22">
        <v>32</v>
      </c>
      <c r="B101" s="60"/>
      <c r="O101" s="4"/>
      <c r="P101" s="4"/>
      <c r="Q101" s="4"/>
      <c r="R101" s="4"/>
      <c r="S101" s="4"/>
    </row>
    <row r="102" spans="1:19" ht="14.1" customHeight="1" x14ac:dyDescent="0.2">
      <c r="A102" s="22">
        <v>33</v>
      </c>
      <c r="B102" s="60"/>
      <c r="P102" s="4"/>
      <c r="Q102" s="4"/>
      <c r="R102" s="4"/>
      <c r="S102" s="4"/>
    </row>
    <row r="103" spans="1:19" ht="14.1" customHeight="1" x14ac:dyDescent="0.2">
      <c r="A103" s="22">
        <v>34</v>
      </c>
      <c r="B103" s="60"/>
      <c r="C103" s="1"/>
      <c r="F103" s="4"/>
      <c r="G103" s="4"/>
      <c r="H103" s="4"/>
      <c r="I103" s="4"/>
      <c r="J103" s="5"/>
      <c r="K103" s="4"/>
      <c r="L103" s="5"/>
      <c r="M103" s="4"/>
      <c r="N103" s="4"/>
      <c r="O103" s="4"/>
      <c r="P103" s="4"/>
      <c r="Q103" s="4"/>
      <c r="R103" s="4"/>
      <c r="S103" s="4"/>
    </row>
    <row r="104" spans="1:19" ht="14.1" customHeight="1" x14ac:dyDescent="0.2">
      <c r="A104" s="22">
        <v>35</v>
      </c>
      <c r="B104" s="60"/>
      <c r="C104" s="1"/>
      <c r="F104" s="4"/>
      <c r="G104" s="4"/>
      <c r="H104" s="4"/>
      <c r="I104" s="4"/>
      <c r="J104" s="5"/>
      <c r="K104" s="4"/>
      <c r="L104" s="5"/>
      <c r="M104" s="4"/>
      <c r="N104" s="4"/>
      <c r="O104" s="4"/>
      <c r="P104" s="4"/>
      <c r="Q104" s="4"/>
      <c r="R104" s="4"/>
      <c r="S104" s="4"/>
    </row>
    <row r="105" spans="1:19" ht="14.1" customHeight="1" x14ac:dyDescent="0.2">
      <c r="A105" s="22">
        <v>36</v>
      </c>
      <c r="B105" s="60"/>
      <c r="C105" s="1"/>
      <c r="F105" s="4"/>
      <c r="G105" s="4"/>
      <c r="H105" s="4"/>
      <c r="I105" s="4"/>
      <c r="J105" s="5"/>
      <c r="K105" s="4"/>
      <c r="L105" s="5"/>
      <c r="M105" s="4"/>
      <c r="N105" s="4"/>
      <c r="O105" s="4"/>
      <c r="P105" s="4"/>
      <c r="Q105" s="4"/>
      <c r="R105" s="4"/>
      <c r="S105" s="4"/>
    </row>
    <row r="106" spans="1:19" ht="14.1" customHeight="1" x14ac:dyDescent="0.2">
      <c r="A106" s="22">
        <v>37</v>
      </c>
      <c r="B106" s="60"/>
      <c r="C106" s="1"/>
      <c r="F106" s="4"/>
      <c r="G106" s="4"/>
      <c r="H106" s="4"/>
      <c r="I106" s="4"/>
      <c r="J106" s="5"/>
      <c r="K106" s="4"/>
      <c r="L106" s="5"/>
      <c r="M106" s="4"/>
      <c r="N106" s="4"/>
      <c r="O106" s="4"/>
      <c r="P106" s="4"/>
      <c r="Q106" s="4"/>
      <c r="R106" s="4"/>
      <c r="S106" s="4"/>
    </row>
    <row r="107" spans="1:19" ht="14.1" customHeight="1" x14ac:dyDescent="0.2">
      <c r="A107" s="22">
        <v>38</v>
      </c>
      <c r="B107" s="60"/>
      <c r="C107" s="1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4.1" customHeight="1" thickBot="1" x14ac:dyDescent="0.25">
      <c r="A108" s="19">
        <v>39</v>
      </c>
      <c r="B108" s="46" t="s">
        <v>63</v>
      </c>
      <c r="C108" s="46"/>
      <c r="D108" s="46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1:19" ht="14.1" customHeight="1" x14ac:dyDescent="0.2">
      <c r="A109" s="22" t="str">
        <f>A58</f>
        <v>Supporting Schedules:  C-23</v>
      </c>
      <c r="Q109" s="22" t="str">
        <f>Q58</f>
        <v>Recap Schedules:  C-4</v>
      </c>
    </row>
    <row r="110" spans="1:19" ht="14.1" customHeight="1" thickBot="1" x14ac:dyDescent="0.25">
      <c r="A110" s="19" t="str">
        <f>+$A$1</f>
        <v>SCHEDULE C-22</v>
      </c>
      <c r="B110" s="19"/>
      <c r="C110" s="19"/>
      <c r="D110" s="19"/>
      <c r="E110" s="19"/>
      <c r="F110" s="19"/>
      <c r="G110" s="19"/>
      <c r="H110" s="20" t="str">
        <f>+$H$1</f>
        <v>STATE AND FEDERAL INCOME TAX CALCULATION</v>
      </c>
      <c r="I110" s="20"/>
      <c r="J110" s="20"/>
      <c r="K110" s="20"/>
      <c r="L110" s="20"/>
      <c r="M110" s="19"/>
      <c r="N110" s="19"/>
      <c r="O110" s="19"/>
      <c r="P110" s="19"/>
      <c r="Q110" s="19"/>
      <c r="R110" s="19"/>
      <c r="S110" s="21" t="s">
        <v>82</v>
      </c>
    </row>
    <row r="111" spans="1:19" ht="14.1" customHeight="1" x14ac:dyDescent="0.2">
      <c r="A111" s="22" t="s">
        <v>3</v>
      </c>
      <c r="E111" s="22" t="s">
        <v>67</v>
      </c>
      <c r="G111" s="22" t="str">
        <f>IF(+$G$2="","",$G$2)</f>
        <v xml:space="preserve">Provide the calculation of state and federal income taxes for the historical base year and the </v>
      </c>
      <c r="K111" s="23"/>
      <c r="L111" s="23"/>
      <c r="N111" s="23"/>
      <c r="O111" s="23"/>
      <c r="P111" s="23" t="s">
        <v>6</v>
      </c>
      <c r="S111" s="24"/>
    </row>
    <row r="112" spans="1:19" ht="14.1" customHeight="1" x14ac:dyDescent="0.2">
      <c r="G112" s="22" t="str">
        <f>IF(+$G$3="","",$G$3)</f>
        <v>projected test year.</v>
      </c>
      <c r="K112" s="25"/>
      <c r="L112" s="24"/>
      <c r="O112" s="25"/>
      <c r="P112" s="25" t="s">
        <v>8</v>
      </c>
      <c r="Q112" s="24" t="str">
        <f>$Q$3</f>
        <v>Projected Test Year Ended 12/31/2025</v>
      </c>
      <c r="S112" s="25"/>
    </row>
    <row r="113" spans="1:19" ht="14.1" customHeight="1" x14ac:dyDescent="0.2">
      <c r="A113" s="22" t="s">
        <v>10</v>
      </c>
      <c r="G113" s="22" t="str">
        <f>IF(+$G$4="","",$G$4)</f>
        <v/>
      </c>
      <c r="K113" s="25"/>
      <c r="L113" s="24"/>
      <c r="M113" s="25"/>
      <c r="P113" s="25"/>
      <c r="Q113" s="24" t="str">
        <f>$Q$4</f>
        <v>Projected Prior Year Ended 12/31/2024</v>
      </c>
      <c r="S113" s="25"/>
    </row>
    <row r="114" spans="1:19" ht="14.1" customHeight="1" x14ac:dyDescent="0.25">
      <c r="G114" s="65" t="str">
        <f>IF(+$G$5="","",$G$5)</f>
        <v/>
      </c>
      <c r="K114" s="25"/>
      <c r="L114" s="24"/>
      <c r="M114" s="25"/>
      <c r="Q114" s="24" t="str">
        <f>$Q$5</f>
        <v>Historical Prior Year Ended 12/31/2023</v>
      </c>
      <c r="S114" s="25"/>
    </row>
    <row r="115" spans="1:19" ht="14.1" customHeight="1" thickBot="1" x14ac:dyDescent="0.25">
      <c r="A115" s="19" t="str">
        <f>A6</f>
        <v>DOCKET No. 20240026-EI</v>
      </c>
      <c r="B115" s="19"/>
      <c r="C115" s="19"/>
      <c r="D115" s="19"/>
      <c r="E115" s="19"/>
      <c r="F115" s="19"/>
      <c r="G115" s="19" t="str">
        <f>IF(+$G$6="","",$G$6)</f>
        <v/>
      </c>
      <c r="H115" s="19"/>
      <c r="I115" s="19"/>
      <c r="J115" s="20" t="s">
        <v>13</v>
      </c>
      <c r="K115" s="20"/>
      <c r="L115" s="19"/>
      <c r="M115" s="19"/>
      <c r="N115" s="19"/>
      <c r="O115" s="19"/>
      <c r="P115" s="19"/>
      <c r="Q115" s="41" t="str">
        <f>$Q$6</f>
        <v>Witness: V. Strickland</v>
      </c>
      <c r="R115" s="19"/>
      <c r="S115" s="19"/>
    </row>
    <row r="116" spans="1:19" ht="14.1" customHeight="1" x14ac:dyDescent="0.2"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8"/>
      <c r="R116" s="28"/>
      <c r="S116" s="29"/>
    </row>
    <row r="117" spans="1:19" ht="14.1" customHeight="1" x14ac:dyDescent="0.2">
      <c r="B117" s="28"/>
      <c r="C117" s="29"/>
      <c r="D117" s="29"/>
      <c r="E117" s="29"/>
      <c r="F117" s="29"/>
      <c r="G117" s="29"/>
      <c r="H117" s="28"/>
      <c r="I117" s="28"/>
      <c r="J117" s="29"/>
      <c r="K117" s="29"/>
      <c r="L117" s="28"/>
      <c r="M117" s="29"/>
      <c r="N117" s="29"/>
      <c r="O117" s="29"/>
      <c r="P117" s="29"/>
      <c r="Q117" s="28"/>
      <c r="R117" s="28"/>
      <c r="S117" s="29"/>
    </row>
    <row r="118" spans="1:19" ht="14.1" customHeight="1" x14ac:dyDescent="0.2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</row>
    <row r="119" spans="1:19" ht="14.1" customHeight="1" x14ac:dyDescent="0.2">
      <c r="A119" s="22" t="s">
        <v>14</v>
      </c>
      <c r="B119" s="28"/>
      <c r="C119" s="28"/>
      <c r="D119" s="28"/>
      <c r="E119" s="28"/>
      <c r="F119" s="29"/>
      <c r="G119" s="30"/>
      <c r="H119" s="30"/>
      <c r="I119" s="30" t="s">
        <v>15</v>
      </c>
      <c r="J119" s="30"/>
      <c r="K119" s="31"/>
      <c r="L119" s="29"/>
      <c r="M119" s="29"/>
      <c r="N119" s="30"/>
      <c r="O119" s="30"/>
      <c r="P119" s="31" t="s">
        <v>16</v>
      </c>
      <c r="Q119" s="31"/>
      <c r="R119" s="31"/>
      <c r="S119" s="28"/>
    </row>
    <row r="120" spans="1:19" ht="14.1" customHeight="1" thickBot="1" x14ac:dyDescent="0.25">
      <c r="A120" s="19" t="s">
        <v>17</v>
      </c>
      <c r="B120" s="32"/>
      <c r="C120" s="32" t="s">
        <v>18</v>
      </c>
      <c r="D120" s="32"/>
      <c r="E120" s="32"/>
      <c r="F120" s="32"/>
      <c r="G120" s="35" t="s">
        <v>19</v>
      </c>
      <c r="H120" s="35"/>
      <c r="I120" s="35" t="s">
        <v>20</v>
      </c>
      <c r="J120" s="34"/>
      <c r="K120" s="35" t="s">
        <v>21</v>
      </c>
      <c r="L120" s="34"/>
      <c r="M120" s="34"/>
      <c r="N120" s="36" t="s">
        <v>19</v>
      </c>
      <c r="O120" s="36"/>
      <c r="P120" s="36" t="s">
        <v>20</v>
      </c>
      <c r="Q120" s="36"/>
      <c r="R120" s="36" t="s">
        <v>21</v>
      </c>
      <c r="S120" s="36"/>
    </row>
    <row r="121" spans="1:19" ht="14.1" customHeight="1" x14ac:dyDescent="0.2">
      <c r="A121" s="22">
        <v>1</v>
      </c>
      <c r="B121" s="59"/>
      <c r="C121" s="1"/>
      <c r="D121" s="1"/>
      <c r="E121" s="1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4.1" customHeight="1" x14ac:dyDescent="0.2">
      <c r="A122" s="22">
        <v>2</v>
      </c>
      <c r="B122" s="59"/>
      <c r="C122" s="1" t="s">
        <v>83</v>
      </c>
      <c r="F122" s="2"/>
      <c r="G122" s="2"/>
      <c r="H122" s="2"/>
      <c r="I122" s="13">
        <f>+I17+I81-G87+I70</f>
        <v>117847.82500000001</v>
      </c>
      <c r="K122" s="1"/>
      <c r="L122" s="1"/>
      <c r="M122" s="2" t="s">
        <v>84</v>
      </c>
      <c r="N122" s="2"/>
      <c r="O122" s="2"/>
      <c r="P122" s="4"/>
      <c r="Q122" s="2"/>
      <c r="R122" s="2"/>
      <c r="S122" s="2"/>
    </row>
    <row r="123" spans="1:19" ht="14.1" customHeight="1" x14ac:dyDescent="0.2">
      <c r="A123" s="22">
        <v>3</v>
      </c>
      <c r="B123" s="60"/>
      <c r="S123" s="4"/>
    </row>
    <row r="124" spans="1:19" ht="14.1" customHeight="1" x14ac:dyDescent="0.2">
      <c r="A124" s="22">
        <v>4</v>
      </c>
      <c r="B124" s="60"/>
      <c r="C124" s="22" t="s">
        <v>77</v>
      </c>
      <c r="I124" s="4">
        <v>-17382</v>
      </c>
      <c r="P124" s="4">
        <f>-I124*0.21</f>
        <v>3650.22</v>
      </c>
    </row>
    <row r="125" spans="1:19" ht="14.1" customHeight="1" x14ac:dyDescent="0.2">
      <c r="A125" s="22">
        <v>5</v>
      </c>
      <c r="B125" s="60"/>
      <c r="S125" s="4"/>
    </row>
    <row r="126" spans="1:19" ht="14.1" customHeight="1" x14ac:dyDescent="0.2">
      <c r="A126" s="22">
        <v>6</v>
      </c>
      <c r="B126" s="60"/>
      <c r="C126" s="1" t="s">
        <v>85</v>
      </c>
      <c r="F126" s="4"/>
      <c r="G126" s="4"/>
      <c r="H126" s="4"/>
      <c r="I126" s="10">
        <f>(I122+I124)*0.21</f>
        <v>21097.823250000001</v>
      </c>
      <c r="J126" s="5"/>
      <c r="K126" s="5"/>
      <c r="L126" s="5"/>
      <c r="M126" s="4"/>
      <c r="N126" s="4"/>
      <c r="O126" s="4"/>
      <c r="P126" s="4"/>
      <c r="Q126" s="4"/>
      <c r="R126" s="4"/>
      <c r="S126" s="4"/>
    </row>
    <row r="127" spans="1:19" ht="14.1" customHeight="1" x14ac:dyDescent="0.2">
      <c r="A127" s="22">
        <v>7</v>
      </c>
      <c r="B127" s="60"/>
      <c r="C127" s="1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4.1" customHeight="1" x14ac:dyDescent="0.2">
      <c r="A128" s="22">
        <v>8</v>
      </c>
      <c r="B128" s="60"/>
      <c r="C128" s="1" t="s">
        <v>79</v>
      </c>
      <c r="F128" s="4"/>
      <c r="G128" s="4"/>
      <c r="H128" s="4"/>
      <c r="I128" s="4">
        <v>0</v>
      </c>
      <c r="J128" s="4"/>
      <c r="K128" s="4"/>
      <c r="L128" s="4"/>
      <c r="M128" s="4"/>
      <c r="N128" s="4"/>
      <c r="O128" s="4"/>
      <c r="P128" s="4">
        <v>0</v>
      </c>
      <c r="Q128" s="4"/>
      <c r="R128" s="4"/>
      <c r="S128" s="4"/>
    </row>
    <row r="129" spans="1:22" ht="14.1" customHeight="1" x14ac:dyDescent="0.2">
      <c r="A129" s="22">
        <v>9</v>
      </c>
      <c r="B129" s="60"/>
      <c r="C129" s="1"/>
      <c r="F129" s="4"/>
      <c r="G129" s="4"/>
      <c r="H129" s="4"/>
      <c r="I129" s="6"/>
      <c r="J129" s="4"/>
      <c r="K129" s="4"/>
      <c r="L129" s="4"/>
      <c r="M129" s="4"/>
      <c r="N129" s="4"/>
      <c r="O129" s="4"/>
      <c r="P129" s="6"/>
      <c r="Q129" s="4"/>
      <c r="R129" s="4"/>
      <c r="S129" s="4"/>
    </row>
    <row r="130" spans="1:22" ht="14.1" customHeight="1" x14ac:dyDescent="0.2">
      <c r="A130" s="22">
        <v>10</v>
      </c>
      <c r="B130" s="60"/>
      <c r="C130" s="1" t="s">
        <v>80</v>
      </c>
      <c r="I130" s="14">
        <v>0</v>
      </c>
      <c r="P130" s="4">
        <v>0</v>
      </c>
      <c r="S130" s="4"/>
    </row>
    <row r="131" spans="1:22" ht="14.1" customHeight="1" x14ac:dyDescent="0.2">
      <c r="A131" s="22">
        <v>11</v>
      </c>
      <c r="B131" s="60"/>
      <c r="S131" s="4"/>
    </row>
    <row r="132" spans="1:22" ht="14.1" customHeight="1" thickBot="1" x14ac:dyDescent="0.25">
      <c r="A132" s="22">
        <v>12</v>
      </c>
      <c r="B132" s="60"/>
      <c r="C132" s="1" t="s">
        <v>86</v>
      </c>
      <c r="F132" s="4"/>
      <c r="G132" s="4"/>
      <c r="H132" s="4"/>
      <c r="I132" s="12">
        <f>+I126+I130+I128</f>
        <v>21097.823250000001</v>
      </c>
      <c r="J132" s="4"/>
      <c r="K132" s="4"/>
      <c r="L132" s="4"/>
      <c r="M132" s="4"/>
      <c r="N132" s="4"/>
      <c r="O132" s="4"/>
      <c r="P132" s="12">
        <f>P70+P85+P124+P130+P128</f>
        <v>61664.774150000012</v>
      </c>
      <c r="Q132" s="4"/>
      <c r="R132" s="4">
        <f>+I132+G94+N94+P132</f>
        <v>105699.65740000001</v>
      </c>
      <c r="S132" s="4"/>
    </row>
    <row r="133" spans="1:22" ht="14.1" customHeight="1" thickTop="1" x14ac:dyDescent="0.2">
      <c r="A133" s="22">
        <v>13</v>
      </c>
      <c r="B133" s="60"/>
      <c r="S133" s="4"/>
      <c r="V133" s="42"/>
    </row>
    <row r="134" spans="1:22" ht="14.1" customHeight="1" x14ac:dyDescent="0.2">
      <c r="A134" s="22">
        <v>14</v>
      </c>
      <c r="B134" s="60"/>
      <c r="C134" s="1" t="s">
        <v>87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-12865</v>
      </c>
      <c r="T134" s="4"/>
    </row>
    <row r="135" spans="1:22" ht="14.1" customHeight="1" x14ac:dyDescent="0.2">
      <c r="A135" s="22">
        <v>15</v>
      </c>
      <c r="B135" s="60"/>
      <c r="C135" s="1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T135" s="4"/>
    </row>
    <row r="136" spans="1:22" ht="14.1" customHeight="1" x14ac:dyDescent="0.2">
      <c r="A136" s="22">
        <v>16</v>
      </c>
      <c r="B136" s="60"/>
      <c r="C136" s="1" t="s">
        <v>88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>
        <v>-35388</v>
      </c>
      <c r="T136" s="4"/>
    </row>
    <row r="137" spans="1:22" ht="14.1" customHeight="1" x14ac:dyDescent="0.2">
      <c r="A137" s="22">
        <v>17</v>
      </c>
      <c r="B137" s="60"/>
      <c r="C137" s="1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T137" s="4"/>
    </row>
    <row r="138" spans="1:22" ht="14.1" customHeight="1" x14ac:dyDescent="0.2">
      <c r="A138" s="22">
        <v>18</v>
      </c>
      <c r="B138" s="60"/>
      <c r="C138" s="22" t="s">
        <v>89</v>
      </c>
      <c r="R138" s="5">
        <v>-1800</v>
      </c>
      <c r="T138" s="4"/>
    </row>
    <row r="139" spans="1:22" ht="14.1" customHeight="1" x14ac:dyDescent="0.2">
      <c r="A139" s="22">
        <v>19</v>
      </c>
      <c r="B139" s="60"/>
      <c r="T139" s="4"/>
    </row>
    <row r="140" spans="1:22" ht="14.1" customHeight="1" x14ac:dyDescent="0.2">
      <c r="A140" s="22">
        <v>20</v>
      </c>
      <c r="B140" s="60"/>
      <c r="C140" s="1" t="s">
        <v>90</v>
      </c>
      <c r="N140" s="4">
        <v>3183</v>
      </c>
      <c r="P140" s="4">
        <v>-29978</v>
      </c>
      <c r="R140" s="5">
        <f>N140+P140</f>
        <v>-26795</v>
      </c>
      <c r="T140" s="4"/>
    </row>
    <row r="141" spans="1:22" ht="14.1" customHeight="1" x14ac:dyDescent="0.2">
      <c r="A141" s="22">
        <v>21</v>
      </c>
      <c r="B141" s="60"/>
      <c r="T141" s="4"/>
    </row>
    <row r="142" spans="1:22" ht="14.1" customHeight="1" thickBot="1" x14ac:dyDescent="0.25">
      <c r="A142" s="22">
        <v>22</v>
      </c>
      <c r="B142" s="60"/>
      <c r="C142" s="1" t="s">
        <v>91</v>
      </c>
      <c r="F142" s="4"/>
      <c r="G142" s="4"/>
      <c r="H142" s="4"/>
      <c r="I142" s="4"/>
      <c r="J142" s="5"/>
      <c r="K142" s="4"/>
      <c r="L142" s="5"/>
      <c r="M142" s="4"/>
      <c r="N142" s="4"/>
      <c r="O142" s="4"/>
      <c r="P142" s="4"/>
      <c r="Q142" s="4"/>
      <c r="R142" s="12">
        <f>+R132+R134+R136+R138+R140</f>
        <v>28851.657400000011</v>
      </c>
      <c r="S142" s="4"/>
    </row>
    <row r="143" spans="1:22" ht="14.1" customHeight="1" thickTop="1" x14ac:dyDescent="0.2">
      <c r="A143" s="22">
        <v>23</v>
      </c>
      <c r="B143" s="60"/>
      <c r="C143" s="1"/>
      <c r="F143" s="4"/>
      <c r="G143" s="4"/>
      <c r="H143" s="4"/>
      <c r="I143" s="4"/>
      <c r="J143" s="5"/>
      <c r="K143" s="4"/>
      <c r="L143" s="5"/>
      <c r="M143" s="4"/>
      <c r="N143" s="4"/>
      <c r="O143" s="4"/>
      <c r="P143" s="4"/>
      <c r="Q143" s="4"/>
      <c r="R143" s="4"/>
      <c r="S143" s="4"/>
    </row>
    <row r="144" spans="1:22" ht="14.1" customHeight="1" x14ac:dyDescent="0.2">
      <c r="A144" s="22">
        <v>24</v>
      </c>
      <c r="B144" s="60"/>
      <c r="C144" s="1"/>
      <c r="F144" s="4"/>
      <c r="G144" s="4"/>
      <c r="H144" s="4"/>
      <c r="I144" s="4"/>
      <c r="J144" s="5"/>
      <c r="K144" s="4"/>
      <c r="L144" s="5"/>
      <c r="M144" s="4"/>
      <c r="N144" s="4"/>
      <c r="O144" s="4"/>
      <c r="P144" s="4"/>
      <c r="Q144" s="4"/>
      <c r="R144" s="4"/>
      <c r="S144" s="4"/>
    </row>
    <row r="145" spans="1:19" ht="14.1" customHeight="1" x14ac:dyDescent="0.2">
      <c r="A145" s="22">
        <v>25</v>
      </c>
      <c r="B145" s="60"/>
      <c r="C145" s="1"/>
      <c r="F145" s="4"/>
      <c r="G145" s="4"/>
      <c r="H145" s="4"/>
      <c r="I145" s="4"/>
      <c r="J145" s="5"/>
      <c r="K145" s="4"/>
      <c r="L145" s="5"/>
      <c r="M145" s="4"/>
      <c r="N145" s="4"/>
      <c r="O145" s="4"/>
      <c r="P145" s="4"/>
      <c r="Q145" s="4"/>
      <c r="R145" s="4"/>
      <c r="S145" s="4"/>
    </row>
    <row r="146" spans="1:19" ht="14.1" customHeight="1" x14ac:dyDescent="0.2">
      <c r="A146" s="22">
        <v>26</v>
      </c>
      <c r="B146" s="60"/>
      <c r="S146" s="4"/>
    </row>
    <row r="147" spans="1:19" ht="14.1" customHeight="1" x14ac:dyDescent="0.2">
      <c r="A147" s="22">
        <v>27</v>
      </c>
      <c r="B147" s="60"/>
      <c r="S147" s="4"/>
    </row>
    <row r="148" spans="1:19" ht="14.1" customHeight="1" x14ac:dyDescent="0.2">
      <c r="A148" s="22">
        <v>28</v>
      </c>
      <c r="B148" s="60"/>
      <c r="C148" s="1"/>
      <c r="F148" s="4"/>
      <c r="G148" s="4"/>
      <c r="H148" s="4"/>
      <c r="I148" s="4"/>
      <c r="J148" s="5"/>
      <c r="K148" s="4"/>
      <c r="L148" s="5"/>
      <c r="M148" s="4"/>
      <c r="N148" s="4"/>
      <c r="O148" s="4"/>
      <c r="P148" s="4"/>
      <c r="Q148" s="4"/>
      <c r="R148" s="4"/>
      <c r="S148" s="4"/>
    </row>
    <row r="149" spans="1:19" ht="14.1" customHeight="1" x14ac:dyDescent="0.35">
      <c r="A149" s="22">
        <v>29</v>
      </c>
      <c r="B149" s="60"/>
      <c r="C149" s="1"/>
      <c r="F149" s="4"/>
      <c r="G149" s="15"/>
      <c r="H149" s="15"/>
      <c r="I149" s="15"/>
      <c r="J149" s="5"/>
      <c r="K149" s="4"/>
      <c r="L149" s="5"/>
      <c r="M149" s="4"/>
      <c r="N149" s="4"/>
      <c r="O149" s="4"/>
      <c r="P149" s="4"/>
      <c r="Q149" s="4"/>
      <c r="R149" s="4"/>
      <c r="S149" s="4"/>
    </row>
    <row r="150" spans="1:19" ht="14.1" customHeight="1" x14ac:dyDescent="0.2">
      <c r="A150" s="22">
        <v>30</v>
      </c>
      <c r="B150" s="60"/>
      <c r="C150" s="1" t="s">
        <v>92</v>
      </c>
      <c r="F150" s="4"/>
      <c r="G150" s="4"/>
      <c r="H150" s="4"/>
      <c r="I150" s="4"/>
      <c r="J150" s="5"/>
      <c r="K150" s="4"/>
      <c r="L150" s="5"/>
      <c r="M150" s="4"/>
      <c r="N150" s="4"/>
      <c r="O150" s="4"/>
      <c r="P150" s="4"/>
      <c r="R150" s="4"/>
      <c r="S150" s="4"/>
    </row>
    <row r="151" spans="1:19" ht="14.1" customHeight="1" x14ac:dyDescent="0.35">
      <c r="A151" s="22">
        <v>31</v>
      </c>
      <c r="B151" s="60"/>
      <c r="C151" s="1"/>
      <c r="F151" s="4"/>
      <c r="G151" s="15" t="s">
        <v>20</v>
      </c>
      <c r="H151" s="15" t="s">
        <v>19</v>
      </c>
      <c r="I151" s="15" t="s">
        <v>21</v>
      </c>
      <c r="J151" s="5"/>
      <c r="K151" s="4"/>
      <c r="L151" s="5"/>
      <c r="M151" s="4"/>
      <c r="N151" s="4"/>
      <c r="O151" s="4"/>
      <c r="P151" s="4"/>
      <c r="Q151" s="4"/>
      <c r="R151" s="4"/>
      <c r="S151" s="4"/>
    </row>
    <row r="152" spans="1:19" ht="14.1" customHeight="1" x14ac:dyDescent="0.2">
      <c r="A152" s="22">
        <v>32</v>
      </c>
      <c r="B152" s="60"/>
      <c r="C152" s="1" t="s">
        <v>93</v>
      </c>
      <c r="F152" s="4"/>
      <c r="G152" s="3">
        <f>I132</f>
        <v>21097.823250000001</v>
      </c>
      <c r="H152" s="3">
        <f>G94</f>
        <v>6346.1750000000002</v>
      </c>
      <c r="I152" s="3">
        <f t="shared" ref="I152:I156" si="8">+G152+H152</f>
        <v>27443.998250000001</v>
      </c>
      <c r="J152" s="5"/>
      <c r="K152" s="4"/>
      <c r="L152" s="5"/>
      <c r="M152" s="4"/>
      <c r="N152" s="4"/>
      <c r="O152" s="4"/>
      <c r="P152" s="4"/>
      <c r="Q152" s="4"/>
      <c r="S152" s="4"/>
    </row>
    <row r="153" spans="1:19" ht="14.1" customHeight="1" x14ac:dyDescent="0.2">
      <c r="A153" s="22">
        <v>33</v>
      </c>
      <c r="B153" s="64"/>
      <c r="C153" s="1" t="s">
        <v>94</v>
      </c>
      <c r="F153" s="4"/>
      <c r="G153" s="4">
        <f>P132</f>
        <v>61664.774150000012</v>
      </c>
      <c r="H153" s="4">
        <f>N94</f>
        <v>16590.884999999995</v>
      </c>
      <c r="I153" s="4">
        <f t="shared" si="8"/>
        <v>78255.659150000007</v>
      </c>
      <c r="J153" s="5"/>
      <c r="K153" s="4"/>
      <c r="L153" s="5"/>
      <c r="M153" s="4"/>
      <c r="N153" s="4"/>
      <c r="O153" s="4"/>
      <c r="P153" s="4"/>
      <c r="Q153" s="4"/>
      <c r="R153" s="4"/>
      <c r="S153" s="4"/>
    </row>
    <row r="154" spans="1:19" ht="14.1" customHeight="1" x14ac:dyDescent="0.2">
      <c r="A154" s="22">
        <v>34</v>
      </c>
      <c r="B154" s="60"/>
      <c r="C154" s="1" t="s">
        <v>95</v>
      </c>
      <c r="F154" s="4"/>
      <c r="G154" s="4">
        <f>R134</f>
        <v>-12865</v>
      </c>
      <c r="H154" s="4"/>
      <c r="I154" s="4">
        <f t="shared" si="8"/>
        <v>-12865</v>
      </c>
      <c r="J154" s="5"/>
      <c r="S154" s="4"/>
    </row>
    <row r="155" spans="1:19" ht="14.1" customHeight="1" x14ac:dyDescent="0.2">
      <c r="A155" s="22">
        <v>35</v>
      </c>
      <c r="B155" s="60"/>
      <c r="C155" s="1" t="s">
        <v>88</v>
      </c>
      <c r="G155" s="4">
        <f>R136</f>
        <v>-35388</v>
      </c>
      <c r="H155" s="4"/>
      <c r="I155" s="4">
        <f t="shared" si="8"/>
        <v>-35388</v>
      </c>
      <c r="J155" s="5"/>
      <c r="S155" s="4"/>
    </row>
    <row r="156" spans="1:19" ht="14.1" customHeight="1" x14ac:dyDescent="0.2">
      <c r="A156" s="22">
        <v>36</v>
      </c>
      <c r="B156" s="60"/>
      <c r="C156" s="22" t="s">
        <v>89</v>
      </c>
      <c r="G156" s="43">
        <f>R138</f>
        <v>-1800</v>
      </c>
      <c r="I156" s="4">
        <f t="shared" si="8"/>
        <v>-1800</v>
      </c>
      <c r="J156" s="5"/>
      <c r="K156" s="4"/>
      <c r="L156" s="5"/>
      <c r="M156" s="4"/>
      <c r="N156" s="4"/>
      <c r="O156" s="4"/>
      <c r="P156" s="4"/>
      <c r="Q156" s="4"/>
      <c r="S156" s="4"/>
    </row>
    <row r="157" spans="1:19" ht="14.1" customHeight="1" x14ac:dyDescent="0.2">
      <c r="A157" s="22">
        <v>37</v>
      </c>
      <c r="B157" s="60"/>
      <c r="C157" s="1" t="s">
        <v>96</v>
      </c>
      <c r="G157" s="44">
        <f>P140</f>
        <v>-29978</v>
      </c>
      <c r="H157" s="44">
        <f>N140</f>
        <v>3183</v>
      </c>
      <c r="I157" s="6">
        <f>+G157+H157</f>
        <v>-26795</v>
      </c>
      <c r="J157" s="5"/>
      <c r="K157" s="4"/>
      <c r="L157" s="5"/>
      <c r="M157" s="4"/>
      <c r="N157" s="4"/>
      <c r="O157" s="4"/>
      <c r="P157" s="4"/>
      <c r="Q157" s="4"/>
      <c r="R157" s="4"/>
      <c r="S157" s="4"/>
    </row>
    <row r="158" spans="1:19" ht="14.1" customHeight="1" thickBot="1" x14ac:dyDescent="0.25">
      <c r="A158" s="22">
        <v>38</v>
      </c>
      <c r="B158" s="60"/>
      <c r="C158" s="1" t="s">
        <v>97</v>
      </c>
      <c r="F158" s="4"/>
      <c r="G158" s="12">
        <f>SUM(G152:G157)</f>
        <v>2731.5974000000133</v>
      </c>
      <c r="H158" s="12">
        <f>SUM(H152:H157)</f>
        <v>26120.059999999994</v>
      </c>
      <c r="I158" s="12">
        <f>SUM(I152:I157)</f>
        <v>28851.657400000011</v>
      </c>
      <c r="J158" s="45"/>
      <c r="K158" s="4"/>
      <c r="L158" s="5"/>
      <c r="M158" s="4"/>
      <c r="N158" s="4"/>
      <c r="O158" s="4"/>
      <c r="P158" s="4"/>
      <c r="Q158" s="4"/>
      <c r="R158" s="4"/>
      <c r="S158" s="4"/>
    </row>
    <row r="159" spans="1:19" ht="14.1" customHeight="1" thickTop="1" x14ac:dyDescent="0.2">
      <c r="A159" s="22">
        <v>39</v>
      </c>
      <c r="B159" s="60"/>
      <c r="C159" s="1"/>
      <c r="F159" s="4"/>
      <c r="G159" s="4"/>
      <c r="H159" s="4"/>
      <c r="I159" s="4"/>
      <c r="J159" s="5"/>
      <c r="K159" s="4"/>
      <c r="L159" s="5"/>
      <c r="M159" s="4"/>
      <c r="N159" s="4"/>
      <c r="O159" s="4"/>
      <c r="P159" s="4"/>
      <c r="Q159" s="4"/>
      <c r="R159" s="4"/>
      <c r="S159" s="4"/>
    </row>
    <row r="160" spans="1:19" ht="14.1" customHeight="1" x14ac:dyDescent="0.2">
      <c r="A160" s="22">
        <v>40</v>
      </c>
      <c r="S160" s="4"/>
    </row>
    <row r="161" spans="1:19" ht="14.1" customHeight="1" x14ac:dyDescent="0.2">
      <c r="A161" s="22">
        <v>41</v>
      </c>
      <c r="S161" s="4"/>
    </row>
    <row r="162" spans="1:19" ht="14.1" customHeight="1" x14ac:dyDescent="0.2">
      <c r="A162" s="22">
        <v>42</v>
      </c>
      <c r="B162" s="60"/>
      <c r="K162" s="4"/>
      <c r="L162" s="5"/>
      <c r="M162" s="4"/>
      <c r="N162" s="4"/>
      <c r="O162" s="4"/>
      <c r="P162" s="4"/>
      <c r="Q162" s="4"/>
      <c r="R162" s="4"/>
      <c r="S162" s="4"/>
    </row>
    <row r="163" spans="1:19" ht="14.1" customHeight="1" thickBot="1" x14ac:dyDescent="0.25">
      <c r="A163" s="19">
        <v>43</v>
      </c>
      <c r="B163" s="46"/>
      <c r="C163" s="46" t="s">
        <v>63</v>
      </c>
      <c r="D163" s="46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</row>
    <row r="164" spans="1:19" ht="14.1" customHeight="1" x14ac:dyDescent="0.2">
      <c r="A164" s="22" t="str">
        <f>A109</f>
        <v>Supporting Schedules:  C-23</v>
      </c>
      <c r="Q164" s="22" t="str">
        <f>Q109</f>
        <v>Recap Schedules:  C-4</v>
      </c>
    </row>
    <row r="165" spans="1:19" ht="14.1" customHeight="1" thickBot="1" x14ac:dyDescent="0.25">
      <c r="A165" s="19" t="str">
        <f>+$A$1</f>
        <v>SCHEDULE C-22</v>
      </c>
      <c r="B165" s="19"/>
      <c r="C165" s="19"/>
      <c r="D165" s="19"/>
      <c r="E165" s="19"/>
      <c r="F165" s="19"/>
      <c r="G165" s="19"/>
      <c r="H165" s="19" t="str">
        <f>+$H$1</f>
        <v>STATE AND FEDERAL INCOME TAX CALCULATION</v>
      </c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21" t="s">
        <v>98</v>
      </c>
    </row>
    <row r="166" spans="1:19" ht="14.1" customHeight="1" x14ac:dyDescent="0.2">
      <c r="A166" s="22" t="s">
        <v>3</v>
      </c>
      <c r="E166" s="22" t="s">
        <v>67</v>
      </c>
      <c r="G166" s="22" t="str">
        <f>IF(+$G$2="","",$G$2)</f>
        <v xml:space="preserve">Provide the calculation of state and federal income taxes for the historical base year and the </v>
      </c>
      <c r="K166" s="23"/>
      <c r="L166" s="23"/>
      <c r="N166" s="23"/>
      <c r="O166" s="23"/>
      <c r="P166" s="23" t="s">
        <v>6</v>
      </c>
      <c r="S166" s="24"/>
    </row>
    <row r="167" spans="1:19" ht="14.1" customHeight="1" x14ac:dyDescent="0.2">
      <c r="G167" s="22" t="str">
        <f>IF(+$G$3="","",$G$3)</f>
        <v>projected test year.</v>
      </c>
      <c r="K167" s="25"/>
      <c r="L167" s="24"/>
      <c r="O167" s="25"/>
      <c r="P167" s="25"/>
      <c r="Q167" s="24" t="str">
        <f>$Q$3</f>
        <v>Projected Test Year Ended 12/31/2025</v>
      </c>
      <c r="S167" s="25"/>
    </row>
    <row r="168" spans="1:19" ht="14.1" customHeight="1" x14ac:dyDescent="0.2">
      <c r="A168" s="22" t="s">
        <v>10</v>
      </c>
      <c r="G168" s="22" t="str">
        <f>IF(+$G$4="","",$G$4)</f>
        <v/>
      </c>
      <c r="K168" s="25"/>
      <c r="L168" s="24"/>
      <c r="M168" s="25"/>
      <c r="P168" s="25"/>
      <c r="Q168" s="24" t="str">
        <f>$Q$4</f>
        <v>Projected Prior Year Ended 12/31/2024</v>
      </c>
      <c r="S168" s="25"/>
    </row>
    <row r="169" spans="1:19" ht="14.1" customHeight="1" x14ac:dyDescent="0.25">
      <c r="G169" s="65"/>
      <c r="K169" s="25"/>
      <c r="L169" s="24"/>
      <c r="M169" s="25"/>
      <c r="O169" s="56"/>
      <c r="P169" s="25" t="s">
        <v>8</v>
      </c>
      <c r="Q169" s="24" t="str">
        <f>$Q$5</f>
        <v>Historical Prior Year Ended 12/31/2023</v>
      </c>
      <c r="S169" s="25"/>
    </row>
    <row r="170" spans="1:19" ht="14.1" customHeight="1" thickBot="1" x14ac:dyDescent="0.25">
      <c r="A170" s="19" t="str">
        <f>A6</f>
        <v>DOCKET No. 20240026-EI</v>
      </c>
      <c r="B170" s="19"/>
      <c r="C170" s="19"/>
      <c r="D170" s="19"/>
      <c r="E170" s="19"/>
      <c r="F170" s="19"/>
      <c r="G170" s="19" t="str">
        <f>IF(+$G$6="","",$G$6)</f>
        <v/>
      </c>
      <c r="H170" s="19"/>
      <c r="I170" s="19"/>
      <c r="J170" s="20" t="s">
        <v>13</v>
      </c>
      <c r="K170" s="20"/>
      <c r="L170" s="19"/>
      <c r="M170" s="19"/>
      <c r="N170" s="19"/>
      <c r="O170" s="19"/>
      <c r="P170" s="19"/>
      <c r="Q170" s="41" t="str">
        <f>$Q$6</f>
        <v>Witness: V. Strickland</v>
      </c>
      <c r="R170" s="19"/>
      <c r="S170" s="19"/>
    </row>
    <row r="171" spans="1:19" ht="14.1" customHeight="1" x14ac:dyDescent="0.2">
      <c r="B171" s="28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8"/>
      <c r="R171" s="28"/>
      <c r="S171" s="29"/>
    </row>
    <row r="172" spans="1:19" ht="14.1" customHeight="1" x14ac:dyDescent="0.2">
      <c r="B172" s="28"/>
      <c r="C172" s="29"/>
      <c r="D172" s="29"/>
      <c r="E172" s="29"/>
      <c r="F172" s="29"/>
      <c r="G172" s="29"/>
      <c r="H172" s="28"/>
      <c r="I172" s="28"/>
      <c r="J172" s="29"/>
      <c r="K172" s="29"/>
      <c r="L172" s="28"/>
      <c r="M172" s="29"/>
      <c r="N172" s="29"/>
      <c r="O172" s="29"/>
      <c r="P172" s="29"/>
      <c r="Q172" s="28"/>
      <c r="R172" s="28"/>
      <c r="S172" s="29"/>
    </row>
    <row r="173" spans="1:19" ht="14.1" customHeight="1" x14ac:dyDescent="0.2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</row>
    <row r="174" spans="1:19" ht="14.1" customHeight="1" x14ac:dyDescent="0.2">
      <c r="A174" s="22" t="s">
        <v>14</v>
      </c>
      <c r="B174" s="28"/>
      <c r="C174" s="28"/>
      <c r="D174" s="28"/>
      <c r="E174" s="28"/>
      <c r="F174" s="29"/>
      <c r="G174" s="30"/>
      <c r="H174" s="30"/>
      <c r="I174" s="30" t="s">
        <v>15</v>
      </c>
      <c r="J174" s="30"/>
      <c r="K174" s="31"/>
      <c r="L174" s="29"/>
      <c r="M174" s="29"/>
      <c r="N174" s="30"/>
      <c r="O174" s="30"/>
      <c r="P174" s="31" t="s">
        <v>16</v>
      </c>
      <c r="Q174" s="31"/>
      <c r="R174" s="31"/>
      <c r="S174" s="28"/>
    </row>
    <row r="175" spans="1:19" ht="14.1" customHeight="1" thickBot="1" x14ac:dyDescent="0.25">
      <c r="A175" s="19" t="s">
        <v>17</v>
      </c>
      <c r="B175" s="32"/>
      <c r="C175" s="32" t="s">
        <v>18</v>
      </c>
      <c r="D175" s="32"/>
      <c r="E175" s="32"/>
      <c r="F175" s="32"/>
      <c r="G175" s="33" t="s">
        <v>19</v>
      </c>
      <c r="H175" s="33"/>
      <c r="I175" s="33" t="s">
        <v>20</v>
      </c>
      <c r="J175" s="34"/>
      <c r="K175" s="35" t="s">
        <v>21</v>
      </c>
      <c r="L175" s="34"/>
      <c r="M175" s="34"/>
      <c r="N175" s="36" t="s">
        <v>19</v>
      </c>
      <c r="O175" s="36"/>
      <c r="P175" s="36" t="s">
        <v>20</v>
      </c>
      <c r="Q175" s="36"/>
      <c r="R175" s="36" t="s">
        <v>21</v>
      </c>
      <c r="S175" s="36"/>
    </row>
    <row r="176" spans="1:19" ht="14.1" customHeight="1" x14ac:dyDescent="0.2">
      <c r="A176" s="22">
        <v>1</v>
      </c>
      <c r="B176" s="59"/>
      <c r="C176" s="1"/>
      <c r="D176" s="1"/>
      <c r="E176" s="1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4.1" customHeight="1" x14ac:dyDescent="0.2">
      <c r="A177" s="22">
        <v>2</v>
      </c>
      <c r="B177" s="59"/>
      <c r="C177" s="1" t="s">
        <v>22</v>
      </c>
      <c r="D177" s="28"/>
      <c r="E177" s="28"/>
      <c r="F177" s="28"/>
      <c r="G177" s="3">
        <f>+I177</f>
        <v>658910</v>
      </c>
      <c r="H177" s="37"/>
      <c r="I177" s="38">
        <f>+I181-I178+I179</f>
        <v>658910</v>
      </c>
      <c r="J177" s="39"/>
      <c r="K177" s="39"/>
      <c r="L177" s="40"/>
      <c r="M177" s="40"/>
      <c r="N177" s="29"/>
      <c r="O177" s="29"/>
      <c r="P177" s="29"/>
      <c r="Q177" s="2"/>
      <c r="R177" s="2"/>
      <c r="S177" s="2"/>
    </row>
    <row r="178" spans="1:19" ht="14.1" customHeight="1" x14ac:dyDescent="0.2">
      <c r="A178" s="22">
        <v>3</v>
      </c>
      <c r="B178" s="60"/>
      <c r="C178" s="1" t="s">
        <v>23</v>
      </c>
      <c r="D178" s="1"/>
      <c r="E178" s="1"/>
      <c r="F178" s="2"/>
      <c r="G178" s="4">
        <f>+I178</f>
        <v>71225</v>
      </c>
      <c r="H178" s="4"/>
      <c r="I178" s="4">
        <f>71289+SUM(N194:P194)</f>
        <v>71225</v>
      </c>
      <c r="J178" s="5"/>
      <c r="K178" s="5"/>
      <c r="L178" s="5"/>
      <c r="M178" s="5"/>
      <c r="N178" s="5"/>
      <c r="O178" s="5"/>
      <c r="P178" s="5"/>
      <c r="Q178" s="4"/>
      <c r="R178" s="4"/>
      <c r="S178" s="4"/>
    </row>
    <row r="179" spans="1:19" ht="14.1" customHeight="1" x14ac:dyDescent="0.2">
      <c r="A179" s="22">
        <v>4</v>
      </c>
      <c r="B179" s="60"/>
      <c r="C179" s="1" t="s">
        <v>24</v>
      </c>
      <c r="F179" s="2"/>
      <c r="G179" s="6">
        <f>+I179</f>
        <v>239926</v>
      </c>
      <c r="H179" s="4"/>
      <c r="I179" s="6">
        <v>239926</v>
      </c>
      <c r="J179" s="66"/>
      <c r="K179" s="5"/>
      <c r="L179" s="5"/>
      <c r="M179" s="4"/>
      <c r="N179" s="4"/>
      <c r="O179" s="4"/>
      <c r="P179" s="4"/>
      <c r="Q179" s="4"/>
      <c r="R179" s="4"/>
      <c r="S179" s="4"/>
    </row>
    <row r="180" spans="1:19" ht="14.1" customHeight="1" x14ac:dyDescent="0.2">
      <c r="A180" s="22">
        <v>5</v>
      </c>
      <c r="B180" s="60"/>
      <c r="C180" s="1"/>
      <c r="F180" s="4"/>
      <c r="G180" s="4"/>
      <c r="H180" s="4"/>
      <c r="I180" s="4"/>
      <c r="J180" s="5"/>
      <c r="K180" s="5"/>
      <c r="L180" s="5"/>
      <c r="M180" s="4"/>
      <c r="N180" s="4"/>
      <c r="O180" s="4"/>
      <c r="P180" s="4"/>
      <c r="Q180" s="4"/>
      <c r="R180" s="4"/>
      <c r="S180" s="4"/>
    </row>
    <row r="181" spans="1:19" ht="14.1" customHeight="1" x14ac:dyDescent="0.2">
      <c r="A181" s="22">
        <v>6</v>
      </c>
      <c r="B181" s="60"/>
      <c r="C181" s="1" t="s">
        <v>25</v>
      </c>
      <c r="F181" s="4"/>
      <c r="G181" s="6">
        <f>I181</f>
        <v>490209</v>
      </c>
      <c r="H181" s="4"/>
      <c r="I181" s="6">
        <v>490209</v>
      </c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4.1" customHeight="1" x14ac:dyDescent="0.2">
      <c r="A182" s="22">
        <v>7</v>
      </c>
      <c r="B182" s="60"/>
      <c r="C182" s="1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4.1" customHeight="1" x14ac:dyDescent="0.2">
      <c r="A183" s="22">
        <v>8</v>
      </c>
      <c r="B183" s="60"/>
      <c r="C183" s="1" t="s">
        <v>26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4.1" customHeight="1" x14ac:dyDescent="0.2">
      <c r="A184" s="22">
        <v>9</v>
      </c>
      <c r="B184" s="60"/>
      <c r="C184" s="1" t="s">
        <v>27</v>
      </c>
      <c r="F184" s="4"/>
      <c r="G184" s="4">
        <f>I184</f>
        <v>419988</v>
      </c>
      <c r="H184" s="4"/>
      <c r="I184" s="4">
        <v>419988</v>
      </c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4.1" customHeight="1" x14ac:dyDescent="0.2">
      <c r="A185" s="22">
        <v>10</v>
      </c>
      <c r="B185" s="60"/>
      <c r="C185" s="1" t="s">
        <v>28</v>
      </c>
      <c r="F185" s="4"/>
      <c r="G185" s="6">
        <f>-545706-G184</f>
        <v>-965694</v>
      </c>
      <c r="H185" s="61"/>
      <c r="I185" s="6">
        <f>-474569-I184</f>
        <v>-894557</v>
      </c>
      <c r="J185" s="4"/>
      <c r="K185" s="4"/>
      <c r="L185" s="4"/>
      <c r="M185" s="62"/>
      <c r="N185" s="4"/>
      <c r="P185" s="4"/>
      <c r="Q185" s="4"/>
      <c r="R185" s="4"/>
      <c r="S185" s="4"/>
    </row>
    <row r="186" spans="1:19" ht="14.1" customHeight="1" x14ac:dyDescent="0.2">
      <c r="A186" s="22">
        <v>11</v>
      </c>
      <c r="B186" s="60"/>
      <c r="C186" s="1"/>
      <c r="D186" s="22" t="s">
        <v>29</v>
      </c>
      <c r="F186" s="4"/>
      <c r="G186" s="4">
        <f>+G184+G185</f>
        <v>-545706</v>
      </c>
      <c r="H186" s="61"/>
      <c r="I186" s="4">
        <f>+I184+I185</f>
        <v>-474569</v>
      </c>
      <c r="J186" s="4"/>
      <c r="K186" s="4"/>
      <c r="M186" s="4"/>
      <c r="N186" s="4">
        <f>-G186*0.055</f>
        <v>30013.83</v>
      </c>
      <c r="O186" s="4"/>
      <c r="P186" s="5">
        <f>(-I186-N186)*0.21</f>
        <v>93356.585699999996</v>
      </c>
      <c r="Q186" s="4"/>
      <c r="R186" s="4"/>
      <c r="S186" s="4"/>
    </row>
    <row r="187" spans="1:19" ht="14.1" customHeight="1" x14ac:dyDescent="0.2">
      <c r="A187" s="22">
        <v>12</v>
      </c>
      <c r="B187" s="60"/>
      <c r="C187" s="1"/>
      <c r="D187" s="1" t="s">
        <v>99</v>
      </c>
      <c r="G187" s="5">
        <f>I187</f>
        <v>-1824</v>
      </c>
      <c r="I187" s="5">
        <v>-1824</v>
      </c>
      <c r="N187" s="4">
        <f t="shared" ref="N187:N206" si="9">-G187*0.055</f>
        <v>100.32000000000001</v>
      </c>
      <c r="O187" s="4"/>
      <c r="P187" s="4">
        <f t="shared" ref="P187:P206" si="10">-I187*0.19845</f>
        <v>361.97279999999995</v>
      </c>
      <c r="Q187" s="4"/>
      <c r="R187" s="4"/>
      <c r="S187" s="4"/>
    </row>
    <row r="188" spans="1:19" ht="14.1" customHeight="1" x14ac:dyDescent="0.2">
      <c r="A188" s="22">
        <v>13</v>
      </c>
      <c r="B188" s="60"/>
      <c r="C188" s="1"/>
      <c r="D188" s="1" t="s">
        <v>30</v>
      </c>
      <c r="E188" s="1"/>
      <c r="F188" s="1"/>
      <c r="G188" s="5">
        <f>I188</f>
        <v>-4019</v>
      </c>
      <c r="H188" s="1"/>
      <c r="I188" s="5">
        <v>-4019</v>
      </c>
      <c r="J188" s="4"/>
      <c r="K188" s="4"/>
      <c r="L188" s="4"/>
      <c r="M188" s="4"/>
      <c r="N188" s="4">
        <f t="shared" si="9"/>
        <v>221.04499999999999</v>
      </c>
      <c r="O188" s="8"/>
      <c r="P188" s="4">
        <f>-I188*0.19845</f>
        <v>797.57054999999991</v>
      </c>
      <c r="Q188" s="4"/>
      <c r="R188" s="4"/>
      <c r="S188" s="4"/>
    </row>
    <row r="189" spans="1:19" ht="14.1" customHeight="1" x14ac:dyDescent="0.2">
      <c r="A189" s="22">
        <v>14</v>
      </c>
      <c r="B189" s="60"/>
      <c r="C189" s="1"/>
      <c r="D189" s="1" t="s">
        <v>100</v>
      </c>
      <c r="E189" s="1"/>
      <c r="F189" s="1"/>
      <c r="G189" s="5">
        <v>0</v>
      </c>
      <c r="H189" s="1"/>
      <c r="I189" s="5">
        <v>0</v>
      </c>
      <c r="J189" s="4"/>
      <c r="K189" s="4"/>
      <c r="L189" s="4"/>
      <c r="M189" s="4"/>
      <c r="N189" s="4">
        <f t="shared" si="9"/>
        <v>0</v>
      </c>
      <c r="O189" s="8"/>
      <c r="P189" s="4">
        <f t="shared" ref="P189:P190" si="11">-I189*0.19845</f>
        <v>0</v>
      </c>
      <c r="Q189" s="4"/>
      <c r="R189" s="4"/>
      <c r="S189" s="4"/>
    </row>
    <row r="190" spans="1:19" ht="14.1" customHeight="1" x14ac:dyDescent="0.2">
      <c r="A190" s="22">
        <v>15</v>
      </c>
      <c r="B190" s="60"/>
      <c r="C190" s="1"/>
      <c r="D190" s="1" t="s">
        <v>31</v>
      </c>
      <c r="E190" s="1"/>
      <c r="F190" s="1"/>
      <c r="G190" s="5">
        <f t="shared" ref="G190:G206" si="12">I190</f>
        <v>175</v>
      </c>
      <c r="H190" s="1"/>
      <c r="I190" s="5">
        <v>175</v>
      </c>
      <c r="J190" s="4"/>
      <c r="K190" s="4"/>
      <c r="L190" s="4"/>
      <c r="M190" s="4"/>
      <c r="N190" s="4">
        <f t="shared" si="9"/>
        <v>-9.625</v>
      </c>
      <c r="O190" s="8"/>
      <c r="P190" s="4">
        <f t="shared" si="11"/>
        <v>-34.728749999999998</v>
      </c>
      <c r="Q190" s="4"/>
      <c r="R190" s="4"/>
      <c r="S190" s="4"/>
    </row>
    <row r="191" spans="1:19" ht="14.1" customHeight="1" x14ac:dyDescent="0.2">
      <c r="A191" s="22">
        <v>16</v>
      </c>
      <c r="B191" s="60"/>
      <c r="C191" s="1"/>
      <c r="D191" s="1" t="s">
        <v>32</v>
      </c>
      <c r="E191" s="1"/>
      <c r="F191" s="1"/>
      <c r="G191" s="5">
        <f t="shared" si="12"/>
        <v>-6518</v>
      </c>
      <c r="H191" s="1"/>
      <c r="I191" s="5">
        <v>-6518</v>
      </c>
      <c r="J191" s="4"/>
      <c r="K191" s="4"/>
      <c r="L191" s="4"/>
      <c r="M191" s="4"/>
      <c r="N191" s="4">
        <f t="shared" si="9"/>
        <v>358.49</v>
      </c>
      <c r="O191" s="8"/>
      <c r="P191" s="4">
        <f t="shared" si="10"/>
        <v>1293.4970999999998</v>
      </c>
      <c r="Q191" s="4"/>
      <c r="R191" s="4"/>
      <c r="S191" s="4"/>
    </row>
    <row r="192" spans="1:19" ht="14.1" customHeight="1" x14ac:dyDescent="0.2">
      <c r="A192" s="22">
        <v>17</v>
      </c>
      <c r="B192" s="60"/>
      <c r="C192" s="1"/>
      <c r="D192" s="1" t="s">
        <v>101</v>
      </c>
      <c r="E192" s="1"/>
      <c r="F192" s="1"/>
      <c r="G192" s="5">
        <f t="shared" si="12"/>
        <v>493</v>
      </c>
      <c r="H192" s="1"/>
      <c r="I192" s="5">
        <v>493</v>
      </c>
      <c r="J192" s="4"/>
      <c r="K192" s="4"/>
      <c r="L192" s="4"/>
      <c r="M192" s="4"/>
      <c r="N192" s="4">
        <f t="shared" si="9"/>
        <v>-27.114999999999998</v>
      </c>
      <c r="O192" s="8"/>
      <c r="P192" s="4">
        <f t="shared" si="10"/>
        <v>-97.835849999999994</v>
      </c>
      <c r="Q192" s="4"/>
      <c r="R192" s="4"/>
      <c r="S192" s="4"/>
    </row>
    <row r="193" spans="1:19" ht="14.1" customHeight="1" x14ac:dyDescent="0.2">
      <c r="A193" s="22">
        <v>18</v>
      </c>
      <c r="B193" s="60"/>
      <c r="C193" s="1"/>
      <c r="D193" s="1" t="s">
        <v>34</v>
      </c>
      <c r="E193" s="1"/>
      <c r="F193" s="1"/>
      <c r="G193" s="5">
        <f t="shared" si="12"/>
        <v>-1313</v>
      </c>
      <c r="H193" s="1"/>
      <c r="I193" s="5">
        <v>-1313</v>
      </c>
      <c r="J193" s="4"/>
      <c r="K193" s="4"/>
      <c r="L193" s="4"/>
      <c r="M193" s="4"/>
      <c r="N193" s="4">
        <f t="shared" si="9"/>
        <v>72.215000000000003</v>
      </c>
      <c r="O193" s="8"/>
      <c r="P193" s="4">
        <f t="shared" si="10"/>
        <v>260.56484999999998</v>
      </c>
      <c r="Q193" s="4"/>
      <c r="R193" s="4"/>
      <c r="S193" s="4"/>
    </row>
    <row r="194" spans="1:19" ht="14.1" customHeight="1" x14ac:dyDescent="0.2">
      <c r="A194" s="22">
        <v>19</v>
      </c>
      <c r="B194" s="60"/>
      <c r="C194" s="1"/>
      <c r="D194" s="1" t="s">
        <v>35</v>
      </c>
      <c r="G194" s="5">
        <f t="shared" si="12"/>
        <v>0</v>
      </c>
      <c r="I194" s="5">
        <v>0</v>
      </c>
      <c r="N194" s="4">
        <f>ROUND(-250*0.055,0)</f>
        <v>-14</v>
      </c>
      <c r="O194" s="8"/>
      <c r="P194" s="4">
        <f>ROUND(-250*0.19845,0)</f>
        <v>-50</v>
      </c>
      <c r="Q194" s="4"/>
      <c r="R194" s="4"/>
      <c r="S194" s="4"/>
    </row>
    <row r="195" spans="1:19" ht="14.1" customHeight="1" x14ac:dyDescent="0.2">
      <c r="A195" s="22">
        <v>20</v>
      </c>
      <c r="B195" s="60"/>
      <c r="C195" s="1"/>
      <c r="D195" s="1" t="s">
        <v>36</v>
      </c>
      <c r="E195" s="1"/>
      <c r="F195" s="1"/>
      <c r="G195" s="5">
        <f t="shared" si="12"/>
        <v>-11450</v>
      </c>
      <c r="H195" s="1"/>
      <c r="I195" s="5">
        <v>-11450</v>
      </c>
      <c r="J195" s="4"/>
      <c r="K195" s="4"/>
      <c r="L195" s="4"/>
      <c r="M195" s="4"/>
      <c r="N195" s="4">
        <f t="shared" si="9"/>
        <v>629.75</v>
      </c>
      <c r="O195" s="8"/>
      <c r="P195" s="4">
        <f t="shared" si="10"/>
        <v>2272.2525000000001</v>
      </c>
      <c r="Q195" s="4"/>
      <c r="R195" s="4"/>
      <c r="S195" s="4"/>
    </row>
    <row r="196" spans="1:19" ht="14.1" customHeight="1" x14ac:dyDescent="0.2">
      <c r="A196" s="22">
        <v>21</v>
      </c>
      <c r="B196" s="60"/>
      <c r="C196" s="1"/>
      <c r="D196" s="1" t="s">
        <v>102</v>
      </c>
      <c r="E196" s="1"/>
      <c r="F196" s="1"/>
      <c r="G196" s="5">
        <f t="shared" si="12"/>
        <v>-668</v>
      </c>
      <c r="H196" s="1"/>
      <c r="I196" s="5">
        <v>-668</v>
      </c>
      <c r="J196" s="4"/>
      <c r="K196" s="4"/>
      <c r="L196" s="4"/>
      <c r="M196" s="4"/>
      <c r="N196" s="4">
        <f t="shared" si="9"/>
        <v>36.74</v>
      </c>
      <c r="O196" s="8"/>
      <c r="P196" s="4">
        <f t="shared" si="10"/>
        <v>132.56459999999998</v>
      </c>
      <c r="Q196" s="4"/>
      <c r="R196" s="4"/>
      <c r="S196" s="4"/>
    </row>
    <row r="197" spans="1:19" ht="14.1" customHeight="1" x14ac:dyDescent="0.2">
      <c r="A197" s="22">
        <v>22</v>
      </c>
      <c r="B197" s="60"/>
      <c r="C197" s="1"/>
      <c r="D197" s="1" t="s">
        <v>38</v>
      </c>
      <c r="E197" s="1"/>
      <c r="F197" s="1"/>
      <c r="G197" s="5">
        <f t="shared" si="12"/>
        <v>-3261</v>
      </c>
      <c r="H197" s="1"/>
      <c r="I197" s="5">
        <v>-3261</v>
      </c>
      <c r="J197" s="4"/>
      <c r="K197" s="4"/>
      <c r="L197" s="4"/>
      <c r="M197" s="4"/>
      <c r="N197" s="4">
        <f t="shared" si="9"/>
        <v>179.35499999999999</v>
      </c>
      <c r="O197" s="8"/>
      <c r="P197" s="4">
        <f t="shared" si="10"/>
        <v>647.14544999999998</v>
      </c>
      <c r="Q197" s="4"/>
      <c r="R197" s="4"/>
      <c r="S197" s="4"/>
    </row>
    <row r="198" spans="1:19" ht="14.1" customHeight="1" x14ac:dyDescent="0.2">
      <c r="A198" s="22">
        <v>23</v>
      </c>
      <c r="B198" s="60"/>
      <c r="C198" s="1"/>
      <c r="D198" s="1" t="s">
        <v>39</v>
      </c>
      <c r="E198" s="1"/>
      <c r="F198" s="1"/>
      <c r="G198" s="5">
        <f t="shared" si="12"/>
        <v>913</v>
      </c>
      <c r="H198" s="1"/>
      <c r="I198" s="5">
        <v>913</v>
      </c>
      <c r="J198" s="4"/>
      <c r="K198" s="4"/>
      <c r="L198" s="4"/>
      <c r="M198" s="4"/>
      <c r="N198" s="4">
        <f t="shared" si="9"/>
        <v>-50.215000000000003</v>
      </c>
      <c r="O198" s="8"/>
      <c r="P198" s="4">
        <f t="shared" si="10"/>
        <v>-181.18484999999998</v>
      </c>
      <c r="Q198" s="4"/>
      <c r="R198" s="4"/>
      <c r="S198" s="4"/>
    </row>
    <row r="199" spans="1:19" ht="14.1" customHeight="1" x14ac:dyDescent="0.2">
      <c r="A199" s="22">
        <v>24</v>
      </c>
      <c r="B199" s="60"/>
      <c r="C199" s="1"/>
      <c r="D199" s="1" t="s">
        <v>40</v>
      </c>
      <c r="E199" s="1"/>
      <c r="F199" s="1"/>
      <c r="G199" s="5">
        <f t="shared" si="12"/>
        <v>26</v>
      </c>
      <c r="H199" s="1"/>
      <c r="I199" s="5">
        <v>26</v>
      </c>
      <c r="J199" s="4"/>
      <c r="K199" s="4"/>
      <c r="L199" s="4"/>
      <c r="M199" s="4"/>
      <c r="N199" s="4">
        <f t="shared" si="9"/>
        <v>-1.43</v>
      </c>
      <c r="O199" s="8"/>
      <c r="P199" s="4">
        <f t="shared" si="10"/>
        <v>-5.1597</v>
      </c>
      <c r="Q199" s="4"/>
      <c r="R199" s="4"/>
      <c r="S199" s="4"/>
    </row>
    <row r="200" spans="1:19" ht="14.1" customHeight="1" x14ac:dyDescent="0.2">
      <c r="A200" s="22">
        <v>25</v>
      </c>
      <c r="B200" s="60"/>
      <c r="C200" s="1"/>
      <c r="D200" s="1" t="s">
        <v>41</v>
      </c>
      <c r="E200" s="1"/>
      <c r="F200" s="1"/>
      <c r="G200" s="5">
        <f t="shared" si="12"/>
        <v>-698</v>
      </c>
      <c r="H200" s="1"/>
      <c r="I200" s="5">
        <v>-698</v>
      </c>
      <c r="J200" s="4"/>
      <c r="K200" s="4"/>
      <c r="L200" s="4"/>
      <c r="M200" s="4"/>
      <c r="N200" s="4">
        <f t="shared" si="9"/>
        <v>38.39</v>
      </c>
      <c r="O200" s="8"/>
      <c r="P200" s="4">
        <f t="shared" si="10"/>
        <v>138.5181</v>
      </c>
      <c r="Q200" s="4"/>
      <c r="R200" s="4"/>
      <c r="S200" s="4"/>
    </row>
    <row r="201" spans="1:19" ht="14.1" customHeight="1" x14ac:dyDescent="0.2">
      <c r="A201" s="22">
        <v>26</v>
      </c>
      <c r="B201" s="60"/>
      <c r="C201" s="1"/>
      <c r="D201" s="1" t="s">
        <v>42</v>
      </c>
      <c r="E201" s="1"/>
      <c r="F201" s="1"/>
      <c r="G201" s="5">
        <f t="shared" si="12"/>
        <v>426246</v>
      </c>
      <c r="H201" s="1"/>
      <c r="I201" s="5">
        <v>426246</v>
      </c>
      <c r="J201" s="4"/>
      <c r="K201" s="4"/>
      <c r="L201" s="4"/>
      <c r="M201" s="4"/>
      <c r="N201" s="4">
        <f t="shared" si="9"/>
        <v>-23443.53</v>
      </c>
      <c r="O201" s="8"/>
      <c r="P201" s="4">
        <f t="shared" si="10"/>
        <v>-84588.518700000001</v>
      </c>
      <c r="Q201" s="4"/>
      <c r="R201" s="4"/>
      <c r="S201" s="4"/>
    </row>
    <row r="202" spans="1:19" ht="14.1" customHeight="1" x14ac:dyDescent="0.2">
      <c r="A202" s="22">
        <v>27</v>
      </c>
      <c r="B202" s="60"/>
      <c r="C202" s="1"/>
      <c r="D202" s="1" t="s">
        <v>43</v>
      </c>
      <c r="E202" s="1"/>
      <c r="F202" s="1"/>
      <c r="G202" s="5">
        <f t="shared" si="12"/>
        <v>-27</v>
      </c>
      <c r="H202" s="1"/>
      <c r="I202" s="5">
        <v>-27</v>
      </c>
      <c r="J202" s="4"/>
      <c r="K202" s="4"/>
      <c r="L202" s="4"/>
      <c r="M202" s="4"/>
      <c r="N202" s="4">
        <f t="shared" si="9"/>
        <v>1.4850000000000001</v>
      </c>
      <c r="O202" s="8"/>
      <c r="P202" s="4">
        <f t="shared" si="10"/>
        <v>5.3581499999999993</v>
      </c>
      <c r="Q202" s="4"/>
      <c r="R202" s="4"/>
      <c r="S202" s="4"/>
    </row>
    <row r="203" spans="1:19" ht="14.1" customHeight="1" x14ac:dyDescent="0.2">
      <c r="A203" s="22">
        <v>28</v>
      </c>
      <c r="B203" s="60"/>
      <c r="C203" s="1"/>
      <c r="D203" s="1" t="s">
        <v>103</v>
      </c>
      <c r="E203" s="1"/>
      <c r="F203" s="1"/>
      <c r="G203" s="5">
        <f t="shared" si="12"/>
        <v>16051</v>
      </c>
      <c r="H203" s="1"/>
      <c r="I203" s="5">
        <v>16051</v>
      </c>
      <c r="J203" s="4"/>
      <c r="K203" s="4"/>
      <c r="L203" s="4"/>
      <c r="M203" s="4"/>
      <c r="N203" s="4">
        <f t="shared" si="9"/>
        <v>-882.80499999999995</v>
      </c>
      <c r="O203" s="8"/>
      <c r="P203" s="4">
        <f t="shared" si="10"/>
        <v>-3185.3209499999998</v>
      </c>
      <c r="Q203" s="4"/>
      <c r="R203" s="4"/>
      <c r="S203" s="4"/>
    </row>
    <row r="204" spans="1:19" ht="14.1" customHeight="1" x14ac:dyDescent="0.2">
      <c r="A204" s="22">
        <v>29</v>
      </c>
      <c r="B204" s="60"/>
      <c r="C204" s="1"/>
      <c r="D204" s="1" t="s">
        <v>49</v>
      </c>
      <c r="E204" s="1"/>
      <c r="F204" s="1"/>
      <c r="G204" s="5">
        <f t="shared" si="12"/>
        <v>460</v>
      </c>
      <c r="H204" s="1"/>
      <c r="I204" s="5">
        <v>460</v>
      </c>
      <c r="J204" s="4"/>
      <c r="K204" s="4"/>
      <c r="L204" s="4"/>
      <c r="M204" s="4"/>
      <c r="N204" s="4">
        <f t="shared" si="9"/>
        <v>-25.3</v>
      </c>
      <c r="O204" s="4"/>
      <c r="P204" s="4">
        <f t="shared" si="10"/>
        <v>-91.286999999999992</v>
      </c>
      <c r="Q204" s="4"/>
      <c r="R204" s="4"/>
      <c r="S204" s="4"/>
    </row>
    <row r="205" spans="1:19" ht="14.1" customHeight="1" x14ac:dyDescent="0.2">
      <c r="A205" s="22">
        <v>30</v>
      </c>
      <c r="B205" s="60"/>
      <c r="D205" s="1" t="s">
        <v>44</v>
      </c>
      <c r="E205" s="1"/>
      <c r="F205" s="1"/>
      <c r="G205" s="5">
        <f t="shared" si="12"/>
        <v>17</v>
      </c>
      <c r="H205" s="1"/>
      <c r="I205" s="5">
        <v>17</v>
      </c>
      <c r="J205" s="4"/>
      <c r="K205" s="4"/>
      <c r="L205" s="4"/>
      <c r="M205" s="4"/>
      <c r="N205" s="4">
        <f t="shared" si="9"/>
        <v>-0.93500000000000005</v>
      </c>
      <c r="O205" s="8"/>
      <c r="P205" s="4">
        <f t="shared" si="10"/>
        <v>-3.3736499999999996</v>
      </c>
      <c r="Q205" s="4"/>
      <c r="R205" s="4"/>
      <c r="S205" s="4"/>
    </row>
    <row r="206" spans="1:19" ht="14.1" customHeight="1" x14ac:dyDescent="0.2">
      <c r="A206" s="22">
        <v>31</v>
      </c>
      <c r="B206" s="64"/>
      <c r="C206" s="1"/>
      <c r="D206" s="1" t="s">
        <v>45</v>
      </c>
      <c r="E206" s="1"/>
      <c r="F206" s="1"/>
      <c r="G206" s="4">
        <f t="shared" si="12"/>
        <v>67855</v>
      </c>
      <c r="H206" s="1"/>
      <c r="I206" s="4">
        <v>67855</v>
      </c>
      <c r="J206" s="4"/>
      <c r="K206" s="4"/>
      <c r="L206" s="4"/>
      <c r="M206" s="4"/>
      <c r="N206" s="4">
        <f t="shared" si="9"/>
        <v>-3732.0250000000001</v>
      </c>
      <c r="O206" s="8"/>
      <c r="P206" s="4">
        <f t="shared" si="10"/>
        <v>-13465.82475</v>
      </c>
      <c r="Q206" s="4"/>
      <c r="R206" s="4"/>
      <c r="S206" s="4"/>
    </row>
    <row r="207" spans="1:19" ht="14.1" customHeight="1" x14ac:dyDescent="0.2">
      <c r="A207" s="22">
        <v>32</v>
      </c>
      <c r="B207" s="64"/>
      <c r="C207" s="1"/>
      <c r="D207" s="1" t="s">
        <v>104</v>
      </c>
      <c r="G207" s="4">
        <f>I207</f>
        <v>749</v>
      </c>
      <c r="I207" s="4">
        <v>749</v>
      </c>
      <c r="N207" s="4">
        <f>-G207*0.055</f>
        <v>-41.195</v>
      </c>
      <c r="P207" s="4">
        <f>-I207*0.19845</f>
        <v>-148.63905</v>
      </c>
      <c r="Q207" s="4"/>
      <c r="R207" s="4"/>
      <c r="S207" s="4"/>
    </row>
    <row r="208" spans="1:19" ht="14.1" customHeight="1" x14ac:dyDescent="0.2">
      <c r="A208" s="22">
        <v>33</v>
      </c>
      <c r="B208" s="64"/>
      <c r="C208" s="1"/>
      <c r="D208" s="1" t="s">
        <v>50</v>
      </c>
      <c r="E208" s="2"/>
      <c r="F208" s="2"/>
      <c r="G208" s="4">
        <f>I208</f>
        <v>-16462</v>
      </c>
      <c r="H208" s="2"/>
      <c r="I208" s="4">
        <v>-16462</v>
      </c>
      <c r="J208" s="4"/>
      <c r="K208" s="4"/>
      <c r="L208" s="4"/>
      <c r="M208" s="4"/>
      <c r="N208" s="4">
        <f>-G208*0.055</f>
        <v>905.41</v>
      </c>
      <c r="O208" s="8"/>
      <c r="P208" s="4">
        <f>-I208*0.19845</f>
        <v>3266.8838999999998</v>
      </c>
      <c r="Q208" s="4"/>
      <c r="R208" s="4"/>
      <c r="S208" s="4"/>
    </row>
    <row r="209" spans="1:19" ht="14.1" customHeight="1" x14ac:dyDescent="0.2">
      <c r="A209" s="22">
        <v>34</v>
      </c>
      <c r="B209" s="64"/>
      <c r="C209" s="1"/>
      <c r="D209" s="22" t="s">
        <v>51</v>
      </c>
      <c r="E209" s="2"/>
      <c r="F209" s="2"/>
      <c r="G209" s="4">
        <f>I209</f>
        <v>-2187</v>
      </c>
      <c r="H209" s="2"/>
      <c r="I209" s="4">
        <v>-2187</v>
      </c>
      <c r="J209" s="4"/>
      <c r="K209" s="4"/>
      <c r="L209" s="4"/>
      <c r="M209" s="4"/>
      <c r="N209" s="4">
        <f t="shared" ref="N209" si="13">-G209*0.055</f>
        <v>120.285</v>
      </c>
      <c r="O209" s="8"/>
      <c r="P209" s="4">
        <f t="shared" ref="P209" si="14">-I209*0.19845</f>
        <v>434.01014999999995</v>
      </c>
      <c r="Q209" s="4"/>
      <c r="R209" s="4"/>
      <c r="S209" s="4"/>
    </row>
    <row r="210" spans="1:19" ht="14.1" customHeight="1" x14ac:dyDescent="0.2">
      <c r="A210" s="22">
        <v>35</v>
      </c>
      <c r="B210" s="64"/>
      <c r="C210" s="1"/>
      <c r="D210" s="1" t="s">
        <v>105</v>
      </c>
      <c r="G210" s="4">
        <f>I210</f>
        <v>4939</v>
      </c>
      <c r="I210" s="4">
        <v>4939</v>
      </c>
      <c r="N210" s="4">
        <f>-G210*0.055</f>
        <v>-271.64499999999998</v>
      </c>
      <c r="P210" s="4">
        <f>-I210*0.19845</f>
        <v>-980.14454999999998</v>
      </c>
      <c r="Q210" s="4"/>
      <c r="R210" s="4"/>
      <c r="S210" s="4"/>
    </row>
    <row r="211" spans="1:19" ht="14.1" customHeight="1" x14ac:dyDescent="0.2">
      <c r="A211" s="22">
        <v>36</v>
      </c>
      <c r="B211" s="64"/>
      <c r="C211" s="1"/>
      <c r="D211" s="1" t="s">
        <v>106</v>
      </c>
      <c r="F211" s="4"/>
      <c r="G211" s="6">
        <f>I211</f>
        <v>98</v>
      </c>
      <c r="I211" s="6">
        <v>98</v>
      </c>
      <c r="J211" s="4"/>
      <c r="K211" s="4"/>
      <c r="L211" s="4"/>
      <c r="M211" s="4"/>
      <c r="N211" s="6">
        <f>-G211*0.055</f>
        <v>-5.39</v>
      </c>
      <c r="P211" s="6">
        <f>-I211*0.19845</f>
        <v>-19.4481</v>
      </c>
      <c r="Q211" s="4"/>
      <c r="R211" s="4"/>
      <c r="S211" s="4"/>
    </row>
    <row r="212" spans="1:19" ht="14.1" customHeight="1" x14ac:dyDescent="0.2">
      <c r="A212" s="22">
        <v>37</v>
      </c>
      <c r="B212" s="60"/>
      <c r="C212" s="47" t="s">
        <v>107</v>
      </c>
      <c r="D212" s="1"/>
      <c r="F212" s="4"/>
      <c r="G212" s="48">
        <f>SUM(G186:G211)</f>
        <v>-76111</v>
      </c>
      <c r="H212" s="47"/>
      <c r="I212" s="48">
        <f>SUM(I186:I211)</f>
        <v>-4974</v>
      </c>
      <c r="N212" s="48">
        <f>SUM(N186:N211)</f>
        <v>4172.1049999999987</v>
      </c>
      <c r="O212" s="47"/>
      <c r="P212" s="48">
        <f>SUM(P186:P211)</f>
        <v>115.45794999998323</v>
      </c>
      <c r="Q212" s="4"/>
      <c r="R212" s="4"/>
      <c r="S212" s="4"/>
    </row>
    <row r="213" spans="1:19" ht="14.1" customHeight="1" x14ac:dyDescent="0.2">
      <c r="A213" s="22">
        <v>38</v>
      </c>
      <c r="B213" s="60"/>
    </row>
    <row r="214" spans="1:19" ht="14.1" customHeight="1" x14ac:dyDescent="0.2">
      <c r="A214" s="22">
        <v>39</v>
      </c>
      <c r="B214" s="60"/>
      <c r="Q214" s="4"/>
      <c r="R214" s="4"/>
      <c r="S214" s="4"/>
    </row>
    <row r="215" spans="1:19" ht="14.1" customHeight="1" thickBot="1" x14ac:dyDescent="0.25">
      <c r="A215" s="19">
        <v>40</v>
      </c>
      <c r="B215" s="46" t="s">
        <v>63</v>
      </c>
      <c r="C215" s="46"/>
      <c r="D215" s="46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</row>
    <row r="216" spans="1:19" ht="14.1" customHeight="1" x14ac:dyDescent="0.2">
      <c r="A216" s="22" t="str">
        <f>A164</f>
        <v>Supporting Schedules:  C-23</v>
      </c>
      <c r="Q216" s="22" t="str">
        <f>Q164</f>
        <v>Recap Schedules:  C-4</v>
      </c>
    </row>
    <row r="217" spans="1:19" ht="14.1" customHeight="1" thickBot="1" x14ac:dyDescent="0.25">
      <c r="A217" s="19" t="str">
        <f>+$A$1</f>
        <v>SCHEDULE C-22</v>
      </c>
      <c r="B217" s="19"/>
      <c r="C217" s="19"/>
      <c r="D217" s="19"/>
      <c r="E217" s="19"/>
      <c r="F217" s="19"/>
      <c r="G217" s="19"/>
      <c r="H217" s="19" t="str">
        <f>+$H$1</f>
        <v>STATE AND FEDERAL INCOME TAX CALCULATION</v>
      </c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21" t="s">
        <v>108</v>
      </c>
    </row>
    <row r="218" spans="1:19" ht="14.1" customHeight="1" x14ac:dyDescent="0.2">
      <c r="A218" s="22" t="s">
        <v>3</v>
      </c>
      <c r="E218" s="22" t="s">
        <v>67</v>
      </c>
      <c r="G218" s="22" t="str">
        <f>IF(+$G$2="","",$G$2)</f>
        <v xml:space="preserve">Provide the calculation of state and federal income taxes for the historical base year and the </v>
      </c>
      <c r="K218" s="23"/>
      <c r="L218" s="23"/>
      <c r="N218" s="23"/>
      <c r="O218" s="23"/>
      <c r="P218" s="23" t="s">
        <v>6</v>
      </c>
      <c r="S218" s="24"/>
    </row>
    <row r="219" spans="1:19" ht="14.1" customHeight="1" x14ac:dyDescent="0.2">
      <c r="G219" s="22" t="str">
        <f>IF(+$G$3="","",$G$3)</f>
        <v>projected test year.</v>
      </c>
      <c r="K219" s="25"/>
      <c r="L219" s="24"/>
      <c r="O219" s="25"/>
      <c r="P219" s="25"/>
      <c r="Q219" s="24" t="str">
        <f>$Q$3</f>
        <v>Projected Test Year Ended 12/31/2025</v>
      </c>
      <c r="S219" s="25"/>
    </row>
    <row r="220" spans="1:19" ht="14.1" customHeight="1" x14ac:dyDescent="0.2">
      <c r="A220" s="22" t="s">
        <v>10</v>
      </c>
      <c r="G220" s="22" t="str">
        <f>IF(+$G$4="","",$G$4)</f>
        <v/>
      </c>
      <c r="K220" s="25"/>
      <c r="L220" s="24"/>
      <c r="M220" s="25"/>
      <c r="P220" s="25"/>
      <c r="Q220" s="24" t="str">
        <f>$Q$4</f>
        <v>Projected Prior Year Ended 12/31/2024</v>
      </c>
      <c r="S220" s="25"/>
    </row>
    <row r="221" spans="1:19" ht="14.1" customHeight="1" x14ac:dyDescent="0.25">
      <c r="G221" s="65"/>
      <c r="K221" s="25"/>
      <c r="L221" s="24"/>
      <c r="M221" s="25"/>
      <c r="P221" s="25" t="s">
        <v>8</v>
      </c>
      <c r="Q221" s="24" t="str">
        <f>$Q$5</f>
        <v>Historical Prior Year Ended 12/31/2023</v>
      </c>
      <c r="S221" s="25"/>
    </row>
    <row r="222" spans="1:19" ht="14.1" customHeight="1" thickBot="1" x14ac:dyDescent="0.25">
      <c r="A222" s="19" t="str">
        <f>A6</f>
        <v>DOCKET No. 20240026-EI</v>
      </c>
      <c r="B222" s="19"/>
      <c r="C222" s="19"/>
      <c r="D222" s="19"/>
      <c r="E222" s="19"/>
      <c r="F222" s="19"/>
      <c r="G222" s="19" t="str">
        <f>IF(+$G$6="","",$G$6)</f>
        <v/>
      </c>
      <c r="H222" s="19"/>
      <c r="I222" s="19"/>
      <c r="J222" s="20" t="s">
        <v>13</v>
      </c>
      <c r="K222" s="20"/>
      <c r="L222" s="19"/>
      <c r="M222" s="19"/>
      <c r="N222" s="19"/>
      <c r="O222" s="19"/>
      <c r="P222" s="19"/>
      <c r="Q222" s="41" t="str">
        <f>$Q$6</f>
        <v>Witness: V. Strickland</v>
      </c>
      <c r="R222" s="19"/>
      <c r="S222" s="19"/>
    </row>
    <row r="223" spans="1:19" ht="14.1" customHeight="1" x14ac:dyDescent="0.2">
      <c r="B223" s="28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8"/>
      <c r="R223" s="28"/>
      <c r="S223" s="29"/>
    </row>
    <row r="224" spans="1:19" ht="14.1" customHeight="1" x14ac:dyDescent="0.2">
      <c r="B224" s="28"/>
      <c r="C224" s="29"/>
      <c r="D224" s="29"/>
      <c r="E224" s="29"/>
      <c r="F224" s="29"/>
      <c r="G224" s="29"/>
      <c r="H224" s="28"/>
      <c r="I224" s="28"/>
      <c r="J224" s="29"/>
      <c r="K224" s="29"/>
      <c r="L224" s="28"/>
      <c r="M224" s="29"/>
      <c r="N224" s="29"/>
      <c r="O224" s="29"/>
      <c r="P224" s="29"/>
      <c r="Q224" s="28"/>
      <c r="R224" s="28"/>
      <c r="S224" s="29"/>
    </row>
    <row r="225" spans="1:19" ht="14.1" customHeight="1" x14ac:dyDescent="0.2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</row>
    <row r="226" spans="1:19" ht="14.1" customHeight="1" x14ac:dyDescent="0.2">
      <c r="A226" s="22" t="s">
        <v>14</v>
      </c>
      <c r="B226" s="28"/>
      <c r="C226" s="28"/>
      <c r="D226" s="28"/>
      <c r="E226" s="28"/>
      <c r="F226" s="29"/>
      <c r="G226" s="30"/>
      <c r="H226" s="30"/>
      <c r="I226" s="30" t="s">
        <v>15</v>
      </c>
      <c r="J226" s="30"/>
      <c r="K226" s="31"/>
      <c r="L226" s="29"/>
      <c r="M226" s="29"/>
      <c r="N226" s="30"/>
      <c r="O226" s="30"/>
      <c r="P226" s="31" t="s">
        <v>16</v>
      </c>
      <c r="Q226" s="31"/>
      <c r="R226" s="31"/>
      <c r="S226" s="28"/>
    </row>
    <row r="227" spans="1:19" ht="14.1" customHeight="1" thickBot="1" x14ac:dyDescent="0.25">
      <c r="A227" s="19" t="s">
        <v>17</v>
      </c>
      <c r="B227" s="32"/>
      <c r="C227" s="32" t="s">
        <v>18</v>
      </c>
      <c r="D227" s="32"/>
      <c r="E227" s="32"/>
      <c r="F227" s="32"/>
      <c r="G227" s="35" t="s">
        <v>19</v>
      </c>
      <c r="H227" s="35"/>
      <c r="I227" s="35" t="s">
        <v>20</v>
      </c>
      <c r="J227" s="34"/>
      <c r="K227" s="35" t="s">
        <v>21</v>
      </c>
      <c r="L227" s="34"/>
      <c r="M227" s="34"/>
      <c r="N227" s="36" t="s">
        <v>19</v>
      </c>
      <c r="O227" s="36"/>
      <c r="P227" s="36" t="s">
        <v>20</v>
      </c>
      <c r="Q227" s="36"/>
      <c r="R227" s="36" t="s">
        <v>21</v>
      </c>
      <c r="S227" s="36"/>
    </row>
    <row r="228" spans="1:19" ht="14.1" customHeight="1" x14ac:dyDescent="0.2">
      <c r="A228" s="22">
        <v>1</v>
      </c>
      <c r="B228" s="59"/>
      <c r="C228" s="1" t="s">
        <v>107</v>
      </c>
      <c r="D228" s="1"/>
      <c r="E228" s="1"/>
      <c r="F228" s="2"/>
      <c r="G228" s="1">
        <f>G212</f>
        <v>-76111</v>
      </c>
      <c r="H228" s="2"/>
      <c r="I228" s="1">
        <f>I212</f>
        <v>-4974</v>
      </c>
      <c r="J228" s="1"/>
      <c r="K228" s="1"/>
      <c r="L228" s="1"/>
      <c r="M228" s="1"/>
      <c r="N228" s="1">
        <f>N212</f>
        <v>4172.1049999999987</v>
      </c>
      <c r="O228" s="2"/>
      <c r="P228" s="1">
        <f>P212</f>
        <v>115.45794999998323</v>
      </c>
      <c r="Q228" s="1"/>
      <c r="R228" s="1"/>
      <c r="S228" s="1"/>
    </row>
    <row r="229" spans="1:19" ht="14.1" customHeight="1" x14ac:dyDescent="0.2">
      <c r="A229" s="22">
        <v>2</v>
      </c>
      <c r="B229" s="59"/>
      <c r="D229" s="22" t="s">
        <v>109</v>
      </c>
      <c r="G229" s="4">
        <f t="shared" ref="G229:G231" si="15">I229</f>
        <v>-5558</v>
      </c>
      <c r="I229" s="4">
        <v>-5558</v>
      </c>
      <c r="N229" s="4">
        <f t="shared" ref="N229:N236" si="16">-G229*0.055</f>
        <v>305.69</v>
      </c>
      <c r="P229" s="4">
        <f t="shared" ref="P229:P236" si="17">-I229*0.19845</f>
        <v>1102.9850999999999</v>
      </c>
      <c r="R229" s="4"/>
      <c r="S229" s="2"/>
    </row>
    <row r="230" spans="1:19" ht="14.1" customHeight="1" x14ac:dyDescent="0.2">
      <c r="A230" s="22">
        <v>3</v>
      </c>
      <c r="B230" s="60"/>
      <c r="D230" s="22" t="s">
        <v>54</v>
      </c>
      <c r="G230" s="4">
        <f t="shared" si="15"/>
        <v>8310</v>
      </c>
      <c r="I230" s="4">
        <v>8310</v>
      </c>
      <c r="N230" s="4">
        <f t="shared" si="16"/>
        <v>-457.05</v>
      </c>
      <c r="P230" s="4">
        <f t="shared" si="17"/>
        <v>-1649.1194999999998</v>
      </c>
      <c r="R230" s="4"/>
      <c r="S230" s="4"/>
    </row>
    <row r="231" spans="1:19" ht="14.1" customHeight="1" x14ac:dyDescent="0.2">
      <c r="A231" s="22">
        <v>4</v>
      </c>
      <c r="D231" s="22" t="s">
        <v>55</v>
      </c>
      <c r="G231" s="4">
        <f t="shared" si="15"/>
        <v>-9905</v>
      </c>
      <c r="I231" s="4">
        <v>-9905</v>
      </c>
      <c r="N231" s="4">
        <f t="shared" si="16"/>
        <v>544.77499999999998</v>
      </c>
      <c r="P231" s="4">
        <f t="shared" si="17"/>
        <v>1965.64725</v>
      </c>
      <c r="R231" s="4"/>
    </row>
    <row r="232" spans="1:19" ht="14.1" customHeight="1" x14ac:dyDescent="0.2">
      <c r="A232" s="22">
        <v>5</v>
      </c>
      <c r="B232" s="60"/>
      <c r="D232" s="22" t="s">
        <v>110</v>
      </c>
      <c r="G232" s="4">
        <f>I232</f>
        <v>-25329</v>
      </c>
      <c r="H232" s="4"/>
      <c r="I232" s="4">
        <v>-25329</v>
      </c>
      <c r="N232" s="4">
        <f t="shared" si="16"/>
        <v>1393.095</v>
      </c>
      <c r="P232" s="4">
        <f t="shared" si="17"/>
        <v>5026.5400499999996</v>
      </c>
      <c r="R232" s="4"/>
      <c r="S232" s="4"/>
    </row>
    <row r="233" spans="1:19" ht="14.1" customHeight="1" x14ac:dyDescent="0.2">
      <c r="A233" s="22">
        <v>6</v>
      </c>
      <c r="B233" s="60"/>
      <c r="D233" s="22" t="s">
        <v>57</v>
      </c>
      <c r="G233" s="4">
        <f>I233</f>
        <v>1055</v>
      </c>
      <c r="H233" s="4"/>
      <c r="I233" s="4">
        <v>1055</v>
      </c>
      <c r="J233" s="5"/>
      <c r="K233" s="4"/>
      <c r="L233" s="5"/>
      <c r="M233" s="4"/>
      <c r="N233" s="4">
        <f t="shared" si="16"/>
        <v>-58.024999999999999</v>
      </c>
      <c r="P233" s="4">
        <f t="shared" si="17"/>
        <v>-209.36474999999999</v>
      </c>
      <c r="Q233" s="2"/>
      <c r="R233" s="4"/>
      <c r="S233" s="4"/>
    </row>
    <row r="234" spans="1:19" ht="14.1" customHeight="1" x14ac:dyDescent="0.2">
      <c r="A234" s="22">
        <v>7</v>
      </c>
      <c r="B234" s="60"/>
      <c r="D234" s="22" t="s">
        <v>58</v>
      </c>
      <c r="G234" s="4">
        <f>I234</f>
        <v>-123</v>
      </c>
      <c r="H234" s="4"/>
      <c r="I234" s="4">
        <v>-123</v>
      </c>
      <c r="J234" s="5"/>
      <c r="K234" s="4"/>
      <c r="L234" s="5"/>
      <c r="M234" s="4"/>
      <c r="N234" s="4">
        <f t="shared" si="16"/>
        <v>6.7649999999999997</v>
      </c>
      <c r="P234" s="4">
        <f t="shared" si="17"/>
        <v>24.40935</v>
      </c>
      <c r="Q234" s="4"/>
      <c r="R234" s="4"/>
      <c r="S234" s="4"/>
    </row>
    <row r="235" spans="1:19" ht="14.1" customHeight="1" x14ac:dyDescent="0.2">
      <c r="A235" s="22">
        <v>8</v>
      </c>
      <c r="B235" s="60"/>
      <c r="D235" s="22" t="s">
        <v>111</v>
      </c>
      <c r="G235" s="4">
        <f>I235</f>
        <v>84397</v>
      </c>
      <c r="H235" s="4"/>
      <c r="I235" s="4">
        <v>84397</v>
      </c>
      <c r="J235" s="5"/>
      <c r="K235" s="4"/>
      <c r="L235" s="5"/>
      <c r="M235" s="4"/>
      <c r="N235" s="4">
        <f t="shared" si="16"/>
        <v>-4641.835</v>
      </c>
      <c r="P235" s="4">
        <f t="shared" si="17"/>
        <v>-16748.584650000001</v>
      </c>
      <c r="Q235" s="4"/>
      <c r="R235" s="4"/>
      <c r="S235" s="4"/>
    </row>
    <row r="236" spans="1:19" ht="14.1" customHeight="1" x14ac:dyDescent="0.2">
      <c r="A236" s="22">
        <v>9</v>
      </c>
      <c r="B236" s="60"/>
      <c r="D236" s="22" t="s">
        <v>112</v>
      </c>
      <c r="G236" s="6">
        <f>I236</f>
        <v>2814</v>
      </c>
      <c r="H236" s="4"/>
      <c r="I236" s="6">
        <v>2814</v>
      </c>
      <c r="J236" s="5"/>
      <c r="K236" s="4"/>
      <c r="L236" s="5"/>
      <c r="M236" s="4"/>
      <c r="N236" s="6">
        <f t="shared" si="16"/>
        <v>-154.77000000000001</v>
      </c>
      <c r="P236" s="6">
        <f t="shared" si="17"/>
        <v>-558.43829999999991</v>
      </c>
      <c r="Q236" s="4"/>
      <c r="R236" s="4"/>
      <c r="S236" s="4"/>
    </row>
    <row r="237" spans="1:19" ht="14.1" customHeight="1" x14ac:dyDescent="0.2">
      <c r="A237" s="22">
        <v>10</v>
      </c>
      <c r="B237" s="60"/>
      <c r="C237" s="1" t="s">
        <v>62</v>
      </c>
      <c r="F237" s="4"/>
      <c r="G237" s="4">
        <f>SUM(G228:G236)</f>
        <v>-20450</v>
      </c>
      <c r="H237" s="4"/>
      <c r="I237" s="4">
        <f>SUM(I228:I236)</f>
        <v>50687</v>
      </c>
      <c r="J237" s="5"/>
      <c r="K237" s="4"/>
      <c r="L237" s="5"/>
      <c r="M237" s="4"/>
      <c r="N237" s="4">
        <f>SUM(N228:N236)</f>
        <v>1110.7499999999986</v>
      </c>
      <c r="O237" s="4"/>
      <c r="P237" s="4">
        <f>SUM(P228:P236)</f>
        <v>-10930.467500000019</v>
      </c>
      <c r="Q237" s="4"/>
      <c r="R237" s="4"/>
      <c r="S237" s="4"/>
    </row>
    <row r="238" spans="1:19" ht="14.1" customHeight="1" x14ac:dyDescent="0.2">
      <c r="A238" s="22">
        <v>11</v>
      </c>
      <c r="B238" s="60"/>
      <c r="G238" s="49"/>
      <c r="H238" s="43"/>
      <c r="J238" s="43"/>
      <c r="O238" s="4"/>
      <c r="P238" s="4"/>
      <c r="Q238" s="4"/>
      <c r="R238" s="4"/>
      <c r="S238" s="4"/>
    </row>
    <row r="239" spans="1:19" ht="14.1" customHeight="1" x14ac:dyDescent="0.2">
      <c r="A239" s="22">
        <v>12</v>
      </c>
      <c r="B239" s="60"/>
      <c r="C239" s="1" t="s">
        <v>68</v>
      </c>
      <c r="F239" s="4"/>
      <c r="G239" s="4"/>
      <c r="H239" s="4"/>
      <c r="I239" s="4"/>
      <c r="J239" s="5"/>
      <c r="K239" s="4"/>
      <c r="L239" s="5"/>
      <c r="M239" s="4"/>
      <c r="N239" s="4"/>
      <c r="O239" s="4"/>
      <c r="P239" s="4"/>
      <c r="Q239" s="4"/>
      <c r="R239" s="4"/>
      <c r="S239" s="4"/>
    </row>
    <row r="240" spans="1:19" ht="14.1" customHeight="1" x14ac:dyDescent="0.2">
      <c r="A240" s="22">
        <v>13</v>
      </c>
      <c r="B240" s="60"/>
      <c r="C240" s="1"/>
      <c r="D240" s="22" t="s">
        <v>113</v>
      </c>
      <c r="F240" s="4"/>
      <c r="G240" s="4">
        <v>0</v>
      </c>
      <c r="H240" s="4"/>
      <c r="I240" s="4">
        <v>-21</v>
      </c>
      <c r="J240" s="5"/>
      <c r="K240" s="4"/>
      <c r="L240" s="5"/>
      <c r="M240" s="4"/>
      <c r="N240" s="4"/>
      <c r="O240" s="4"/>
      <c r="P240" s="4"/>
      <c r="Q240" s="4"/>
      <c r="R240" s="4"/>
      <c r="S240" s="4"/>
    </row>
    <row r="241" spans="1:19" ht="14.1" customHeight="1" x14ac:dyDescent="0.2">
      <c r="A241" s="22">
        <v>14</v>
      </c>
      <c r="B241" s="60"/>
      <c r="C241" s="1"/>
      <c r="D241" s="1" t="s">
        <v>69</v>
      </c>
      <c r="F241" s="4"/>
      <c r="G241" s="4">
        <f t="shared" ref="G241:G247" si="18">+I241</f>
        <v>1536</v>
      </c>
      <c r="H241" s="4"/>
      <c r="I241" s="4">
        <v>1536</v>
      </c>
      <c r="J241" s="5"/>
      <c r="K241" s="4"/>
      <c r="L241" s="5"/>
      <c r="M241" s="4"/>
      <c r="N241" s="4"/>
      <c r="O241" s="4"/>
      <c r="P241" s="4"/>
      <c r="Q241" s="4"/>
      <c r="R241" s="4"/>
      <c r="S241" s="4"/>
    </row>
    <row r="242" spans="1:19" ht="14.1" customHeight="1" x14ac:dyDescent="0.2">
      <c r="A242" s="22">
        <v>15</v>
      </c>
      <c r="B242" s="60"/>
      <c r="C242" s="1"/>
      <c r="D242" s="1" t="s">
        <v>71</v>
      </c>
      <c r="F242" s="4"/>
      <c r="G242" s="4">
        <f t="shared" si="18"/>
        <v>40</v>
      </c>
      <c r="H242" s="4"/>
      <c r="I242" s="4">
        <v>40</v>
      </c>
      <c r="J242" s="5"/>
      <c r="K242" s="4"/>
      <c r="L242" s="5"/>
      <c r="M242" s="4"/>
      <c r="N242" s="4"/>
      <c r="O242" s="4"/>
      <c r="P242" s="4"/>
      <c r="Q242" s="4"/>
      <c r="R242" s="4"/>
      <c r="S242" s="4"/>
    </row>
    <row r="243" spans="1:19" ht="14.1" customHeight="1" x14ac:dyDescent="0.2">
      <c r="A243" s="22">
        <v>16</v>
      </c>
      <c r="B243" s="60"/>
      <c r="C243" s="1"/>
      <c r="D243" s="1" t="s">
        <v>114</v>
      </c>
      <c r="F243" s="4"/>
      <c r="G243" s="4">
        <f t="shared" si="18"/>
        <v>131</v>
      </c>
      <c r="H243" s="4"/>
      <c r="I243" s="4">
        <v>131</v>
      </c>
      <c r="J243" s="5"/>
      <c r="K243" s="4"/>
      <c r="L243" s="5"/>
      <c r="M243" s="4"/>
      <c r="N243" s="4"/>
      <c r="O243" s="4"/>
      <c r="P243" s="4"/>
      <c r="Q243" s="4"/>
      <c r="R243" s="4"/>
      <c r="S243" s="4"/>
    </row>
    <row r="244" spans="1:19" ht="14.1" customHeight="1" x14ac:dyDescent="0.2">
      <c r="A244" s="22">
        <v>17</v>
      </c>
      <c r="B244" s="60"/>
      <c r="C244" s="1"/>
      <c r="D244" s="1" t="s">
        <v>115</v>
      </c>
      <c r="F244" s="4"/>
      <c r="G244" s="4">
        <f t="shared" si="18"/>
        <v>82</v>
      </c>
      <c r="H244" s="4"/>
      <c r="I244" s="4">
        <v>82</v>
      </c>
      <c r="J244" s="5"/>
      <c r="K244" s="4"/>
      <c r="L244" s="5"/>
      <c r="M244" s="4"/>
      <c r="N244" s="4"/>
      <c r="O244" s="4"/>
      <c r="P244" s="4"/>
      <c r="Q244" s="4"/>
      <c r="S244" s="4"/>
    </row>
    <row r="245" spans="1:19" ht="14.1" customHeight="1" x14ac:dyDescent="0.2">
      <c r="A245" s="22">
        <v>18</v>
      </c>
      <c r="D245" s="1" t="s">
        <v>116</v>
      </c>
      <c r="G245" s="4">
        <f t="shared" si="18"/>
        <v>-18930</v>
      </c>
      <c r="H245" s="50"/>
      <c r="I245" s="50">
        <v>-18930</v>
      </c>
      <c r="O245" s="4"/>
      <c r="P245" s="4"/>
      <c r="Q245" s="4"/>
      <c r="R245" s="4"/>
      <c r="S245" s="4"/>
    </row>
    <row r="246" spans="1:19" ht="14.1" customHeight="1" x14ac:dyDescent="0.2">
      <c r="A246" s="22">
        <v>19</v>
      </c>
      <c r="B246" s="60"/>
      <c r="D246" s="1" t="s">
        <v>117</v>
      </c>
      <c r="G246" s="4">
        <f t="shared" si="18"/>
        <v>9060</v>
      </c>
      <c r="I246" s="50">
        <v>9060</v>
      </c>
      <c r="O246" s="4"/>
      <c r="P246" s="4"/>
      <c r="Q246" s="4"/>
      <c r="R246" s="4"/>
      <c r="S246" s="4"/>
    </row>
    <row r="247" spans="1:19" ht="14.1" customHeight="1" x14ac:dyDescent="0.2">
      <c r="A247" s="22">
        <v>20</v>
      </c>
      <c r="B247" s="60"/>
      <c r="D247" s="1" t="s">
        <v>70</v>
      </c>
      <c r="G247" s="6">
        <f t="shared" si="18"/>
        <v>4409</v>
      </c>
      <c r="I247" s="67">
        <v>4409</v>
      </c>
      <c r="Q247" s="4"/>
      <c r="R247" s="4"/>
      <c r="S247" s="4"/>
    </row>
    <row r="248" spans="1:19" ht="14.1" customHeight="1" x14ac:dyDescent="0.2">
      <c r="A248" s="22">
        <v>21</v>
      </c>
      <c r="B248" s="60"/>
      <c r="C248" s="1" t="s">
        <v>75</v>
      </c>
      <c r="F248" s="4"/>
      <c r="G248" s="4">
        <f>SUM(G240:G247)</f>
        <v>-3672</v>
      </c>
      <c r="H248" s="4"/>
      <c r="I248" s="4">
        <f>SUM(I240:I247)</f>
        <v>-3693</v>
      </c>
      <c r="J248" s="5"/>
      <c r="K248" s="4"/>
      <c r="L248" s="5"/>
      <c r="M248" s="4"/>
      <c r="N248" s="4"/>
      <c r="O248" s="4"/>
      <c r="P248" s="4"/>
      <c r="Q248" s="4"/>
      <c r="R248" s="4"/>
      <c r="S248" s="4"/>
    </row>
    <row r="249" spans="1:19" ht="14.1" customHeight="1" x14ac:dyDescent="0.2">
      <c r="A249" s="22">
        <v>22</v>
      </c>
      <c r="B249" s="60"/>
      <c r="S249" s="4"/>
    </row>
    <row r="250" spans="1:19" ht="14.1" customHeight="1" x14ac:dyDescent="0.2">
      <c r="A250" s="22">
        <v>23</v>
      </c>
      <c r="B250" s="60"/>
      <c r="C250" s="1" t="s">
        <v>118</v>
      </c>
      <c r="F250" s="4"/>
      <c r="G250" s="4">
        <f>+G181+G237+G248</f>
        <v>466087</v>
      </c>
      <c r="H250" s="4"/>
      <c r="I250" s="4"/>
      <c r="J250" s="5"/>
      <c r="K250" s="4"/>
      <c r="L250" s="5"/>
      <c r="M250" s="4"/>
      <c r="O250" s="4"/>
      <c r="P250" s="4"/>
      <c r="Q250" s="4"/>
      <c r="R250" s="4"/>
      <c r="S250" s="4"/>
    </row>
    <row r="251" spans="1:19" ht="14.1" customHeight="1" x14ac:dyDescent="0.2">
      <c r="A251" s="22">
        <v>24</v>
      </c>
      <c r="B251" s="60"/>
      <c r="R251" s="4"/>
      <c r="S251" s="4"/>
    </row>
    <row r="252" spans="1:19" ht="14.1" customHeight="1" x14ac:dyDescent="0.2">
      <c r="A252" s="22">
        <v>25</v>
      </c>
      <c r="B252" s="60"/>
      <c r="C252" s="22" t="s">
        <v>119</v>
      </c>
      <c r="G252" s="4">
        <v>-78289</v>
      </c>
      <c r="N252" s="4">
        <f>-G252*0.055</f>
        <v>4305.8950000000004</v>
      </c>
      <c r="O252" s="4"/>
      <c r="P252" s="4">
        <f>-N252*0.21</f>
        <v>-904.23795000000007</v>
      </c>
      <c r="R252" s="4"/>
      <c r="S252" s="4"/>
    </row>
    <row r="253" spans="1:19" ht="14.1" customHeight="1" x14ac:dyDescent="0.2">
      <c r="A253" s="22">
        <v>26</v>
      </c>
      <c r="B253" s="60"/>
    </row>
    <row r="254" spans="1:19" ht="14.1" customHeight="1" x14ac:dyDescent="0.2">
      <c r="A254" s="22">
        <v>27</v>
      </c>
      <c r="B254" s="60"/>
      <c r="C254" s="1" t="s">
        <v>78</v>
      </c>
      <c r="F254" s="4"/>
      <c r="G254" s="10">
        <f>(G250+G252)*0.055</f>
        <v>21328.89</v>
      </c>
      <c r="H254" s="4"/>
      <c r="I254" s="4"/>
      <c r="J254" s="5"/>
      <c r="K254" s="4"/>
      <c r="L254" s="5"/>
      <c r="M254" s="4"/>
      <c r="O254" s="4"/>
      <c r="Q254" s="4"/>
    </row>
    <row r="255" spans="1:19" ht="14.1" customHeight="1" x14ac:dyDescent="0.2">
      <c r="A255" s="22">
        <v>28</v>
      </c>
      <c r="B255" s="60"/>
      <c r="C255" s="1"/>
      <c r="F255" s="4"/>
      <c r="G255" s="4"/>
      <c r="H255" s="4"/>
      <c r="I255" s="4"/>
      <c r="J255" s="5"/>
      <c r="K255" s="4"/>
      <c r="L255" s="5"/>
      <c r="M255" s="4"/>
      <c r="N255" s="4"/>
      <c r="O255" s="4"/>
      <c r="P255" s="4"/>
      <c r="Q255" s="4"/>
    </row>
    <row r="256" spans="1:19" ht="14.1" customHeight="1" x14ac:dyDescent="0.2">
      <c r="A256" s="22">
        <v>29</v>
      </c>
      <c r="B256" s="60"/>
      <c r="C256" s="1" t="s">
        <v>120</v>
      </c>
      <c r="F256" s="4"/>
      <c r="G256" s="4"/>
      <c r="H256" s="4"/>
      <c r="I256" s="4"/>
      <c r="J256" s="5"/>
      <c r="K256" s="4"/>
      <c r="L256" s="5"/>
      <c r="M256" s="4"/>
      <c r="N256" s="4"/>
      <c r="O256" s="4"/>
      <c r="P256" s="11"/>
      <c r="Q256" s="4"/>
      <c r="R256" s="4"/>
      <c r="S256" s="4"/>
    </row>
    <row r="257" spans="1:19" ht="14.1" customHeight="1" x14ac:dyDescent="0.2">
      <c r="A257" s="22">
        <v>30</v>
      </c>
      <c r="B257" s="60"/>
      <c r="D257" s="22" t="s">
        <v>121</v>
      </c>
      <c r="F257" s="4"/>
      <c r="G257" s="6">
        <v>22</v>
      </c>
      <c r="I257" s="4"/>
      <c r="J257" s="4"/>
      <c r="K257" s="4"/>
      <c r="L257" s="4"/>
      <c r="M257" s="4"/>
      <c r="N257" s="6">
        <f>22-1</f>
        <v>21</v>
      </c>
      <c r="R257" s="4"/>
      <c r="S257" s="4"/>
    </row>
    <row r="258" spans="1:19" ht="14.1" customHeight="1" x14ac:dyDescent="0.2">
      <c r="A258" s="22">
        <v>31</v>
      </c>
      <c r="B258" s="60"/>
      <c r="C258" s="1" t="s">
        <v>122</v>
      </c>
      <c r="G258" s="43">
        <f>+G257</f>
        <v>22</v>
      </c>
    </row>
    <row r="259" spans="1:19" ht="14.1" customHeight="1" x14ac:dyDescent="0.2">
      <c r="A259" s="22">
        <v>32</v>
      </c>
      <c r="B259" s="60"/>
    </row>
    <row r="260" spans="1:19" ht="14.1" customHeight="1" x14ac:dyDescent="0.2">
      <c r="A260" s="22">
        <v>33</v>
      </c>
      <c r="B260" s="64"/>
      <c r="C260" s="1" t="s">
        <v>80</v>
      </c>
      <c r="N260" s="4">
        <v>43</v>
      </c>
      <c r="O260" s="4"/>
      <c r="P260" s="11"/>
    </row>
    <row r="261" spans="1:19" ht="14.1" customHeight="1" x14ac:dyDescent="0.2">
      <c r="A261" s="22">
        <v>34</v>
      </c>
      <c r="B261" s="60"/>
      <c r="O261" s="4"/>
      <c r="P261" s="16"/>
      <c r="Q261" s="4"/>
      <c r="R261" s="4"/>
      <c r="S261" s="4"/>
    </row>
    <row r="262" spans="1:19" ht="14.1" customHeight="1" thickBot="1" x14ac:dyDescent="0.25">
      <c r="A262" s="22">
        <v>35</v>
      </c>
      <c r="B262" s="60"/>
      <c r="C262" s="1" t="s">
        <v>81</v>
      </c>
      <c r="F262" s="4"/>
      <c r="G262" s="12">
        <f>G254+G258+G260</f>
        <v>21350.89</v>
      </c>
      <c r="H262" s="68"/>
      <c r="I262" s="4"/>
      <c r="J262" s="4"/>
      <c r="K262" s="4"/>
      <c r="L262" s="4"/>
      <c r="M262" s="4"/>
      <c r="N262" s="12">
        <f>N237+N252+N257+N260</f>
        <v>5480.6449999999986</v>
      </c>
      <c r="O262" s="4"/>
      <c r="P262" s="4"/>
      <c r="Q262" s="4"/>
      <c r="R262" s="4"/>
      <c r="S262" s="4"/>
    </row>
    <row r="263" spans="1:19" ht="14.1" customHeight="1" thickTop="1" x14ac:dyDescent="0.2">
      <c r="A263" s="22">
        <v>36</v>
      </c>
      <c r="B263" s="60"/>
      <c r="Q263" s="4"/>
      <c r="R263" s="4"/>
      <c r="S263" s="4"/>
    </row>
    <row r="264" spans="1:19" ht="14.1" customHeight="1" x14ac:dyDescent="0.2">
      <c r="A264" s="22">
        <v>37</v>
      </c>
      <c r="B264" s="60"/>
      <c r="R264" s="4"/>
      <c r="S264" s="4"/>
    </row>
    <row r="265" spans="1:19" ht="14.1" customHeight="1" x14ac:dyDescent="0.2">
      <c r="A265" s="22">
        <v>38</v>
      </c>
      <c r="B265" s="60"/>
      <c r="C265" s="1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4.1" customHeight="1" thickBot="1" x14ac:dyDescent="0.25">
      <c r="A266" s="19">
        <v>39</v>
      </c>
      <c r="B266" s="46" t="s">
        <v>63</v>
      </c>
      <c r="C266" s="46"/>
      <c r="D266" s="46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</row>
    <row r="267" spans="1:19" ht="14.1" customHeight="1" x14ac:dyDescent="0.2">
      <c r="A267" s="22" t="str">
        <f>A216</f>
        <v>Supporting Schedules:  C-23</v>
      </c>
      <c r="Q267" s="22" t="str">
        <f>Q216</f>
        <v>Recap Schedules:  C-4</v>
      </c>
    </row>
    <row r="268" spans="1:19" ht="14.1" customHeight="1" thickBot="1" x14ac:dyDescent="0.25">
      <c r="A268" s="19" t="str">
        <f>+$A$1</f>
        <v>SCHEDULE C-22</v>
      </c>
      <c r="B268" s="19"/>
      <c r="C268" s="19"/>
      <c r="D268" s="19"/>
      <c r="E268" s="19"/>
      <c r="F268" s="19"/>
      <c r="G268" s="19"/>
      <c r="H268" s="19" t="str">
        <f>+$H$1</f>
        <v>STATE AND FEDERAL INCOME TAX CALCULATION</v>
      </c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21" t="s">
        <v>123</v>
      </c>
    </row>
    <row r="269" spans="1:19" ht="14.1" customHeight="1" x14ac:dyDescent="0.2">
      <c r="A269" s="22" t="s">
        <v>3</v>
      </c>
      <c r="E269" s="22" t="s">
        <v>67</v>
      </c>
      <c r="G269" s="22" t="str">
        <f>IF(+$G$2="","",$G$2)</f>
        <v xml:space="preserve">Provide the calculation of state and federal income taxes for the historical base year and the </v>
      </c>
      <c r="K269" s="23"/>
      <c r="L269" s="23"/>
      <c r="N269" s="23"/>
      <c r="O269" s="23"/>
      <c r="P269" s="23" t="s">
        <v>6</v>
      </c>
      <c r="S269" s="24"/>
    </row>
    <row r="270" spans="1:19" ht="14.1" customHeight="1" x14ac:dyDescent="0.2">
      <c r="G270" s="22" t="str">
        <f>IF(+$G$3="","",$G$3)</f>
        <v>projected test year.</v>
      </c>
      <c r="K270" s="25"/>
      <c r="L270" s="24"/>
      <c r="O270" s="25"/>
      <c r="P270" s="25"/>
      <c r="Q270" s="24" t="str">
        <f>$Q$3</f>
        <v>Projected Test Year Ended 12/31/2025</v>
      </c>
      <c r="S270" s="25"/>
    </row>
    <row r="271" spans="1:19" ht="14.1" customHeight="1" x14ac:dyDescent="0.2">
      <c r="A271" s="22" t="s">
        <v>10</v>
      </c>
      <c r="G271" s="22" t="str">
        <f>IF(+$G$4="","",$G$4)</f>
        <v/>
      </c>
      <c r="K271" s="25"/>
      <c r="L271" s="24"/>
      <c r="M271" s="25"/>
      <c r="P271" s="25"/>
      <c r="Q271" s="24" t="str">
        <f>$Q$4</f>
        <v>Projected Prior Year Ended 12/31/2024</v>
      </c>
      <c r="S271" s="25"/>
    </row>
    <row r="272" spans="1:19" ht="14.1" customHeight="1" x14ac:dyDescent="0.25">
      <c r="G272" s="65"/>
      <c r="K272" s="25"/>
      <c r="L272" s="24"/>
      <c r="M272" s="25"/>
      <c r="P272" s="25" t="s">
        <v>8</v>
      </c>
      <c r="Q272" s="24" t="str">
        <f>$Q$5</f>
        <v>Historical Prior Year Ended 12/31/2023</v>
      </c>
      <c r="S272" s="25"/>
    </row>
    <row r="273" spans="1:20" ht="14.1" customHeight="1" thickBot="1" x14ac:dyDescent="0.25">
      <c r="A273" s="19" t="str">
        <f>A6</f>
        <v>DOCKET No. 20240026-EI</v>
      </c>
      <c r="B273" s="19"/>
      <c r="C273" s="19"/>
      <c r="D273" s="19"/>
      <c r="E273" s="19"/>
      <c r="F273" s="19"/>
      <c r="G273" s="19" t="str">
        <f>IF(+$G$6="","",$G$6)</f>
        <v/>
      </c>
      <c r="H273" s="19"/>
      <c r="I273" s="19"/>
      <c r="J273" s="20" t="s">
        <v>13</v>
      </c>
      <c r="K273" s="20"/>
      <c r="L273" s="19"/>
      <c r="M273" s="19"/>
      <c r="N273" s="19"/>
      <c r="O273" s="19"/>
      <c r="P273" s="19"/>
      <c r="Q273" s="41" t="str">
        <f>$Q$6</f>
        <v>Witness: V. Strickland</v>
      </c>
      <c r="R273" s="19"/>
      <c r="S273" s="19"/>
    </row>
    <row r="274" spans="1:20" ht="14.1" customHeight="1" x14ac:dyDescent="0.2">
      <c r="B274" s="28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8"/>
      <c r="R274" s="28"/>
      <c r="S274" s="29"/>
    </row>
    <row r="275" spans="1:20" ht="14.1" customHeight="1" x14ac:dyDescent="0.2">
      <c r="B275" s="28"/>
      <c r="C275" s="29"/>
      <c r="D275" s="29"/>
      <c r="E275" s="29"/>
      <c r="F275" s="29"/>
      <c r="G275" s="29"/>
      <c r="H275" s="28"/>
      <c r="I275" s="28"/>
      <c r="J275" s="29"/>
      <c r="K275" s="29"/>
      <c r="L275" s="28"/>
      <c r="M275" s="29"/>
      <c r="N275" s="29"/>
      <c r="O275" s="29"/>
      <c r="P275" s="29"/>
      <c r="Q275" s="28"/>
      <c r="R275" s="28"/>
      <c r="S275" s="29"/>
    </row>
    <row r="276" spans="1:20" ht="14.1" customHeight="1" x14ac:dyDescent="0.2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</row>
    <row r="277" spans="1:20" ht="14.1" customHeight="1" x14ac:dyDescent="0.2">
      <c r="A277" s="22" t="s">
        <v>14</v>
      </c>
      <c r="B277" s="28"/>
      <c r="C277" s="28"/>
      <c r="D277" s="28"/>
      <c r="E277" s="28"/>
      <c r="F277" s="29"/>
      <c r="G277" s="30"/>
      <c r="H277" s="30"/>
      <c r="I277" s="30" t="s">
        <v>15</v>
      </c>
      <c r="J277" s="30"/>
      <c r="K277" s="31"/>
      <c r="L277" s="29"/>
      <c r="M277" s="29"/>
      <c r="N277" s="30"/>
      <c r="O277" s="30"/>
      <c r="P277" s="31" t="s">
        <v>16</v>
      </c>
      <c r="Q277" s="31"/>
      <c r="R277" s="31"/>
      <c r="S277" s="28"/>
    </row>
    <row r="278" spans="1:20" ht="14.1" customHeight="1" thickBot="1" x14ac:dyDescent="0.25">
      <c r="A278" s="19" t="s">
        <v>17</v>
      </c>
      <c r="B278" s="32"/>
      <c r="C278" s="32" t="s">
        <v>18</v>
      </c>
      <c r="D278" s="32"/>
      <c r="E278" s="32"/>
      <c r="F278" s="32"/>
      <c r="G278" s="35" t="s">
        <v>19</v>
      </c>
      <c r="H278" s="35"/>
      <c r="I278" s="35" t="s">
        <v>20</v>
      </c>
      <c r="J278" s="34"/>
      <c r="K278" s="35" t="s">
        <v>21</v>
      </c>
      <c r="L278" s="34"/>
      <c r="M278" s="34"/>
      <c r="N278" s="36" t="s">
        <v>19</v>
      </c>
      <c r="O278" s="36"/>
      <c r="P278" s="36" t="s">
        <v>20</v>
      </c>
      <c r="Q278" s="36"/>
      <c r="R278" s="36" t="s">
        <v>21</v>
      </c>
      <c r="S278" s="36"/>
    </row>
    <row r="279" spans="1:20" ht="14.1" customHeight="1" x14ac:dyDescent="0.2">
      <c r="A279" s="22">
        <v>1</v>
      </c>
      <c r="B279" s="59"/>
      <c r="C279" s="1"/>
      <c r="D279" s="1"/>
      <c r="E279" s="1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20" ht="14.1" customHeight="1" x14ac:dyDescent="0.2">
      <c r="A280" s="22">
        <v>2</v>
      </c>
      <c r="B280" s="59"/>
      <c r="C280" s="1" t="s">
        <v>124</v>
      </c>
      <c r="F280" s="2"/>
      <c r="G280" s="2"/>
      <c r="H280" s="2"/>
      <c r="I280" s="4">
        <f>+I181+I237+I248-G254</f>
        <v>515874.11</v>
      </c>
      <c r="J280" s="1"/>
      <c r="K280" s="1"/>
      <c r="L280" s="1"/>
      <c r="M280" s="2"/>
      <c r="N280" s="2"/>
      <c r="O280" s="2"/>
      <c r="P280" s="4"/>
      <c r="Q280" s="2"/>
      <c r="R280" s="2"/>
      <c r="S280" s="2"/>
    </row>
    <row r="281" spans="1:20" ht="14.1" customHeight="1" x14ac:dyDescent="0.2">
      <c r="A281" s="22">
        <v>3</v>
      </c>
      <c r="B281" s="60"/>
    </row>
    <row r="282" spans="1:20" ht="14.1" customHeight="1" x14ac:dyDescent="0.2">
      <c r="A282" s="22">
        <v>4</v>
      </c>
      <c r="B282" s="60"/>
      <c r="C282" s="22" t="s">
        <v>125</v>
      </c>
      <c r="G282" s="4"/>
      <c r="I282" s="4">
        <v>-166463</v>
      </c>
      <c r="O282" s="4"/>
      <c r="P282" s="4">
        <f>-I282*0.21</f>
        <v>34957.229999999996</v>
      </c>
      <c r="R282" s="4"/>
    </row>
    <row r="283" spans="1:20" ht="14.1" customHeight="1" x14ac:dyDescent="0.2">
      <c r="A283" s="22">
        <v>5</v>
      </c>
      <c r="B283" s="60"/>
    </row>
    <row r="284" spans="1:20" ht="14.1" customHeight="1" x14ac:dyDescent="0.2">
      <c r="A284" s="22">
        <v>6</v>
      </c>
      <c r="B284" s="60"/>
      <c r="C284" s="1" t="s">
        <v>85</v>
      </c>
      <c r="F284" s="4"/>
      <c r="G284" s="4"/>
      <c r="H284" s="4"/>
      <c r="I284" s="10">
        <f>(I280+I282)*0.21</f>
        <v>73376.333099999989</v>
      </c>
      <c r="J284" s="5"/>
      <c r="K284" s="5"/>
      <c r="L284" s="5"/>
      <c r="M284" s="4"/>
      <c r="N284" s="4"/>
      <c r="O284" s="4"/>
      <c r="P284" s="4"/>
      <c r="Q284" s="4"/>
      <c r="R284" s="4"/>
      <c r="S284" s="4"/>
      <c r="T284" s="43"/>
    </row>
    <row r="285" spans="1:20" ht="14.1" customHeight="1" x14ac:dyDescent="0.2">
      <c r="A285" s="22">
        <v>7</v>
      </c>
      <c r="B285" s="60"/>
      <c r="C285" s="1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20" ht="14.1" customHeight="1" x14ac:dyDescent="0.2">
      <c r="A286" s="22">
        <v>8</v>
      </c>
      <c r="B286" s="60"/>
      <c r="C286" s="1" t="s">
        <v>79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20" ht="14.1" customHeight="1" x14ac:dyDescent="0.2">
      <c r="A287" s="22">
        <v>9</v>
      </c>
      <c r="B287" s="60"/>
      <c r="C287" s="1"/>
      <c r="D287" s="22" t="s">
        <v>121</v>
      </c>
      <c r="F287" s="4"/>
      <c r="G287" s="4"/>
      <c r="H287" s="4"/>
      <c r="I287" s="6">
        <v>-1649</v>
      </c>
      <c r="J287" s="4"/>
      <c r="K287" s="4"/>
      <c r="L287" s="4"/>
      <c r="M287" s="4"/>
      <c r="N287" s="4"/>
      <c r="O287" s="4"/>
      <c r="P287" s="6">
        <v>62</v>
      </c>
      <c r="Q287" s="4"/>
      <c r="R287" s="4"/>
    </row>
    <row r="288" spans="1:20" ht="14.1" customHeight="1" x14ac:dyDescent="0.2">
      <c r="A288" s="22">
        <v>10</v>
      </c>
      <c r="B288" s="60"/>
      <c r="C288" s="1" t="s">
        <v>126</v>
      </c>
      <c r="I288" s="43">
        <f>+I287</f>
        <v>-1649</v>
      </c>
    </row>
    <row r="289" spans="1:26" ht="14.1" customHeight="1" x14ac:dyDescent="0.2">
      <c r="A289" s="22">
        <v>11</v>
      </c>
      <c r="B289" s="60"/>
    </row>
    <row r="290" spans="1:26" ht="14.1" customHeight="1" x14ac:dyDescent="0.2">
      <c r="A290" s="22">
        <v>12</v>
      </c>
      <c r="B290" s="60"/>
      <c r="C290" s="1" t="s">
        <v>80</v>
      </c>
      <c r="I290" s="4">
        <v>0</v>
      </c>
      <c r="P290" s="22">
        <v>156</v>
      </c>
    </row>
    <row r="291" spans="1:26" ht="14.1" customHeight="1" x14ac:dyDescent="0.2">
      <c r="A291" s="22">
        <v>13</v>
      </c>
      <c r="B291" s="60"/>
      <c r="S291" s="4"/>
    </row>
    <row r="292" spans="1:26" ht="14.1" customHeight="1" thickBot="1" x14ac:dyDescent="0.25">
      <c r="A292" s="22">
        <v>14</v>
      </c>
      <c r="B292" s="60"/>
      <c r="C292" s="1" t="s">
        <v>86</v>
      </c>
      <c r="F292" s="4"/>
      <c r="G292" s="4"/>
      <c r="H292" s="4"/>
      <c r="I292" s="12">
        <f>+I284+I288+I290</f>
        <v>71727.333099999989</v>
      </c>
      <c r="J292" s="4"/>
      <c r="K292" s="4"/>
      <c r="L292" s="4"/>
      <c r="M292" s="4"/>
      <c r="N292" s="4"/>
      <c r="O292" s="4"/>
      <c r="P292" s="12">
        <f>P237+P290+P282+P287+P252</f>
        <v>23340.524549999976</v>
      </c>
      <c r="Q292" s="4"/>
      <c r="R292" s="4">
        <f>+I292+G262+N262+P292</f>
        <v>121899.39264999997</v>
      </c>
      <c r="S292" s="4"/>
    </row>
    <row r="293" spans="1:26" ht="14.1" customHeight="1" thickTop="1" x14ac:dyDescent="0.2">
      <c r="A293" s="22">
        <v>15</v>
      </c>
      <c r="B293" s="60"/>
      <c r="C293" s="1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26" ht="14.1" customHeight="1" x14ac:dyDescent="0.2">
      <c r="A294" s="22">
        <v>16</v>
      </c>
      <c r="B294" s="60"/>
      <c r="C294" s="1" t="s">
        <v>87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5">
        <v>-7955</v>
      </c>
      <c r="S294" s="4"/>
    </row>
    <row r="295" spans="1:26" ht="14.1" customHeight="1" x14ac:dyDescent="0.2">
      <c r="A295" s="22">
        <v>17</v>
      </c>
      <c r="B295" s="60"/>
      <c r="S295" s="4"/>
    </row>
    <row r="296" spans="1:26" ht="14.1" customHeight="1" x14ac:dyDescent="0.2">
      <c r="A296" s="22">
        <v>18</v>
      </c>
      <c r="B296" s="60"/>
      <c r="C296" s="1" t="s">
        <v>88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5">
        <v>-15178</v>
      </c>
      <c r="Y296" s="51"/>
    </row>
    <row r="297" spans="1:26" ht="14.1" customHeight="1" x14ac:dyDescent="0.2">
      <c r="A297" s="22">
        <v>19</v>
      </c>
      <c r="B297" s="60"/>
    </row>
    <row r="298" spans="1:26" ht="14.1" customHeight="1" x14ac:dyDescent="0.2">
      <c r="A298" s="22">
        <v>20</v>
      </c>
      <c r="B298" s="60"/>
      <c r="C298" s="22" t="s">
        <v>89</v>
      </c>
      <c r="L298" s="5"/>
      <c r="R298" s="5">
        <v>-1839</v>
      </c>
      <c r="S298" s="4"/>
      <c r="Y298" s="51"/>
    </row>
    <row r="299" spans="1:26" ht="14.1" customHeight="1" x14ac:dyDescent="0.2">
      <c r="A299" s="22">
        <v>21</v>
      </c>
      <c r="B299" s="60"/>
      <c r="L299" s="5"/>
      <c r="M299" s="5"/>
      <c r="S299" s="4"/>
    </row>
    <row r="300" spans="1:26" ht="14.1" customHeight="1" x14ac:dyDescent="0.2">
      <c r="A300" s="22">
        <v>22</v>
      </c>
      <c r="B300" s="60"/>
      <c r="C300" s="1" t="s">
        <v>127</v>
      </c>
      <c r="L300" s="5"/>
      <c r="M300" s="5"/>
      <c r="N300" s="5">
        <v>-853</v>
      </c>
      <c r="O300" s="5"/>
      <c r="P300" s="5">
        <v>-24849</v>
      </c>
      <c r="Q300" s="5"/>
      <c r="R300" s="5">
        <f>N300+P300</f>
        <v>-25702</v>
      </c>
      <c r="S300" s="4"/>
    </row>
    <row r="301" spans="1:26" ht="14.1" customHeight="1" x14ac:dyDescent="0.2">
      <c r="A301" s="22">
        <v>23</v>
      </c>
      <c r="B301" s="60"/>
      <c r="L301" s="5"/>
      <c r="M301" s="5"/>
      <c r="Q301" s="43"/>
      <c r="S301" s="4"/>
    </row>
    <row r="302" spans="1:26" ht="14.1" customHeight="1" thickBot="1" x14ac:dyDescent="0.25">
      <c r="A302" s="22">
        <v>24</v>
      </c>
      <c r="B302" s="60"/>
      <c r="C302" s="1" t="s">
        <v>91</v>
      </c>
      <c r="F302" s="4"/>
      <c r="G302" s="4"/>
      <c r="H302" s="4"/>
      <c r="I302" s="4"/>
      <c r="J302" s="5"/>
      <c r="K302" s="4"/>
      <c r="L302" s="5"/>
      <c r="M302" s="5"/>
      <c r="N302" s="4"/>
      <c r="O302" s="4"/>
      <c r="P302" s="4"/>
      <c r="Q302" s="4"/>
      <c r="R302" s="12">
        <f>+R292+R294+R296+R300+R298</f>
        <v>71225.392649999965</v>
      </c>
      <c r="S302" s="5"/>
      <c r="Y302" s="28"/>
      <c r="Z302" s="28"/>
    </row>
    <row r="303" spans="1:26" ht="14.1" customHeight="1" thickTop="1" x14ac:dyDescent="0.2">
      <c r="A303" s="22">
        <v>25</v>
      </c>
      <c r="B303" s="60"/>
      <c r="L303" s="43"/>
      <c r="M303" s="5"/>
      <c r="S303" s="4"/>
      <c r="Y303" s="5"/>
      <c r="Z303" s="5"/>
    </row>
    <row r="304" spans="1:26" ht="14.1" customHeight="1" x14ac:dyDescent="0.2">
      <c r="A304" s="22">
        <v>26</v>
      </c>
      <c r="B304" s="60"/>
      <c r="M304" s="43"/>
      <c r="Q304" s="25"/>
      <c r="S304" s="4"/>
      <c r="Y304" s="5"/>
      <c r="Z304" s="5"/>
    </row>
    <row r="305" spans="1:43" ht="14.1" customHeight="1" x14ac:dyDescent="0.2">
      <c r="A305" s="22">
        <v>27</v>
      </c>
      <c r="B305" s="60"/>
      <c r="J305" s="17"/>
      <c r="K305" s="4"/>
      <c r="L305" s="5"/>
      <c r="M305" s="4"/>
      <c r="N305" s="4"/>
      <c r="O305" s="4"/>
      <c r="P305" s="4"/>
      <c r="Q305" s="4"/>
      <c r="R305" s="4"/>
      <c r="S305" s="4"/>
      <c r="Y305" s="5"/>
      <c r="Z305" s="5"/>
    </row>
    <row r="306" spans="1:43" ht="14.1" customHeight="1" x14ac:dyDescent="0.2">
      <c r="A306" s="22">
        <v>28</v>
      </c>
      <c r="B306" s="60"/>
      <c r="C306" s="1" t="s">
        <v>92</v>
      </c>
      <c r="F306" s="4"/>
      <c r="J306" s="5"/>
      <c r="K306" s="4"/>
      <c r="L306" s="5"/>
      <c r="M306" s="4"/>
      <c r="N306" s="4"/>
      <c r="O306" s="4"/>
      <c r="P306" s="4"/>
      <c r="Q306" s="4"/>
      <c r="R306" s="4"/>
      <c r="S306" s="4"/>
      <c r="Y306" s="5"/>
      <c r="Z306" s="5"/>
    </row>
    <row r="307" spans="1:43" ht="14.1" customHeight="1" x14ac:dyDescent="0.35">
      <c r="A307" s="22">
        <v>29</v>
      </c>
      <c r="B307" s="60"/>
      <c r="C307" s="1"/>
      <c r="F307" s="4"/>
      <c r="G307" s="15" t="s">
        <v>20</v>
      </c>
      <c r="H307" s="15" t="s">
        <v>19</v>
      </c>
      <c r="I307" s="15" t="s">
        <v>21</v>
      </c>
      <c r="J307" s="5"/>
      <c r="K307" s="4"/>
      <c r="L307" s="5"/>
      <c r="M307" s="4"/>
      <c r="N307" s="4"/>
      <c r="O307" s="4"/>
      <c r="P307" s="4"/>
      <c r="Q307" s="4"/>
      <c r="R307" s="4"/>
      <c r="S307" s="4"/>
      <c r="Y307" s="5"/>
      <c r="Z307" s="5"/>
      <c r="AA307" s="43"/>
    </row>
    <row r="308" spans="1:43" ht="14.1" customHeight="1" x14ac:dyDescent="0.2">
      <c r="A308" s="22">
        <v>30</v>
      </c>
      <c r="B308" s="60"/>
      <c r="C308" s="1" t="s">
        <v>93</v>
      </c>
      <c r="F308" s="4"/>
      <c r="G308" s="3">
        <f>I292</f>
        <v>71727.333099999989</v>
      </c>
      <c r="H308" s="3">
        <f>G262</f>
        <v>21350.89</v>
      </c>
      <c r="I308" s="3">
        <f t="shared" ref="I308:I313" si="19">+G308+H308</f>
        <v>93078.223099999988</v>
      </c>
      <c r="J308" s="5"/>
      <c r="K308" s="4"/>
      <c r="L308" s="5"/>
      <c r="M308" s="4"/>
      <c r="N308" s="4"/>
      <c r="O308" s="4"/>
      <c r="P308" s="4"/>
      <c r="Q308" s="4"/>
      <c r="R308" s="4"/>
      <c r="S308" s="4"/>
    </row>
    <row r="309" spans="1:43" ht="14.1" customHeight="1" x14ac:dyDescent="0.2">
      <c r="A309" s="22">
        <v>31</v>
      </c>
      <c r="B309" s="64"/>
      <c r="C309" s="1" t="s">
        <v>94</v>
      </c>
      <c r="F309" s="4"/>
      <c r="G309" s="4">
        <f>P292</f>
        <v>23340.524549999976</v>
      </c>
      <c r="H309" s="4">
        <f>N262</f>
        <v>5480.6449999999986</v>
      </c>
      <c r="I309" s="4">
        <f t="shared" si="19"/>
        <v>28821.169549999977</v>
      </c>
      <c r="J309" s="5"/>
      <c r="K309" s="4"/>
      <c r="L309" s="5"/>
      <c r="M309" s="4"/>
      <c r="N309" s="4"/>
      <c r="O309" s="4"/>
      <c r="P309" s="4"/>
      <c r="Q309" s="4"/>
      <c r="R309" s="4"/>
      <c r="S309" s="4"/>
    </row>
    <row r="310" spans="1:43" ht="14.1" customHeight="1" x14ac:dyDescent="0.2">
      <c r="A310" s="22">
        <v>32</v>
      </c>
      <c r="B310" s="60"/>
      <c r="C310" s="1" t="s">
        <v>95</v>
      </c>
      <c r="F310" s="4"/>
      <c r="G310" s="4">
        <f>R294</f>
        <v>-7955</v>
      </c>
      <c r="H310" s="4"/>
      <c r="I310" s="4">
        <f t="shared" si="19"/>
        <v>-7955</v>
      </c>
      <c r="L310" s="5"/>
      <c r="M310" s="4"/>
      <c r="N310" s="4"/>
      <c r="O310" s="4"/>
      <c r="P310" s="4"/>
      <c r="Q310" s="4"/>
      <c r="R310" s="4"/>
      <c r="S310" s="4"/>
    </row>
    <row r="311" spans="1:43" ht="14.1" customHeight="1" thickBot="1" x14ac:dyDescent="0.25">
      <c r="A311" s="22">
        <v>33</v>
      </c>
      <c r="B311" s="60"/>
      <c r="C311" s="1" t="s">
        <v>88</v>
      </c>
      <c r="G311" s="4">
        <f>R296</f>
        <v>-15178</v>
      </c>
      <c r="H311" s="4"/>
      <c r="I311" s="4">
        <f t="shared" si="19"/>
        <v>-15178</v>
      </c>
      <c r="S311" s="4"/>
      <c r="AQ311" s="52"/>
    </row>
    <row r="312" spans="1:43" ht="14.1" customHeight="1" thickTop="1" x14ac:dyDescent="0.2">
      <c r="A312" s="22">
        <v>34</v>
      </c>
      <c r="B312" s="60"/>
      <c r="C312" s="22" t="s">
        <v>89</v>
      </c>
      <c r="G312" s="43">
        <f>R298</f>
        <v>-1839</v>
      </c>
      <c r="I312" s="4">
        <f t="shared" si="19"/>
        <v>-1839</v>
      </c>
      <c r="S312" s="4"/>
      <c r="Y312" s="5"/>
      <c r="Z312" s="5"/>
    </row>
    <row r="313" spans="1:43" ht="14.1" customHeight="1" x14ac:dyDescent="0.2">
      <c r="A313" s="22">
        <v>35</v>
      </c>
      <c r="B313" s="60"/>
      <c r="C313" s="1" t="s">
        <v>96</v>
      </c>
      <c r="G313" s="44">
        <f>P300</f>
        <v>-24849</v>
      </c>
      <c r="H313" s="6">
        <f>N300</f>
        <v>-853</v>
      </c>
      <c r="I313" s="6">
        <f t="shared" si="19"/>
        <v>-25702</v>
      </c>
      <c r="J313" s="5"/>
      <c r="K313" s="4"/>
      <c r="L313" s="5"/>
      <c r="M313" s="4"/>
      <c r="N313" s="4"/>
      <c r="O313" s="4"/>
      <c r="P313" s="4"/>
      <c r="Q313" s="4"/>
      <c r="R313" s="4"/>
      <c r="S313" s="4"/>
      <c r="Y313" s="5"/>
      <c r="Z313" s="5"/>
    </row>
    <row r="314" spans="1:43" ht="14.1" customHeight="1" x14ac:dyDescent="0.2">
      <c r="A314" s="22">
        <v>36</v>
      </c>
      <c r="B314" s="60"/>
      <c r="C314" s="1" t="s">
        <v>97</v>
      </c>
      <c r="F314" s="4"/>
      <c r="G314" s="3">
        <f>SUM(G308:G313)-1</f>
        <v>45245.857649999962</v>
      </c>
      <c r="H314" s="3">
        <f>SUM(H308:H313)</f>
        <v>25978.534999999996</v>
      </c>
      <c r="I314" s="3">
        <f>SUM(I308:I313)</f>
        <v>71225.392649999965</v>
      </c>
      <c r="K314" s="5"/>
      <c r="L314" s="5"/>
      <c r="M314" s="4"/>
      <c r="N314" s="4"/>
      <c r="O314" s="4"/>
      <c r="P314" s="4"/>
      <c r="Q314" s="4"/>
      <c r="R314" s="4"/>
      <c r="S314" s="4"/>
      <c r="Y314" s="5"/>
      <c r="Z314" s="5"/>
    </row>
    <row r="315" spans="1:43" ht="14.1" customHeight="1" x14ac:dyDescent="0.2">
      <c r="A315" s="22">
        <v>37</v>
      </c>
      <c r="B315" s="60"/>
      <c r="C315" s="1"/>
      <c r="F315" s="4"/>
      <c r="G315" s="4"/>
      <c r="H315" s="4"/>
      <c r="I315" s="5"/>
      <c r="J315" s="4"/>
      <c r="K315" s="4"/>
      <c r="L315" s="5"/>
      <c r="M315" s="4"/>
      <c r="N315" s="4"/>
      <c r="O315" s="4"/>
      <c r="P315" s="4"/>
      <c r="Q315" s="4"/>
      <c r="R315" s="4"/>
      <c r="S315" s="4"/>
      <c r="Y315" s="5"/>
      <c r="Z315" s="5"/>
      <c r="AA315" s="5"/>
    </row>
    <row r="316" spans="1:43" ht="14.1" customHeight="1" x14ac:dyDescent="0.2">
      <c r="A316" s="22">
        <v>38</v>
      </c>
      <c r="B316" s="60"/>
      <c r="C316" s="1"/>
      <c r="F316" s="4"/>
      <c r="G316" s="4"/>
      <c r="H316" s="18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AA316" s="43"/>
    </row>
    <row r="317" spans="1:43" ht="14.1" customHeight="1" thickBot="1" x14ac:dyDescent="0.25">
      <c r="A317" s="19">
        <v>39</v>
      </c>
      <c r="B317" s="46" t="s">
        <v>63</v>
      </c>
      <c r="C317" s="46"/>
      <c r="D317" s="46"/>
      <c r="E317" s="19"/>
      <c r="F317" s="19"/>
      <c r="G317" s="53"/>
      <c r="H317" s="53"/>
      <c r="I317" s="54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Z317" s="43"/>
    </row>
    <row r="318" spans="1:43" ht="14.1" customHeight="1" x14ac:dyDescent="0.2">
      <c r="A318" s="22" t="str">
        <f>A267</f>
        <v>Supporting Schedules:  C-23</v>
      </c>
      <c r="Q318" s="22" t="str">
        <f>Q267</f>
        <v>Recap Schedules:  C-4</v>
      </c>
      <c r="Y318" s="43"/>
    </row>
    <row r="319" spans="1:43" ht="14.1" customHeight="1" x14ac:dyDescent="0.2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Y319" s="43"/>
    </row>
    <row r="320" spans="1:43" ht="14.1" customHeight="1" x14ac:dyDescent="0.2">
      <c r="Z320" s="43"/>
    </row>
    <row r="328" spans="18:18" ht="14.1" customHeight="1" x14ac:dyDescent="0.2">
      <c r="R328" s="22" t="s">
        <v>128</v>
      </c>
    </row>
  </sheetData>
  <mergeCells count="16">
    <mergeCell ref="B108:D108"/>
    <mergeCell ref="H1:L1"/>
    <mergeCell ref="J6:K6"/>
    <mergeCell ref="B57:D57"/>
    <mergeCell ref="H59:L59"/>
    <mergeCell ref="J64:K64"/>
    <mergeCell ref="B266:D266"/>
    <mergeCell ref="J273:K273"/>
    <mergeCell ref="B317:D317"/>
    <mergeCell ref="A319:S319"/>
    <mergeCell ref="H110:L110"/>
    <mergeCell ref="J115:K115"/>
    <mergeCell ref="B163:D163"/>
    <mergeCell ref="J170:K170"/>
    <mergeCell ref="B215:D215"/>
    <mergeCell ref="J222:K222"/>
  </mergeCells>
  <printOptions horizontalCentered="1" verticalCentered="1"/>
  <pageMargins left="0.5" right="0" top="0.5" bottom="0" header="0" footer="0"/>
  <pageSetup scale="65" orientation="landscape" r:id="rId1"/>
  <headerFooter alignWithMargins="0"/>
  <rowBreaks count="5" manualBreakCount="5">
    <brk id="58" max="16383" man="1"/>
    <brk id="109" max="16383" man="1"/>
    <brk id="164" max="16383" man="1"/>
    <brk id="216" max="16383" man="1"/>
    <brk id="267" max="16383" man="1"/>
  </rowBreaks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EA7775-5C1A-44A2-B7AD-718C08A8B7D1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2.xml><?xml version="1.0" encoding="utf-8"?>
<ds:datastoreItem xmlns:ds="http://schemas.openxmlformats.org/officeDocument/2006/customXml" ds:itemID="{DE3716C2-6892-4609-AC93-E98F3DEDE1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33B49-DEB3-4E23-92BA-140BAAF84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C-22</vt:lpstr>
      <vt:lpstr>'C-22'!Print_Area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Kerdpoo, Natcha</dc:creator>
  <cp:keywords/>
  <dc:description/>
  <cp:lastModifiedBy>Otero, Onixa</cp:lastModifiedBy>
  <cp:revision/>
  <dcterms:created xsi:type="dcterms:W3CDTF">2023-11-09T17:32:16Z</dcterms:created>
  <dcterms:modified xsi:type="dcterms:W3CDTF">2024-04-08T22:43:13Z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2023-11-16T18:59:10Z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621d5cb2-613b-4558-b408-c68d31ca782f</vt:lpwstr>
  </property>
  <property fmtid="{D5CDD505-2E9C-101B-9397-08002B2CF9AE}" pid="8" name="MSIP_Label_a83f872e-d8d7-43ac-9961-0f2ad31e50e5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0x01010093961404F3F6B34988E14CCD792B016F</vt:lpwstr>
  </property>
  <property fmtid="{D5CDD505-2E9C-101B-9397-08002B2CF9AE}" pid="12" name="{A44787D4-0540-4523-9961-78E4036D8C6D}">
    <vt:lpwstr>{9DEC9AD3-4326-4335-B61D-431BE447DCCB}</vt:lpwstr>
  </property>
  <property fmtid="{D5CDD505-2E9C-101B-9397-08002B2CF9AE}" pid="13" name="Order">
    <vt:r8>767700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ComplianceAssetId">
    <vt:lpwstr/>
  </property>
  <property fmtid="{D5CDD505-2E9C-101B-9397-08002B2CF9AE}" pid="19" name="TemplateUrl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</Properties>
</file>