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2.xml" ContentType="application/vnd.openxmlformats-officedocument.spreadsheetml.comments+xml"/>
  <Override PartName="/xl/threadedComments/threadedComment2.xml" ContentType="application/vnd.ms-excel.threadedcomment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drawings/drawing2.xml" ContentType="application/vnd.openxmlformats-officedocument.drawing+xml"/>
  <Override PartName="/xl/customProperty1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8_{BC4A0FD6-4260-4BEB-AF96-24C87FF037DD}" xr6:coauthVersionLast="47" xr6:coauthVersionMax="47" xr10:uidLastSave="{00000000-0000-0000-0000-000000000000}"/>
  <bookViews>
    <workbookView xWindow="-108" yWindow="-108" windowWidth="23256" windowHeight="12576" tabRatio="937" autoFilterDateGrouping="0" xr2:uid="{00000000-000D-0000-FFFF-FFFF00000000}"/>
  </bookViews>
  <sheets>
    <sheet name="C-24" sheetId="11" r:id="rId1"/>
    <sheet name="Support A. 23 IS" sheetId="26" r:id="rId2"/>
    <sheet name="Support B. 23 BS" sheetId="27" r:id="rId3"/>
    <sheet name="Support A. 22 IS" sheetId="12" state="hidden" r:id="rId4"/>
    <sheet name="Support B. 22 BS" sheetId="14" state="hidden" r:id="rId5"/>
    <sheet name="Support C. 24 Budget BS" sheetId="20" r:id="rId6"/>
    <sheet name="Support C.2 23 Q3F BS" sheetId="21" state="hidden" r:id="rId7"/>
    <sheet name="Support D. 24 Budget IS" sheetId="23" r:id="rId8"/>
    <sheet name="Support E. 25 LTF BS" sheetId="25" r:id="rId9"/>
    <sheet name="Support F. 25 LTF IS" sheetId="24" r:id="rId10"/>
    <sheet name="Support Notes" sheetId="13" r:id="rId11"/>
    <sheet name="2023 Revolver Balances(TRE)" sheetId="28" r:id="rId12"/>
  </sheets>
  <externalReferences>
    <externalReference r:id="rId13"/>
    <externalReference r:id="rId14"/>
    <externalReference r:id="rId15"/>
    <externalReference r:id="rId16"/>
    <externalReference r:id="rId17"/>
    <externalReference r:id="rId18"/>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'C-24'!$A$1:$S$54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9" i="11" l="1"/>
  <c r="G49" i="11"/>
  <c r="P16" i="11"/>
  <c r="I333" i="25"/>
  <c r="I336" i="25"/>
  <c r="I235" i="25"/>
  <c r="P28" i="11"/>
  <c r="P27" i="11"/>
  <c r="N84" i="27"/>
  <c r="O100" i="27"/>
  <c r="G40" i="11"/>
  <c r="C62" i="11"/>
  <c r="I66" i="11" l="1"/>
  <c r="I65" i="11"/>
  <c r="C58" i="11" l="1"/>
  <c r="I67" i="11" l="1"/>
  <c r="C59" i="11" s="1"/>
  <c r="C60" i="11" s="1"/>
  <c r="C63" i="11" s="1"/>
  <c r="C64" i="11" s="1"/>
  <c r="M127" i="27" l="1"/>
  <c r="M84" i="27" s="1"/>
  <c r="L127" i="27"/>
  <c r="L84" i="27" s="1"/>
  <c r="K127" i="27"/>
  <c r="K84" i="27" s="1"/>
  <c r="J127" i="27"/>
  <c r="J84" i="27" s="1"/>
  <c r="I127" i="27"/>
  <c r="I60" i="27" s="1"/>
  <c r="H127" i="27"/>
  <c r="H84" i="27" s="1"/>
  <c r="G127" i="27"/>
  <c r="G84" i="27" s="1"/>
  <c r="F127" i="27"/>
  <c r="F60" i="27" s="1"/>
  <c r="E127" i="27"/>
  <c r="E60" i="27" s="1"/>
  <c r="D127" i="27"/>
  <c r="D84" i="27" s="1"/>
  <c r="C127" i="27"/>
  <c r="C84" i="27" s="1"/>
  <c r="B127" i="27"/>
  <c r="B60" i="27" s="1"/>
  <c r="D14" i="28"/>
  <c r="B14" i="28"/>
  <c r="D13" i="28"/>
  <c r="D12" i="28"/>
  <c r="D10" i="28"/>
  <c r="D9" i="28"/>
  <c r="D8" i="28"/>
  <c r="D7" i="28"/>
  <c r="D6" i="28"/>
  <c r="D3" i="28"/>
  <c r="B84" i="27" l="1"/>
  <c r="C60" i="27"/>
  <c r="G60" i="27"/>
  <c r="J60" i="27"/>
  <c r="K60" i="27"/>
  <c r="F84" i="27"/>
  <c r="D60" i="27"/>
  <c r="H60" i="27"/>
  <c r="L60" i="27"/>
  <c r="E84" i="27"/>
  <c r="I84" i="27"/>
  <c r="M60" i="27"/>
  <c r="N98" i="20"/>
  <c r="N97" i="20"/>
  <c r="N96" i="20"/>
  <c r="N95" i="20"/>
  <c r="N94" i="20"/>
  <c r="N93" i="20"/>
  <c r="N88" i="20"/>
  <c r="N79" i="20"/>
  <c r="N78" i="20"/>
  <c r="N77" i="20"/>
  <c r="N75" i="20"/>
  <c r="N57" i="20"/>
  <c r="N56" i="20"/>
  <c r="N5" i="20"/>
  <c r="N105" i="27"/>
  <c r="N104" i="27"/>
  <c r="O104" i="27" s="1"/>
  <c r="G42" i="11" s="1"/>
  <c r="N103" i="27"/>
  <c r="N102" i="27"/>
  <c r="O102" i="27" s="1"/>
  <c r="G41" i="11" s="1"/>
  <c r="N101" i="27"/>
  <c r="N100" i="27"/>
  <c r="N86" i="27"/>
  <c r="N85" i="27"/>
  <c r="N63" i="27"/>
  <c r="O63" i="27" s="1"/>
  <c r="N62" i="27"/>
  <c r="N61" i="27"/>
  <c r="N60" i="27"/>
  <c r="O60" i="27" s="1"/>
  <c r="O84" i="27" l="1"/>
  <c r="M40" i="11"/>
  <c r="O82" i="27"/>
  <c r="O121" i="27"/>
  <c r="K307" i="25"/>
  <c r="K308" i="25" s="1"/>
  <c r="K319" i="25"/>
  <c r="K320" i="25" s="1"/>
  <c r="I307" i="25" s="1"/>
  <c r="M39" i="11" l="1"/>
  <c r="G39" i="11"/>
  <c r="K239" i="25"/>
  <c r="K240" i="25" s="1"/>
  <c r="K242" i="25"/>
  <c r="K243" i="25" s="1"/>
  <c r="M118" i="20"/>
  <c r="M77" i="20" s="1"/>
  <c r="L118" i="20"/>
  <c r="L56" i="20" s="1"/>
  <c r="K118" i="20"/>
  <c r="K56" i="20" s="1"/>
  <c r="J118" i="20"/>
  <c r="J56" i="20" s="1"/>
  <c r="I118" i="20"/>
  <c r="I56" i="20" s="1"/>
  <c r="H118" i="20"/>
  <c r="H77" i="20" s="1"/>
  <c r="G118" i="20"/>
  <c r="G56" i="20" s="1"/>
  <c r="F118" i="20"/>
  <c r="F56" i="20" s="1"/>
  <c r="E118" i="20"/>
  <c r="E56" i="20" s="1"/>
  <c r="D118" i="20"/>
  <c r="D77" i="20" s="1"/>
  <c r="C118" i="20"/>
  <c r="C56" i="20" s="1"/>
  <c r="B118" i="20"/>
  <c r="B56" i="20" s="1"/>
  <c r="C77" i="20" l="1"/>
  <c r="G77" i="20"/>
  <c r="D56" i="20"/>
  <c r="J77" i="20"/>
  <c r="F77" i="20"/>
  <c r="K77" i="20"/>
  <c r="E77" i="20"/>
  <c r="H56" i="20"/>
  <c r="I77" i="20"/>
  <c r="L77" i="20"/>
  <c r="M56" i="20"/>
  <c r="H235" i="25" s="1"/>
  <c r="B77" i="20"/>
  <c r="H339" i="25"/>
  <c r="I339" i="25" s="1"/>
  <c r="H336" i="25"/>
  <c r="G18" i="11" s="1"/>
  <c r="H333" i="25"/>
  <c r="H307" i="25"/>
  <c r="G128" i="24"/>
  <c r="G129" i="24" s="1"/>
  <c r="F128" i="24"/>
  <c r="F129" i="24" s="1"/>
  <c r="E128" i="24"/>
  <c r="E129" i="24" s="1"/>
  <c r="D128" i="24"/>
  <c r="D129" i="24" s="1"/>
  <c r="C128" i="24"/>
  <c r="C129" i="24" s="1"/>
  <c r="G19" i="11" l="1"/>
  <c r="G17" i="11"/>
  <c r="M17" i="11" s="1"/>
  <c r="G16" i="11"/>
  <c r="M16" i="11" s="1"/>
  <c r="E131" i="24"/>
  <c r="C131" i="24"/>
  <c r="D131" i="24"/>
  <c r="F131" i="24" l="1"/>
  <c r="G131" i="24"/>
  <c r="O97" i="20" l="1"/>
  <c r="O95" i="20"/>
  <c r="G29" i="11" s="1"/>
  <c r="O93" i="20"/>
  <c r="O77" i="20"/>
  <c r="G27" i="11" s="1"/>
  <c r="M27" i="11" s="1"/>
  <c r="O56" i="20"/>
  <c r="G28" i="11" s="1"/>
  <c r="M28" i="11" s="1"/>
  <c r="G30" i="11" l="1"/>
  <c r="G46" i="11"/>
  <c r="O102" i="14"/>
  <c r="O84" i="14"/>
  <c r="I42" i="11" l="1"/>
  <c r="I39" i="11"/>
  <c r="I41" i="11"/>
  <c r="I43" i="11"/>
  <c r="I40" i="11"/>
  <c r="P40" i="11" s="1"/>
  <c r="P39" i="11"/>
  <c r="I45" i="11"/>
  <c r="I44" i="11"/>
  <c r="O62" i="14"/>
  <c r="O59" i="14"/>
  <c r="O104" i="14"/>
  <c r="O100" i="14"/>
  <c r="P41" i="11" l="1"/>
  <c r="G34" i="11"/>
  <c r="I32" i="11" s="1"/>
  <c r="P32" i="11" s="1"/>
  <c r="G23" i="11"/>
  <c r="I18" i="11" s="1"/>
  <c r="I16" i="11" l="1"/>
  <c r="I22" i="11"/>
  <c r="P22" i="11" s="1"/>
  <c r="P43" i="11"/>
  <c r="P42" i="11"/>
  <c r="P44" i="11"/>
  <c r="P45" i="11"/>
  <c r="P18" i="11"/>
  <c r="I19" i="11"/>
  <c r="P19" i="11" s="1"/>
  <c r="I17" i="11"/>
  <c r="P17" i="11" s="1"/>
  <c r="I29" i="11"/>
  <c r="P29" i="11" s="1"/>
  <c r="I27" i="11"/>
  <c r="I28" i="11"/>
  <c r="I21" i="11"/>
  <c r="P21" i="11" s="1"/>
  <c r="I20" i="11"/>
  <c r="P20" i="11" s="1"/>
  <c r="I33" i="11"/>
  <c r="P33" i="11" s="1"/>
  <c r="I30" i="11"/>
  <c r="P30" i="11" s="1"/>
  <c r="I31" i="11"/>
  <c r="P31" i="11" s="1"/>
  <c r="P34" i="11" l="1"/>
  <c r="D49" i="11"/>
  <c r="P46" i="11"/>
  <c r="I46" i="11"/>
  <c r="P2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tc={A25971BE-F5DC-4A26-843D-0336F6E6B93F}</author>
    <author>tc={7C62C0D2-6D30-4D4B-B7CD-B08ACBF3860C}</author>
    <author>tc={84227C01-88E4-4B38-BF7A-8C513611CAD8}</author>
    <author>tc={C3BC9F99-A845-4AE9-A103-9CB0A2FB389F}</author>
  </authors>
  <commentList>
    <comment ref="G17" authorId="0" shapeId="0" xr:uid="{A25971BE-F5DC-4A26-843D-0336F6E6B93F}">
      <text>
        <t>[Threaded comment]
Your version of Excel allows you to read this threaded comment; however, any edits to it will get removed if the file is opened in a newer version of Excel. Learn more: https://go.microsoft.com/fwlink/?linkid=870924
Comment:
    Confirmed no current portion of LTD in 2025. This balance includes bank indebtedness, and I've layered in the average revolver balance. Term loans included in 2024 Budget as ST debt are Medium Term Notes in LTF 2025 and are therefore classified as LTD in 2025.</t>
      </text>
    </comment>
    <comment ref="G28" authorId="1" shapeId="0" xr:uid="{7C62C0D2-6D30-4D4B-B7CD-B08ACBF3860C}">
      <text>
        <t>[Threaded comment]
Your version of Excel allows you to read this threaded comment; however, any edits to it will get removed if the file is opened in a newer version of Excel. Learn more: https://go.microsoft.com/fwlink/?linkid=870924
Comment:
    Term loans, revolver balance. Confirmed no current portion of LTD.</t>
      </text>
    </comment>
    <comment ref="M28" authorId="2" shapeId="0" xr:uid="{84227C01-88E4-4B38-BF7A-8C513611CAD8}">
      <text>
        <t>[Threaded comment]
Your version of Excel allows you to read this threaded comment; however, any edits to it will get removed if the file is opened in a newer version of Excel. Learn more: https://go.microsoft.com/fwlink/?linkid=870924
Comment:
    Includes interest on Term Notes, driving the swing from ~$20M to the ~$65M. This is LTD in LTF and 2022 Actuals.</t>
      </text>
    </comment>
    <comment ref="G39" authorId="3" shapeId="0" xr:uid="{C3BC9F99-A845-4AE9-A103-9CB0A2FB389F}">
      <text>
        <t>[Threaded comment]
Your version of Excel allows you to read this threaded comment; however, any edits to it will get removed if the file is opened in a newer version of Excel. Learn more: https://go.microsoft.com/fwlink/?linkid=870924
Comment:
    Includes the current portion of LTD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tc={7548450E-FB5F-496B-B295-78300BFC6F4D}</author>
    <author>tc={A693A995-00C4-4E5D-B9D8-4F689EF9C493}</author>
  </authors>
  <commentList>
    <comment ref="N56" authorId="0" shapeId="0" xr:uid="{7548450E-FB5F-496B-B295-78300BFC6F4D}">
      <text>
        <t>[Threaded comment]
Your version of Excel allows you to read this threaded comment; however, any edits to it will get removed if the file is opened in a newer version of Excel. Learn more: https://go.microsoft.com/fwlink/?linkid=870924
Comment:
    These are adjusted for revolver already</t>
      </text>
    </comment>
    <comment ref="N77" authorId="1" shapeId="0" xr:uid="{A693A995-00C4-4E5D-B9D8-4F689EF9C493}">
      <text>
        <t>[Threaded comment]
Your version of Excel allows you to read this threaded comment; however, any edits to it will get removed if the file is opened in a newer version of Excel. Learn more: https://go.microsoft.com/fwlink/?linkid=870924
Comment:
    Adjusted for revolver</t>
      </text>
    </comment>
  </commentList>
</comments>
</file>

<file path=xl/sharedStrings.xml><?xml version="1.0" encoding="utf-8"?>
<sst xmlns="http://schemas.openxmlformats.org/spreadsheetml/2006/main" count="2534" uniqueCount="538">
  <si>
    <t>SCHEDULE C-24</t>
  </si>
  <si>
    <t>PARENT(S) DEBT INFORMATION</t>
  </si>
  <si>
    <t>Page 1 of 1</t>
  </si>
  <si>
    <t>FLORIDA PUBLIC SERVICE COMMISSION</t>
  </si>
  <si>
    <t xml:space="preserve">             EXPLANATION:</t>
  </si>
  <si>
    <t>Provide information required in order to adjust income tax expenses by reason of interest expense of parent(s)</t>
  </si>
  <si>
    <t xml:space="preserve">       Type of data shown:</t>
  </si>
  <si>
    <t>that may be invested in the equity of the utility in question.  If a projected test period is used, provide on both</t>
  </si>
  <si>
    <t>XX</t>
  </si>
  <si>
    <t>Projected Test Year Ended 12/31/2025</t>
  </si>
  <si>
    <t>COMPANY: TAMPA ELECTRIC COMPANY</t>
  </si>
  <si>
    <t>a projected and historical basis.</t>
  </si>
  <si>
    <t>Projected Prior Year Ended 12/31/2024</t>
  </si>
  <si>
    <t>Historical Prior Year Ended 12/31/2023</t>
  </si>
  <si>
    <t>(Dollars in 000's)</t>
  </si>
  <si>
    <t>Line</t>
  </si>
  <si>
    <t>No.</t>
  </si>
  <si>
    <t>Amount</t>
  </si>
  <si>
    <t>Percent of Capital</t>
  </si>
  <si>
    <t>Cost Rate</t>
  </si>
  <si>
    <t>Weighted Cost</t>
  </si>
  <si>
    <t>2025</t>
  </si>
  <si>
    <t>Long Term Debt</t>
  </si>
  <si>
    <t>Short Term Debt</t>
  </si>
  <si>
    <t>Preferred Stock</t>
  </si>
  <si>
    <t>Common Equity</t>
  </si>
  <si>
    <t>Deferred Income Tax</t>
  </si>
  <si>
    <t>Investment Tax Credits</t>
  </si>
  <si>
    <t>Other (specify)</t>
  </si>
  <si>
    <t>Total</t>
  </si>
  <si>
    <t>2024</t>
  </si>
  <si>
    <t>2023</t>
  </si>
  <si>
    <t>Weighted cost of parent debt x 25.345% (or applicable consolidated tax rate) x equity of subsidiary</t>
  </si>
  <si>
    <t>NOTE:  Information provided is for Emera, Inc., the parent of Emera U.S. Holdings, Inc. There is no debt on the balance sheet of TECO Energy, Inc. for any period presented.</t>
  </si>
  <si>
    <t>All amounts are expressed in thousands of Canadian Dollars. Amounts included represent a 13-month average. Totals may be affected due to rounding.</t>
  </si>
  <si>
    <t>Supporting Schedules:</t>
  </si>
  <si>
    <t>Recap Schedules:</t>
  </si>
  <si>
    <t>Calc updated by Tampa Electric FP&amp;A on 3/1/2024</t>
  </si>
  <si>
    <t>Unapp R/E</t>
  </si>
  <si>
    <t>MFR B3 cell S83</t>
  </si>
  <si>
    <t>B-3 total C/E</t>
  </si>
  <si>
    <t>Ratio</t>
  </si>
  <si>
    <t>Equity per D-1a</t>
  </si>
  <si>
    <t>Jurisdictional Capital Structure</t>
  </si>
  <si>
    <t>R/E times ratio above</t>
  </si>
  <si>
    <t>to synchronize cap struture</t>
  </si>
  <si>
    <t>Adjusted Equity</t>
  </si>
  <si>
    <t>C/E</t>
  </si>
  <si>
    <t>R/E</t>
  </si>
  <si>
    <t>Source: 2025 RC Budget Model</t>
  </si>
  <si>
    <t>Statement of Earnings</t>
  </si>
  <si>
    <t>EMA.E009 - Emera Holdco</t>
  </si>
  <si>
    <t>Actual,  2023</t>
  </si>
  <si>
    <t>January</t>
  </si>
  <si>
    <t>February</t>
  </si>
  <si>
    <t>March</t>
  </si>
  <si>
    <t>April</t>
  </si>
  <si>
    <t>May</t>
  </si>
  <si>
    <t>June</t>
  </si>
  <si>
    <t>July</t>
  </si>
  <si>
    <t>August</t>
  </si>
  <si>
    <t>September</t>
  </si>
  <si>
    <t>October</t>
  </si>
  <si>
    <t>November</t>
  </si>
  <si>
    <t>December</t>
  </si>
  <si>
    <t>Operating Revenues</t>
  </si>
  <si>
    <t>Non-regulated operating revenues</t>
  </si>
  <si>
    <t>40500 Power transmission</t>
  </si>
  <si>
    <t>Total operating revenues</t>
  </si>
  <si>
    <t>Operating Expenses</t>
  </si>
  <si>
    <t>Operating, maintenance and general</t>
  </si>
  <si>
    <t>Depreciation and amortization</t>
  </si>
  <si>
    <t>55000 Depreciation</t>
  </si>
  <si>
    <t xml:space="preserve">   Total Operating Expenses</t>
  </si>
  <si>
    <t xml:space="preserve">  Income from Operations</t>
  </si>
  <si>
    <t>Other income (expenses)</t>
  </si>
  <si>
    <t>Equity Earnings</t>
  </si>
  <si>
    <t>-</t>
  </si>
  <si>
    <t>Equity Earnings - Other</t>
  </si>
  <si>
    <t>Other income and (expenses), net</t>
  </si>
  <si>
    <t>Foreign exchange</t>
  </si>
  <si>
    <t>77000 Foreign exchange - 3rd party</t>
  </si>
  <si>
    <t>77200 Foreign exchange loss (gain) - MTM</t>
  </si>
  <si>
    <t>Other Income Other income</t>
  </si>
  <si>
    <t>41600 Interest</t>
  </si>
  <si>
    <t>41700 Interest - intecompany</t>
  </si>
  <si>
    <t>41910 Common Dividend income - intercompany</t>
  </si>
  <si>
    <t>78200 Other income</t>
  </si>
  <si>
    <t>78295 Pension - Non-service costs</t>
  </si>
  <si>
    <t>Other Income (expenses)</t>
  </si>
  <si>
    <t>Interest Expense</t>
  </si>
  <si>
    <t>Interest on long-term debt</t>
  </si>
  <si>
    <t>C</t>
  </si>
  <si>
    <t>73000 Long-term debt</t>
  </si>
  <si>
    <t>75000 Amortization of debt financing costs</t>
  </si>
  <si>
    <t>75100 Amortization of debt financing costs - acquisition</t>
  </si>
  <si>
    <t>73050 Long-term debt - acquisition</t>
  </si>
  <si>
    <t>73100 Short-term debt</t>
  </si>
  <si>
    <t>* Revolver interest sits here</t>
  </si>
  <si>
    <t>Other Interest</t>
  </si>
  <si>
    <t>73200 Other Interest Expense</t>
  </si>
  <si>
    <t>73300 Interest - Intercompany</t>
  </si>
  <si>
    <t>Interest expense</t>
  </si>
  <si>
    <t>Income before provision for income taxes</t>
  </si>
  <si>
    <t>Income tax expense (recovery)</t>
  </si>
  <si>
    <t>80100 Income tax - current</t>
  </si>
  <si>
    <t>80200 Income tax - future</t>
  </si>
  <si>
    <t>80250 Income Tax - future - MTM</t>
  </si>
  <si>
    <t>Income tax expense</t>
  </si>
  <si>
    <t>Net Income</t>
  </si>
  <si>
    <t>Preferred stock dividends</t>
  </si>
  <si>
    <t>Net Earnings applicable to common shares</t>
  </si>
  <si>
    <t>1</t>
  </si>
  <si>
    <t>Balance Sheet by month</t>
  </si>
  <si>
    <t>Manual Add:</t>
  </si>
  <si>
    <t>13-month</t>
  </si>
  <si>
    <t>Actual</t>
  </si>
  <si>
    <t>Average</t>
  </si>
  <si>
    <t>Assets</t>
  </si>
  <si>
    <t>Current assets</t>
  </si>
  <si>
    <t>Cash and cash equivalents</t>
  </si>
  <si>
    <t>10000 Cash</t>
  </si>
  <si>
    <t>10005 Cash - other</t>
  </si>
  <si>
    <t>10010 Short-term investments</t>
  </si>
  <si>
    <t>Accounts receivable</t>
  </si>
  <si>
    <t>Net customer accounts receivable</t>
  </si>
  <si>
    <t>11000 A/R - trade</t>
  </si>
  <si>
    <t>11019 Posted margin</t>
  </si>
  <si>
    <t>11015 Allowance for doubtful accounts</t>
  </si>
  <si>
    <t>Accounts receivable - other</t>
  </si>
  <si>
    <t>11017 A/R - other</t>
  </si>
  <si>
    <t>11018 HST receivable</t>
  </si>
  <si>
    <t>Due from associated companies</t>
  </si>
  <si>
    <t>11020 Acc interest receivable - intercompany</t>
  </si>
  <si>
    <t>11030 Due from associated companies - financing</t>
  </si>
  <si>
    <t>11050 Due from associated companies</t>
  </si>
  <si>
    <t>Income Tax Receivable</t>
  </si>
  <si>
    <t>11080 Income taxes receivable</t>
  </si>
  <si>
    <t>ST derivative instruments</t>
  </si>
  <si>
    <t>12630 ST HFT - FX swaps re:  EBP purchases</t>
  </si>
  <si>
    <t>12660 ST HFT - Other</t>
  </si>
  <si>
    <t>12815 Due from related party</t>
  </si>
  <si>
    <t>Other current assets</t>
  </si>
  <si>
    <t>12850 ST Other Assets</t>
  </si>
  <si>
    <t>12050 Prepaid expenses</t>
  </si>
  <si>
    <t>Total current assets</t>
  </si>
  <si>
    <t>Property, plant and equipment</t>
  </si>
  <si>
    <t>18000 Construction work in progress</t>
  </si>
  <si>
    <t>17095 Non-regulated other</t>
  </si>
  <si>
    <t>17320 Non-regulated A/D other</t>
  </si>
  <si>
    <t>18005 Non-regulated CWIP</t>
  </si>
  <si>
    <t>Other assets</t>
  </si>
  <si>
    <t>LT derivative instruments - assets</t>
  </si>
  <si>
    <t>13760 LT HFT - Other</t>
  </si>
  <si>
    <t>Goodwill</t>
  </si>
  <si>
    <t>15100 Goodwill</t>
  </si>
  <si>
    <t>Other LT assets</t>
  </si>
  <si>
    <t>14080 Other non-regulatory assets</t>
  </si>
  <si>
    <t>16700 Other Investments at cost - intercompany</t>
  </si>
  <si>
    <t>16900 Intangibles</t>
  </si>
  <si>
    <t>16910 Accumulated amortization</t>
  </si>
  <si>
    <t>14105 LT Deferred financing costs</t>
  </si>
  <si>
    <t>Future Income Tax Asset</t>
  </si>
  <si>
    <t>15000 Future income tax assets</t>
  </si>
  <si>
    <t>Total other assets</t>
  </si>
  <si>
    <t>Total assets</t>
  </si>
  <si>
    <t>Liabilities and Shareholders' Equity</t>
  </si>
  <si>
    <t>Current liabilities</t>
  </si>
  <si>
    <t>Short-term debt - adjusted</t>
  </si>
  <si>
    <t>&lt; This includes the revolver balance that is included in LTD. This is stripped out and added into STD here.</t>
  </si>
  <si>
    <t>21000 Bank indebtedness</t>
  </si>
  <si>
    <t>21100 Short-term notes</t>
  </si>
  <si>
    <t>20000 Current portion of long-term debt</t>
  </si>
  <si>
    <t>Accounts payable</t>
  </si>
  <si>
    <t>22000 Payables - trade</t>
  </si>
  <si>
    <t>22005 Payables - trade - acquisition</t>
  </si>
  <si>
    <t>22200 Payables - Diff/Balance</t>
  </si>
  <si>
    <t>23000 Due to Associated companies</t>
  </si>
  <si>
    <t>23005 Due to Associated Companies at Historical</t>
  </si>
  <si>
    <t>Income Tax Payable</t>
  </si>
  <si>
    <t>23010 Income taxes payable</t>
  </si>
  <si>
    <t>ST Derivative instruments - Liab</t>
  </si>
  <si>
    <t>23730 ST HFT - FX swaps re:  EBP purchases</t>
  </si>
  <si>
    <t>23760 ST HFT - Other</t>
  </si>
  <si>
    <t>Other current liabilities</t>
  </si>
  <si>
    <t>22300 Acc interest on LT debt</t>
  </si>
  <si>
    <t>22350 Accrued charges - other</t>
  </si>
  <si>
    <t>22361 Accrued interest - acquisition</t>
  </si>
  <si>
    <t>23020 Dividends payable</t>
  </si>
  <si>
    <t>23025 Dividends payable - preferred shares</t>
  </si>
  <si>
    <t>23015 HST payable</t>
  </si>
  <si>
    <t>Total current liabilities</t>
  </si>
  <si>
    <t>Long-term debt - adjusted</t>
  </si>
  <si>
    <t>&lt; This removes the revolver balance which is included in this figure. Revolver balance noted below (row 127).</t>
  </si>
  <si>
    <t>26300 Long-term debt</t>
  </si>
  <si>
    <t>26400 Long-term debt - intercompany</t>
  </si>
  <si>
    <t>24012 LT convertible debentures</t>
  </si>
  <si>
    <t>LT Derivative instruments - liabilities</t>
  </si>
  <si>
    <t>24760 LT HFT - Other</t>
  </si>
  <si>
    <t>Accrued pension liability - LT</t>
  </si>
  <si>
    <t>26100 Accrued pension and non-pension benefit liability – Nova Scotia Power (note 4)</t>
  </si>
  <si>
    <t>Other long-term liabilities</t>
  </si>
  <si>
    <t>26150 Other Liabilities</t>
  </si>
  <si>
    <t>26180 Bear Swamp</t>
  </si>
  <si>
    <t>Total long-term liabilities</t>
  </si>
  <si>
    <t>Commitments and contingencies (note X)</t>
  </si>
  <si>
    <t>Shareholders' equity</t>
  </si>
  <si>
    <t>Common shares</t>
  </si>
  <si>
    <t>31000 Common shares</t>
  </si>
  <si>
    <t>A</t>
  </si>
  <si>
    <t>Preferred stock</t>
  </si>
  <si>
    <t>30300 Preferred Shares - Equity</t>
  </si>
  <si>
    <t>Contributed surplus</t>
  </si>
  <si>
    <t>32000 Contributed surplus</t>
  </si>
  <si>
    <t>Accumulated other comprehensive income (loss)</t>
  </si>
  <si>
    <t>33040 AOCI - pension</t>
  </si>
  <si>
    <t>33050 AOCI - derivatives</t>
  </si>
  <si>
    <t>33055 AOCI - net investment hedge</t>
  </si>
  <si>
    <t>33060 AOCI - other reserves</t>
  </si>
  <si>
    <t>33100 F/X translation adjust - 3rd party</t>
  </si>
  <si>
    <t>33200 F/X translation adjust - Intercompany</t>
  </si>
  <si>
    <t>Retained earnings</t>
  </si>
  <si>
    <t>Total comprehensive income</t>
  </si>
  <si>
    <t>34005 Net earnings applicable to common shares</t>
  </si>
  <si>
    <t>34010 Dividends declared on common shares</t>
  </si>
  <si>
    <t>Total Opening Retained Earnings</t>
  </si>
  <si>
    <t>34035 Opening Retained Earnings - Adjustments</t>
  </si>
  <si>
    <t>34030 Opening retained earnings</t>
  </si>
  <si>
    <t>Total shareholders' equity</t>
  </si>
  <si>
    <t>Total equity</t>
  </si>
  <si>
    <t>ΣA=</t>
  </si>
  <si>
    <t>Total liabilities and shareholders' equity</t>
  </si>
  <si>
    <t>Revolver Draw - Reclass from LTD to STD</t>
  </si>
  <si>
    <t>&lt; Revolver balance through 2023 (provided by Treasury)</t>
  </si>
  <si>
    <t>Actual,  2022</t>
  </si>
  <si>
    <t>73500 Other interest income</t>
  </si>
  <si>
    <t>Short-term debt</t>
  </si>
  <si>
    <t>22400 Acc interest on LT debt - intercompany</t>
  </si>
  <si>
    <t>Long-term debt</t>
  </si>
  <si>
    <t>34037 Retained earnings - current year adjustments</t>
  </si>
  <si>
    <t>\</t>
  </si>
  <si>
    <t>Budget,  2024</t>
  </si>
  <si>
    <t>Budget</t>
  </si>
  <si>
    <r>
      <t xml:space="preserve">Short-term debt </t>
    </r>
    <r>
      <rPr>
        <b/>
        <sz val="8"/>
        <color rgb="FF0070C0"/>
        <rFont val="Microsoft Sans Serif"/>
        <family val="2"/>
      </rPr>
      <t>(Includes Revolver)</t>
    </r>
  </si>
  <si>
    <t>&lt; This includes ST notes in 2024 budget as well as the revolver balance that is included in LTD. This is stripped out and added into STD here.</t>
  </si>
  <si>
    <t>&lt; This removes the revolver balance which is included in this figure. Revolver balance noted below (row 118).</t>
  </si>
  <si>
    <t>&lt; Revolver balance through 2024 (detailed on different workbook)</t>
  </si>
  <si>
    <t>Forecast_Qtr3,  2023</t>
  </si>
  <si>
    <t>Forecast_Qtr3</t>
  </si>
  <si>
    <t>*Interest on Bond Debt, ~ 2.9%</t>
  </si>
  <si>
    <t>*Hybrid Debt @ 6.75% (USD)</t>
  </si>
  <si>
    <t>Emera Inc.</t>
  </si>
  <si>
    <t>Long-Term Forecast</t>
  </si>
  <si>
    <t>2023 LTF</t>
  </si>
  <si>
    <t>Balance Sheet - CAD</t>
  </si>
  <si>
    <t>.0</t>
  </si>
  <si>
    <t>11019 Posted Margin</t>
  </si>
  <si>
    <t>E001 - Nova Scotia Power</t>
  </si>
  <si>
    <t>E001</t>
  </si>
  <si>
    <t>E012CA - Energy Services CAD</t>
  </si>
  <si>
    <t>E012CA</t>
  </si>
  <si>
    <t>E012US - Energy Services CDN_USD</t>
  </si>
  <si>
    <t>E012</t>
  </si>
  <si>
    <t>E022 - NSP Pipeline Inc.</t>
  </si>
  <si>
    <t>E022</t>
  </si>
  <si>
    <t>E023 - NSP Pipeline Mgmt. Ltd.</t>
  </si>
  <si>
    <t>E023</t>
  </si>
  <si>
    <t>E027 - Nova Power Holdings</t>
  </si>
  <si>
    <t>E027</t>
  </si>
  <si>
    <t>E038 - Emera Energy LP</t>
  </si>
  <si>
    <t>E038</t>
  </si>
  <si>
    <t>E061 - Bayside Power LP</t>
  </si>
  <si>
    <t>E061</t>
  </si>
  <si>
    <t>E062 - Brooklyn Power Corporation</t>
  </si>
  <si>
    <t>E062</t>
  </si>
  <si>
    <t>E080 - Maritime Island Link</t>
  </si>
  <si>
    <t>E080</t>
  </si>
  <si>
    <t>E121 - EUS Head Office</t>
  </si>
  <si>
    <t>E121</t>
  </si>
  <si>
    <t>E130 - Cablecom</t>
  </si>
  <si>
    <t>E130</t>
  </si>
  <si>
    <t>E202 - TSI</t>
  </si>
  <si>
    <t>E202</t>
  </si>
  <si>
    <t>E212 - NMGC</t>
  </si>
  <si>
    <t>E212</t>
  </si>
  <si>
    <t>E221 - TECO</t>
  </si>
  <si>
    <t>E221</t>
  </si>
  <si>
    <t>E231 - People`s Gas</t>
  </si>
  <si>
    <t>E231</t>
  </si>
  <si>
    <t>E324 - 3240384 NS Ltd.</t>
  </si>
  <si>
    <t>E324</t>
  </si>
  <si>
    <t>E350 - EBP Company Ltd.</t>
  </si>
  <si>
    <t>E350</t>
  </si>
  <si>
    <t>E351 - EBP Assist (2014) Inc.</t>
  </si>
  <si>
    <t>E351</t>
  </si>
  <si>
    <t>E389 - Emera Reinsurance Limited</t>
  </si>
  <si>
    <t>E389</t>
  </si>
  <si>
    <t>E390 - EUSHI</t>
  </si>
  <si>
    <t>E390</t>
  </si>
  <si>
    <t>E398 - Emera Holdings NS Company</t>
  </si>
  <si>
    <t>E398</t>
  </si>
  <si>
    <t>E402 - Emera US Finance LP</t>
  </si>
  <si>
    <t>E402</t>
  </si>
  <si>
    <t>E405 - EUSHI Finance Inc</t>
  </si>
  <si>
    <t>E405</t>
  </si>
  <si>
    <t>E410 - ETL</t>
  </si>
  <si>
    <t>E410</t>
  </si>
  <si>
    <t>E412 - Emera US Financing LP</t>
  </si>
  <si>
    <t>E412</t>
  </si>
  <si>
    <t>E654 - 3267654 Nova Scotia Ltd</t>
  </si>
  <si>
    <t>E654</t>
  </si>
  <si>
    <t>check - if this check is out, need to add new intercompany partner</t>
  </si>
  <si>
    <t>E019 - Emera Energy Holdings</t>
  </si>
  <si>
    <t>E019</t>
  </si>
  <si>
    <t>E023 - NSP Pipeline Mgmt Ltd.</t>
  </si>
  <si>
    <t>E033 - Cayman 456 Ltd.</t>
  </si>
  <si>
    <t>E033</t>
  </si>
  <si>
    <t>E390 - Emera US Holdings Inc</t>
  </si>
  <si>
    <t>E392 - Emera Inv. LLC</t>
  </si>
  <si>
    <t>E392</t>
  </si>
  <si>
    <t>E411 - 3325140 Nova Scotia Ltd</t>
  </si>
  <si>
    <t>E411</t>
  </si>
  <si>
    <t>E654 - 3267654 Nova Scotia Ltd.</t>
  </si>
  <si>
    <t>E853 - ECI</t>
  </si>
  <si>
    <t>E853</t>
  </si>
  <si>
    <t>E003 - Strait Energy</t>
  </si>
  <si>
    <t>E003</t>
  </si>
  <si>
    <t>E012US</t>
  </si>
  <si>
    <t>E016 - Emera Energy Services Inc. US</t>
  </si>
  <si>
    <t>E016</t>
  </si>
  <si>
    <t>E017 - US Sub #1</t>
  </si>
  <si>
    <t>E017</t>
  </si>
  <si>
    <t>E025 - Scotia Power US Ltd.</t>
  </si>
  <si>
    <t>E025</t>
  </si>
  <si>
    <t>E035 - Emera Barbados Holdings #2</t>
  </si>
  <si>
    <t>E035</t>
  </si>
  <si>
    <t>E037 - Emera Barbados Holdings #3</t>
  </si>
  <si>
    <t>E037</t>
  </si>
  <si>
    <t>E039 - Emera Energy LP Holdco</t>
  </si>
  <si>
    <t>E039</t>
  </si>
  <si>
    <t>E050 - Scotia Holdings Inc. US</t>
  </si>
  <si>
    <t>E050</t>
  </si>
  <si>
    <t>E051 - Scotia Holdings Inc. US</t>
  </si>
  <si>
    <t>E051</t>
  </si>
  <si>
    <t>E060 - Bayside Power Inc</t>
  </si>
  <si>
    <t>E060</t>
  </si>
  <si>
    <t>E064 - Bridgeport Energy</t>
  </si>
  <si>
    <t>E064</t>
  </si>
  <si>
    <t>E065 - Tiverton Power</t>
  </si>
  <si>
    <t>E065</t>
  </si>
  <si>
    <t>E066 - Rumford Power</t>
  </si>
  <si>
    <t>E066</t>
  </si>
  <si>
    <t>E080 - ENL</t>
  </si>
  <si>
    <t>E081 - ENL</t>
  </si>
  <si>
    <t>E081</t>
  </si>
  <si>
    <t>E125 - EUS Bahamas</t>
  </si>
  <si>
    <t>E125</t>
  </si>
  <si>
    <t>E201 - TECO Energy Parent</t>
  </si>
  <si>
    <t>E201</t>
  </si>
  <si>
    <t>E202 - TECO Services Inc.</t>
  </si>
  <si>
    <t>E212 - New Mexico Gas Company</t>
  </si>
  <si>
    <t>E221 - Tampa Electric</t>
  </si>
  <si>
    <t>E231 - People's Gas</t>
  </si>
  <si>
    <t>E233 - TECO Partners Inc.</t>
  </si>
  <si>
    <t>E233</t>
  </si>
  <si>
    <t>E254 - TECO Properties</t>
  </si>
  <si>
    <t>E254</t>
  </si>
  <si>
    <t>E281 - Seacoast Gas Transmission</t>
  </si>
  <si>
    <t>E281</t>
  </si>
  <si>
    <t>E386 - 3215679 NS Co.</t>
  </si>
  <si>
    <t>E386</t>
  </si>
  <si>
    <t>E390 - Emera US Holdings Inc.</t>
  </si>
  <si>
    <t>E391 - BHE Holdings Inc.</t>
  </si>
  <si>
    <t>E391</t>
  </si>
  <si>
    <t>E393 - Bangor Hydro</t>
  </si>
  <si>
    <t>E393</t>
  </si>
  <si>
    <t>E394 - Northeast Wind</t>
  </si>
  <si>
    <t>E394</t>
  </si>
  <si>
    <t>E396 - Emera Energy Generation II</t>
  </si>
  <si>
    <t>E396</t>
  </si>
  <si>
    <t>E397 - Clean Power Northeast Development</t>
  </si>
  <si>
    <t>E397</t>
  </si>
  <si>
    <t xml:space="preserve">E400 - Emera US Inc. </t>
  </si>
  <si>
    <t>E400</t>
  </si>
  <si>
    <t>E406 - EUSHI Finance Assist Inc</t>
  </si>
  <si>
    <t>E406</t>
  </si>
  <si>
    <t>E409 - EHNS (2016) Inc.</t>
  </si>
  <si>
    <t>E409</t>
  </si>
  <si>
    <t>E415 - Grand HVAC Leasing LTD</t>
  </si>
  <si>
    <t>E415</t>
  </si>
  <si>
    <t>E850 - ICDU</t>
  </si>
  <si>
    <t>E850</t>
  </si>
  <si>
    <t>E851 - GBPC</t>
  </si>
  <si>
    <t>E851</t>
  </si>
  <si>
    <t>E854 - The Barbados Light &amp; Power Co</t>
  </si>
  <si>
    <t>E854</t>
  </si>
  <si>
    <t>E855 - Light &amp; Power Holdings</t>
  </si>
  <si>
    <t>E855</t>
  </si>
  <si>
    <t>E862 - Dominica Electricity Services Limited</t>
  </si>
  <si>
    <t>E862</t>
  </si>
  <si>
    <t>E922 - 3081922 NS Ltd.</t>
  </si>
  <si>
    <t>E922</t>
  </si>
  <si>
    <t>E453-BlockEnergy Labs Inc.</t>
  </si>
  <si>
    <t>E453</t>
  </si>
  <si>
    <t>11070 Dividends receivable - intercompany</t>
  </si>
  <si>
    <t>E002 - NSPI Assist (2017)</t>
  </si>
  <si>
    <t>E002</t>
  </si>
  <si>
    <t>E387 - 3229058 NS Company</t>
  </si>
  <si>
    <t>E387</t>
  </si>
  <si>
    <t>E388 - 3261481 Nova Scotia Company</t>
  </si>
  <si>
    <t>E388</t>
  </si>
  <si>
    <t>E407 - EUSHI Finance Assist Company</t>
  </si>
  <si>
    <t>E407</t>
  </si>
  <si>
    <t>11060 Dividends receivable</t>
  </si>
  <si>
    <t>16925 Net Investment</t>
  </si>
  <si>
    <t>Investments subject to significant influence</t>
  </si>
  <si>
    <t>16360 Algonquin Power &amp; Utilities Corp</t>
  </si>
  <si>
    <t>16590 Cape Sharp Tidal Venture Ltd.</t>
  </si>
  <si>
    <t>13010 Long-term receivable</t>
  </si>
  <si>
    <t>14100 Other Assets</t>
  </si>
  <si>
    <t>16825 Held-for-trading investments</t>
  </si>
  <si>
    <t>E012CA - Emera Energy Holdings</t>
  </si>
  <si>
    <t>E024 - NSP US Holdings Inc.</t>
  </si>
  <si>
    <t>E024</t>
  </si>
  <si>
    <t>E037 - Emera Barbados Holding #3</t>
  </si>
  <si>
    <t>E042 - EEI Assist (2014) Inc.</t>
  </si>
  <si>
    <t>E042</t>
  </si>
  <si>
    <t>E061 - Bayside PowerLP</t>
  </si>
  <si>
    <t>E082 - ENL Holdco</t>
  </si>
  <si>
    <t>E082</t>
  </si>
  <si>
    <t>E181 - 3215181 NS Ltd.</t>
  </si>
  <si>
    <t>E181</t>
  </si>
  <si>
    <t>E401 - Emera US Finance General Partner Inc</t>
  </si>
  <si>
    <t>E401</t>
  </si>
  <si>
    <t>E419 - Emera US Finance LP Inc</t>
  </si>
  <si>
    <t>E419</t>
  </si>
  <si>
    <t>14110 LT Deferred financing costs - acquisition</t>
  </si>
  <si>
    <t>15015 Future income tax asset - acquisition</t>
  </si>
  <si>
    <t>In 2023 LTD for 2025 year, the STD balance does not include the revolver, but it should. It has been removed from LTD balance below and reclassified to STD here. 12 month average brought in.</t>
  </si>
  <si>
    <t>Bank indebtedness</t>
  </si>
  <si>
    <t>Short-term notes</t>
  </si>
  <si>
    <t>Current  portion of long-term debt</t>
  </si>
  <si>
    <t>2024 Revolver balance per below</t>
  </si>
  <si>
    <t>2024 STD balance (includes revolver)</t>
  </si>
  <si>
    <t>2025 Revolver balance per below</t>
  </si>
  <si>
    <t>2025 STD balance (includes revolver)</t>
  </si>
  <si>
    <t>E012US - Energu Services CDN_USD</t>
  </si>
  <si>
    <t>E038 Emera Energy LP</t>
  </si>
  <si>
    <t>E039 - Emera Energy LP Holdings</t>
  </si>
  <si>
    <t>E064 - Bridgeport</t>
  </si>
  <si>
    <t>E065 - Tiverton</t>
  </si>
  <si>
    <t>E066 - Rumford</t>
  </si>
  <si>
    <t>E100 - NSP Marketing and Trading</t>
  </si>
  <si>
    <t>E100</t>
  </si>
  <si>
    <t>E121 - EUS</t>
  </si>
  <si>
    <t>E233 - TECO partners inc.</t>
  </si>
  <si>
    <t>E281 Seacoast Gas Transmission</t>
  </si>
  <si>
    <t xml:space="preserve">E350 - EBP Company Ltd. </t>
  </si>
  <si>
    <t>E393 - Emera Maine</t>
  </si>
  <si>
    <t>E397 - CPNE</t>
  </si>
  <si>
    <t>E410 - Emera Technologies Inc.</t>
  </si>
  <si>
    <t>E654 Term Rd</t>
  </si>
  <si>
    <t>23006 Due to associated companies - financing</t>
  </si>
  <si>
    <t>E001 - NSPI</t>
  </si>
  <si>
    <t>23011 Income taxes payable - acquisition</t>
  </si>
  <si>
    <t>Convertible Debentures</t>
  </si>
  <si>
    <t>22360 Accrued interest - convertible debentures</t>
  </si>
  <si>
    <t xml:space="preserve">In 2025, the LTD inclues the medium term notes. It also includes the revolver balance which needs to be reclassified to STD. </t>
  </si>
  <si>
    <t>Revolver balance in 2023 LTF for 2024 year</t>
  </si>
  <si>
    <t>2024 LTD balance (excludes revolver)</t>
  </si>
  <si>
    <t xml:space="preserve">E001 - NSPI </t>
  </si>
  <si>
    <t xml:space="preserve">E012CA - Emera Energy Holdings </t>
  </si>
  <si>
    <t>E019 - EE Holding</t>
  </si>
  <si>
    <t>E853 - Barbados Light &amp; Power</t>
  </si>
  <si>
    <t>Revolver balance in 2023 LTF for 2025 year</t>
  </si>
  <si>
    <t>Future income tax liability - LT</t>
  </si>
  <si>
    <t>2025 LTD balance (excludes revolver)</t>
  </si>
  <si>
    <t>25000 Future income tax liabilities</t>
  </si>
  <si>
    <t>24360 LT VHR - Other</t>
  </si>
  <si>
    <t>33150 F/X translation adjust - entity currency</t>
  </si>
  <si>
    <t>Income Statement - CAD</t>
  </si>
  <si>
    <t>41360 Other non-regulated revenue</t>
  </si>
  <si>
    <t>Operating revenues</t>
  </si>
  <si>
    <t>TOT_OMG</t>
  </si>
  <si>
    <t>Operating expenses</t>
  </si>
  <si>
    <t>Income from operations</t>
  </si>
  <si>
    <t>60000 Equity Earnings</t>
  </si>
  <si>
    <t>60050 Equity Earnings - Other</t>
  </si>
  <si>
    <t>77050 Foreign exchange - Test</t>
  </si>
  <si>
    <t>Other income</t>
  </si>
  <si>
    <t>41900 Preferred Dividends income - intercompany</t>
  </si>
  <si>
    <t>41905 Common Dividend Income</t>
  </si>
  <si>
    <t>E080 - NSPML</t>
  </si>
  <si>
    <t>E081 - LIL</t>
  </si>
  <si>
    <t>78275 Unrealized gain (loss) on HFT security</t>
  </si>
  <si>
    <t xml:space="preserve"> </t>
  </si>
  <si>
    <t>78270 Gain on exchange of subscription receipts</t>
  </si>
  <si>
    <t>78295 Non-service pension costs</t>
  </si>
  <si>
    <t>78280 Gain on sale of investment</t>
  </si>
  <si>
    <t>73210 Interest on bridge fees</t>
  </si>
  <si>
    <t>73249 Other interest - beneficial conversion option</t>
  </si>
  <si>
    <t>73250 Interest on covertible debentures</t>
  </si>
  <si>
    <t>Income before provision for income  taxes</t>
  </si>
  <si>
    <t>80105 Income tax - current - acquisition</t>
  </si>
  <si>
    <t>80125 Income tax - current - equity earnings</t>
  </si>
  <si>
    <t>80150 Income tax - future- gains</t>
  </si>
  <si>
    <t>80205 Income tax - future - acquisition</t>
  </si>
  <si>
    <t>80250 Income tax - future - MTM</t>
  </si>
  <si>
    <t>80255 Income tax - future - MTM - acquisition</t>
  </si>
  <si>
    <t>80260 Income tax - future - HFT</t>
  </si>
  <si>
    <t>80275 Income tax - future - equity earnings</t>
  </si>
  <si>
    <t>Net income before non-controlling interest</t>
  </si>
  <si>
    <t>79300 Preferred Dividends - Equity</t>
  </si>
  <si>
    <t>Net income attributable to common shareholders</t>
  </si>
  <si>
    <t>Parameters for Reports</t>
  </si>
  <si>
    <t>A.</t>
  </si>
  <si>
    <t>B.</t>
  </si>
  <si>
    <t xml:space="preserve">C. </t>
  </si>
  <si>
    <t>C.2</t>
  </si>
  <si>
    <t>D.</t>
  </si>
  <si>
    <t>* Provided by Matthew Jackson in Treasury</t>
  </si>
  <si>
    <t>Month</t>
  </si>
  <si>
    <t>Revolver Balance</t>
  </si>
  <si>
    <t>Net Proceeds</t>
  </si>
  <si>
    <t>Monthly Interest Accrual by Integrity</t>
  </si>
  <si>
    <t>Jan</t>
  </si>
  <si>
    <t>Feb</t>
  </si>
  <si>
    <t>Mar</t>
  </si>
  <si>
    <t>Apr</t>
  </si>
  <si>
    <t>Jun</t>
  </si>
  <si>
    <t>Jul</t>
  </si>
  <si>
    <t>Aug</t>
  </si>
  <si>
    <t>Sep</t>
  </si>
  <si>
    <t>Oct</t>
  </si>
  <si>
    <t>Nov</t>
  </si>
  <si>
    <t>Dec</t>
  </si>
  <si>
    <t>DOCKET No. 20240026-EI</t>
  </si>
  <si>
    <t>Witness: V. Strickland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</si>
</sst>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
    <numFmt numFmtId="167" formatCode="_(* #,##0.0_);_(* \(#,##0.0\);_(* &quot;-&quot;??_);_(@_)"/>
  </numFmts>
  <fonts count="50" x14ac:knownFonts="1">
    <font>
      <sz val="10"/>
      <color theme="1"/>
      <name val="Arial"/>
      <family val="2"/>
    </font>
    <font>
      <sz val="11"/>
      <color theme="1"/>
      <name val="Calibri"/>
      <family val="2"/>
      <scheme val="minor"/>
    </font>
    <font>
      <sz val="11"/>
      <color theme="1"/>
      <name val="Calibri"/>
      <family val="2"/>
      <scheme val="minor"/>
    </font>
    <font>
      <sz val="10"/>
      <color theme="1"/>
      <name val="Arial"/>
      <family val="2"/>
    </font>
    <font>
      <sz val="8"/>
      <name val="Arial"/>
      <family val="2"/>
    </font>
    <font>
      <sz val="10"/>
      <name val="Arial"/>
      <family val="2"/>
    </font>
    <font>
      <sz val="10"/>
      <color indexed="8"/>
      <name val="Arial"/>
      <family val="2"/>
    </font>
    <font>
      <sz val="10"/>
      <name val="Courier"/>
      <family val="3"/>
    </font>
    <font>
      <sz val="8"/>
      <color rgb="FFFF0000"/>
      <name val="Arial"/>
      <family val="2"/>
    </font>
    <font>
      <sz val="11"/>
      <color theme="1"/>
      <name val="Calibri"/>
      <family val="2"/>
    </font>
    <font>
      <sz val="7.8"/>
      <color theme="1"/>
      <name val="Microsoft Sans Serif"/>
      <family val="2"/>
    </font>
    <font>
      <sz val="8"/>
      <color theme="1"/>
      <name val="Microsoft Sans Serif"/>
      <family val="2"/>
    </font>
    <font>
      <b/>
      <sz val="10.8"/>
      <color theme="1"/>
      <name val="Tahoma"/>
      <family val="2"/>
    </font>
    <font>
      <b/>
      <sz val="10.8"/>
      <color theme="1"/>
      <name val="Microsoft Sans Serif"/>
      <family val="2"/>
    </font>
    <font>
      <sz val="7.8"/>
      <color theme="1"/>
      <name val="Arial"/>
      <family val="2"/>
    </font>
    <font>
      <b/>
      <sz val="8"/>
      <color theme="1"/>
      <name val="Microsoft Sans Serif"/>
      <family val="2"/>
    </font>
    <font>
      <u/>
      <sz val="8"/>
      <color theme="1"/>
      <name val="Microsoft Sans Serif"/>
      <family val="2"/>
    </font>
    <font>
      <sz val="11"/>
      <color rgb="FF0070C0"/>
      <name val="Calibri"/>
      <family val="2"/>
    </font>
    <font>
      <sz val="8"/>
      <color rgb="FF0070C0"/>
      <name val="Microsoft Sans Serif"/>
      <family val="2"/>
    </font>
    <font>
      <u/>
      <sz val="8"/>
      <color rgb="FF0070C0"/>
      <name val="Microsoft Sans Serif"/>
      <family val="2"/>
    </font>
    <font>
      <sz val="11"/>
      <color rgb="FF00B050"/>
      <name val="Calibri"/>
      <family val="2"/>
    </font>
    <font>
      <sz val="8"/>
      <color rgb="FF00B050"/>
      <name val="Arial"/>
      <family val="2"/>
    </font>
    <font>
      <b/>
      <sz val="11"/>
      <color theme="1"/>
      <name val="Calibri"/>
      <family val="2"/>
    </font>
    <font>
      <b/>
      <sz val="8"/>
      <color rgb="FF0070C0"/>
      <name val="Microsoft Sans Serif"/>
      <family val="2"/>
    </font>
    <font>
      <b/>
      <sz val="11"/>
      <color rgb="FF0070C0"/>
      <name val="Calibri"/>
      <family val="2"/>
    </font>
    <font>
      <b/>
      <u/>
      <sz val="8"/>
      <color rgb="FF0070C0"/>
      <name val="Microsoft Sans Serif"/>
      <family val="2"/>
    </font>
    <font>
      <sz val="11"/>
      <color theme="1"/>
      <name val="Calibri"/>
      <family val="2"/>
    </font>
    <font>
      <sz val="8"/>
      <color theme="4"/>
      <name val="Microsoft Sans Serif"/>
      <family val="2"/>
    </font>
    <font>
      <sz val="11"/>
      <color theme="4"/>
      <name val="Calibri"/>
      <family val="2"/>
    </font>
    <font>
      <b/>
      <sz val="11"/>
      <color theme="0"/>
      <name val="Calibri"/>
      <family val="2"/>
      <scheme val="minor"/>
    </font>
    <font>
      <sz val="11"/>
      <color rgb="FFFF0000"/>
      <name val="Calibri"/>
      <family val="2"/>
      <scheme val="minor"/>
    </font>
    <font>
      <b/>
      <sz val="11"/>
      <color theme="1"/>
      <name val="Calibri"/>
      <family val="2"/>
      <scheme val="minor"/>
    </font>
    <font>
      <b/>
      <sz val="15"/>
      <color theme="0"/>
      <name val="Calibri"/>
      <family val="2"/>
      <scheme val="minor"/>
    </font>
    <font>
      <sz val="11"/>
      <name val="Calibri"/>
      <family val="2"/>
      <scheme val="minor"/>
    </font>
    <font>
      <sz val="8"/>
      <color rgb="FF0070C0"/>
      <name val="Arial"/>
      <family val="2"/>
    </font>
    <font>
      <sz val="10"/>
      <color rgb="FF0070C0"/>
      <name val="Arial"/>
      <family val="2"/>
    </font>
    <font>
      <b/>
      <sz val="8"/>
      <color rgb="FF0070C0"/>
      <name val="Arial"/>
      <family val="2"/>
    </font>
    <font>
      <sz val="9"/>
      <color rgb="FF0070C0"/>
      <name val="Microsoft Sans Serif"/>
      <family val="2"/>
    </font>
    <font>
      <b/>
      <sz val="9"/>
      <color rgb="FF0070C0"/>
      <name val="Microsoft Sans Serif"/>
      <family val="2"/>
    </font>
    <font>
      <sz val="9"/>
      <color rgb="FF0070C0"/>
      <name val="Calibri"/>
      <family val="2"/>
    </font>
    <font>
      <b/>
      <sz val="11"/>
      <color rgb="FF00B050"/>
      <name val="Calibri"/>
      <family val="2"/>
    </font>
    <font>
      <b/>
      <sz val="8"/>
      <color rgb="FF00B050"/>
      <name val="Microsoft Sans Serif"/>
      <family val="2"/>
    </font>
    <font>
      <b/>
      <sz val="10"/>
      <color rgb="FF00B050"/>
      <name val="Arial"/>
      <family val="2"/>
    </font>
    <font>
      <sz val="8"/>
      <color rgb="FF0000CC"/>
      <name val="Arial"/>
      <family val="2"/>
    </font>
    <font>
      <b/>
      <u/>
      <sz val="8"/>
      <name val="Arial"/>
      <family val="2"/>
    </font>
    <font>
      <sz val="8"/>
      <color rgb="FF0000FF"/>
      <name val="Arial"/>
      <family val="2"/>
    </font>
    <font>
      <b/>
      <sz val="8"/>
      <name val="Arial"/>
      <family val="2"/>
    </font>
    <font>
      <sz val="9"/>
      <name val="Arial"/>
      <family val="2"/>
    </font>
    <font>
      <sz val="9"/>
      <color rgb="FFFF0000"/>
      <name val="Arial"/>
      <family val="2"/>
    </font>
    <font>
      <sz val="10"/>
      <color rgb="FFFF0000"/>
      <name val="Arial"/>
      <family val="2"/>
    </font>
  </fonts>
  <fills count="17">
    <fill>
      <patternFill patternType="none"/>
    </fill>
    <fill>
      <patternFill patternType="gray125"/>
    </fill>
    <fill>
      <patternFill patternType="solid">
        <fgColor rgb="FFFFFF00"/>
        <bgColor indexed="64"/>
      </patternFill>
    </fill>
    <fill>
      <patternFill patternType="solid">
        <fgColor rgb="FFFFFFFF"/>
      </patternFill>
    </fill>
    <fill>
      <patternFill patternType="solid">
        <fgColor theme="3"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9999FF"/>
        <bgColor indexed="64"/>
      </patternFill>
    </fill>
    <fill>
      <patternFill patternType="solid">
        <fgColor rgb="FF66FFFF"/>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F99FF"/>
        <bgColor indexed="64"/>
      </patternFill>
    </fill>
  </fills>
  <borders count="10">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double">
        <color indexed="64"/>
      </bottom>
      <diagonal/>
    </border>
    <border>
      <left/>
      <right/>
      <top style="thin">
        <color rgb="FF000000"/>
      </top>
      <bottom/>
      <diagonal/>
    </border>
    <border>
      <left/>
      <right/>
      <top/>
      <bottom style="medium">
        <color rgb="FF000000"/>
      </bottom>
      <diagonal/>
    </border>
    <border>
      <left/>
      <right/>
      <top style="medium">
        <color rgb="FF000000"/>
      </top>
      <bottom/>
      <diagonal/>
    </border>
    <border>
      <left/>
      <right/>
      <top style="thin">
        <color indexed="64"/>
      </top>
      <bottom style="medium">
        <color indexed="64"/>
      </bottom>
      <diagonal/>
    </border>
    <border>
      <left/>
      <right/>
      <top style="thin">
        <color indexed="64"/>
      </top>
      <bottom/>
      <diagonal/>
    </border>
  </borders>
  <cellStyleXfs count="17">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6" fillId="0" borderId="0"/>
    <xf numFmtId="43" fontId="5"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9" fillId="0" borderId="0"/>
    <xf numFmtId="0" fontId="26" fillId="0" borderId="0"/>
    <xf numFmtId="0" fontId="1" fillId="0" borderId="0"/>
    <xf numFmtId="44" fontId="1" fillId="0" borderId="0" applyFont="0" applyFill="0" applyBorder="0" applyAlignment="0" applyProtection="0"/>
  </cellStyleXfs>
  <cellXfs count="263">
    <xf numFmtId="0" fontId="0" fillId="0" borderId="0" xfId="0"/>
    <xf numFmtId="10" fontId="4" fillId="0" borderId="0" xfId="3" applyNumberFormat="1" applyFont="1" applyFill="1" applyBorder="1"/>
    <xf numFmtId="165" fontId="4" fillId="0" borderId="0" xfId="5" applyNumberFormat="1" applyFont="1" applyFill="1" applyBorder="1"/>
    <xf numFmtId="165" fontId="4" fillId="0" borderId="0" xfId="5" applyNumberFormat="1" applyFont="1" applyFill="1"/>
    <xf numFmtId="164" fontId="4" fillId="0" borderId="0" xfId="11" applyNumberFormat="1" applyFont="1" applyFill="1"/>
    <xf numFmtId="164" fontId="4" fillId="0" borderId="0" xfId="11" applyNumberFormat="1" applyFont="1" applyFill="1" applyBorder="1"/>
    <xf numFmtId="164" fontId="4" fillId="0" borderId="3" xfId="11" quotePrefix="1" applyNumberFormat="1" applyFont="1" applyFill="1" applyBorder="1"/>
    <xf numFmtId="10" fontId="4" fillId="0" borderId="0" xfId="12" applyNumberFormat="1" applyFont="1" applyFill="1" applyBorder="1"/>
    <xf numFmtId="164" fontId="4" fillId="0" borderId="4" xfId="11" applyNumberFormat="1" applyFont="1" applyFill="1" applyBorder="1"/>
    <xf numFmtId="10" fontId="4" fillId="0" borderId="4" xfId="12" applyNumberFormat="1" applyFont="1" applyFill="1" applyBorder="1"/>
    <xf numFmtId="10" fontId="4" fillId="0" borderId="0" xfId="5" applyNumberFormat="1" applyFont="1" applyFill="1" applyBorder="1"/>
    <xf numFmtId="0" fontId="5" fillId="0" borderId="0" xfId="0" applyFont="1"/>
    <xf numFmtId="165" fontId="8" fillId="0" borderId="0" xfId="5" applyNumberFormat="1" applyFont="1" applyFill="1" applyBorder="1"/>
    <xf numFmtId="0" fontId="9" fillId="0" borderId="0" xfId="13"/>
    <xf numFmtId="37" fontId="11" fillId="3" borderId="0" xfId="13" applyNumberFormat="1" applyFont="1" applyFill="1" applyAlignment="1">
      <alignment horizontal="right" wrapText="1"/>
    </xf>
    <xf numFmtId="0" fontId="11" fillId="3" borderId="0" xfId="13" applyFont="1" applyFill="1" applyAlignment="1">
      <alignment horizontal="left" wrapText="1"/>
    </xf>
    <xf numFmtId="0" fontId="9" fillId="3" borderId="0" xfId="13" applyFill="1" applyAlignment="1">
      <alignment horizontal="right" wrapText="1"/>
    </xf>
    <xf numFmtId="0" fontId="9" fillId="3" borderId="0" xfId="13" applyFill="1" applyAlignment="1">
      <alignment horizontal="left" wrapText="1"/>
    </xf>
    <xf numFmtId="0" fontId="11" fillId="3" borderId="0" xfId="13" applyFont="1" applyFill="1" applyAlignment="1">
      <alignment horizontal="right" wrapText="1"/>
    </xf>
    <xf numFmtId="37" fontId="11" fillId="3" borderId="5" xfId="13" applyNumberFormat="1" applyFont="1" applyFill="1" applyBorder="1" applyAlignment="1">
      <alignment horizontal="right" wrapText="1"/>
    </xf>
    <xf numFmtId="166" fontId="11" fillId="3" borderId="0" xfId="13" applyNumberFormat="1" applyFont="1" applyFill="1" applyAlignment="1">
      <alignment horizontal="right" wrapText="1"/>
    </xf>
    <xf numFmtId="0" fontId="11" fillId="3" borderId="0" xfId="13" applyFont="1" applyFill="1" applyAlignment="1">
      <alignment horizontal="left" wrapText="1" indent="2"/>
    </xf>
    <xf numFmtId="0" fontId="11" fillId="3" borderId="0" xfId="13" applyFont="1" applyFill="1" applyAlignment="1">
      <alignment horizontal="left" wrapText="1" indent="1"/>
    </xf>
    <xf numFmtId="0" fontId="11" fillId="3" borderId="0" xfId="13" applyFont="1" applyFill="1" applyAlignment="1">
      <alignment horizontal="left" wrapText="1" indent="3"/>
    </xf>
    <xf numFmtId="0" fontId="9" fillId="3" borderId="0" xfId="13" applyFill="1" applyAlignment="1">
      <alignment horizontal="left" wrapText="1" indent="2"/>
    </xf>
    <xf numFmtId="37" fontId="11" fillId="3" borderId="5" xfId="13" applyNumberFormat="1" applyFont="1" applyFill="1" applyBorder="1" applyAlignment="1">
      <alignment horizontal="right" vertical="center" wrapText="1"/>
    </xf>
    <xf numFmtId="0" fontId="11" fillId="3" borderId="5" xfId="13" applyFont="1" applyFill="1" applyBorder="1" applyAlignment="1">
      <alignment horizontal="right" vertical="center" wrapText="1"/>
    </xf>
    <xf numFmtId="0" fontId="11" fillId="3" borderId="0" xfId="13" applyFont="1" applyFill="1" applyAlignment="1">
      <alignment horizontal="center" wrapText="1"/>
    </xf>
    <xf numFmtId="37" fontId="11" fillId="3" borderId="6" xfId="13" applyNumberFormat="1" applyFont="1" applyFill="1" applyBorder="1" applyAlignment="1">
      <alignment horizontal="right"/>
    </xf>
    <xf numFmtId="0" fontId="15" fillId="3" borderId="0" xfId="13" applyFont="1" applyFill="1" applyAlignment="1">
      <alignment horizontal="left"/>
    </xf>
    <xf numFmtId="0" fontId="9" fillId="3" borderId="0" xfId="13" applyFill="1" applyAlignment="1">
      <alignment horizontal="right"/>
    </xf>
    <xf numFmtId="0" fontId="9" fillId="3" borderId="0" xfId="13" applyFill="1" applyAlignment="1">
      <alignment horizontal="left"/>
    </xf>
    <xf numFmtId="37" fontId="11" fillId="3" borderId="5" xfId="13" applyNumberFormat="1" applyFont="1" applyFill="1" applyBorder="1" applyAlignment="1">
      <alignment horizontal="right"/>
    </xf>
    <xf numFmtId="37" fontId="11" fillId="3" borderId="0" xfId="13" applyNumberFormat="1" applyFont="1" applyFill="1" applyAlignment="1">
      <alignment horizontal="right"/>
    </xf>
    <xf numFmtId="0" fontId="11" fillId="3" borderId="0" xfId="13" applyFont="1" applyFill="1" applyAlignment="1">
      <alignment horizontal="left" indent="4"/>
    </xf>
    <xf numFmtId="0" fontId="11" fillId="3" borderId="0" xfId="13" applyFont="1" applyFill="1" applyAlignment="1">
      <alignment horizontal="left" wrapText="1" indent="4"/>
    </xf>
    <xf numFmtId="0" fontId="11" fillId="3" borderId="0" xfId="13" applyFont="1" applyFill="1" applyAlignment="1">
      <alignment horizontal="left" indent="2"/>
    </xf>
    <xf numFmtId="0" fontId="11" fillId="3" borderId="0" xfId="13" applyFont="1" applyFill="1" applyAlignment="1">
      <alignment horizontal="left"/>
    </xf>
    <xf numFmtId="0" fontId="11" fillId="3" borderId="0" xfId="13" applyFont="1" applyFill="1" applyAlignment="1">
      <alignment horizontal="right"/>
    </xf>
    <xf numFmtId="166" fontId="11" fillId="3" borderId="0" xfId="13" applyNumberFormat="1" applyFont="1" applyFill="1" applyAlignment="1">
      <alignment horizontal="right"/>
    </xf>
    <xf numFmtId="0" fontId="9" fillId="3" borderId="7" xfId="13" applyFill="1" applyBorder="1" applyAlignment="1">
      <alignment horizontal="right"/>
    </xf>
    <xf numFmtId="0" fontId="9" fillId="3" borderId="5" xfId="13" applyFill="1" applyBorder="1" applyAlignment="1">
      <alignment horizontal="right"/>
    </xf>
    <xf numFmtId="37" fontId="11" fillId="3" borderId="0" xfId="13" applyNumberFormat="1" applyFont="1" applyFill="1" applyAlignment="1">
      <alignment horizontal="right" indent="2"/>
    </xf>
    <xf numFmtId="37" fontId="11" fillId="3" borderId="0" xfId="13" applyNumberFormat="1" applyFont="1" applyFill="1" applyAlignment="1">
      <alignment horizontal="right" wrapText="1" indent="2"/>
    </xf>
    <xf numFmtId="0" fontId="11" fillId="3" borderId="0" xfId="13" applyFont="1" applyFill="1" applyAlignment="1">
      <alignment horizontal="right" indent="2"/>
    </xf>
    <xf numFmtId="0" fontId="16" fillId="3" borderId="0" xfId="13" applyFont="1" applyFill="1" applyAlignment="1">
      <alignment horizontal="center" wrapText="1"/>
    </xf>
    <xf numFmtId="0" fontId="11" fillId="2" borderId="0" xfId="13" applyFont="1" applyFill="1" applyAlignment="1">
      <alignment horizontal="left"/>
    </xf>
    <xf numFmtId="37" fontId="11" fillId="2" borderId="0" xfId="13" applyNumberFormat="1" applyFont="1" applyFill="1" applyAlignment="1">
      <alignment horizontal="right"/>
    </xf>
    <xf numFmtId="166" fontId="11" fillId="2" borderId="0" xfId="13" applyNumberFormat="1" applyFont="1" applyFill="1" applyAlignment="1">
      <alignment horizontal="right"/>
    </xf>
    <xf numFmtId="0" fontId="17" fillId="0" borderId="0" xfId="13" applyFont="1"/>
    <xf numFmtId="0" fontId="17" fillId="0" borderId="0" xfId="13" applyFont="1" applyAlignment="1">
      <alignment horizontal="center"/>
    </xf>
    <xf numFmtId="17" fontId="18" fillId="3" borderId="0" xfId="13" applyNumberFormat="1" applyFont="1" applyFill="1" applyAlignment="1">
      <alignment horizontal="center" wrapText="1"/>
    </xf>
    <xf numFmtId="0" fontId="19" fillId="3" borderId="0" xfId="13" applyFont="1" applyFill="1" applyAlignment="1">
      <alignment horizontal="center" wrapText="1"/>
    </xf>
    <xf numFmtId="0" fontId="17" fillId="3" borderId="0" xfId="13" applyFont="1" applyFill="1" applyAlignment="1">
      <alignment horizontal="right"/>
    </xf>
    <xf numFmtId="37" fontId="18" fillId="3" borderId="0" xfId="13" applyNumberFormat="1" applyFont="1" applyFill="1" applyAlignment="1">
      <alignment horizontal="right" indent="2"/>
    </xf>
    <xf numFmtId="0" fontId="18" fillId="3" borderId="0" xfId="13" applyFont="1" applyFill="1" applyAlignment="1">
      <alignment horizontal="right" indent="2"/>
    </xf>
    <xf numFmtId="37" fontId="18" fillId="3" borderId="0" xfId="13" applyNumberFormat="1" applyFont="1" applyFill="1" applyAlignment="1">
      <alignment horizontal="right" wrapText="1" indent="2"/>
    </xf>
    <xf numFmtId="37" fontId="18" fillId="3" borderId="0" xfId="13" applyNumberFormat="1" applyFont="1" applyFill="1" applyAlignment="1">
      <alignment horizontal="right"/>
    </xf>
    <xf numFmtId="37" fontId="18" fillId="3" borderId="5" xfId="13" applyNumberFormat="1" applyFont="1" applyFill="1" applyBorder="1" applyAlignment="1">
      <alignment horizontal="right"/>
    </xf>
    <xf numFmtId="0" fontId="17" fillId="3" borderId="5" xfId="13" applyFont="1" applyFill="1" applyBorder="1" applyAlignment="1">
      <alignment horizontal="right"/>
    </xf>
    <xf numFmtId="0" fontId="17" fillId="3" borderId="7" xfId="13" applyFont="1" applyFill="1" applyBorder="1" applyAlignment="1">
      <alignment horizontal="right"/>
    </xf>
    <xf numFmtId="37" fontId="18" fillId="2" borderId="0" xfId="13" applyNumberFormat="1" applyFont="1" applyFill="1" applyAlignment="1">
      <alignment horizontal="right"/>
    </xf>
    <xf numFmtId="0" fontId="18" fillId="3" borderId="0" xfId="13" applyFont="1" applyFill="1" applyAlignment="1">
      <alignment horizontal="right"/>
    </xf>
    <xf numFmtId="37" fontId="18" fillId="3" borderId="0" xfId="13" applyNumberFormat="1" applyFont="1" applyFill="1" applyAlignment="1">
      <alignment horizontal="right" wrapText="1"/>
    </xf>
    <xf numFmtId="37" fontId="18" fillId="3" borderId="6" xfId="13" applyNumberFormat="1" applyFont="1" applyFill="1" applyBorder="1" applyAlignment="1">
      <alignment horizontal="right"/>
    </xf>
    <xf numFmtId="0" fontId="20" fillId="0" borderId="0" xfId="13" applyFont="1"/>
    <xf numFmtId="0" fontId="11" fillId="2" borderId="0" xfId="13" applyFont="1" applyFill="1" applyAlignment="1">
      <alignment horizontal="left" wrapText="1" indent="1"/>
    </xf>
    <xf numFmtId="37" fontId="11" fillId="2" borderId="0" xfId="13" applyNumberFormat="1" applyFont="1" applyFill="1" applyAlignment="1">
      <alignment horizontal="right" wrapText="1"/>
    </xf>
    <xf numFmtId="0" fontId="22" fillId="0" borderId="0" xfId="13" applyFont="1"/>
    <xf numFmtId="0" fontId="23" fillId="3" borderId="0" xfId="13" applyFont="1" applyFill="1" applyAlignment="1">
      <alignment horizontal="center" wrapText="1"/>
    </xf>
    <xf numFmtId="0" fontId="22" fillId="3" borderId="0" xfId="13" applyFont="1" applyFill="1" applyAlignment="1">
      <alignment horizontal="right" wrapText="1"/>
    </xf>
    <xf numFmtId="0" fontId="24" fillId="0" borderId="0" xfId="13" applyFont="1"/>
    <xf numFmtId="0" fontId="25" fillId="3" borderId="0" xfId="13" applyFont="1" applyFill="1" applyAlignment="1">
      <alignment horizontal="center" wrapText="1"/>
    </xf>
    <xf numFmtId="0" fontId="24" fillId="3" borderId="0" xfId="13" applyFont="1" applyFill="1" applyAlignment="1">
      <alignment horizontal="right"/>
    </xf>
    <xf numFmtId="37" fontId="23" fillId="3" borderId="0" xfId="13" applyNumberFormat="1" applyFont="1" applyFill="1" applyAlignment="1">
      <alignment horizontal="right" indent="2"/>
    </xf>
    <xf numFmtId="0" fontId="23" fillId="3" borderId="0" xfId="13" applyFont="1" applyFill="1" applyAlignment="1">
      <alignment horizontal="right" indent="2"/>
    </xf>
    <xf numFmtId="37" fontId="23" fillId="3" borderId="0" xfId="13" applyNumberFormat="1" applyFont="1" applyFill="1" applyAlignment="1">
      <alignment horizontal="right" wrapText="1" indent="2"/>
    </xf>
    <xf numFmtId="37" fontId="23" fillId="3" borderId="0" xfId="13" applyNumberFormat="1" applyFont="1" applyFill="1" applyAlignment="1">
      <alignment horizontal="right"/>
    </xf>
    <xf numFmtId="37" fontId="23" fillId="3" borderId="5" xfId="13" applyNumberFormat="1" applyFont="1" applyFill="1" applyBorder="1" applyAlignment="1">
      <alignment horizontal="right"/>
    </xf>
    <xf numFmtId="0" fontId="24" fillId="3" borderId="5" xfId="13" applyFont="1" applyFill="1" applyBorder="1" applyAlignment="1">
      <alignment horizontal="right"/>
    </xf>
    <xf numFmtId="0" fontId="24" fillId="3" borderId="7" xfId="13" applyFont="1" applyFill="1" applyBorder="1" applyAlignment="1">
      <alignment horizontal="right"/>
    </xf>
    <xf numFmtId="37" fontId="23" fillId="2" borderId="0" xfId="13" applyNumberFormat="1" applyFont="1" applyFill="1" applyAlignment="1">
      <alignment horizontal="right"/>
    </xf>
    <xf numFmtId="0" fontId="23" fillId="3" borderId="0" xfId="13" applyFont="1" applyFill="1" applyAlignment="1">
      <alignment horizontal="right"/>
    </xf>
    <xf numFmtId="37" fontId="23" fillId="3" borderId="0" xfId="13" applyNumberFormat="1" applyFont="1" applyFill="1" applyAlignment="1">
      <alignment horizontal="right" wrapText="1"/>
    </xf>
    <xf numFmtId="37" fontId="23" fillId="3" borderId="6" xfId="13" applyNumberFormat="1" applyFont="1" applyFill="1" applyBorder="1" applyAlignment="1">
      <alignment horizontal="right"/>
    </xf>
    <xf numFmtId="165" fontId="21" fillId="0" borderId="0" xfId="5" applyNumberFormat="1" applyFont="1" applyFill="1"/>
    <xf numFmtId="0" fontId="26" fillId="0" borderId="0" xfId="14"/>
    <xf numFmtId="0" fontId="26" fillId="3" borderId="0" xfId="14" applyFill="1" applyAlignment="1">
      <alignment horizontal="right"/>
    </xf>
    <xf numFmtId="0" fontId="26" fillId="3" borderId="0" xfId="14" applyFill="1" applyAlignment="1">
      <alignment horizontal="left"/>
    </xf>
    <xf numFmtId="0" fontId="26" fillId="3" borderId="7" xfId="14" applyFill="1" applyBorder="1" applyAlignment="1">
      <alignment horizontal="right"/>
    </xf>
    <xf numFmtId="0" fontId="26" fillId="3" borderId="5" xfId="14" applyFill="1" applyBorder="1" applyAlignment="1">
      <alignment horizontal="right"/>
    </xf>
    <xf numFmtId="0" fontId="26" fillId="3" borderId="0" xfId="14" applyFill="1" applyAlignment="1">
      <alignment horizontal="left" wrapText="1"/>
    </xf>
    <xf numFmtId="0" fontId="26" fillId="3" borderId="0" xfId="14" applyFill="1" applyAlignment="1">
      <alignment horizontal="right" wrapText="1"/>
    </xf>
    <xf numFmtId="0" fontId="26" fillId="3" borderId="0" xfId="14" applyFill="1" applyAlignment="1">
      <alignment horizontal="left" wrapText="1" indent="2"/>
    </xf>
    <xf numFmtId="37" fontId="27" fillId="2" borderId="0" xfId="14" applyNumberFormat="1" applyFont="1" applyFill="1" applyAlignment="1">
      <alignment horizontal="right"/>
    </xf>
    <xf numFmtId="37" fontId="27" fillId="3" borderId="0" xfId="14" applyNumberFormat="1" applyFont="1" applyFill="1" applyAlignment="1">
      <alignment horizontal="right"/>
    </xf>
    <xf numFmtId="0" fontId="27" fillId="3" borderId="0" xfId="14" applyFont="1" applyFill="1" applyAlignment="1">
      <alignment horizontal="right"/>
    </xf>
    <xf numFmtId="37" fontId="27" fillId="3" borderId="5" xfId="14" applyNumberFormat="1" applyFont="1" applyFill="1" applyBorder="1" applyAlignment="1">
      <alignment horizontal="right"/>
    </xf>
    <xf numFmtId="0" fontId="28" fillId="0" borderId="0" xfId="14" applyFont="1"/>
    <xf numFmtId="37" fontId="27" fillId="3" borderId="0" xfId="14" applyNumberFormat="1" applyFont="1" applyFill="1" applyAlignment="1">
      <alignment horizontal="right" wrapText="1"/>
    </xf>
    <xf numFmtId="0" fontId="32" fillId="4" borderId="0" xfId="0" applyFont="1" applyFill="1"/>
    <xf numFmtId="0" fontId="32" fillId="4" borderId="1" xfId="0" applyFont="1" applyFill="1" applyBorder="1"/>
    <xf numFmtId="0" fontId="31" fillId="0" borderId="0" xfId="0" applyFont="1"/>
    <xf numFmtId="0" fontId="0" fillId="0" borderId="0" xfId="0" applyAlignment="1">
      <alignment horizontal="left" wrapText="1" indent="2"/>
    </xf>
    <xf numFmtId="0" fontId="0" fillId="0" borderId="0" xfId="0" applyAlignment="1">
      <alignment horizontal="left" wrapText="1" indent="3"/>
    </xf>
    <xf numFmtId="0" fontId="31" fillId="5" borderId="8" xfId="0" applyFont="1" applyFill="1" applyBorder="1"/>
    <xf numFmtId="0" fontId="0" fillId="0" borderId="0" xfId="0" applyAlignment="1">
      <alignment horizontal="left" wrapText="1" indent="4"/>
    </xf>
    <xf numFmtId="0" fontId="29" fillId="4" borderId="0" xfId="0" applyFont="1" applyFill="1" applyAlignment="1">
      <alignment horizontal="center"/>
    </xf>
    <xf numFmtId="0" fontId="29" fillId="4" borderId="1" xfId="0" applyFont="1" applyFill="1" applyBorder="1" applyAlignment="1">
      <alignment horizontal="center"/>
    </xf>
    <xf numFmtId="165" fontId="0" fillId="6" borderId="0" xfId="1" applyNumberFormat="1" applyFont="1" applyFill="1" applyAlignment="1">
      <alignment horizontal="right"/>
    </xf>
    <xf numFmtId="165" fontId="0" fillId="7" borderId="0" xfId="1" applyNumberFormat="1" applyFont="1" applyFill="1" applyAlignment="1">
      <alignment horizontal="right"/>
    </xf>
    <xf numFmtId="165" fontId="31" fillId="0" borderId="9" xfId="1" applyNumberFormat="1" applyFont="1" applyBorder="1" applyAlignment="1">
      <alignment horizontal="right"/>
    </xf>
    <xf numFmtId="165" fontId="0" fillId="0" borderId="0" xfId="1" applyNumberFormat="1" applyFont="1" applyAlignment="1">
      <alignment horizontal="right"/>
    </xf>
    <xf numFmtId="165" fontId="0" fillId="8" borderId="0" xfId="1" applyNumberFormat="1" applyFont="1" applyFill="1" applyAlignment="1">
      <alignment horizontal="right"/>
    </xf>
    <xf numFmtId="165" fontId="0" fillId="9" borderId="0" xfId="1" applyNumberFormat="1" applyFont="1" applyFill="1" applyAlignment="1">
      <alignment horizontal="right"/>
    </xf>
    <xf numFmtId="165" fontId="0" fillId="10" borderId="0" xfId="1" applyNumberFormat="1" applyFont="1" applyFill="1" applyAlignment="1">
      <alignment horizontal="right"/>
    </xf>
    <xf numFmtId="165" fontId="31" fillId="5" borderId="8" xfId="1" applyNumberFormat="1" applyFont="1" applyFill="1" applyBorder="1"/>
    <xf numFmtId="165" fontId="0" fillId="11" borderId="0" xfId="1" applyNumberFormat="1" applyFont="1" applyFill="1" applyAlignment="1">
      <alignment horizontal="right"/>
    </xf>
    <xf numFmtId="165" fontId="0" fillId="0" borderId="0" xfId="1" applyNumberFormat="1" applyFont="1" applyFill="1" applyAlignment="1">
      <alignment horizontal="right"/>
    </xf>
    <xf numFmtId="165" fontId="0" fillId="12" borderId="0" xfId="1" applyNumberFormat="1" applyFont="1" applyFill="1" applyAlignment="1">
      <alignment horizontal="right"/>
    </xf>
    <xf numFmtId="165" fontId="31" fillId="9" borderId="8" xfId="1" applyNumberFormat="1" applyFont="1" applyFill="1" applyBorder="1"/>
    <xf numFmtId="165" fontId="30" fillId="11" borderId="0" xfId="1" applyNumberFormat="1" applyFont="1" applyFill="1" applyAlignment="1">
      <alignment horizontal="right"/>
    </xf>
    <xf numFmtId="165" fontId="30" fillId="10" borderId="0" xfId="1" applyNumberFormat="1" applyFont="1" applyFill="1" applyAlignment="1">
      <alignment horizontal="right"/>
    </xf>
    <xf numFmtId="0" fontId="0" fillId="0" borderId="0" xfId="0" applyAlignment="1">
      <alignment horizontal="center"/>
    </xf>
    <xf numFmtId="0" fontId="33" fillId="0" borderId="0" xfId="0" applyFont="1" applyAlignment="1">
      <alignment horizontal="left" wrapText="1" indent="2"/>
    </xf>
    <xf numFmtId="0" fontId="0" fillId="0" borderId="0" xfId="0" applyAlignment="1">
      <alignment horizontal="left" indent="2"/>
    </xf>
    <xf numFmtId="0" fontId="0" fillId="13" borderId="0" xfId="0" applyFill="1" applyAlignment="1">
      <alignment horizontal="left" indent="2"/>
    </xf>
    <xf numFmtId="0" fontId="0" fillId="4" borderId="0" xfId="0" applyFill="1" applyAlignment="1">
      <alignment horizontal="center"/>
    </xf>
    <xf numFmtId="0" fontId="0" fillId="4" borderId="1" xfId="0" applyFill="1" applyBorder="1" applyAlignment="1">
      <alignment horizontal="center"/>
    </xf>
    <xf numFmtId="0" fontId="31" fillId="5" borderId="8" xfId="0" applyFont="1" applyFill="1" applyBorder="1" applyAlignment="1">
      <alignment horizontal="center"/>
    </xf>
    <xf numFmtId="0" fontId="0" fillId="7" borderId="0" xfId="1" applyNumberFormat="1" applyFont="1" applyFill="1" applyAlignment="1">
      <alignment horizontal="right"/>
    </xf>
    <xf numFmtId="165" fontId="0" fillId="14" borderId="0" xfId="1" applyNumberFormat="1" applyFont="1" applyFill="1" applyAlignment="1">
      <alignment horizontal="right"/>
    </xf>
    <xf numFmtId="0" fontId="0" fillId="6" borderId="0" xfId="1" applyNumberFormat="1" applyFont="1" applyFill="1" applyAlignment="1">
      <alignment horizontal="right"/>
    </xf>
    <xf numFmtId="165" fontId="31" fillId="5" borderId="8" xfId="1" applyNumberFormat="1" applyFont="1" applyFill="1" applyBorder="1" applyAlignment="1">
      <alignment horizontal="right"/>
    </xf>
    <xf numFmtId="165" fontId="0" fillId="13" borderId="0" xfId="1" applyNumberFormat="1" applyFont="1" applyFill="1" applyAlignment="1">
      <alignment horizontal="right"/>
    </xf>
    <xf numFmtId="165" fontId="0" fillId="16" borderId="0" xfId="1" applyNumberFormat="1" applyFont="1" applyFill="1" applyAlignment="1">
      <alignment horizontal="right"/>
    </xf>
    <xf numFmtId="165" fontId="0" fillId="15" borderId="0" xfId="1" applyNumberFormat="1" applyFont="1" applyFill="1" applyAlignment="1">
      <alignment horizontal="right"/>
    </xf>
    <xf numFmtId="0" fontId="0" fillId="2" borderId="0" xfId="0" applyFill="1" applyAlignment="1">
      <alignment horizontal="left" wrapText="1" indent="3"/>
    </xf>
    <xf numFmtId="0" fontId="0" fillId="2" borderId="0" xfId="0" applyFill="1" applyAlignment="1">
      <alignment horizontal="center"/>
    </xf>
    <xf numFmtId="165" fontId="0" fillId="2" borderId="0" xfId="1" applyNumberFormat="1" applyFont="1" applyFill="1" applyAlignment="1">
      <alignment horizontal="right"/>
    </xf>
    <xf numFmtId="0" fontId="0" fillId="2" borderId="0" xfId="0" applyFill="1"/>
    <xf numFmtId="0" fontId="0" fillId="0" borderId="0" xfId="0" applyAlignment="1">
      <alignment horizontal="center" vertical="center"/>
    </xf>
    <xf numFmtId="164" fontId="4" fillId="0" borderId="0" xfId="2" applyNumberFormat="1" applyFont="1" applyFill="1" applyBorder="1"/>
    <xf numFmtId="165" fontId="4" fillId="0" borderId="0" xfId="1" applyNumberFormat="1" applyFont="1" applyFill="1" applyBorder="1"/>
    <xf numFmtId="164" fontId="4" fillId="0" borderId="0" xfId="2" applyNumberFormat="1" applyFont="1" applyFill="1"/>
    <xf numFmtId="10" fontId="4" fillId="0" borderId="4" xfId="3" applyNumberFormat="1" applyFont="1" applyFill="1" applyBorder="1"/>
    <xf numFmtId="10" fontId="4" fillId="0" borderId="0" xfId="1" applyNumberFormat="1" applyFont="1" applyFill="1" applyBorder="1"/>
    <xf numFmtId="0" fontId="26" fillId="2" borderId="0" xfId="14" applyFill="1"/>
    <xf numFmtId="37" fontId="27" fillId="0" borderId="0" xfId="14" applyNumberFormat="1" applyFont="1" applyAlignment="1">
      <alignment horizontal="right"/>
    </xf>
    <xf numFmtId="37" fontId="23" fillId="0" borderId="0" xfId="13" applyNumberFormat="1" applyFont="1" applyAlignment="1">
      <alignment horizontal="right"/>
    </xf>
    <xf numFmtId="165" fontId="36" fillId="0" borderId="0" xfId="5" applyNumberFormat="1" applyFont="1" applyFill="1" applyAlignment="1">
      <alignment horizontal="right"/>
    </xf>
    <xf numFmtId="0" fontId="17" fillId="0" borderId="0" xfId="14" applyFont="1"/>
    <xf numFmtId="0" fontId="37" fillId="2" borderId="0" xfId="14" applyFont="1" applyFill="1" applyAlignment="1">
      <alignment horizontal="left"/>
    </xf>
    <xf numFmtId="37" fontId="37" fillId="2" borderId="0" xfId="14" applyNumberFormat="1" applyFont="1" applyFill="1" applyAlignment="1">
      <alignment horizontal="right"/>
    </xf>
    <xf numFmtId="0" fontId="39" fillId="0" borderId="0" xfId="14" applyFont="1"/>
    <xf numFmtId="37" fontId="38" fillId="0" borderId="0" xfId="13" applyNumberFormat="1" applyFont="1" applyAlignment="1">
      <alignment horizontal="right"/>
    </xf>
    <xf numFmtId="0" fontId="40" fillId="0" borderId="0" xfId="14" applyFont="1"/>
    <xf numFmtId="0" fontId="40" fillId="0" borderId="0" xfId="14" applyFont="1" applyAlignment="1">
      <alignment horizontal="center"/>
    </xf>
    <xf numFmtId="0" fontId="40" fillId="0" borderId="0" xfId="14" applyFont="1" applyAlignment="1">
      <alignment horizontal="right"/>
    </xf>
    <xf numFmtId="37" fontId="41" fillId="3" borderId="0" xfId="14" applyNumberFormat="1" applyFont="1" applyFill="1" applyAlignment="1">
      <alignment horizontal="center"/>
    </xf>
    <xf numFmtId="0" fontId="42" fillId="0" borderId="0" xfId="0" applyFont="1" applyAlignment="1">
      <alignment horizontal="left"/>
    </xf>
    <xf numFmtId="0" fontId="35" fillId="0" borderId="0" xfId="0" applyFont="1"/>
    <xf numFmtId="165" fontId="35" fillId="0" borderId="0" xfId="0" applyNumberFormat="1" applyFont="1"/>
    <xf numFmtId="165" fontId="35" fillId="0" borderId="0" xfId="1" applyNumberFormat="1" applyFont="1" applyFill="1"/>
    <xf numFmtId="166" fontId="11" fillId="3" borderId="0" xfId="13" applyNumberFormat="1" applyFont="1" applyFill="1" applyAlignment="1">
      <alignment horizontal="right" indent="2"/>
    </xf>
    <xf numFmtId="43" fontId="11" fillId="2" borderId="0" xfId="1" applyFont="1" applyFill="1" applyAlignment="1">
      <alignment horizontal="right"/>
    </xf>
    <xf numFmtId="0" fontId="1" fillId="0" borderId="0" xfId="15"/>
    <xf numFmtId="164" fontId="0" fillId="0" borderId="0" xfId="16" applyNumberFormat="1" applyFont="1"/>
    <xf numFmtId="37" fontId="37" fillId="0" borderId="0" xfId="14" applyNumberFormat="1" applyFont="1" applyAlignment="1">
      <alignment horizontal="right"/>
    </xf>
    <xf numFmtId="37" fontId="23" fillId="2" borderId="3" xfId="13" applyNumberFormat="1" applyFont="1" applyFill="1" applyBorder="1" applyAlignment="1">
      <alignment horizontal="right"/>
    </xf>
    <xf numFmtId="0" fontId="4" fillId="0" borderId="0" xfId="0" applyFont="1"/>
    <xf numFmtId="0" fontId="4" fillId="0" borderId="1" xfId="10" applyFont="1" applyBorder="1"/>
    <xf numFmtId="0" fontId="4" fillId="0" borderId="1" xfId="10" applyFont="1" applyBorder="1" applyAlignment="1">
      <alignment horizontal="right"/>
    </xf>
    <xf numFmtId="0" fontId="5" fillId="0" borderId="0" xfId="10"/>
    <xf numFmtId="0" fontId="4" fillId="0" borderId="0" xfId="10" applyFont="1"/>
    <xf numFmtId="0" fontId="4" fillId="0" borderId="2" xfId="10" applyFont="1" applyBorder="1" applyAlignment="1">
      <alignment horizontal="left"/>
    </xf>
    <xf numFmtId="0" fontId="4" fillId="0" borderId="0" xfId="10" applyFont="1" applyAlignment="1">
      <alignment horizontal="left"/>
    </xf>
    <xf numFmtId="0" fontId="4" fillId="0" borderId="0" xfId="10" applyFont="1" applyAlignment="1">
      <alignment horizontal="right"/>
    </xf>
    <xf numFmtId="0" fontId="34" fillId="0" borderId="0" xfId="10" applyFont="1" applyAlignment="1">
      <alignment horizontal="left"/>
    </xf>
    <xf numFmtId="0" fontId="4" fillId="0" borderId="1" xfId="0" applyFont="1" applyBorder="1"/>
    <xf numFmtId="0" fontId="4" fillId="0" borderId="0" xfId="10" applyFont="1" applyAlignment="1">
      <alignment horizontal="center"/>
    </xf>
    <xf numFmtId="0" fontId="4" fillId="0" borderId="0" xfId="10" quotePrefix="1" applyFont="1" applyAlignment="1">
      <alignment horizontal="center"/>
    </xf>
    <xf numFmtId="0" fontId="4" fillId="0" borderId="1" xfId="10" applyFont="1" applyBorder="1" applyAlignment="1">
      <alignment horizontal="center"/>
    </xf>
    <xf numFmtId="14" fontId="4" fillId="0" borderId="1" xfId="10" applyNumberFormat="1" applyFont="1" applyBorder="1" applyAlignment="1">
      <alignment horizontal="center"/>
    </xf>
    <xf numFmtId="14" fontId="4" fillId="0" borderId="1" xfId="10" quotePrefix="1" applyNumberFormat="1" applyFont="1" applyBorder="1" applyAlignment="1">
      <alignment horizontal="center"/>
    </xf>
    <xf numFmtId="0" fontId="4" fillId="0" borderId="1" xfId="10" quotePrefix="1" applyFont="1" applyBorder="1" applyAlignment="1">
      <alignment horizontal="center"/>
    </xf>
    <xf numFmtId="0" fontId="4" fillId="0" borderId="0" xfId="4" applyFont="1" applyAlignment="1">
      <alignment horizontal="right" wrapText="1"/>
    </xf>
    <xf numFmtId="0" fontId="4" fillId="0" borderId="0" xfId="4" applyFont="1" applyAlignment="1">
      <alignment wrapText="1"/>
    </xf>
    <xf numFmtId="10" fontId="5" fillId="0" borderId="0" xfId="10" applyNumberFormat="1"/>
    <xf numFmtId="0" fontId="4" fillId="0" borderId="0" xfId="4" quotePrefix="1" applyFont="1" applyAlignment="1">
      <alignment horizontal="right" wrapText="1"/>
    </xf>
    <xf numFmtId="10" fontId="4" fillId="0" borderId="0" xfId="0" applyNumberFormat="1" applyFont="1"/>
    <xf numFmtId="49" fontId="4" fillId="0" borderId="0" xfId="0" applyNumberFormat="1" applyFont="1" applyAlignment="1">
      <alignment horizontal="left"/>
    </xf>
    <xf numFmtId="42" fontId="4" fillId="0" borderId="0" xfId="0" applyNumberFormat="1" applyFont="1"/>
    <xf numFmtId="49" fontId="5" fillId="0" borderId="0" xfId="10" applyNumberFormat="1" applyAlignment="1">
      <alignment horizontal="center"/>
    </xf>
    <xf numFmtId="10" fontId="43" fillId="0" borderId="0" xfId="0" applyNumberFormat="1" applyFont="1"/>
    <xf numFmtId="0" fontId="44" fillId="0" borderId="0" xfId="0" applyFont="1" applyAlignment="1">
      <alignment horizontal="left"/>
    </xf>
    <xf numFmtId="0" fontId="45" fillId="0" borderId="0" xfId="0" applyFont="1"/>
    <xf numFmtId="0" fontId="46" fillId="0" borderId="0" xfId="0" applyFont="1"/>
    <xf numFmtId="0" fontId="47" fillId="0" borderId="0" xfId="0" applyFont="1"/>
    <xf numFmtId="165" fontId="48" fillId="0" borderId="0" xfId="1" applyNumberFormat="1" applyFont="1" applyFill="1"/>
    <xf numFmtId="165" fontId="5" fillId="0" borderId="0" xfId="1" applyNumberFormat="1" applyFont="1" applyFill="1"/>
    <xf numFmtId="165" fontId="47" fillId="0" borderId="0" xfId="1" applyNumberFormat="1" applyFont="1" applyFill="1"/>
    <xf numFmtId="10" fontId="47" fillId="0" borderId="0" xfId="3" applyNumberFormat="1" applyFont="1" applyFill="1"/>
    <xf numFmtId="10" fontId="5" fillId="0" borderId="0" xfId="3" applyNumberFormat="1" applyFont="1" applyFill="1"/>
    <xf numFmtId="167" fontId="5" fillId="0" borderId="0" xfId="1" applyNumberFormat="1" applyFont="1" applyFill="1"/>
    <xf numFmtId="165" fontId="47" fillId="0" borderId="4" xfId="1" applyNumberFormat="1" applyFont="1" applyFill="1" applyBorder="1"/>
    <xf numFmtId="37" fontId="49" fillId="0" borderId="0" xfId="0" applyNumberFormat="1" applyFont="1"/>
    <xf numFmtId="37" fontId="5" fillId="0" borderId="4" xfId="0" applyNumberFormat="1" applyFont="1" applyBorder="1"/>
    <xf numFmtId="165" fontId="4" fillId="0" borderId="0" xfId="0" applyNumberFormat="1" applyFont="1"/>
    <xf numFmtId="37" fontId="15" fillId="3" borderId="0" xfId="13" applyNumberFormat="1" applyFont="1" applyFill="1" applyAlignment="1">
      <alignment horizontal="right" wrapText="1"/>
    </xf>
    <xf numFmtId="37" fontId="15" fillId="3" borderId="5" xfId="13" applyNumberFormat="1" applyFont="1" applyFill="1" applyBorder="1" applyAlignment="1">
      <alignment horizontal="right" vertical="center" wrapText="1"/>
    </xf>
    <xf numFmtId="37" fontId="15" fillId="3" borderId="5" xfId="13" applyNumberFormat="1" applyFont="1" applyFill="1" applyBorder="1" applyAlignment="1">
      <alignment horizontal="right" wrapText="1"/>
    </xf>
    <xf numFmtId="37" fontId="15" fillId="2" borderId="0" xfId="13" applyNumberFormat="1" applyFont="1" applyFill="1" applyAlignment="1">
      <alignment horizontal="right" wrapText="1"/>
    </xf>
    <xf numFmtId="0" fontId="11" fillId="3" borderId="0" xfId="14" applyFont="1" applyFill="1" applyAlignment="1">
      <alignment horizontal="center" wrapText="1"/>
    </xf>
    <xf numFmtId="0" fontId="16" fillId="3" borderId="0" xfId="14" applyFont="1" applyFill="1" applyAlignment="1">
      <alignment horizontal="center" wrapText="1"/>
    </xf>
    <xf numFmtId="0" fontId="15" fillId="3" borderId="0" xfId="14" applyFont="1" applyFill="1" applyAlignment="1">
      <alignment horizontal="left"/>
    </xf>
    <xf numFmtId="0" fontId="11" fillId="0" borderId="0" xfId="14" applyFont="1" applyAlignment="1">
      <alignment horizontal="left"/>
    </xf>
    <xf numFmtId="37" fontId="11" fillId="0" borderId="0" xfId="14" applyNumberFormat="1" applyFont="1" applyAlignment="1">
      <alignment horizontal="right" indent="2"/>
    </xf>
    <xf numFmtId="0" fontId="11" fillId="3" borderId="0" xfId="14" applyFont="1" applyFill="1" applyAlignment="1">
      <alignment horizontal="left" indent="2"/>
    </xf>
    <xf numFmtId="37" fontId="11" fillId="3" borderId="0" xfId="14" applyNumberFormat="1" applyFont="1" applyFill="1" applyAlignment="1">
      <alignment horizontal="right" indent="2"/>
    </xf>
    <xf numFmtId="0" fontId="11" fillId="3" borderId="0" xfId="14" applyFont="1" applyFill="1" applyAlignment="1">
      <alignment horizontal="left"/>
    </xf>
    <xf numFmtId="0" fontId="11" fillId="3" borderId="0" xfId="14" applyFont="1" applyFill="1" applyAlignment="1">
      <alignment horizontal="left" indent="4"/>
    </xf>
    <xf numFmtId="0" fontId="11" fillId="3" borderId="0" xfId="14" applyFont="1" applyFill="1" applyAlignment="1">
      <alignment horizontal="left" wrapText="1" indent="2"/>
    </xf>
    <xf numFmtId="37" fontId="11" fillId="3" borderId="0" xfId="14" applyNumberFormat="1" applyFont="1" applyFill="1" applyAlignment="1">
      <alignment horizontal="right" wrapText="1" indent="2"/>
    </xf>
    <xf numFmtId="37" fontId="11" fillId="3" borderId="0" xfId="14" applyNumberFormat="1" applyFont="1" applyFill="1" applyAlignment="1">
      <alignment horizontal="right"/>
    </xf>
    <xf numFmtId="0" fontId="11" fillId="3" borderId="0" xfId="14" applyFont="1" applyFill="1" applyAlignment="1">
      <alignment horizontal="right"/>
    </xf>
    <xf numFmtId="37" fontId="11" fillId="3" borderId="5" xfId="14" applyNumberFormat="1" applyFont="1" applyFill="1" applyBorder="1" applyAlignment="1">
      <alignment horizontal="right"/>
    </xf>
    <xf numFmtId="0" fontId="11" fillId="2" borderId="0" xfId="14" applyFont="1" applyFill="1" applyAlignment="1">
      <alignment horizontal="left"/>
    </xf>
    <xf numFmtId="37" fontId="11" fillId="2" borderId="0" xfId="14" applyNumberFormat="1" applyFont="1" applyFill="1" applyAlignment="1">
      <alignment horizontal="right"/>
    </xf>
    <xf numFmtId="37" fontId="11" fillId="3" borderId="0" xfId="14" applyNumberFormat="1" applyFont="1" applyFill="1" applyAlignment="1">
      <alignment horizontal="right" wrapText="1"/>
    </xf>
    <xf numFmtId="0" fontId="11" fillId="3" borderId="0" xfId="14" applyFont="1" applyFill="1" applyAlignment="1">
      <alignment horizontal="left" wrapText="1" indent="4"/>
    </xf>
    <xf numFmtId="37" fontId="11" fillId="3" borderId="6" xfId="14" applyNumberFormat="1" applyFont="1" applyFill="1" applyBorder="1" applyAlignment="1">
      <alignment horizontal="right"/>
    </xf>
    <xf numFmtId="37" fontId="11" fillId="2" borderId="0" xfId="14" applyNumberFormat="1" applyFont="1" applyFill="1" applyAlignment="1">
      <alignment horizontal="right" indent="2"/>
    </xf>
    <xf numFmtId="0" fontId="11" fillId="2" borderId="0" xfId="14" applyFont="1" applyFill="1" applyAlignment="1">
      <alignment horizontal="left" indent="2"/>
    </xf>
    <xf numFmtId="0" fontId="11" fillId="2" borderId="0" xfId="14" applyFont="1" applyFill="1" applyAlignment="1">
      <alignment horizontal="right" indent="2"/>
    </xf>
    <xf numFmtId="166" fontId="11" fillId="2" borderId="0" xfId="14" applyNumberFormat="1" applyFont="1" applyFill="1" applyAlignment="1">
      <alignment horizontal="right" indent="2"/>
    </xf>
    <xf numFmtId="166" fontId="11" fillId="3" borderId="0" xfId="14" applyNumberFormat="1" applyFont="1" applyFill="1" applyAlignment="1">
      <alignment horizontal="right" indent="2"/>
    </xf>
    <xf numFmtId="0" fontId="11" fillId="3" borderId="0" xfId="14" applyFont="1" applyFill="1" applyAlignment="1">
      <alignment horizontal="right" indent="2"/>
    </xf>
    <xf numFmtId="166" fontId="11" fillId="3" borderId="0" xfId="14" applyNumberFormat="1" applyFont="1" applyFill="1" applyAlignment="1">
      <alignment horizontal="right"/>
    </xf>
    <xf numFmtId="0" fontId="11" fillId="2" borderId="0" xfId="14" applyFont="1" applyFill="1" applyAlignment="1">
      <alignment horizontal="right"/>
    </xf>
    <xf numFmtId="0" fontId="11" fillId="3" borderId="0" xfId="14" applyFont="1" applyFill="1" applyAlignment="1">
      <alignment horizontal="left" wrapText="1"/>
    </xf>
    <xf numFmtId="0" fontId="11" fillId="3" borderId="0" xfId="14" applyFont="1" applyFill="1" applyAlignment="1">
      <alignment horizontal="left" wrapText="1" indent="1"/>
    </xf>
    <xf numFmtId="37" fontId="11" fillId="3" borderId="5" xfId="14" applyNumberFormat="1" applyFont="1" applyFill="1" applyBorder="1" applyAlignment="1">
      <alignment horizontal="right" vertical="center" wrapText="1"/>
    </xf>
    <xf numFmtId="37" fontId="11" fillId="3" borderId="5" xfId="14" applyNumberFormat="1" applyFont="1" applyFill="1" applyBorder="1" applyAlignment="1">
      <alignment horizontal="right" wrapText="1"/>
    </xf>
    <xf numFmtId="0" fontId="11" fillId="3" borderId="0" xfId="14" applyFont="1" applyFill="1" applyAlignment="1">
      <alignment horizontal="right" wrapText="1"/>
    </xf>
    <xf numFmtId="0" fontId="11" fillId="3" borderId="0" xfId="14" applyFont="1" applyFill="1" applyAlignment="1">
      <alignment horizontal="left" wrapText="1" indent="3"/>
    </xf>
    <xf numFmtId="166" fontId="11" fillId="3" borderId="0" xfId="14" applyNumberFormat="1" applyFont="1" applyFill="1" applyAlignment="1">
      <alignment horizontal="right" wrapText="1"/>
    </xf>
    <xf numFmtId="0" fontId="11" fillId="2" borderId="0" xfId="14" applyFont="1" applyFill="1" applyAlignment="1">
      <alignment horizontal="left" wrapText="1" indent="1"/>
    </xf>
    <xf numFmtId="37" fontId="11" fillId="2" borderId="0" xfId="14" applyNumberFormat="1" applyFont="1" applyFill="1" applyAlignment="1">
      <alignment horizontal="right" wrapText="1"/>
    </xf>
    <xf numFmtId="165" fontId="1" fillId="15" borderId="0" xfId="1" applyNumberFormat="1" applyFont="1" applyFill="1" applyAlignment="1">
      <alignment horizontal="right"/>
    </xf>
    <xf numFmtId="165" fontId="0" fillId="0" borderId="0" xfId="0" applyNumberFormat="1"/>
    <xf numFmtId="43" fontId="0" fillId="0" borderId="0" xfId="0" applyNumberFormat="1"/>
    <xf numFmtId="10" fontId="0" fillId="0" borderId="0" xfId="3" applyNumberFormat="1" applyFont="1"/>
    <xf numFmtId="0" fontId="4" fillId="0" borderId="0" xfId="2" quotePrefix="1" applyNumberFormat="1" applyFont="1" applyFill="1" applyAlignment="1">
      <alignment horizontal="left" vertical="top" wrapText="1"/>
    </xf>
    <xf numFmtId="0" fontId="13" fillId="3" borderId="0" xfId="13" applyFont="1" applyFill="1" applyAlignment="1">
      <alignment horizontal="left"/>
    </xf>
    <xf numFmtId="0" fontId="12" fillId="3" borderId="0" xfId="13" applyFont="1" applyFill="1" applyAlignment="1">
      <alignment horizontal="left"/>
    </xf>
    <xf numFmtId="0" fontId="10" fillId="3" borderId="0" xfId="13" applyFont="1" applyFill="1" applyAlignment="1">
      <alignment horizontal="left"/>
    </xf>
    <xf numFmtId="0" fontId="14" fillId="3" borderId="0" xfId="13" applyFont="1" applyFill="1" applyAlignment="1">
      <alignment horizontal="left"/>
    </xf>
    <xf numFmtId="0" fontId="13" fillId="3" borderId="0" xfId="14" applyFont="1" applyFill="1" applyAlignment="1">
      <alignment horizontal="left"/>
    </xf>
    <xf numFmtId="0" fontId="12" fillId="3" borderId="0" xfId="14" applyFont="1" applyFill="1" applyAlignment="1">
      <alignment horizontal="left"/>
    </xf>
    <xf numFmtId="0" fontId="14" fillId="3" borderId="0" xfId="14" applyFont="1" applyFill="1" applyAlignment="1">
      <alignment horizontal="left"/>
    </xf>
    <xf numFmtId="0" fontId="10" fillId="3" borderId="0" xfId="14" applyFont="1" applyFill="1" applyAlignment="1">
      <alignment horizontal="left"/>
    </xf>
    <xf numFmtId="0" fontId="29" fillId="4" borderId="0" xfId="0" applyFont="1" applyFill="1" applyAlignment="1">
      <alignment horizontal="center"/>
    </xf>
  </cellXfs>
  <cellStyles count="17">
    <cellStyle name="Comma" xfId="1" builtinId="3"/>
    <cellStyle name="Comma 2" xfId="5" xr:uid="{93B2747A-B721-4CED-9182-12A3281680CF}"/>
    <cellStyle name="Comma 3" xfId="7" xr:uid="{81F3CB4C-7AAC-4CE9-A04E-9F261D55A145}"/>
    <cellStyle name="Currency" xfId="2" builtinId="4"/>
    <cellStyle name="Currency 2" xfId="11" xr:uid="{BE5E99F2-69F8-4F79-BE12-7431CFF0028B}"/>
    <cellStyle name="Currency 3" xfId="16" xr:uid="{1900DC9A-6D7B-44DA-A795-3E27449F5C2F}"/>
    <cellStyle name="Normal" xfId="0" builtinId="0"/>
    <cellStyle name="Normal 2" xfId="6" xr:uid="{C3AD3FBE-F92F-4747-B486-DBE792B9E653}"/>
    <cellStyle name="Normal 3" xfId="9" xr:uid="{7255810E-870B-4C6C-BD09-4A90F3FC2BEF}"/>
    <cellStyle name="Normal 4" xfId="10" xr:uid="{BD16BBA8-2D01-4C0B-A408-E89CFF285B62}"/>
    <cellStyle name="Normal 5" xfId="13" xr:uid="{CD7FBE40-9395-4CFB-B440-49B7BA7EB112}"/>
    <cellStyle name="Normal 6" xfId="14" xr:uid="{D8F913A1-F12D-46F4-BDC7-68F16C4C288B}"/>
    <cellStyle name="Normal 7" xfId="15" xr:uid="{0B9E8943-98AA-49C2-9FEB-E45373F17015}"/>
    <cellStyle name="Normal_Sheet1" xfId="4" xr:uid="{5CCCB38C-9169-4B7A-AB70-2C91FAFE880E}"/>
    <cellStyle name="Percent" xfId="3" builtinId="5"/>
    <cellStyle name="Percent 2" xfId="8" xr:uid="{01814299-EDDC-42CC-97E6-BF73E36A3338}"/>
    <cellStyle name="Percent 3" xfId="12" xr:uid="{DFE4B116-27AE-4FAC-A497-DAF0E365EF32}"/>
  </cellStyles>
  <dxfs count="0"/>
  <tableStyles count="1" defaultTableStyle="TableStyleMedium2" defaultPivotStyle="PivotStyleLight16">
    <tableStyle name="Invisible" pivot="0" table="0" count="0" xr9:uid="{EC88DCB2-706C-403D-A703-1E2DDC9F9C7E}"/>
  </tableStyles>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6</xdr:col>
      <xdr:colOff>844826</xdr:colOff>
      <xdr:row>69</xdr:row>
      <xdr:rowOff>41413</xdr:rowOff>
    </xdr:from>
    <xdr:to>
      <xdr:col>12</xdr:col>
      <xdr:colOff>354229</xdr:colOff>
      <xdr:row>76</xdr:row>
      <xdr:rowOff>13497</xdr:rowOff>
    </xdr:to>
    <xdr:pic>
      <xdr:nvPicPr>
        <xdr:cNvPr id="2" name="Picture 1">
          <a:extLst>
            <a:ext uri="{FF2B5EF4-FFF2-40B4-BE49-F238E27FC236}">
              <a16:creationId xmlns:a16="http://schemas.microsoft.com/office/drawing/2014/main" id="{B0515F7A-0108-760F-F756-6FA3BB1CC5CD}"/>
            </a:ext>
          </a:extLst>
        </xdr:cNvPr>
        <xdr:cNvPicPr>
          <a:picLocks noChangeAspect="1"/>
        </xdr:cNvPicPr>
      </xdr:nvPicPr>
      <xdr:blipFill>
        <a:blip xmlns:r="http://schemas.openxmlformats.org/officeDocument/2006/relationships" r:embed="rId1"/>
        <a:stretch>
          <a:fillRect/>
        </a:stretch>
      </xdr:blipFill>
      <xdr:spPr>
        <a:xfrm>
          <a:off x="4737652" y="13161065"/>
          <a:ext cx="3576164" cy="1305584"/>
        </a:xfrm>
        <a:prstGeom prst="rect">
          <a:avLst/>
        </a:prstGeom>
      </xdr:spPr>
    </xdr:pic>
    <xdr:clientData/>
  </xdr:twoCellAnchor>
  <xdr:twoCellAnchor editAs="oneCell">
    <xdr:from>
      <xdr:col>13</xdr:col>
      <xdr:colOff>173934</xdr:colOff>
      <xdr:row>77</xdr:row>
      <xdr:rowOff>57979</xdr:rowOff>
    </xdr:from>
    <xdr:to>
      <xdr:col>24</xdr:col>
      <xdr:colOff>22752</xdr:colOff>
      <xdr:row>96</xdr:row>
      <xdr:rowOff>39379</xdr:rowOff>
    </xdr:to>
    <xdr:pic>
      <xdr:nvPicPr>
        <xdr:cNvPr id="3" name="Picture 2">
          <a:extLst>
            <a:ext uri="{FF2B5EF4-FFF2-40B4-BE49-F238E27FC236}">
              <a16:creationId xmlns:a16="http://schemas.microsoft.com/office/drawing/2014/main" id="{D0FBD3A0-1F73-782A-419B-ABA1233F0358}"/>
            </a:ext>
          </a:extLst>
        </xdr:cNvPr>
        <xdr:cNvPicPr>
          <a:picLocks noChangeAspect="1"/>
        </xdr:cNvPicPr>
      </xdr:nvPicPr>
      <xdr:blipFill>
        <a:blip xmlns:r="http://schemas.openxmlformats.org/officeDocument/2006/relationships" r:embed="rId2"/>
        <a:stretch>
          <a:fillRect/>
        </a:stretch>
      </xdr:blipFill>
      <xdr:spPr>
        <a:xfrm>
          <a:off x="9110869" y="14701631"/>
          <a:ext cx="6748231" cy="3600900"/>
        </a:xfrm>
        <a:prstGeom prst="rect">
          <a:avLst/>
        </a:prstGeom>
      </xdr:spPr>
    </xdr:pic>
    <xdr:clientData/>
  </xdr:twoCellAnchor>
  <xdr:twoCellAnchor editAs="oneCell">
    <xdr:from>
      <xdr:col>13</xdr:col>
      <xdr:colOff>198782</xdr:colOff>
      <xdr:row>56</xdr:row>
      <xdr:rowOff>8284</xdr:rowOff>
    </xdr:from>
    <xdr:to>
      <xdr:col>23</xdr:col>
      <xdr:colOff>554405</xdr:colOff>
      <xdr:row>74</xdr:row>
      <xdr:rowOff>30038</xdr:rowOff>
    </xdr:to>
    <xdr:pic>
      <xdr:nvPicPr>
        <xdr:cNvPr id="4" name="Picture 3">
          <a:extLst>
            <a:ext uri="{FF2B5EF4-FFF2-40B4-BE49-F238E27FC236}">
              <a16:creationId xmlns:a16="http://schemas.microsoft.com/office/drawing/2014/main" id="{E90829D9-D458-C147-B7B7-B189EBC10ABD}"/>
            </a:ext>
          </a:extLst>
        </xdr:cNvPr>
        <xdr:cNvPicPr>
          <a:picLocks noChangeAspect="1"/>
        </xdr:cNvPicPr>
      </xdr:nvPicPr>
      <xdr:blipFill>
        <a:blip xmlns:r="http://schemas.openxmlformats.org/officeDocument/2006/relationships" r:embed="rId3"/>
        <a:stretch>
          <a:fillRect/>
        </a:stretch>
      </xdr:blipFill>
      <xdr:spPr>
        <a:xfrm>
          <a:off x="9135717" y="10651436"/>
          <a:ext cx="6633840" cy="34507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65752</xdr:colOff>
      <xdr:row>6</xdr:row>
      <xdr:rowOff>47518</xdr:rowOff>
    </xdr:to>
    <xdr:pic>
      <xdr:nvPicPr>
        <xdr:cNvPr id="2" name="Picture 1">
          <a:extLst>
            <a:ext uri="{FF2B5EF4-FFF2-40B4-BE49-F238E27FC236}">
              <a16:creationId xmlns:a16="http://schemas.microsoft.com/office/drawing/2014/main" id="{07032B79-CA36-9217-93F9-C4E61DF74EA1}"/>
            </a:ext>
          </a:extLst>
        </xdr:cNvPr>
        <xdr:cNvPicPr>
          <a:picLocks noChangeAspect="1"/>
        </xdr:cNvPicPr>
      </xdr:nvPicPr>
      <xdr:blipFill>
        <a:blip xmlns:r="http://schemas.openxmlformats.org/officeDocument/2006/relationships" r:embed="rId1"/>
        <a:stretch>
          <a:fillRect/>
        </a:stretch>
      </xdr:blipFill>
      <xdr:spPr>
        <a:xfrm>
          <a:off x="609600" y="161925"/>
          <a:ext cx="7380952" cy="857143"/>
        </a:xfrm>
        <a:prstGeom prst="rect">
          <a:avLst/>
        </a:prstGeom>
      </xdr:spPr>
    </xdr:pic>
    <xdr:clientData/>
  </xdr:twoCellAnchor>
  <xdr:twoCellAnchor editAs="oneCell">
    <xdr:from>
      <xdr:col>1</xdr:col>
      <xdr:colOff>0</xdr:colOff>
      <xdr:row>7</xdr:row>
      <xdr:rowOff>0</xdr:rowOff>
    </xdr:from>
    <xdr:to>
      <xdr:col>12</xdr:col>
      <xdr:colOff>551543</xdr:colOff>
      <xdr:row>12</xdr:row>
      <xdr:rowOff>95137</xdr:rowOff>
    </xdr:to>
    <xdr:pic>
      <xdr:nvPicPr>
        <xdr:cNvPr id="3" name="Picture 2">
          <a:extLst>
            <a:ext uri="{FF2B5EF4-FFF2-40B4-BE49-F238E27FC236}">
              <a16:creationId xmlns:a16="http://schemas.microsoft.com/office/drawing/2014/main" id="{03241130-9138-67D4-C9D2-5145CDEF53FA}"/>
            </a:ext>
          </a:extLst>
        </xdr:cNvPr>
        <xdr:cNvPicPr>
          <a:picLocks noChangeAspect="1"/>
        </xdr:cNvPicPr>
      </xdr:nvPicPr>
      <xdr:blipFill>
        <a:blip xmlns:r="http://schemas.openxmlformats.org/officeDocument/2006/relationships" r:embed="rId2"/>
        <a:stretch>
          <a:fillRect/>
        </a:stretch>
      </xdr:blipFill>
      <xdr:spPr>
        <a:xfrm>
          <a:off x="609600" y="1133475"/>
          <a:ext cx="7257143" cy="904762"/>
        </a:xfrm>
        <a:prstGeom prst="rect">
          <a:avLst/>
        </a:prstGeom>
      </xdr:spPr>
    </xdr:pic>
    <xdr:clientData/>
  </xdr:twoCellAnchor>
  <xdr:twoCellAnchor editAs="oneCell">
    <xdr:from>
      <xdr:col>1</xdr:col>
      <xdr:colOff>0</xdr:colOff>
      <xdr:row>14</xdr:row>
      <xdr:rowOff>0</xdr:rowOff>
    </xdr:from>
    <xdr:to>
      <xdr:col>13</xdr:col>
      <xdr:colOff>8609</xdr:colOff>
      <xdr:row>18</xdr:row>
      <xdr:rowOff>66586</xdr:rowOff>
    </xdr:to>
    <xdr:pic>
      <xdr:nvPicPr>
        <xdr:cNvPr id="8" name="Picture 7">
          <a:extLst>
            <a:ext uri="{FF2B5EF4-FFF2-40B4-BE49-F238E27FC236}">
              <a16:creationId xmlns:a16="http://schemas.microsoft.com/office/drawing/2014/main" id="{B78AA34C-0572-CCE7-C000-D1F5DD925309}"/>
            </a:ext>
          </a:extLst>
        </xdr:cNvPr>
        <xdr:cNvPicPr>
          <a:picLocks noChangeAspect="1"/>
        </xdr:cNvPicPr>
      </xdr:nvPicPr>
      <xdr:blipFill>
        <a:blip xmlns:r="http://schemas.openxmlformats.org/officeDocument/2006/relationships" r:embed="rId3"/>
        <a:stretch>
          <a:fillRect/>
        </a:stretch>
      </xdr:blipFill>
      <xdr:spPr>
        <a:xfrm>
          <a:off x="247650" y="2266950"/>
          <a:ext cx="7323809" cy="714286"/>
        </a:xfrm>
        <a:prstGeom prst="rect">
          <a:avLst/>
        </a:prstGeom>
      </xdr:spPr>
    </xdr:pic>
    <xdr:clientData/>
  </xdr:twoCellAnchor>
  <xdr:twoCellAnchor editAs="oneCell">
    <xdr:from>
      <xdr:col>1</xdr:col>
      <xdr:colOff>38100</xdr:colOff>
      <xdr:row>25</xdr:row>
      <xdr:rowOff>114300</xdr:rowOff>
    </xdr:from>
    <xdr:to>
      <xdr:col>13</xdr:col>
      <xdr:colOff>284805</xdr:colOff>
      <xdr:row>30</xdr:row>
      <xdr:rowOff>85627</xdr:rowOff>
    </xdr:to>
    <xdr:pic>
      <xdr:nvPicPr>
        <xdr:cNvPr id="9" name="Picture 8">
          <a:extLst>
            <a:ext uri="{FF2B5EF4-FFF2-40B4-BE49-F238E27FC236}">
              <a16:creationId xmlns:a16="http://schemas.microsoft.com/office/drawing/2014/main" id="{6CFD45FF-C5AB-21C2-0FF8-565874D9C51D}"/>
            </a:ext>
          </a:extLst>
        </xdr:cNvPr>
        <xdr:cNvPicPr>
          <a:picLocks noChangeAspect="1"/>
        </xdr:cNvPicPr>
      </xdr:nvPicPr>
      <xdr:blipFill>
        <a:blip xmlns:r="http://schemas.openxmlformats.org/officeDocument/2006/relationships" r:embed="rId4"/>
        <a:stretch>
          <a:fillRect/>
        </a:stretch>
      </xdr:blipFill>
      <xdr:spPr>
        <a:xfrm>
          <a:off x="285750" y="4162425"/>
          <a:ext cx="7561905" cy="780952"/>
        </a:xfrm>
        <a:prstGeom prst="rect">
          <a:avLst/>
        </a:prstGeom>
      </xdr:spPr>
    </xdr:pic>
    <xdr:clientData/>
  </xdr:twoCellAnchor>
  <xdr:twoCellAnchor editAs="oneCell">
    <xdr:from>
      <xdr:col>1</xdr:col>
      <xdr:colOff>19050</xdr:colOff>
      <xdr:row>19</xdr:row>
      <xdr:rowOff>19050</xdr:rowOff>
    </xdr:from>
    <xdr:to>
      <xdr:col>14</xdr:col>
      <xdr:colOff>170440</xdr:colOff>
      <xdr:row>24</xdr:row>
      <xdr:rowOff>37996</xdr:rowOff>
    </xdr:to>
    <xdr:pic>
      <xdr:nvPicPr>
        <xdr:cNvPr id="11" name="Picture 10">
          <a:extLst>
            <a:ext uri="{FF2B5EF4-FFF2-40B4-BE49-F238E27FC236}">
              <a16:creationId xmlns:a16="http://schemas.microsoft.com/office/drawing/2014/main" id="{18CE760D-27E1-A14E-3044-D087091B81DC}"/>
            </a:ext>
          </a:extLst>
        </xdr:cNvPr>
        <xdr:cNvPicPr>
          <a:picLocks noChangeAspect="1"/>
        </xdr:cNvPicPr>
      </xdr:nvPicPr>
      <xdr:blipFill>
        <a:blip xmlns:r="http://schemas.openxmlformats.org/officeDocument/2006/relationships" r:embed="rId5"/>
        <a:stretch>
          <a:fillRect/>
        </a:stretch>
      </xdr:blipFill>
      <xdr:spPr>
        <a:xfrm>
          <a:off x="266700" y="3095625"/>
          <a:ext cx="8076190" cy="8285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B:\Regulatory\Rate%20Case\2024%20Rate%20Case\MFR\Final%20Rate%20Case%20MFRs\Support\B-01,%20B-02,%20B-03,%20B-04,%20B-05,%20B-17-%202023A,%202024B,%202025B.xlsx" TargetMode="External"/><Relationship Id="rId1" Type="http://schemas.openxmlformats.org/officeDocument/2006/relationships/externalLinkPath" Target="/Users/aaoxo/Downloads/2025%20Schedules/2025%20Test%20Year/Schedules%20C/Working%20Schedules/C-24/Support/B-01,%20B-02,%20B-03,%20B-04,%20B-05,%20B-17-%202023A,%202024B,%202025B.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B:\Regulatory\Rate%20Case\2024%20Rate%20Case\MFR\Final%20Rate%20Case%20MFRs\Support\D-01a%20-%202025B_ADIT%20ProRata%20Adj.xlsx" TargetMode="External"/><Relationship Id="rId1" Type="http://schemas.openxmlformats.org/officeDocument/2006/relationships/externalLinkPath" Target="/Users/aaoxo/Downloads/2025%20Schedules/2025%20Test%20Year/Schedules%20C/Working%20Schedules/C-24/Support/D-01a%20-%202025B_ADIT%20ProRata%20Adj.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B:\Forecasts\Short%20Term%20Forecasting\2025\RC%20Budget\2025%20RC%20Budget%20EE%20Model%20-%20MFR%20Run%20v2.xlsm" TargetMode="External"/><Relationship Id="rId1" Type="http://schemas.openxmlformats.org/officeDocument/2006/relationships/externalLinkPath" Target="/Forecasts/Short%20Term%20Forecasting/2025/RC%20Budget/2025%20RC%20Budget%20EE%20Model%20-%20MFR%20Run%20v2.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N:\Emera%20Controllers\Companies\Emera%20Inc\2024\Budget%202024\Emera%20Liquidity%20Schedule%20Budget_Oct2%20-%20Shares%20added.xlsx" TargetMode="External"/><Relationship Id="rId1" Type="http://schemas.openxmlformats.org/officeDocument/2006/relationships/externalLinkPath" Target="file:///N:\Emera%20Controllers\Companies\Emera%20Inc\2024\Budget%202024\Emera%20Liquidity%20Schedule%20Budget_Oct2%20-%20Shares%20added.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N:\Emera%20Controllers\Companies\Emera%20Inc\2023\2023%20Long-term%20Forecast\2023%20LTF%20-%20Liquidity%20Schedule_MJ%20v4.xlsx" TargetMode="External"/><Relationship Id="rId1" Type="http://schemas.openxmlformats.org/officeDocument/2006/relationships/externalLinkPath" Target="file:///N:\Emera%20Controllers\Companies\Emera%20Inc\2023\2023%20Long-term%20Forecast\2023%20LTF%20-%20Liquidity%20Schedule_MJ%20v4.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N:\Emera%20Controllers\Companies\Emera%20Inc\2023\2023%20Long-term%20Forecast\EMA%20-%202023%20-%20LTF%20-%20Emera%20Inc.%20Model%20pref%20shares%20fixed%204%20final.xlsx" TargetMode="External"/><Relationship Id="rId1" Type="http://schemas.openxmlformats.org/officeDocument/2006/relationships/externalLinkPath" Target="file:///N:\Emera%20Controllers\Companies\Emera%20Inc\2023\2023%20Long-term%20Forecast\EMA%20-%202023%20-%20LTF%20-%20Emera%20Inc.%20Model%20pref%20shares%20fixed%204%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1"/>
      <sheetName val="B-2"/>
      <sheetName val="B-3"/>
      <sheetName val="B-4"/>
      <sheetName val="B-5"/>
      <sheetName val="B-5 (detailed)"/>
      <sheetName val="B-17"/>
      <sheetName val="Test Year"/>
      <sheetName val="Prior Year"/>
      <sheetName val="Historical"/>
      <sheetName val="Prior Historical"/>
      <sheetName val="2023A Sch 1of3"/>
      <sheetName val="2024B Sch 1of3"/>
      <sheetName val="2025B Sch 1of3"/>
      <sheetName val="B-3 2022"/>
      <sheetName val="Separation Factors"/>
      <sheetName val="Tab B 22"/>
      <sheetName val="Tab B 23"/>
      <sheetName val="Tab B 24B"/>
      <sheetName val="Tab B 25B"/>
    </sheetNames>
    <sheetDataSet>
      <sheetData sheetId="0"/>
      <sheetData sheetId="1"/>
      <sheetData sheetId="2">
        <row r="83">
          <cell r="S83">
            <v>249867.5743076923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1a 2025B"/>
      <sheetName val="2025B Sch 4 - 100%"/>
      <sheetName val="2025B Sch 4"/>
      <sheetName val="2025B CS Adj"/>
    </sheetNames>
    <sheetDataSet>
      <sheetData sheetId="0">
        <row r="21">
          <cell r="N21">
            <v>4593472.6512879934</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Notes"/>
      <sheetName val="Drivers "/>
      <sheetName val="Financial Statements ---&gt;"/>
      <sheetName val="GAAP"/>
      <sheetName val="HFM"/>
      <sheetName val="Capital"/>
      <sheetName val="Data Sources ---&gt;"/>
      <sheetName val="Data"/>
      <sheetName val="Statements ---&gt;"/>
      <sheetName val="IS ACCTS"/>
      <sheetName val="BS ACCTS"/>
      <sheetName val="O&amp;M"/>
      <sheetName val="SOP"/>
      <sheetName val="RNEL"/>
      <sheetName val="SOP worksheet"/>
      <sheetName val="Tax"/>
      <sheetName val="Revenues ---&gt;"/>
      <sheetName val="Total Revs"/>
      <sheetName val="OOR"/>
      <sheetName val="BTL-Other"/>
      <sheetName val="ROI"/>
      <sheetName val="OOI"/>
      <sheetName val="Expense ---&gt;"/>
      <sheetName val="O&amp;M Detail - GAAP"/>
      <sheetName val="O&amp;M Detail - HFM"/>
      <sheetName val="Earnings Estimate ---&gt;"/>
      <sheetName val="EE"/>
      <sheetName val="EE - Detail"/>
      <sheetName val="Major Forecasts ---&gt;"/>
      <sheetName val="Electric CF Impact"/>
      <sheetName val="Mgmt Adj. (Rework)"/>
      <sheetName val="Mgmt Adj. (Forecast)"/>
      <sheetName val="Check Tabs ---&gt;"/>
      <sheetName val="IS Check"/>
      <sheetName val="BS Check"/>
      <sheetName val="Check"/>
      <sheetName val="TEC Recon Check"/>
    </sheetNames>
    <sheetDataSet>
      <sheetData sheetId="0"/>
      <sheetData sheetId="1"/>
      <sheetData sheetId="2"/>
      <sheetData sheetId="3"/>
      <sheetData sheetId="4"/>
      <sheetData sheetId="5"/>
      <sheetData sheetId="6">
        <row r="34">
          <cell r="O34">
            <v>-681.35384615384601</v>
          </cell>
        </row>
        <row r="35">
          <cell r="O35">
            <v>5650532.4252107032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CAD Balances (Emera Inc)"/>
      <sheetName val="EES Balances"/>
      <sheetName val="USD Balances (EUSHI)"/>
      <sheetName val="Opening Balances &amp; Rates"/>
      <sheetName val="TEC"/>
      <sheetName val="Term Loans"/>
      <sheetName val="TECO"/>
      <sheetName val="Common Stock (7)"/>
      <sheetName val="Common Stock (6)"/>
      <sheetName val="TECO Finance"/>
      <sheetName val="Common Stock (5)"/>
      <sheetName val="Common Stock (4)"/>
      <sheetName val="Common Stock (3)"/>
      <sheetName val="Common Stock (2)"/>
      <sheetName val="Common Stock"/>
      <sheetName val="Emera US LP Bond Interest"/>
      <sheetName val="Q3F Treasury Support Emails"/>
      <sheetName val="Q1F Support Emails"/>
      <sheetName val="Sheet2"/>
    </sheetNames>
    <sheetDataSet>
      <sheetData sheetId="0"/>
      <sheetData sheetId="1">
        <row r="67">
          <cell r="B67">
            <v>289.39774000432857</v>
          </cell>
          <cell r="C67">
            <v>468.92816015666142</v>
          </cell>
          <cell r="D67">
            <v>415.96571595005213</v>
          </cell>
          <cell r="E67">
            <v>408.02330182877154</v>
          </cell>
          <cell r="F67">
            <v>573.39247188118509</v>
          </cell>
          <cell r="G67">
            <v>19.629378066900586</v>
          </cell>
          <cell r="H67">
            <v>22.333153347989029</v>
          </cell>
          <cell r="I67">
            <v>187.40996809945742</v>
          </cell>
          <cell r="J67">
            <v>155.60454229510029</v>
          </cell>
          <cell r="K67">
            <v>158.85957992806354</v>
          </cell>
          <cell r="L67">
            <v>342.23039709322319</v>
          </cell>
          <cell r="M67">
            <v>87.630279034722804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quidity rec"/>
      <sheetName val="CAD Balances (Emera Inc)"/>
      <sheetName val="USD Balances (EUSHI)"/>
      <sheetName val="USD Balances (EES)"/>
      <sheetName val="Opening Balances &amp; Rates"/>
      <sheetName val="Common Stock"/>
      <sheetName val="Entites with Excess Cash"/>
      <sheetName val="2021 LTF vs. 2020 LTF"/>
    </sheetNames>
    <sheetDataSet>
      <sheetData sheetId="0"/>
      <sheetData sheetId="1">
        <row r="167">
          <cell r="C167">
            <v>496.18077004203235</v>
          </cell>
        </row>
        <row r="171">
          <cell r="D171">
            <v>350.54664652811095</v>
          </cell>
        </row>
      </sheetData>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view Comments"/>
      <sheetName val="Assumptions &amp; Inputs"/>
      <sheetName val="Cash Flow"/>
      <sheetName val="Income Statement"/>
      <sheetName val="Intercompany"/>
      <sheetName val="Balance Sheet"/>
      <sheetName val="Cash Transactions"/>
      <sheetName val="Cash flow non-cash"/>
      <sheetName val="Intangible Assets"/>
      <sheetName val="Financing"/>
      <sheetName val="Common Stock"/>
      <sheetName val="Fixed Assets"/>
      <sheetName val="OM&amp;G Summary"/>
      <sheetName val="OM&amp;G Corporate Adj."/>
      <sheetName val="Tax Account Profiling"/>
      <sheetName val="Tax Calculation"/>
      <sheetName val="Tax Version over Version Summ."/>
      <sheetName val="Tax Queries"/>
      <sheetName val="Variance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7" dT="2023-12-04T19:55:59.85" personId="{00000000-0000-0000-0000-000000000000}" id="{A25971BE-F5DC-4A26-843D-0336F6E6B93F}">
    <text>Confirmed no current portion of LTD in 2025. This balance includes bank indebtedness, and I've layered in the average revolver balance. Term loans included in 2024 Budget as ST debt are Medium Term Notes in LTF 2025 and are therefore classified as LTD in 2025.</text>
  </threadedComment>
  <threadedComment ref="G28" dT="2023-12-04T19:57:29.64" personId="{00000000-0000-0000-0000-000000000000}" id="{7C62C0D2-6D30-4D4B-B7CD-B08ACBF3860C}">
    <text>Term loans, revolver balance. Confirmed no current portion of LTD.</text>
  </threadedComment>
  <threadedComment ref="M28" dT="2023-12-04T19:58:35.57" personId="{00000000-0000-0000-0000-000000000000}" id="{84227C01-88E4-4B38-BF7A-8C513611CAD8}">
    <text>Includes interest on Term Notes, driving the swing from ~$20M to the ~$65M. This is LTD in LTF and 2022 Actuals.</text>
  </threadedComment>
  <threadedComment ref="G39" dT="2024-03-01T19:31:35.45" personId="{00000000-0000-0000-0000-000000000000}" id="{C3BC9F99-A845-4AE9-A103-9CB0A2FB389F}">
    <text>Includes the current portion of LTD</text>
  </threadedComment>
</ThreadedComments>
</file>

<file path=xl/threadedComments/threadedComment2.xml><?xml version="1.0" encoding="utf-8"?>
<ThreadedComments xmlns="http://schemas.microsoft.com/office/spreadsheetml/2018/threadedcomments" xmlns:x="http://schemas.openxmlformats.org/spreadsheetml/2006/main">
  <threadedComment ref="N56" dT="2024-02-09T14:02:27.60" personId="{00000000-0000-0000-0000-000000000000}" id="{7548450E-FB5F-496B-B295-78300BFC6F4D}">
    <text>These are adjusted for revolver already</text>
  </threadedComment>
  <threadedComment ref="N77" dT="2024-02-09T14:02:39.86" personId="{00000000-0000-0000-0000-000000000000}" id="{A693A995-00C4-4E5D-B9D8-4F689EF9C493}">
    <text>Adjusted for revolver</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customProperty" Target="../customProperty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6B94E-E4A7-4E29-B89F-4C46E05F1D9B}">
  <sheetPr codeName="Sheet1"/>
  <dimension ref="A1:S69"/>
  <sheetViews>
    <sheetView showGridLines="0" tabSelected="1" showOutlineSymbols="0" view="pageBreakPreview" zoomScale="90" zoomScaleNormal="130" zoomScaleSheetLayoutView="90" workbookViewId="0">
      <selection activeCell="M11" sqref="M11"/>
    </sheetView>
  </sheetViews>
  <sheetFormatPr defaultColWidth="9.33203125" defaultRowHeight="15" customHeight="1" x14ac:dyDescent="0.25"/>
  <cols>
    <col min="1" max="2" width="9.33203125" style="173"/>
    <col min="3" max="3" width="11.44140625" style="173" customWidth="1"/>
    <col min="4" max="5" width="9.33203125" style="173"/>
    <col min="6" max="6" width="9.6640625" style="173" customWidth="1"/>
    <col min="7" max="7" width="13.109375" style="173" bestFit="1" customWidth="1"/>
    <col min="8" max="8" width="9.33203125" style="173"/>
    <col min="9" max="9" width="9.6640625" style="173" bestFit="1" customWidth="1"/>
    <col min="10" max="11" width="9.33203125" style="173"/>
    <col min="12" max="12" width="10.109375" style="173" bestFit="1" customWidth="1"/>
    <col min="13" max="13" width="14.6640625" style="173" bestFit="1" customWidth="1"/>
    <col min="14" max="18" width="9.33203125" style="173"/>
    <col min="19" max="19" width="10.33203125" style="173" customWidth="1"/>
    <col min="20" max="16384" width="9.33203125" style="173"/>
  </cols>
  <sheetData>
    <row r="1" spans="1:19" ht="15" customHeight="1" thickBot="1" x14ac:dyDescent="0.3">
      <c r="A1" s="171" t="s">
        <v>0</v>
      </c>
      <c r="B1" s="171"/>
      <c r="C1" s="171"/>
      <c r="D1" s="171"/>
      <c r="E1" s="171"/>
      <c r="F1" s="171"/>
      <c r="G1" s="171"/>
      <c r="H1" s="171" t="s">
        <v>1</v>
      </c>
      <c r="I1" s="171"/>
      <c r="J1" s="171"/>
      <c r="K1" s="171"/>
      <c r="L1" s="171"/>
      <c r="M1" s="171"/>
      <c r="N1" s="171"/>
      <c r="O1" s="171"/>
      <c r="P1" s="171"/>
      <c r="Q1" s="171"/>
      <c r="R1" s="171"/>
      <c r="S1" s="172" t="s">
        <v>2</v>
      </c>
    </row>
    <row r="2" spans="1:19" ht="15" customHeight="1" x14ac:dyDescent="0.25">
      <c r="A2" s="174" t="s">
        <v>3</v>
      </c>
      <c r="B2" s="174"/>
      <c r="C2" s="174"/>
      <c r="D2" s="174"/>
      <c r="E2" s="174" t="s">
        <v>4</v>
      </c>
      <c r="F2" s="174"/>
      <c r="G2" s="174" t="s">
        <v>5</v>
      </c>
      <c r="H2" s="174"/>
      <c r="I2" s="174"/>
      <c r="J2" s="174"/>
      <c r="K2" s="175"/>
      <c r="L2" s="175"/>
      <c r="M2" s="174"/>
      <c r="N2" s="175"/>
      <c r="O2" s="175"/>
      <c r="P2" s="175" t="s">
        <v>6</v>
      </c>
      <c r="Q2" s="174"/>
      <c r="R2" s="174"/>
      <c r="S2" s="176"/>
    </row>
    <row r="3" spans="1:19" ht="15" customHeight="1" x14ac:dyDescent="0.25">
      <c r="A3" s="174"/>
      <c r="B3" s="174"/>
      <c r="C3" s="174"/>
      <c r="D3" s="174"/>
      <c r="E3" s="174"/>
      <c r="F3" s="174"/>
      <c r="G3" s="174" t="s">
        <v>7</v>
      </c>
      <c r="H3" s="174"/>
      <c r="I3" s="174"/>
      <c r="J3" s="174"/>
      <c r="K3" s="177"/>
      <c r="L3" s="176"/>
      <c r="M3" s="174"/>
      <c r="N3" s="174"/>
      <c r="O3" s="177"/>
      <c r="P3" s="177" t="s">
        <v>8</v>
      </c>
      <c r="Q3" s="176" t="s">
        <v>9</v>
      </c>
      <c r="R3" s="174"/>
      <c r="S3" s="177"/>
    </row>
    <row r="4" spans="1:19" ht="15" customHeight="1" x14ac:dyDescent="0.25">
      <c r="A4" s="174" t="s">
        <v>10</v>
      </c>
      <c r="B4" s="174"/>
      <c r="C4" s="174"/>
      <c r="D4" s="174"/>
      <c r="E4" s="174"/>
      <c r="F4" s="174"/>
      <c r="G4" s="174" t="s">
        <v>11</v>
      </c>
      <c r="H4" s="174"/>
      <c r="I4" s="174"/>
      <c r="J4" s="174"/>
      <c r="K4" s="177"/>
      <c r="L4" s="176"/>
      <c r="M4" s="177"/>
      <c r="N4" s="174"/>
      <c r="O4" s="174"/>
      <c r="P4" s="177" t="s">
        <v>8</v>
      </c>
      <c r="Q4" s="176" t="s">
        <v>12</v>
      </c>
      <c r="R4" s="174"/>
      <c r="S4" s="177"/>
    </row>
    <row r="5" spans="1:19" ht="15" customHeight="1" x14ac:dyDescent="0.25">
      <c r="A5" s="174"/>
      <c r="B5" s="174"/>
      <c r="C5" s="174"/>
      <c r="D5" s="174"/>
      <c r="E5" s="174"/>
      <c r="F5" s="174"/>
      <c r="G5" s="174"/>
      <c r="H5" s="174"/>
      <c r="I5" s="174"/>
      <c r="J5" s="174"/>
      <c r="K5" s="177"/>
      <c r="L5" s="176"/>
      <c r="M5" s="177"/>
      <c r="N5" s="174"/>
      <c r="O5" s="174"/>
      <c r="P5" s="177" t="s">
        <v>8</v>
      </c>
      <c r="Q5" s="176" t="s">
        <v>13</v>
      </c>
      <c r="R5" s="174"/>
      <c r="S5" s="177"/>
    </row>
    <row r="6" spans="1:19" ht="15" customHeight="1" thickBot="1" x14ac:dyDescent="0.3">
      <c r="A6" s="179" t="s">
        <v>536</v>
      </c>
      <c r="B6" s="171"/>
      <c r="C6" s="171"/>
      <c r="D6" s="171"/>
      <c r="E6" s="171"/>
      <c r="F6" s="171"/>
      <c r="G6" s="171"/>
      <c r="H6" s="171"/>
      <c r="I6" s="171"/>
      <c r="J6" s="171" t="s">
        <v>14</v>
      </c>
      <c r="K6" s="171"/>
      <c r="L6" s="171"/>
      <c r="M6" s="171"/>
      <c r="N6" s="171"/>
      <c r="O6" s="171"/>
      <c r="P6" s="171"/>
      <c r="Q6" s="171" t="s">
        <v>537</v>
      </c>
      <c r="R6" s="171"/>
      <c r="S6" s="171"/>
    </row>
    <row r="7" spans="1:19" ht="15" customHeight="1" x14ac:dyDescent="0.25">
      <c r="A7" s="174"/>
      <c r="B7" s="180"/>
      <c r="C7" s="181"/>
      <c r="D7" s="181"/>
      <c r="E7" s="181"/>
      <c r="F7" s="181"/>
      <c r="G7" s="181"/>
      <c r="H7" s="181"/>
      <c r="I7" s="181"/>
      <c r="J7" s="181"/>
      <c r="K7" s="181"/>
      <c r="L7" s="181"/>
      <c r="M7" s="181"/>
      <c r="N7" s="181"/>
      <c r="O7" s="181"/>
      <c r="P7" s="181"/>
      <c r="Q7" s="181"/>
      <c r="R7" s="181"/>
      <c r="S7" s="181"/>
    </row>
    <row r="8" spans="1:19" ht="15" customHeight="1" x14ac:dyDescent="0.25">
      <c r="A8" s="174"/>
      <c r="B8" s="180"/>
      <c r="C8" s="181"/>
      <c r="D8" s="181"/>
      <c r="E8" s="181"/>
      <c r="F8" s="181"/>
      <c r="G8" s="181"/>
      <c r="H8" s="181"/>
      <c r="I8" s="181"/>
      <c r="J8" s="181"/>
      <c r="K8" s="180"/>
      <c r="L8" s="180"/>
      <c r="M8" s="181"/>
      <c r="N8" s="181"/>
      <c r="O8" s="181"/>
      <c r="P8" s="181"/>
      <c r="Q8" s="181"/>
      <c r="R8" s="181"/>
      <c r="S8" s="181"/>
    </row>
    <row r="9" spans="1:19" ht="15" customHeight="1" x14ac:dyDescent="0.25">
      <c r="A9" s="174"/>
      <c r="B9" s="180"/>
      <c r="C9" s="180"/>
      <c r="D9" s="180"/>
      <c r="E9" s="180"/>
      <c r="F9" s="180"/>
      <c r="G9" s="181"/>
      <c r="H9" s="180"/>
      <c r="I9" s="181"/>
      <c r="J9" s="180"/>
      <c r="K9" s="180"/>
      <c r="L9" s="180"/>
      <c r="M9" s="180"/>
      <c r="N9" s="180"/>
      <c r="O9" s="180"/>
      <c r="P9" s="180"/>
      <c r="Q9" s="180"/>
      <c r="R9" s="180"/>
      <c r="S9" s="180"/>
    </row>
    <row r="10" spans="1:19" ht="15" customHeight="1" x14ac:dyDescent="0.25">
      <c r="A10" s="174" t="s">
        <v>15</v>
      </c>
      <c r="B10" s="180"/>
      <c r="C10" s="180"/>
      <c r="D10" s="180"/>
      <c r="E10" s="180"/>
      <c r="F10" s="181"/>
      <c r="G10" s="180"/>
      <c r="H10" s="180"/>
      <c r="I10" s="180"/>
      <c r="J10" s="180"/>
      <c r="K10" s="181"/>
      <c r="L10" s="181"/>
      <c r="M10" s="181"/>
      <c r="N10" s="180"/>
      <c r="O10" s="180"/>
      <c r="P10" s="181"/>
      <c r="Q10" s="181"/>
      <c r="R10" s="181"/>
      <c r="S10" s="180"/>
    </row>
    <row r="11" spans="1:19" ht="15" customHeight="1" thickBot="1" x14ac:dyDescent="0.3">
      <c r="A11" s="171" t="s">
        <v>16</v>
      </c>
      <c r="B11" s="182"/>
      <c r="C11" s="182"/>
      <c r="D11" s="182"/>
      <c r="E11" s="182"/>
      <c r="F11" s="182"/>
      <c r="G11" s="183" t="s">
        <v>17</v>
      </c>
      <c r="H11" s="183"/>
      <c r="I11" s="183" t="s">
        <v>18</v>
      </c>
      <c r="J11" s="184"/>
      <c r="K11" s="183"/>
      <c r="L11" s="184"/>
      <c r="M11" s="184" t="s">
        <v>19</v>
      </c>
      <c r="N11" s="185"/>
      <c r="O11" s="185"/>
      <c r="P11" s="185" t="s">
        <v>20</v>
      </c>
      <c r="Q11" s="185"/>
      <c r="R11" s="185"/>
      <c r="S11" s="185"/>
    </row>
    <row r="12" spans="1:19" ht="15" customHeight="1" x14ac:dyDescent="0.25">
      <c r="A12" s="174">
        <v>1</v>
      </c>
      <c r="B12" s="186"/>
      <c r="Q12" s="4"/>
      <c r="R12" s="4"/>
      <c r="S12" s="4"/>
    </row>
    <row r="13" spans="1:19" ht="15" customHeight="1" x14ac:dyDescent="0.25">
      <c r="A13" s="174">
        <v>2</v>
      </c>
      <c r="B13" s="186"/>
      <c r="Q13" s="4"/>
      <c r="R13" s="4"/>
      <c r="S13" s="4"/>
    </row>
    <row r="14" spans="1:19" ht="15" customHeight="1" x14ac:dyDescent="0.25">
      <c r="A14" s="174">
        <v>3</v>
      </c>
      <c r="B14" s="186"/>
      <c r="Q14" s="4"/>
      <c r="R14" s="4"/>
      <c r="S14" s="4"/>
    </row>
    <row r="15" spans="1:19" ht="15" customHeight="1" x14ac:dyDescent="0.25">
      <c r="A15" s="174">
        <v>4</v>
      </c>
      <c r="B15" s="187"/>
      <c r="C15" s="6" t="s">
        <v>21</v>
      </c>
      <c r="D15" s="4"/>
      <c r="G15" s="5"/>
      <c r="H15" s="5"/>
      <c r="I15" s="5"/>
      <c r="J15" s="4"/>
      <c r="M15" s="4"/>
      <c r="N15" s="4"/>
      <c r="O15" s="4"/>
      <c r="P15" s="4"/>
      <c r="Q15" s="12"/>
      <c r="R15" s="2"/>
      <c r="S15" s="2"/>
    </row>
    <row r="16" spans="1:19" ht="15" customHeight="1" x14ac:dyDescent="0.25">
      <c r="A16" s="174">
        <v>5</v>
      </c>
      <c r="B16" s="187"/>
      <c r="C16" s="4" t="s">
        <v>22</v>
      </c>
      <c r="D16" s="174"/>
      <c r="G16" s="5">
        <f>+'Support E. 25 LTF BS'!I307/1000</f>
        <v>3255526.0518587874</v>
      </c>
      <c r="H16" s="5"/>
      <c r="I16" s="1">
        <f>IFERROR(G16/$G$23,0)</f>
        <v>0.21582017329697314</v>
      </c>
      <c r="J16" s="4"/>
      <c r="M16" s="1">
        <f>(SUM('Support F. 25 LTF IS'!D98:D101)/1000)/G16</f>
        <v>4.8316831143215701E-2</v>
      </c>
      <c r="N16" s="4"/>
      <c r="O16" s="142"/>
      <c r="P16" s="1">
        <f>I16*M16</f>
        <v>1.0427746870489401E-2</v>
      </c>
      <c r="Q16" s="12"/>
      <c r="R16" s="178"/>
      <c r="S16" s="2"/>
    </row>
    <row r="17" spans="1:19" ht="15" customHeight="1" x14ac:dyDescent="0.25">
      <c r="A17" s="174">
        <v>6</v>
      </c>
      <c r="B17" s="187"/>
      <c r="C17" s="4" t="s">
        <v>23</v>
      </c>
      <c r="D17" s="174"/>
      <c r="G17" s="2">
        <f>+'Support E. 25 LTF BS'!I235/1000</f>
        <v>423363.70828507165</v>
      </c>
      <c r="H17" s="5"/>
      <c r="I17" s="1">
        <f t="shared" ref="I17:I22" si="0">IFERROR(G17/$G$23,0)</f>
        <v>2.8066256400425409E-2</v>
      </c>
      <c r="J17" s="4"/>
      <c r="M17" s="1">
        <f>('Support F. 25 LTF IS'!D102/1000)/G17</f>
        <v>4.2765572246415806E-2</v>
      </c>
      <c r="N17" s="4"/>
      <c r="O17" s="143"/>
      <c r="P17" s="1">
        <f t="shared" ref="P17:P22" si="1">I17*M17</f>
        <v>1.2002695157788228E-3</v>
      </c>
      <c r="Q17" s="12"/>
      <c r="R17" s="2"/>
      <c r="S17" s="2"/>
    </row>
    <row r="18" spans="1:19" ht="15" customHeight="1" x14ac:dyDescent="0.25">
      <c r="A18" s="174">
        <v>7</v>
      </c>
      <c r="B18" s="187"/>
      <c r="C18" s="4" t="s">
        <v>24</v>
      </c>
      <c r="D18" s="174"/>
      <c r="G18" s="2">
        <f>+'Support E. 25 LTF BS'!I336/1000</f>
        <v>2024884.588885</v>
      </c>
      <c r="H18" s="5"/>
      <c r="I18" s="1">
        <f>IFERROR(G18/$G$23,0)</f>
        <v>0.13423665973430424</v>
      </c>
      <c r="J18" s="4"/>
      <c r="M18" s="1">
        <v>0</v>
      </c>
      <c r="N18" s="4"/>
      <c r="O18" s="143"/>
      <c r="P18" s="1">
        <f t="shared" si="1"/>
        <v>0</v>
      </c>
      <c r="Q18" s="12"/>
      <c r="R18" s="2"/>
      <c r="S18" s="2"/>
    </row>
    <row r="19" spans="1:19" ht="15" customHeight="1" x14ac:dyDescent="0.25">
      <c r="A19" s="174">
        <v>8</v>
      </c>
      <c r="B19" s="187"/>
      <c r="C19" s="4" t="s">
        <v>25</v>
      </c>
      <c r="D19" s="174"/>
      <c r="G19" s="2">
        <f>('Support E. 25 LTF BS'!I333+'Support E. 25 LTF BS'!I339)/1000</f>
        <v>9380663.7835414186</v>
      </c>
      <c r="H19" s="5"/>
      <c r="I19" s="1">
        <f t="shared" si="0"/>
        <v>0.62187691056829719</v>
      </c>
      <c r="J19" s="4"/>
      <c r="M19" s="1">
        <v>0</v>
      </c>
      <c r="N19" s="4"/>
      <c r="O19" s="143"/>
      <c r="P19" s="1">
        <f t="shared" si="1"/>
        <v>0</v>
      </c>
      <c r="Q19" s="12"/>
      <c r="R19" s="2"/>
      <c r="S19" s="2"/>
    </row>
    <row r="20" spans="1:19" ht="15" customHeight="1" x14ac:dyDescent="0.25">
      <c r="A20" s="174">
        <v>9</v>
      </c>
      <c r="B20" s="187"/>
      <c r="C20" s="4" t="s">
        <v>26</v>
      </c>
      <c r="D20" s="174"/>
      <c r="G20" s="2">
        <v>0</v>
      </c>
      <c r="H20" s="5"/>
      <c r="I20" s="1">
        <f t="shared" si="0"/>
        <v>0</v>
      </c>
      <c r="J20" s="4"/>
      <c r="M20" s="1">
        <v>0</v>
      </c>
      <c r="N20" s="4"/>
      <c r="O20" s="143"/>
      <c r="P20" s="1">
        <f t="shared" si="1"/>
        <v>0</v>
      </c>
      <c r="Q20" s="12"/>
      <c r="R20" s="2"/>
      <c r="S20" s="2"/>
    </row>
    <row r="21" spans="1:19" ht="15" customHeight="1" x14ac:dyDescent="0.25">
      <c r="A21" s="174">
        <v>10</v>
      </c>
      <c r="B21" s="187"/>
      <c r="C21" s="4" t="s">
        <v>27</v>
      </c>
      <c r="D21" s="174"/>
      <c r="G21" s="2">
        <v>0</v>
      </c>
      <c r="H21" s="5"/>
      <c r="I21" s="1">
        <f t="shared" si="0"/>
        <v>0</v>
      </c>
      <c r="J21" s="4"/>
      <c r="M21" s="1">
        <v>0</v>
      </c>
      <c r="N21" s="4"/>
      <c r="O21" s="143"/>
      <c r="P21" s="1">
        <f t="shared" si="1"/>
        <v>0</v>
      </c>
      <c r="Q21" s="12"/>
      <c r="R21" s="2"/>
      <c r="S21" s="2"/>
    </row>
    <row r="22" spans="1:19" ht="15" customHeight="1" x14ac:dyDescent="0.25">
      <c r="A22" s="174">
        <v>11</v>
      </c>
      <c r="B22" s="187"/>
      <c r="C22" s="4" t="s">
        <v>28</v>
      </c>
      <c r="D22" s="174"/>
      <c r="G22" s="2">
        <v>0</v>
      </c>
      <c r="H22" s="5"/>
      <c r="I22" s="1">
        <f t="shared" si="0"/>
        <v>0</v>
      </c>
      <c r="J22" s="4"/>
      <c r="M22" s="1">
        <v>0</v>
      </c>
      <c r="N22" s="4"/>
      <c r="O22" s="143"/>
      <c r="P22" s="1">
        <f t="shared" si="1"/>
        <v>0</v>
      </c>
      <c r="Q22" s="12"/>
      <c r="R22" s="2"/>
      <c r="S22" s="2"/>
    </row>
    <row r="23" spans="1:19" ht="15" customHeight="1" thickBot="1" x14ac:dyDescent="0.3">
      <c r="A23" s="174">
        <v>12</v>
      </c>
      <c r="B23" s="187"/>
      <c r="C23" s="4" t="s">
        <v>29</v>
      </c>
      <c r="D23" s="174"/>
      <c r="G23" s="8">
        <f>SUM(G16:G22)</f>
        <v>15084438.132570278</v>
      </c>
      <c r="H23" s="5"/>
      <c r="I23" s="145">
        <v>1</v>
      </c>
      <c r="J23" s="4"/>
      <c r="M23" s="146"/>
      <c r="N23" s="143"/>
      <c r="O23" s="143"/>
      <c r="P23" s="9">
        <f>SUM(P16:P22)</f>
        <v>1.1628016386268224E-2</v>
      </c>
      <c r="Q23" s="12"/>
      <c r="R23" s="2"/>
      <c r="S23" s="2"/>
    </row>
    <row r="24" spans="1:19" ht="15" customHeight="1" thickTop="1" x14ac:dyDescent="0.25">
      <c r="A24" s="174">
        <v>13</v>
      </c>
      <c r="B24" s="187"/>
      <c r="H24" s="5"/>
      <c r="J24" s="4"/>
      <c r="M24" s="188"/>
      <c r="P24" s="188"/>
      <c r="Q24" s="12"/>
      <c r="R24" s="2"/>
      <c r="S24" s="2"/>
    </row>
    <row r="25" spans="1:19" ht="15" customHeight="1" x14ac:dyDescent="0.25">
      <c r="A25" s="174">
        <v>14</v>
      </c>
      <c r="B25" s="187"/>
      <c r="H25" s="5"/>
      <c r="J25" s="4"/>
      <c r="M25" s="188"/>
      <c r="P25" s="188"/>
      <c r="Q25" s="12"/>
      <c r="R25" s="2"/>
      <c r="S25" s="2"/>
    </row>
    <row r="26" spans="1:19" ht="15" customHeight="1" x14ac:dyDescent="0.25">
      <c r="A26" s="174">
        <v>15</v>
      </c>
      <c r="B26" s="187"/>
      <c r="C26" s="6" t="s">
        <v>30</v>
      </c>
      <c r="D26" s="174"/>
      <c r="G26" s="2"/>
      <c r="H26" s="5"/>
      <c r="I26" s="2"/>
      <c r="J26" s="4"/>
      <c r="M26" s="10"/>
      <c r="N26" s="85"/>
      <c r="O26" s="2"/>
      <c r="P26" s="10"/>
      <c r="Q26" s="12"/>
      <c r="R26" s="2"/>
      <c r="S26" s="2"/>
    </row>
    <row r="27" spans="1:19" ht="15" customHeight="1" x14ac:dyDescent="0.25">
      <c r="A27" s="174">
        <v>16</v>
      </c>
      <c r="B27" s="187"/>
      <c r="C27" s="4" t="s">
        <v>22</v>
      </c>
      <c r="D27" s="174"/>
      <c r="G27" s="5">
        <f>+'Support C. 24 Budget BS'!O77/1000</f>
        <v>2828652.9996395037</v>
      </c>
      <c r="H27" s="5"/>
      <c r="I27" s="7">
        <f>IFERROR(G27/$G$34,0)</f>
        <v>0.19714856565616795</v>
      </c>
      <c r="J27" s="4"/>
      <c r="M27" s="1">
        <f>('Support D. 24 Budget IS'!N31/1000)/G27</f>
        <v>4.8506656354627621E-2</v>
      </c>
      <c r="N27" s="85"/>
      <c r="O27" s="2"/>
      <c r="P27" s="1">
        <f>I27*M27</f>
        <v>9.56301772509148E-3</v>
      </c>
      <c r="Q27" s="12"/>
      <c r="R27" s="178"/>
      <c r="S27" s="2"/>
    </row>
    <row r="28" spans="1:19" ht="15" customHeight="1" x14ac:dyDescent="0.25">
      <c r="A28" s="174">
        <v>17</v>
      </c>
      <c r="B28" s="187"/>
      <c r="C28" s="4" t="s">
        <v>23</v>
      </c>
      <c r="D28" s="174"/>
      <c r="G28" s="2">
        <f>+('Support C. 24 Budget BS'!O56)/1000</f>
        <v>1055651.6402066506</v>
      </c>
      <c r="H28" s="5"/>
      <c r="I28" s="7">
        <f t="shared" ref="I28:I33" si="2">IFERROR(G28/$G$34,0)</f>
        <v>7.3575729057557077E-2</v>
      </c>
      <c r="J28" s="4"/>
      <c r="M28" s="1">
        <f>('Support D. 24 Budget IS'!N36/1000)/G28</f>
        <v>6.2325153008922968E-2</v>
      </c>
      <c r="N28" s="85"/>
      <c r="O28" s="2"/>
      <c r="P28" s="1">
        <f>I28*M28</f>
        <v>4.5856185712553049E-3</v>
      </c>
      <c r="Q28" s="12"/>
      <c r="R28" s="2"/>
      <c r="S28" s="2"/>
    </row>
    <row r="29" spans="1:19" ht="15" customHeight="1" x14ac:dyDescent="0.25">
      <c r="A29" s="174">
        <v>18</v>
      </c>
      <c r="B29" s="187"/>
      <c r="C29" s="4" t="s">
        <v>24</v>
      </c>
      <c r="D29" s="174"/>
      <c r="G29" s="2">
        <f>+'Support C. 24 Budget BS'!O95/1000</f>
        <v>1588648.3673076923</v>
      </c>
      <c r="H29" s="5"/>
      <c r="I29" s="7">
        <f t="shared" si="2"/>
        <v>0.11072399017717627</v>
      </c>
      <c r="J29" s="4"/>
      <c r="M29" s="1">
        <v>0</v>
      </c>
      <c r="N29" s="85"/>
      <c r="O29" s="2"/>
      <c r="P29" s="1">
        <f t="shared" ref="P29:P33" si="3">I29*M29</f>
        <v>0</v>
      </c>
      <c r="Q29" s="12"/>
      <c r="R29" s="2"/>
      <c r="S29" s="2"/>
    </row>
    <row r="30" spans="1:19" ht="15" customHeight="1" x14ac:dyDescent="0.25">
      <c r="A30" s="174">
        <v>19</v>
      </c>
      <c r="B30" s="187"/>
      <c r="C30" s="4" t="s">
        <v>25</v>
      </c>
      <c r="D30" s="174"/>
      <c r="G30" s="2">
        <f>('Support C. 24 Budget BS'!O93+'Support C. 24 Budget BS'!O97)/1000</f>
        <v>8874871.3872307707</v>
      </c>
      <c r="H30" s="5"/>
      <c r="I30" s="7">
        <f t="shared" si="2"/>
        <v>0.61855171510909879</v>
      </c>
      <c r="J30" s="4"/>
      <c r="M30" s="1">
        <v>0</v>
      </c>
      <c r="N30" s="85"/>
      <c r="O30" s="2"/>
      <c r="P30" s="1">
        <f t="shared" si="3"/>
        <v>0</v>
      </c>
      <c r="Q30" s="12"/>
      <c r="R30" s="2"/>
      <c r="S30" s="2"/>
    </row>
    <row r="31" spans="1:19" ht="15" customHeight="1" x14ac:dyDescent="0.25">
      <c r="A31" s="174">
        <v>20</v>
      </c>
      <c r="B31" s="187"/>
      <c r="C31" s="4" t="s">
        <v>26</v>
      </c>
      <c r="D31" s="174"/>
      <c r="G31" s="2">
        <v>0</v>
      </c>
      <c r="H31" s="5"/>
      <c r="I31" s="7">
        <f t="shared" si="2"/>
        <v>0</v>
      </c>
      <c r="J31" s="4"/>
      <c r="M31" s="1">
        <v>0</v>
      </c>
      <c r="N31" s="85"/>
      <c r="O31" s="2"/>
      <c r="P31" s="1">
        <f t="shared" si="3"/>
        <v>0</v>
      </c>
      <c r="Q31" s="12"/>
      <c r="R31" s="2"/>
      <c r="S31" s="2"/>
    </row>
    <row r="32" spans="1:19" ht="15" customHeight="1" x14ac:dyDescent="0.25">
      <c r="A32" s="174">
        <v>21</v>
      </c>
      <c r="B32" s="187"/>
      <c r="C32" s="4" t="s">
        <v>27</v>
      </c>
      <c r="D32" s="174"/>
      <c r="G32" s="2">
        <v>0</v>
      </c>
      <c r="H32" s="5"/>
      <c r="I32" s="7">
        <f t="shared" si="2"/>
        <v>0</v>
      </c>
      <c r="J32" s="4"/>
      <c r="M32" s="1">
        <v>0</v>
      </c>
      <c r="N32" s="2"/>
      <c r="O32" s="2"/>
      <c r="P32" s="1">
        <f t="shared" si="3"/>
        <v>0</v>
      </c>
      <c r="Q32" s="12"/>
      <c r="R32" s="2"/>
      <c r="S32" s="2"/>
    </row>
    <row r="33" spans="1:19" ht="15" customHeight="1" x14ac:dyDescent="0.25">
      <c r="A33" s="174">
        <v>22</v>
      </c>
      <c r="B33" s="187"/>
      <c r="C33" s="4" t="s">
        <v>28</v>
      </c>
      <c r="D33" s="174"/>
      <c r="G33" s="2">
        <v>0</v>
      </c>
      <c r="H33" s="5"/>
      <c r="I33" s="7">
        <f t="shared" si="2"/>
        <v>0</v>
      </c>
      <c r="J33" s="4"/>
      <c r="M33" s="1">
        <v>0</v>
      </c>
      <c r="N33" s="2"/>
      <c r="O33" s="2"/>
      <c r="P33" s="1">
        <f t="shared" si="3"/>
        <v>0</v>
      </c>
      <c r="Q33" s="12"/>
      <c r="R33" s="2"/>
      <c r="S33" s="2"/>
    </row>
    <row r="34" spans="1:19" ht="15" customHeight="1" thickBot="1" x14ac:dyDescent="0.3">
      <c r="A34" s="174">
        <v>23</v>
      </c>
      <c r="B34" s="187"/>
      <c r="C34" s="4" t="s">
        <v>29</v>
      </c>
      <c r="D34" s="174"/>
      <c r="G34" s="8">
        <f>SUM(G27:G33)</f>
        <v>14347824.394384617</v>
      </c>
      <c r="H34" s="5"/>
      <c r="I34" s="9">
        <v>1</v>
      </c>
      <c r="J34" s="4"/>
      <c r="M34" s="10"/>
      <c r="N34" s="85"/>
      <c r="O34" s="2"/>
      <c r="P34" s="9">
        <f>SUM(P27:P33)</f>
        <v>1.4148636296346785E-2</v>
      </c>
      <c r="Q34" s="12"/>
      <c r="R34" s="2"/>
      <c r="S34" s="2"/>
    </row>
    <row r="35" spans="1:19" ht="15" customHeight="1" thickTop="1" x14ac:dyDescent="0.25">
      <c r="A35" s="174">
        <v>24</v>
      </c>
      <c r="B35" s="187"/>
      <c r="C35" s="4"/>
      <c r="D35" s="174"/>
      <c r="G35" s="2"/>
      <c r="H35" s="5"/>
      <c r="I35" s="2"/>
      <c r="J35" s="4"/>
      <c r="M35" s="10"/>
      <c r="N35" s="2"/>
      <c r="O35" s="2"/>
      <c r="P35" s="10"/>
      <c r="Q35" s="12"/>
      <c r="R35" s="2"/>
      <c r="S35" s="2"/>
    </row>
    <row r="36" spans="1:19" ht="15" customHeight="1" x14ac:dyDescent="0.25">
      <c r="A36" s="174">
        <v>25</v>
      </c>
      <c r="B36" s="187"/>
      <c r="C36" s="4"/>
      <c r="D36" s="174"/>
      <c r="G36" s="2"/>
      <c r="H36" s="5"/>
      <c r="I36" s="2"/>
      <c r="J36" s="4"/>
      <c r="K36" s="2"/>
      <c r="L36" s="150"/>
      <c r="M36" s="10"/>
      <c r="N36" s="2"/>
      <c r="O36" s="2"/>
      <c r="P36" s="10"/>
      <c r="Q36" s="12"/>
      <c r="R36" s="2"/>
      <c r="S36" s="2"/>
    </row>
    <row r="37" spans="1:19" ht="15" customHeight="1" x14ac:dyDescent="0.25">
      <c r="A37" s="174">
        <v>26</v>
      </c>
      <c r="B37" s="187"/>
      <c r="C37" s="4"/>
      <c r="D37" s="174"/>
      <c r="G37" s="5"/>
      <c r="H37" s="5"/>
      <c r="I37" s="7"/>
      <c r="J37" s="4"/>
      <c r="K37" s="2"/>
      <c r="L37" s="150"/>
      <c r="M37" s="7"/>
      <c r="N37" s="2"/>
      <c r="O37" s="2"/>
      <c r="P37" s="7"/>
      <c r="Q37" s="12"/>
      <c r="R37" s="2"/>
      <c r="S37" s="2"/>
    </row>
    <row r="38" spans="1:19" ht="15" customHeight="1" x14ac:dyDescent="0.25">
      <c r="A38" s="174">
        <v>27</v>
      </c>
      <c r="B38" s="187"/>
      <c r="C38" s="6" t="s">
        <v>31</v>
      </c>
      <c r="D38" s="174"/>
      <c r="G38" s="2"/>
      <c r="H38" s="5"/>
      <c r="I38" s="2"/>
      <c r="J38" s="4"/>
      <c r="K38" s="2"/>
      <c r="L38" s="150"/>
      <c r="M38" s="10"/>
      <c r="N38" s="2"/>
      <c r="O38" s="2"/>
      <c r="P38" s="10"/>
      <c r="Q38" s="12"/>
      <c r="R38" s="2"/>
      <c r="S38" s="2"/>
    </row>
    <row r="39" spans="1:19" ht="15" customHeight="1" x14ac:dyDescent="0.25">
      <c r="A39" s="174">
        <v>28</v>
      </c>
      <c r="B39" s="187"/>
      <c r="C39" s="4" t="s">
        <v>22</v>
      </c>
      <c r="D39" s="174"/>
      <c r="G39" s="5">
        <f>('Support B. 23 BS'!O84+'Support B. 23 BS'!O63)/1000</f>
        <v>2832193.9383846154</v>
      </c>
      <c r="H39" s="5"/>
      <c r="I39" s="7">
        <f>+G39/$G$46</f>
        <v>0.21266091677658749</v>
      </c>
      <c r="J39" s="4"/>
      <c r="K39" s="2"/>
      <c r="L39" s="150"/>
      <c r="M39" s="1">
        <f>('Support A. 23 IS'!N34/1000)/G39</f>
        <v>4.6565366238733273E-2</v>
      </c>
      <c r="N39" s="2"/>
      <c r="O39" s="2"/>
      <c r="P39" s="1">
        <f>I39*M39</f>
        <v>9.902633474366573E-3</v>
      </c>
      <c r="Q39" s="12"/>
      <c r="R39" s="178"/>
      <c r="S39" s="2"/>
    </row>
    <row r="40" spans="1:19" ht="15" customHeight="1" x14ac:dyDescent="0.25">
      <c r="A40" s="174">
        <v>29</v>
      </c>
      <c r="B40" s="187"/>
      <c r="C40" s="4" t="s">
        <v>23</v>
      </c>
      <c r="D40" s="174"/>
      <c r="G40" s="2">
        <f>('Support B. 23 BS'!O60)/1000</f>
        <v>1056702.9889230768</v>
      </c>
      <c r="H40" s="5"/>
      <c r="I40" s="7">
        <f t="shared" ref="I40:I45" si="4">+G40/$G$46</f>
        <v>7.9344646332063617E-2</v>
      </c>
      <c r="J40" s="4"/>
      <c r="K40" s="2"/>
      <c r="L40" s="150"/>
      <c r="M40" s="1">
        <f>('Support A. 23 IS'!N39/1000)/G40</f>
        <v>5.9410834130393546E-2</v>
      </c>
      <c r="N40" s="2"/>
      <c r="O40" s="2"/>
      <c r="P40" s="1">
        <f t="shared" ref="P40:P45" si="5">I40*M40</f>
        <v>4.7139316223689699E-3</v>
      </c>
      <c r="Q40" s="12"/>
      <c r="R40" s="2"/>
      <c r="S40" s="2"/>
    </row>
    <row r="41" spans="1:19" ht="15" customHeight="1" x14ac:dyDescent="0.25">
      <c r="A41" s="174">
        <v>30</v>
      </c>
      <c r="B41" s="187"/>
      <c r="C41" s="4" t="s">
        <v>24</v>
      </c>
      <c r="D41" s="174"/>
      <c r="G41" s="2">
        <f>'Support B. 23 BS'!O102/1000</f>
        <v>1421828.0379230769</v>
      </c>
      <c r="H41" s="5"/>
      <c r="I41" s="7">
        <f t="shared" si="4"/>
        <v>0.10676078708643727</v>
      </c>
      <c r="J41" s="4"/>
      <c r="K41" s="2"/>
      <c r="L41" s="150"/>
      <c r="M41" s="1">
        <v>0</v>
      </c>
      <c r="N41" s="2"/>
      <c r="O41" s="2"/>
      <c r="P41" s="1">
        <f t="shared" si="5"/>
        <v>0</v>
      </c>
      <c r="Q41" s="12"/>
      <c r="R41" s="2"/>
      <c r="S41" s="2"/>
    </row>
    <row r="42" spans="1:19" ht="15" customHeight="1" x14ac:dyDescent="0.25">
      <c r="A42" s="174">
        <v>31</v>
      </c>
      <c r="B42" s="189"/>
      <c r="C42" s="4" t="s">
        <v>25</v>
      </c>
      <c r="D42" s="174"/>
      <c r="G42" s="2">
        <f>('Support B. 23 BS'!O100+'Support B. 23 BS'!O104)/1000</f>
        <v>8007161.4678461542</v>
      </c>
      <c r="H42" s="5"/>
      <c r="I42" s="7">
        <f t="shared" si="4"/>
        <v>0.60123364980491156</v>
      </c>
      <c r="J42" s="4"/>
      <c r="K42" s="2"/>
      <c r="L42" s="150"/>
      <c r="M42" s="1">
        <v>0</v>
      </c>
      <c r="N42" s="2"/>
      <c r="O42" s="2"/>
      <c r="P42" s="1">
        <f t="shared" si="5"/>
        <v>0</v>
      </c>
      <c r="Q42" s="12"/>
      <c r="R42" s="2"/>
      <c r="S42" s="2"/>
    </row>
    <row r="43" spans="1:19" ht="15" customHeight="1" x14ac:dyDescent="0.25">
      <c r="A43" s="174">
        <v>32</v>
      </c>
      <c r="B43" s="187"/>
      <c r="C43" s="4" t="s">
        <v>26</v>
      </c>
      <c r="D43" s="174"/>
      <c r="G43" s="2"/>
      <c r="H43" s="5"/>
      <c r="I43" s="7">
        <f t="shared" si="4"/>
        <v>0</v>
      </c>
      <c r="J43" s="4"/>
      <c r="K43" s="2"/>
      <c r="L43" s="150"/>
      <c r="M43" s="1">
        <v>0</v>
      </c>
      <c r="N43" s="2"/>
      <c r="O43" s="2"/>
      <c r="P43" s="1">
        <f t="shared" si="5"/>
        <v>0</v>
      </c>
      <c r="Q43" s="12"/>
      <c r="R43" s="2"/>
      <c r="S43" s="2"/>
    </row>
    <row r="44" spans="1:19" ht="15" customHeight="1" x14ac:dyDescent="0.25">
      <c r="A44" s="174">
        <v>33</v>
      </c>
      <c r="B44" s="187"/>
      <c r="C44" s="4" t="s">
        <v>27</v>
      </c>
      <c r="D44" s="174"/>
      <c r="G44" s="2"/>
      <c r="H44" s="5"/>
      <c r="I44" s="7">
        <f t="shared" si="4"/>
        <v>0</v>
      </c>
      <c r="J44" s="4"/>
      <c r="K44" s="2"/>
      <c r="L44" s="150"/>
      <c r="M44" s="1">
        <v>0</v>
      </c>
      <c r="N44" s="2"/>
      <c r="O44" s="2"/>
      <c r="P44" s="1">
        <f t="shared" si="5"/>
        <v>0</v>
      </c>
      <c r="Q44" s="12"/>
      <c r="R44" s="2"/>
      <c r="S44" s="2"/>
    </row>
    <row r="45" spans="1:19" ht="15" customHeight="1" x14ac:dyDescent="0.25">
      <c r="A45" s="174">
        <v>34</v>
      </c>
      <c r="B45" s="187"/>
      <c r="C45" s="4" t="s">
        <v>28</v>
      </c>
      <c r="D45" s="174"/>
      <c r="G45" s="2"/>
      <c r="H45" s="5"/>
      <c r="I45" s="7">
        <f t="shared" si="4"/>
        <v>0</v>
      </c>
      <c r="J45" s="3"/>
      <c r="K45" s="2"/>
      <c r="L45" s="3"/>
      <c r="M45" s="1">
        <v>0</v>
      </c>
      <c r="N45" s="2"/>
      <c r="O45" s="2"/>
      <c r="P45" s="1">
        <f t="shared" si="5"/>
        <v>0</v>
      </c>
      <c r="Q45" s="12"/>
      <c r="R45" s="2"/>
      <c r="S45" s="2"/>
    </row>
    <row r="46" spans="1:19" ht="15" customHeight="1" thickBot="1" x14ac:dyDescent="0.3">
      <c r="A46" s="174">
        <v>35</v>
      </c>
      <c r="B46" s="187"/>
      <c r="C46" s="4" t="s">
        <v>29</v>
      </c>
      <c r="D46" s="174"/>
      <c r="E46" s="174"/>
      <c r="F46" s="2"/>
      <c r="G46" s="8">
        <f>SUM(G39:G45)</f>
        <v>13317886.433076924</v>
      </c>
      <c r="H46" s="5"/>
      <c r="I46" s="9">
        <f>SUM(I39:I45)</f>
        <v>1</v>
      </c>
      <c r="J46" s="2"/>
      <c r="K46" s="2"/>
      <c r="L46" s="2"/>
      <c r="M46" s="10"/>
      <c r="N46" s="2"/>
      <c r="O46" s="2"/>
      <c r="P46" s="9">
        <f>SUM(P39:P45)</f>
        <v>1.4616565096735543E-2</v>
      </c>
      <c r="Q46" s="2"/>
      <c r="R46" s="2"/>
      <c r="S46" s="2"/>
    </row>
    <row r="47" spans="1:19" ht="15" customHeight="1" thickTop="1" x14ac:dyDescent="0.25">
      <c r="A47" s="174">
        <v>36</v>
      </c>
      <c r="B47" s="187"/>
      <c r="C47" s="4"/>
      <c r="D47" s="174"/>
      <c r="E47" s="174"/>
      <c r="F47" s="2"/>
      <c r="G47" s="2"/>
      <c r="H47" s="2"/>
      <c r="I47" s="2"/>
      <c r="J47" s="3"/>
      <c r="K47" s="2"/>
      <c r="L47" s="3"/>
      <c r="M47" s="2"/>
      <c r="N47" s="2"/>
      <c r="O47" s="2"/>
      <c r="P47" s="2"/>
      <c r="Q47" s="2"/>
      <c r="R47" s="2"/>
      <c r="S47" s="2"/>
    </row>
    <row r="48" spans="1:19" ht="15" customHeight="1" x14ac:dyDescent="0.25">
      <c r="A48" s="174">
        <v>37</v>
      </c>
      <c r="B48" s="187"/>
      <c r="C48" s="144" t="s">
        <v>32</v>
      </c>
      <c r="D48" s="170"/>
      <c r="E48" s="170"/>
      <c r="F48" s="2"/>
      <c r="G48" s="2"/>
      <c r="H48" s="2"/>
      <c r="I48" s="2"/>
      <c r="J48" s="3"/>
      <c r="K48" s="2"/>
      <c r="L48" s="3"/>
      <c r="M48" s="2"/>
      <c r="N48" s="2"/>
      <c r="O48" s="2"/>
      <c r="P48" s="2"/>
      <c r="Q48" s="12"/>
      <c r="R48" s="2"/>
      <c r="S48" s="2"/>
    </row>
    <row r="49" spans="1:19" ht="15" customHeight="1" x14ac:dyDescent="0.25">
      <c r="A49" s="174">
        <v>38</v>
      </c>
      <c r="B49" s="187"/>
      <c r="C49" s="144"/>
      <c r="D49" s="190">
        <f>+P16+P17</f>
        <v>1.1628016386268224E-2</v>
      </c>
      <c r="E49" s="194">
        <v>0.25345000000000001</v>
      </c>
      <c r="F49" s="170"/>
      <c r="G49" s="208">
        <f>C64</f>
        <v>4390372.9431722602</v>
      </c>
      <c r="H49" s="191"/>
      <c r="I49" s="170"/>
      <c r="J49" s="170"/>
      <c r="K49" s="192">
        <f>+D49*E49*G49</f>
        <v>12938.959214670296</v>
      </c>
      <c r="L49" s="3"/>
      <c r="M49" s="193"/>
      <c r="O49" s="2"/>
      <c r="P49" s="2"/>
      <c r="Q49" s="2"/>
      <c r="R49" s="2"/>
      <c r="S49" s="2"/>
    </row>
    <row r="50" spans="1:19" ht="15" customHeight="1" x14ac:dyDescent="0.25">
      <c r="A50" s="174">
        <v>39</v>
      </c>
      <c r="B50" s="187"/>
      <c r="C50" s="11"/>
      <c r="D50" s="11"/>
      <c r="E50" s="11"/>
      <c r="F50" s="11"/>
      <c r="G50" s="11"/>
      <c r="H50" s="11"/>
      <c r="I50" s="11"/>
      <c r="J50" s="11"/>
      <c r="K50" s="11"/>
      <c r="L50" s="11"/>
      <c r="R50" s="2"/>
      <c r="S50" s="2"/>
    </row>
    <row r="51" spans="1:19" ht="13.2" x14ac:dyDescent="0.25">
      <c r="A51" s="174">
        <v>40</v>
      </c>
      <c r="B51" s="187"/>
      <c r="C51" s="253" t="s">
        <v>33</v>
      </c>
      <c r="D51" s="253"/>
      <c r="E51" s="253"/>
      <c r="F51" s="253"/>
      <c r="G51" s="253"/>
      <c r="H51" s="253"/>
      <c r="I51" s="253"/>
      <c r="J51" s="253"/>
      <c r="K51" s="253"/>
      <c r="L51" s="253"/>
      <c r="M51" s="253"/>
      <c r="N51" s="253"/>
      <c r="O51" s="253"/>
      <c r="P51" s="253"/>
      <c r="Q51" s="12"/>
      <c r="R51" s="2"/>
      <c r="S51" s="2"/>
    </row>
    <row r="52" spans="1:19" ht="15" customHeight="1" x14ac:dyDescent="0.25">
      <c r="A52" s="174">
        <v>41</v>
      </c>
      <c r="B52" s="187"/>
      <c r="R52" s="2"/>
      <c r="S52" s="2"/>
    </row>
    <row r="53" spans="1:19" ht="15" customHeight="1" thickBot="1" x14ac:dyDescent="0.3">
      <c r="A53" s="171">
        <v>42</v>
      </c>
      <c r="B53" s="171"/>
      <c r="C53" s="171" t="s">
        <v>34</v>
      </c>
      <c r="D53" s="171"/>
      <c r="E53" s="171"/>
      <c r="F53" s="171"/>
      <c r="G53" s="171"/>
      <c r="H53" s="171"/>
      <c r="I53" s="171"/>
      <c r="J53" s="171"/>
      <c r="K53" s="171"/>
      <c r="L53" s="171"/>
      <c r="M53" s="171"/>
      <c r="N53" s="171"/>
      <c r="O53" s="171"/>
      <c r="P53" s="171"/>
      <c r="Q53" s="171"/>
      <c r="R53" s="171"/>
      <c r="S53" s="171"/>
    </row>
    <row r="54" spans="1:19" ht="15" customHeight="1" x14ac:dyDescent="0.25">
      <c r="A54" s="174" t="s">
        <v>35</v>
      </c>
      <c r="B54" s="174"/>
      <c r="C54" s="174"/>
      <c r="D54" s="174"/>
      <c r="E54" s="174"/>
      <c r="F54" s="174"/>
      <c r="G54" s="174"/>
      <c r="H54" s="174"/>
      <c r="I54" s="174"/>
      <c r="J54" s="174"/>
      <c r="K54" s="174"/>
      <c r="L54" s="174"/>
      <c r="M54" s="174"/>
      <c r="N54" s="174"/>
      <c r="O54" s="174"/>
      <c r="P54" s="174"/>
      <c r="Q54" s="174" t="s">
        <v>36</v>
      </c>
      <c r="R54" s="174"/>
      <c r="S54" s="174"/>
    </row>
    <row r="57" spans="1:19" s="11" customFormat="1" ht="15" customHeight="1" x14ac:dyDescent="0.25">
      <c r="A57" s="195" t="s">
        <v>37</v>
      </c>
      <c r="B57" s="196"/>
      <c r="D57" s="170"/>
      <c r="E57" s="170"/>
      <c r="F57" s="197"/>
      <c r="I57" s="170"/>
    </row>
    <row r="58" spans="1:19" s="11" customFormat="1" ht="15" customHeight="1" x14ac:dyDescent="0.25">
      <c r="A58" s="198" t="s">
        <v>38</v>
      </c>
      <c r="B58" s="198"/>
      <c r="C58" s="199">
        <f>'[1]B-3'!$S$83</f>
        <v>249867.5743076923</v>
      </c>
      <c r="D58" s="198" t="s">
        <v>39</v>
      </c>
      <c r="E58" s="198"/>
      <c r="F58" s="200"/>
      <c r="K58"/>
    </row>
    <row r="59" spans="1:19" s="11" customFormat="1" ht="15" customHeight="1" x14ac:dyDescent="0.25">
      <c r="A59" s="198" t="s">
        <v>40</v>
      </c>
      <c r="B59" s="198"/>
      <c r="C59" s="201">
        <f>+I67</f>
        <v>5651213.7790568573</v>
      </c>
      <c r="D59" s="198"/>
      <c r="E59" s="198"/>
      <c r="F59" s="200"/>
    </row>
    <row r="60" spans="1:19" s="11" customFormat="1" ht="15" customHeight="1" x14ac:dyDescent="0.25">
      <c r="A60" s="198" t="s">
        <v>41</v>
      </c>
      <c r="B60" s="198"/>
      <c r="C60" s="202">
        <f>+C58/C59</f>
        <v>4.4214850840308011E-2</v>
      </c>
      <c r="D60" s="198"/>
      <c r="E60" s="198"/>
      <c r="F60" s="203"/>
    </row>
    <row r="61" spans="1:19" s="11" customFormat="1" ht="15" customHeight="1" x14ac:dyDescent="0.25">
      <c r="A61" s="198"/>
      <c r="B61" s="198"/>
      <c r="C61" s="198"/>
      <c r="D61" s="198"/>
      <c r="E61" s="198"/>
    </row>
    <row r="62" spans="1:19" s="11" customFormat="1" ht="15" customHeight="1" x14ac:dyDescent="0.25">
      <c r="A62" s="198" t="s">
        <v>42</v>
      </c>
      <c r="B62" s="198"/>
      <c r="C62" s="199">
        <f>'[2]D-1a 2025B'!$N$21</f>
        <v>4593472.6512879934</v>
      </c>
      <c r="D62" s="198" t="s">
        <v>43</v>
      </c>
      <c r="E62" s="198"/>
      <c r="F62" s="200"/>
    </row>
    <row r="63" spans="1:19" s="11" customFormat="1" ht="15" customHeight="1" x14ac:dyDescent="0.25">
      <c r="A63" s="198" t="s">
        <v>44</v>
      </c>
      <c r="B63" s="198"/>
      <c r="C63" s="201">
        <f>+C60*C62</f>
        <v>203099.70811573279</v>
      </c>
      <c r="D63" s="170" t="s">
        <v>45</v>
      </c>
      <c r="E63" s="198"/>
      <c r="F63" s="204"/>
    </row>
    <row r="64" spans="1:19" s="11" customFormat="1" ht="15" customHeight="1" thickBot="1" x14ac:dyDescent="0.3">
      <c r="A64" s="198" t="s">
        <v>46</v>
      </c>
      <c r="B64" s="198"/>
      <c r="C64" s="205">
        <f>+C62-C63</f>
        <v>4390372.9431722602</v>
      </c>
      <c r="D64" s="198"/>
      <c r="E64" s="198"/>
      <c r="F64" s="200"/>
    </row>
    <row r="65" spans="8:9" ht="15" customHeight="1" thickTop="1" x14ac:dyDescent="0.25">
      <c r="H65" s="11" t="s">
        <v>47</v>
      </c>
      <c r="I65" s="206">
        <f>[3]Capital!$O$35</f>
        <v>5650532.4252107032</v>
      </c>
    </row>
    <row r="66" spans="8:9" ht="15" customHeight="1" x14ac:dyDescent="0.25">
      <c r="H66" s="11" t="s">
        <v>48</v>
      </c>
      <c r="I66" s="206">
        <f>-[3]Capital!$O$34</f>
        <v>681.35384615384601</v>
      </c>
    </row>
    <row r="67" spans="8:9" ht="15" customHeight="1" thickBot="1" x14ac:dyDescent="0.3">
      <c r="H67" s="11"/>
      <c r="I67" s="207">
        <f>SUM(I65:I66)</f>
        <v>5651213.7790568573</v>
      </c>
    </row>
    <row r="68" spans="8:9" ht="15" customHeight="1" thickTop="1" x14ac:dyDescent="0.25"/>
    <row r="69" spans="8:9" ht="15" customHeight="1" x14ac:dyDescent="0.25">
      <c r="H69" s="173" t="s">
        <v>49</v>
      </c>
    </row>
  </sheetData>
  <mergeCells count="1">
    <mergeCell ref="C51:P51"/>
  </mergeCells>
  <pageMargins left="1" right="0" top="1" bottom="0" header="0" footer="0"/>
  <pageSetup scale="65" orientation="landscape" r:id="rId1"/>
  <headerFooter alignWithMargins="0"/>
  <customProperties>
    <customPr name="EpmWorksheetKeyString_GUID" r:id="rId2"/>
  </customProperties>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90693-9B59-42B0-8689-70F0A8E250BB}">
  <sheetPr>
    <tabColor theme="5" tint="0.79998168889431442"/>
  </sheetPr>
  <dimension ref="A1:I131"/>
  <sheetViews>
    <sheetView showOutlineSymbols="0" topLeftCell="A22" workbookViewId="0">
      <selection activeCell="I102" sqref="I102:I103"/>
    </sheetView>
  </sheetViews>
  <sheetFormatPr defaultRowHeight="13.2" outlineLevelRow="2" outlineLevelCol="1" x14ac:dyDescent="0.25"/>
  <cols>
    <col min="1" max="1" width="57.109375" bestFit="1" customWidth="1"/>
    <col min="2" max="2" width="10.109375" bestFit="1" customWidth="1"/>
    <col min="3" max="3" width="14.6640625" hidden="1" customWidth="1" outlineLevel="1"/>
    <col min="4" max="4" width="12.5546875" bestFit="1" customWidth="1" collapsed="1"/>
    <col min="5" max="5" width="13" hidden="1" customWidth="1" outlineLevel="1"/>
    <col min="6" max="7" width="14.33203125" hidden="1" customWidth="1" outlineLevel="1"/>
    <col min="8" max="8" width="9.109375" collapsed="1"/>
    <col min="9" max="9" width="12.33203125" bestFit="1" customWidth="1"/>
  </cols>
  <sheetData>
    <row r="1" spans="1:7" ht="19.8" x14ac:dyDescent="0.4">
      <c r="A1" s="100" t="s">
        <v>251</v>
      </c>
      <c r="B1" s="100"/>
      <c r="C1" s="262" t="s">
        <v>252</v>
      </c>
      <c r="D1" s="262"/>
      <c r="E1" s="262"/>
      <c r="F1" s="262"/>
      <c r="G1" s="262"/>
    </row>
    <row r="2" spans="1:7" ht="19.8" x14ac:dyDescent="0.4">
      <c r="A2" s="100" t="s">
        <v>253</v>
      </c>
      <c r="B2" s="100"/>
      <c r="C2" s="107"/>
      <c r="D2" s="107"/>
      <c r="E2" s="107"/>
      <c r="F2" s="107"/>
      <c r="G2" s="107"/>
    </row>
    <row r="3" spans="1:7" ht="20.399999999999999" thickBot="1" x14ac:dyDescent="0.45">
      <c r="A3" s="101" t="s">
        <v>480</v>
      </c>
      <c r="B3" s="101"/>
      <c r="C3" s="108">
        <v>2024</v>
      </c>
      <c r="D3" s="108">
        <v>2025</v>
      </c>
      <c r="E3" s="108">
        <v>2026</v>
      </c>
      <c r="F3" s="108">
        <v>2027</v>
      </c>
      <c r="G3" s="108">
        <v>2028</v>
      </c>
    </row>
    <row r="5" spans="1:7" ht="14.4" x14ac:dyDescent="0.3">
      <c r="A5" s="102" t="s">
        <v>65</v>
      </c>
      <c r="B5" s="102"/>
    </row>
    <row r="6" spans="1:7" hidden="1" outlineLevel="1" x14ac:dyDescent="0.25">
      <c r="A6" s="103" t="s">
        <v>66</v>
      </c>
      <c r="B6" s="103"/>
    </row>
    <row r="7" spans="1:7" hidden="1" outlineLevel="1" x14ac:dyDescent="0.25">
      <c r="A7" s="104" t="s">
        <v>67</v>
      </c>
      <c r="B7" s="123">
        <v>40500</v>
      </c>
      <c r="C7" s="109">
        <v>-4470000</v>
      </c>
      <c r="D7" s="109">
        <v>-4470000</v>
      </c>
      <c r="E7" s="109">
        <v>-3170000</v>
      </c>
      <c r="F7" s="109">
        <v>-3170000</v>
      </c>
      <c r="G7" s="109">
        <v>-3170000</v>
      </c>
    </row>
    <row r="8" spans="1:7" hidden="1" outlineLevel="1" x14ac:dyDescent="0.25">
      <c r="A8" s="104" t="s">
        <v>481</v>
      </c>
      <c r="B8" s="123">
        <v>41360</v>
      </c>
      <c r="C8" s="110">
        <v>0</v>
      </c>
      <c r="D8" s="110">
        <v>0</v>
      </c>
      <c r="E8" s="110">
        <v>0</v>
      </c>
      <c r="F8" s="110">
        <v>0</v>
      </c>
      <c r="G8" s="110">
        <v>0</v>
      </c>
    </row>
    <row r="9" spans="1:7" ht="14.4" collapsed="1" x14ac:dyDescent="0.3">
      <c r="A9" s="102" t="s">
        <v>482</v>
      </c>
      <c r="B9" s="123"/>
      <c r="C9" s="111">
        <v>-4470000</v>
      </c>
      <c r="D9" s="111">
        <v>-4470000</v>
      </c>
      <c r="E9" s="111">
        <v>-3170000</v>
      </c>
      <c r="F9" s="111">
        <v>-3170000</v>
      </c>
      <c r="G9" s="111">
        <v>-3170000</v>
      </c>
    </row>
    <row r="10" spans="1:7" x14ac:dyDescent="0.25">
      <c r="B10" s="123"/>
      <c r="C10" s="112"/>
      <c r="D10" s="112"/>
      <c r="E10" s="112"/>
      <c r="F10" s="112"/>
      <c r="G10" s="112"/>
    </row>
    <row r="11" spans="1:7" ht="14.4" x14ac:dyDescent="0.3">
      <c r="A11" s="102" t="s">
        <v>69</v>
      </c>
      <c r="B11" s="123"/>
      <c r="C11" s="112"/>
      <c r="D11" s="112"/>
      <c r="E11" s="112"/>
      <c r="F11" s="112"/>
      <c r="G11" s="112"/>
    </row>
    <row r="12" spans="1:7" hidden="1" outlineLevel="1" x14ac:dyDescent="0.25">
      <c r="A12" s="103" t="s">
        <v>70</v>
      </c>
      <c r="B12" s="123" t="s">
        <v>483</v>
      </c>
      <c r="C12" s="113">
        <v>54413675.940637052</v>
      </c>
      <c r="D12" s="113">
        <v>55856642.237868793</v>
      </c>
      <c r="E12" s="113">
        <v>57615754.490034454</v>
      </c>
      <c r="F12" s="113">
        <v>59500122.372572273</v>
      </c>
      <c r="G12" s="113">
        <v>61545398.974821404</v>
      </c>
    </row>
    <row r="13" spans="1:7" hidden="1" outlineLevel="1" x14ac:dyDescent="0.25">
      <c r="A13" s="103" t="s">
        <v>71</v>
      </c>
      <c r="B13" s="123"/>
      <c r="C13" s="114">
        <v>3466819.2426666664</v>
      </c>
      <c r="D13" s="114">
        <v>3662159.8666666667</v>
      </c>
      <c r="E13" s="114">
        <v>3336592.16</v>
      </c>
      <c r="F13" s="114">
        <v>3336592.16</v>
      </c>
      <c r="G13" s="114">
        <v>3336592.16</v>
      </c>
    </row>
    <row r="14" spans="1:7" hidden="1" outlineLevel="1" x14ac:dyDescent="0.25">
      <c r="A14" s="104" t="s">
        <v>72</v>
      </c>
      <c r="B14" s="123">
        <v>55000</v>
      </c>
      <c r="C14" s="115">
        <v>3466819.2426666664</v>
      </c>
      <c r="D14" s="115">
        <v>3662159.8666666667</v>
      </c>
      <c r="E14" s="115">
        <v>3336592.16</v>
      </c>
      <c r="F14" s="115">
        <v>3336592.16</v>
      </c>
      <c r="G14" s="115">
        <v>3336592.16</v>
      </c>
    </row>
    <row r="15" spans="1:7" ht="14.4" collapsed="1" x14ac:dyDescent="0.3">
      <c r="A15" s="102" t="s">
        <v>484</v>
      </c>
      <c r="B15" s="123"/>
      <c r="C15" s="111">
        <v>57880495.183303721</v>
      </c>
      <c r="D15" s="111">
        <v>59518802.10453546</v>
      </c>
      <c r="E15" s="111">
        <v>60952346.650034457</v>
      </c>
      <c r="F15" s="111">
        <v>62836714.532572269</v>
      </c>
      <c r="G15" s="111">
        <v>64881991.1348214</v>
      </c>
    </row>
    <row r="16" spans="1:7" x14ac:dyDescent="0.25">
      <c r="B16" s="123"/>
      <c r="C16" s="112"/>
      <c r="D16" s="112"/>
      <c r="E16" s="112"/>
      <c r="F16" s="112"/>
      <c r="G16" s="112"/>
    </row>
    <row r="17" spans="1:7" ht="15" thickBot="1" x14ac:dyDescent="0.35">
      <c r="A17" s="105" t="s">
        <v>485</v>
      </c>
      <c r="B17" s="105"/>
      <c r="C17" s="116">
        <v>-62350495.183303721</v>
      </c>
      <c r="D17" s="116">
        <v>-63988802.10453546</v>
      </c>
      <c r="E17" s="116">
        <v>-64122346.650034457</v>
      </c>
      <c r="F17" s="116">
        <v>-66006714.532572269</v>
      </c>
      <c r="G17" s="116">
        <v>-68051991.1348214</v>
      </c>
    </row>
    <row r="18" spans="1:7" x14ac:dyDescent="0.25">
      <c r="B18" s="123"/>
      <c r="C18" s="112"/>
      <c r="D18" s="112"/>
      <c r="E18" s="112"/>
      <c r="F18" s="112"/>
      <c r="G18" s="112"/>
    </row>
    <row r="19" spans="1:7" ht="14.4" x14ac:dyDescent="0.3">
      <c r="A19" s="102" t="s">
        <v>75</v>
      </c>
      <c r="B19" s="123"/>
      <c r="C19" s="112"/>
      <c r="D19" s="112"/>
      <c r="E19" s="112"/>
      <c r="F19" s="112"/>
      <c r="G19" s="112"/>
    </row>
    <row r="20" spans="1:7" outlineLevel="1" x14ac:dyDescent="0.25">
      <c r="A20" s="103" t="s">
        <v>76</v>
      </c>
      <c r="B20" s="123"/>
      <c r="C20" s="114">
        <v>679773</v>
      </c>
      <c r="D20" s="114">
        <v>679773</v>
      </c>
      <c r="E20" s="114">
        <v>679773</v>
      </c>
      <c r="F20" s="114">
        <v>679773</v>
      </c>
      <c r="G20" s="114">
        <v>679773</v>
      </c>
    </row>
    <row r="21" spans="1:7" outlineLevel="1" x14ac:dyDescent="0.25">
      <c r="A21" s="104" t="s">
        <v>486</v>
      </c>
      <c r="B21" s="123">
        <v>60000</v>
      </c>
      <c r="C21" s="110">
        <v>0</v>
      </c>
      <c r="D21" s="110">
        <v>0</v>
      </c>
      <c r="E21" s="110">
        <v>0</v>
      </c>
      <c r="F21" s="110">
        <v>0</v>
      </c>
      <c r="G21" s="110">
        <v>0</v>
      </c>
    </row>
    <row r="22" spans="1:7" outlineLevel="1" x14ac:dyDescent="0.25">
      <c r="A22" s="104" t="s">
        <v>487</v>
      </c>
      <c r="B22" s="123">
        <v>60050</v>
      </c>
      <c r="C22" s="109">
        <v>679773</v>
      </c>
      <c r="D22" s="109">
        <v>679773</v>
      </c>
      <c r="E22" s="109">
        <v>679773</v>
      </c>
      <c r="F22" s="109">
        <v>679773</v>
      </c>
      <c r="G22" s="109">
        <v>679773</v>
      </c>
    </row>
    <row r="23" spans="1:7" outlineLevel="1" x14ac:dyDescent="0.25">
      <c r="A23" s="103" t="s">
        <v>79</v>
      </c>
      <c r="B23" s="123"/>
      <c r="C23" s="112">
        <v>453817015.91419995</v>
      </c>
      <c r="D23" s="112">
        <v>429157496.34420002</v>
      </c>
      <c r="E23" s="112">
        <v>373612113.42420006</v>
      </c>
      <c r="F23" s="112">
        <v>547126730.55420005</v>
      </c>
      <c r="G23" s="112">
        <v>543749347.63419998</v>
      </c>
    </row>
    <row r="24" spans="1:7" outlineLevel="1" x14ac:dyDescent="0.25">
      <c r="A24" s="104" t="s">
        <v>81</v>
      </c>
      <c r="B24" s="123">
        <v>77000</v>
      </c>
      <c r="C24" s="109">
        <v>0</v>
      </c>
      <c r="D24" s="109">
        <v>0</v>
      </c>
      <c r="E24" s="109">
        <v>0</v>
      </c>
      <c r="F24" s="109">
        <v>0</v>
      </c>
      <c r="G24" s="109">
        <v>0</v>
      </c>
    </row>
    <row r="25" spans="1:7" outlineLevel="1" x14ac:dyDescent="0.25">
      <c r="A25" s="104" t="s">
        <v>488</v>
      </c>
      <c r="B25" s="123">
        <v>77050</v>
      </c>
      <c r="C25" s="110">
        <v>0</v>
      </c>
      <c r="D25" s="110">
        <v>0</v>
      </c>
      <c r="E25" s="110">
        <v>0</v>
      </c>
      <c r="F25" s="110">
        <v>0</v>
      </c>
      <c r="G25" s="110">
        <v>0</v>
      </c>
    </row>
    <row r="26" spans="1:7" outlineLevel="1" x14ac:dyDescent="0.25">
      <c r="A26" s="104" t="s">
        <v>82</v>
      </c>
      <c r="B26" s="123">
        <v>77200</v>
      </c>
      <c r="C26" s="110">
        <v>0</v>
      </c>
      <c r="D26" s="110">
        <v>0</v>
      </c>
      <c r="E26" s="110">
        <v>0</v>
      </c>
      <c r="F26" s="110">
        <v>0</v>
      </c>
      <c r="G26" s="110">
        <v>0</v>
      </c>
    </row>
    <row r="27" spans="1:7" outlineLevel="1" x14ac:dyDescent="0.25">
      <c r="A27" s="103" t="s">
        <v>489</v>
      </c>
      <c r="B27" s="123"/>
      <c r="C27" s="112">
        <v>453817015.91419995</v>
      </c>
      <c r="D27" s="112">
        <v>429157496.34420002</v>
      </c>
      <c r="E27" s="112">
        <v>373612113.42420006</v>
      </c>
      <c r="F27" s="112">
        <v>547126730.55420005</v>
      </c>
      <c r="G27" s="112">
        <v>543749347.63419998</v>
      </c>
    </row>
    <row r="28" spans="1:7" outlineLevel="1" x14ac:dyDescent="0.25">
      <c r="A28" s="104" t="s">
        <v>84</v>
      </c>
      <c r="B28" s="123">
        <v>41600</v>
      </c>
      <c r="C28" s="110">
        <v>0</v>
      </c>
      <c r="D28" s="110">
        <v>0</v>
      </c>
      <c r="E28" s="110">
        <v>0</v>
      </c>
      <c r="F28" s="110">
        <v>0</v>
      </c>
      <c r="G28" s="110">
        <v>0</v>
      </c>
    </row>
    <row r="29" spans="1:7" outlineLevel="1" x14ac:dyDescent="0.25">
      <c r="A29" s="104" t="s">
        <v>85</v>
      </c>
      <c r="B29" s="123">
        <v>41700</v>
      </c>
      <c r="C29" s="117">
        <v>108697602.97760001</v>
      </c>
      <c r="D29" s="117">
        <v>108553815.97760001</v>
      </c>
      <c r="E29" s="117">
        <v>108553815.97760001</v>
      </c>
      <c r="F29" s="117">
        <v>108553815.97760001</v>
      </c>
      <c r="G29" s="117">
        <v>108553815.97760001</v>
      </c>
    </row>
    <row r="30" spans="1:7" outlineLevel="1" x14ac:dyDescent="0.25">
      <c r="B30" s="123"/>
      <c r="C30" s="118"/>
      <c r="D30" s="118"/>
      <c r="E30" s="118"/>
      <c r="F30" s="118"/>
      <c r="G30" s="118"/>
    </row>
    <row r="31" spans="1:7" hidden="1" outlineLevel="2" x14ac:dyDescent="0.25">
      <c r="A31" s="106" t="s">
        <v>257</v>
      </c>
      <c r="B31" s="123" t="s">
        <v>258</v>
      </c>
      <c r="C31" s="109">
        <v>0</v>
      </c>
      <c r="D31" s="109">
        <v>0</v>
      </c>
      <c r="E31" s="109">
        <v>0</v>
      </c>
      <c r="F31" s="109">
        <v>0</v>
      </c>
      <c r="G31" s="109">
        <v>0</v>
      </c>
    </row>
    <row r="32" spans="1:7" hidden="1" outlineLevel="2" x14ac:dyDescent="0.25">
      <c r="A32" s="106" t="s">
        <v>259</v>
      </c>
      <c r="B32" s="123" t="s">
        <v>260</v>
      </c>
      <c r="C32" s="109">
        <v>0</v>
      </c>
      <c r="D32" s="109">
        <v>0</v>
      </c>
      <c r="E32" s="109">
        <v>0</v>
      </c>
      <c r="F32" s="109">
        <v>0</v>
      </c>
      <c r="G32" s="109">
        <v>0</v>
      </c>
    </row>
    <row r="33" spans="1:7" hidden="1" outlineLevel="2" x14ac:dyDescent="0.25">
      <c r="A33" s="106" t="s">
        <v>261</v>
      </c>
      <c r="B33" s="123" t="s">
        <v>327</v>
      </c>
      <c r="C33" s="110">
        <v>0</v>
      </c>
      <c r="D33" s="110">
        <v>0</v>
      </c>
      <c r="E33" s="110">
        <v>0</v>
      </c>
      <c r="F33" s="110">
        <v>0</v>
      </c>
      <c r="G33" s="110">
        <v>0</v>
      </c>
    </row>
    <row r="34" spans="1:7" hidden="1" outlineLevel="2" x14ac:dyDescent="0.25">
      <c r="A34" s="106" t="s">
        <v>263</v>
      </c>
      <c r="B34" s="123" t="s">
        <v>264</v>
      </c>
      <c r="C34" s="117">
        <v>5804484</v>
      </c>
      <c r="D34" s="117">
        <v>5804484</v>
      </c>
      <c r="E34" s="117">
        <v>5804484</v>
      </c>
      <c r="F34" s="117">
        <v>5804484</v>
      </c>
      <c r="G34" s="117">
        <v>5804484</v>
      </c>
    </row>
    <row r="35" spans="1:7" hidden="1" outlineLevel="2" x14ac:dyDescent="0.25">
      <c r="A35" s="106" t="s">
        <v>265</v>
      </c>
      <c r="B35" s="123" t="s">
        <v>266</v>
      </c>
      <c r="C35" s="117">
        <v>11894</v>
      </c>
      <c r="D35" s="117">
        <v>11894</v>
      </c>
      <c r="E35" s="117">
        <v>11894</v>
      </c>
      <c r="F35" s="117">
        <v>11894</v>
      </c>
      <c r="G35" s="117">
        <v>11894</v>
      </c>
    </row>
    <row r="36" spans="1:7" hidden="1" outlineLevel="2" x14ac:dyDescent="0.25">
      <c r="A36" s="106" t="s">
        <v>267</v>
      </c>
      <c r="B36" s="123" t="s">
        <v>268</v>
      </c>
      <c r="C36" s="110">
        <v>0</v>
      </c>
      <c r="D36" s="110">
        <v>0</v>
      </c>
      <c r="E36" s="110">
        <v>0</v>
      </c>
      <c r="F36" s="110">
        <v>0</v>
      </c>
      <c r="G36" s="110">
        <v>0</v>
      </c>
    </row>
    <row r="37" spans="1:7" hidden="1" outlineLevel="2" x14ac:dyDescent="0.25">
      <c r="A37" s="106" t="s">
        <v>269</v>
      </c>
      <c r="B37" s="123" t="s">
        <v>270</v>
      </c>
      <c r="C37" s="109">
        <v>0</v>
      </c>
      <c r="D37" s="109">
        <v>0</v>
      </c>
      <c r="E37" s="109">
        <v>0</v>
      </c>
      <c r="F37" s="109">
        <v>0</v>
      </c>
      <c r="G37" s="109">
        <v>0</v>
      </c>
    </row>
    <row r="38" spans="1:7" hidden="1" outlineLevel="2" x14ac:dyDescent="0.25">
      <c r="A38" s="106" t="s">
        <v>271</v>
      </c>
      <c r="B38" s="123" t="s">
        <v>272</v>
      </c>
      <c r="C38" s="109">
        <v>0</v>
      </c>
      <c r="D38" s="109">
        <v>0</v>
      </c>
      <c r="E38" s="109">
        <v>0</v>
      </c>
      <c r="F38" s="109">
        <v>0</v>
      </c>
      <c r="G38" s="109">
        <v>0</v>
      </c>
    </row>
    <row r="39" spans="1:7" hidden="1" outlineLevel="2" x14ac:dyDescent="0.25">
      <c r="A39" s="106" t="s">
        <v>273</v>
      </c>
      <c r="B39" s="123" t="s">
        <v>274</v>
      </c>
      <c r="C39" s="117">
        <v>1080574</v>
      </c>
      <c r="D39" s="117">
        <v>1080574</v>
      </c>
      <c r="E39" s="117">
        <v>1080574</v>
      </c>
      <c r="F39" s="117">
        <v>1080574</v>
      </c>
      <c r="G39" s="117">
        <v>1080574</v>
      </c>
    </row>
    <row r="40" spans="1:7" hidden="1" outlineLevel="2" x14ac:dyDescent="0.25">
      <c r="A40" s="106" t="s">
        <v>275</v>
      </c>
      <c r="B40" s="123" t="s">
        <v>276</v>
      </c>
      <c r="C40" s="110">
        <v>0</v>
      </c>
      <c r="D40" s="110">
        <v>0</v>
      </c>
      <c r="E40" s="110">
        <v>0</v>
      </c>
      <c r="F40" s="110">
        <v>0</v>
      </c>
      <c r="G40" s="110">
        <v>0</v>
      </c>
    </row>
    <row r="41" spans="1:7" hidden="1" outlineLevel="2" x14ac:dyDescent="0.25">
      <c r="A41" s="106" t="s">
        <v>277</v>
      </c>
      <c r="B41" s="123" t="s">
        <v>278</v>
      </c>
      <c r="C41" s="110">
        <v>0</v>
      </c>
      <c r="D41" s="110">
        <v>0</v>
      </c>
      <c r="E41" s="110">
        <v>0</v>
      </c>
      <c r="F41" s="110">
        <v>0</v>
      </c>
      <c r="G41" s="110">
        <v>0</v>
      </c>
    </row>
    <row r="42" spans="1:7" hidden="1" outlineLevel="2" x14ac:dyDescent="0.25">
      <c r="A42" s="106" t="s">
        <v>279</v>
      </c>
      <c r="B42" s="123" t="s">
        <v>280</v>
      </c>
      <c r="C42" s="110">
        <v>0</v>
      </c>
      <c r="D42" s="110">
        <v>0</v>
      </c>
      <c r="E42" s="110">
        <v>0</v>
      </c>
      <c r="F42" s="110">
        <v>0</v>
      </c>
      <c r="G42" s="110">
        <v>0</v>
      </c>
    </row>
    <row r="43" spans="1:7" hidden="1" outlineLevel="2" x14ac:dyDescent="0.25">
      <c r="A43" s="106" t="s">
        <v>281</v>
      </c>
      <c r="B43" s="123" t="s">
        <v>282</v>
      </c>
      <c r="C43" s="110">
        <v>0</v>
      </c>
      <c r="D43" s="110">
        <v>0</v>
      </c>
      <c r="E43" s="110">
        <v>0</v>
      </c>
      <c r="F43" s="110">
        <v>0</v>
      </c>
      <c r="G43" s="110">
        <v>0</v>
      </c>
    </row>
    <row r="44" spans="1:7" hidden="1" outlineLevel="2" x14ac:dyDescent="0.25">
      <c r="A44" s="106" t="s">
        <v>283</v>
      </c>
      <c r="B44" s="123" t="s">
        <v>284</v>
      </c>
      <c r="C44" s="110">
        <v>0</v>
      </c>
      <c r="D44" s="110">
        <v>0</v>
      </c>
      <c r="E44" s="110">
        <v>0</v>
      </c>
      <c r="F44" s="110">
        <v>0</v>
      </c>
      <c r="G44" s="110">
        <v>0</v>
      </c>
    </row>
    <row r="45" spans="1:7" hidden="1" outlineLevel="2" x14ac:dyDescent="0.25">
      <c r="A45" s="106" t="s">
        <v>285</v>
      </c>
      <c r="B45" s="123" t="s">
        <v>286</v>
      </c>
      <c r="C45" s="110">
        <v>0</v>
      </c>
      <c r="D45" s="110">
        <v>0</v>
      </c>
      <c r="E45" s="110">
        <v>0</v>
      </c>
      <c r="F45" s="110">
        <v>0</v>
      </c>
      <c r="G45" s="110">
        <v>0</v>
      </c>
    </row>
    <row r="46" spans="1:7" hidden="1" outlineLevel="2" x14ac:dyDescent="0.25">
      <c r="A46" s="106" t="s">
        <v>287</v>
      </c>
      <c r="B46" s="123" t="s">
        <v>288</v>
      </c>
      <c r="C46" s="110">
        <v>0</v>
      </c>
      <c r="D46" s="110">
        <v>0</v>
      </c>
      <c r="E46" s="110">
        <v>0</v>
      </c>
      <c r="F46" s="110">
        <v>0</v>
      </c>
      <c r="G46" s="110">
        <v>0</v>
      </c>
    </row>
    <row r="47" spans="1:7" hidden="1" outlineLevel="2" x14ac:dyDescent="0.25">
      <c r="A47" s="106" t="s">
        <v>289</v>
      </c>
      <c r="B47" s="123" t="s">
        <v>290</v>
      </c>
      <c r="C47" s="110">
        <v>0</v>
      </c>
      <c r="D47" s="110">
        <v>0</v>
      </c>
      <c r="E47" s="110">
        <v>0</v>
      </c>
      <c r="F47" s="110">
        <v>0</v>
      </c>
      <c r="G47" s="110">
        <v>0</v>
      </c>
    </row>
    <row r="48" spans="1:7" hidden="1" outlineLevel="2" x14ac:dyDescent="0.25">
      <c r="A48" s="106" t="s">
        <v>291</v>
      </c>
      <c r="B48" s="123" t="s">
        <v>292</v>
      </c>
      <c r="C48" s="117">
        <v>52627968</v>
      </c>
      <c r="D48" s="117">
        <v>52484181</v>
      </c>
      <c r="E48" s="117">
        <v>52484181</v>
      </c>
      <c r="F48" s="117">
        <v>52484181</v>
      </c>
      <c r="G48" s="117">
        <v>52484181</v>
      </c>
    </row>
    <row r="49" spans="1:7" hidden="1" outlineLevel="2" x14ac:dyDescent="0.25">
      <c r="A49" s="106" t="s">
        <v>293</v>
      </c>
      <c r="B49" s="123" t="s">
        <v>294</v>
      </c>
      <c r="C49" s="110">
        <v>0</v>
      </c>
      <c r="D49" s="110">
        <v>0</v>
      </c>
      <c r="E49" s="110">
        <v>0</v>
      </c>
      <c r="F49" s="110">
        <v>0</v>
      </c>
      <c r="G49" s="110">
        <v>0</v>
      </c>
    </row>
    <row r="50" spans="1:7" hidden="1" outlineLevel="2" x14ac:dyDescent="0.25">
      <c r="A50" s="106" t="s">
        <v>295</v>
      </c>
      <c r="B50" s="123" t="s">
        <v>296</v>
      </c>
      <c r="C50" s="110">
        <v>0</v>
      </c>
      <c r="D50" s="110">
        <v>0</v>
      </c>
      <c r="E50" s="110">
        <v>0</v>
      </c>
      <c r="F50" s="110">
        <v>0</v>
      </c>
      <c r="G50" s="110">
        <v>0</v>
      </c>
    </row>
    <row r="51" spans="1:7" hidden="1" outlineLevel="2" x14ac:dyDescent="0.25">
      <c r="A51" s="106" t="s">
        <v>297</v>
      </c>
      <c r="B51" s="123" t="s">
        <v>298</v>
      </c>
      <c r="C51" s="110">
        <v>0</v>
      </c>
      <c r="D51" s="110">
        <v>0</v>
      </c>
      <c r="E51" s="110">
        <v>0</v>
      </c>
      <c r="F51" s="110">
        <v>0</v>
      </c>
      <c r="G51" s="110">
        <v>0</v>
      </c>
    </row>
    <row r="52" spans="1:7" hidden="1" outlineLevel="2" x14ac:dyDescent="0.25">
      <c r="A52" s="106" t="s">
        <v>299</v>
      </c>
      <c r="B52" s="123" t="s">
        <v>300</v>
      </c>
      <c r="C52" s="110">
        <v>0</v>
      </c>
      <c r="D52" s="110">
        <v>0</v>
      </c>
      <c r="E52" s="110">
        <v>0</v>
      </c>
      <c r="F52" s="110">
        <v>0</v>
      </c>
      <c r="G52" s="110">
        <v>0</v>
      </c>
    </row>
    <row r="53" spans="1:7" hidden="1" outlineLevel="2" x14ac:dyDescent="0.25">
      <c r="A53" s="106" t="s">
        <v>301</v>
      </c>
      <c r="B53" s="123" t="s">
        <v>302</v>
      </c>
      <c r="C53" s="117">
        <v>49172682.977600001</v>
      </c>
      <c r="D53" s="117">
        <v>49172682.977600001</v>
      </c>
      <c r="E53" s="117">
        <v>49172682.977600001</v>
      </c>
      <c r="F53" s="117">
        <v>49172682.977600001</v>
      </c>
      <c r="G53" s="117">
        <v>49172682.977600001</v>
      </c>
    </row>
    <row r="54" spans="1:7" hidden="1" outlineLevel="2" x14ac:dyDescent="0.25">
      <c r="A54" s="106" t="s">
        <v>303</v>
      </c>
      <c r="B54" s="123" t="s">
        <v>304</v>
      </c>
      <c r="C54" s="110">
        <v>0</v>
      </c>
      <c r="D54" s="110">
        <v>0</v>
      </c>
      <c r="E54" s="110">
        <v>0</v>
      </c>
      <c r="F54" s="110">
        <v>0</v>
      </c>
      <c r="G54" s="110">
        <v>0</v>
      </c>
    </row>
    <row r="55" spans="1:7" hidden="1" outlineLevel="2" x14ac:dyDescent="0.25">
      <c r="A55" s="106" t="s">
        <v>305</v>
      </c>
      <c r="B55" s="123" t="s">
        <v>306</v>
      </c>
      <c r="C55" s="110">
        <v>0</v>
      </c>
      <c r="D55" s="110">
        <v>0</v>
      </c>
      <c r="E55" s="110">
        <v>0</v>
      </c>
      <c r="F55" s="110">
        <v>0</v>
      </c>
      <c r="G55" s="110">
        <v>0</v>
      </c>
    </row>
    <row r="56" spans="1:7" hidden="1" outlineLevel="2" x14ac:dyDescent="0.25">
      <c r="A56" s="106" t="s">
        <v>307</v>
      </c>
      <c r="B56" s="123" t="s">
        <v>308</v>
      </c>
      <c r="C56" s="110">
        <v>0</v>
      </c>
      <c r="D56" s="110">
        <v>0</v>
      </c>
      <c r="E56" s="110">
        <v>0</v>
      </c>
      <c r="F56" s="110">
        <v>0</v>
      </c>
      <c r="G56" s="110">
        <v>0</v>
      </c>
    </row>
    <row r="57" spans="1:7" hidden="1" outlineLevel="2" x14ac:dyDescent="0.25">
      <c r="A57" s="106" t="s">
        <v>309</v>
      </c>
      <c r="B57" s="123" t="s">
        <v>310</v>
      </c>
      <c r="C57" s="110">
        <v>0</v>
      </c>
      <c r="D57" s="110">
        <v>0</v>
      </c>
      <c r="E57" s="110">
        <v>0</v>
      </c>
      <c r="F57" s="110">
        <v>0</v>
      </c>
      <c r="G57" s="110">
        <v>0</v>
      </c>
    </row>
    <row r="58" spans="1:7" hidden="1" outlineLevel="2" x14ac:dyDescent="0.25">
      <c r="A58" t="s">
        <v>311</v>
      </c>
      <c r="B58" s="123"/>
      <c r="C58" s="112">
        <v>0</v>
      </c>
      <c r="D58" s="112">
        <v>0</v>
      </c>
      <c r="E58" s="112">
        <v>0</v>
      </c>
      <c r="F58" s="112">
        <v>0</v>
      </c>
      <c r="G58" s="112">
        <v>0</v>
      </c>
    </row>
    <row r="59" spans="1:7" hidden="1" outlineLevel="2" x14ac:dyDescent="0.25">
      <c r="B59" s="123"/>
      <c r="C59" s="112"/>
      <c r="D59" s="112"/>
      <c r="E59" s="112"/>
      <c r="F59" s="112"/>
      <c r="G59" s="112"/>
    </row>
    <row r="60" spans="1:7" outlineLevel="1" collapsed="1" x14ac:dyDescent="0.25">
      <c r="A60" s="104" t="s">
        <v>490</v>
      </c>
      <c r="B60" s="123">
        <v>41900</v>
      </c>
      <c r="C60" s="117">
        <v>0</v>
      </c>
      <c r="D60" s="117">
        <v>0</v>
      </c>
      <c r="E60" s="117">
        <v>0</v>
      </c>
      <c r="F60" s="117">
        <v>0</v>
      </c>
      <c r="G60" s="117">
        <v>0</v>
      </c>
    </row>
    <row r="61" spans="1:7" outlineLevel="1" x14ac:dyDescent="0.25">
      <c r="B61" s="123"/>
      <c r="C61" s="112"/>
      <c r="D61" s="112"/>
      <c r="E61" s="112"/>
      <c r="F61" s="112"/>
      <c r="G61" s="112"/>
    </row>
    <row r="62" spans="1:7" hidden="1" outlineLevel="2" x14ac:dyDescent="0.25">
      <c r="A62" s="106" t="s">
        <v>257</v>
      </c>
      <c r="B62" s="123" t="s">
        <v>258</v>
      </c>
      <c r="C62" s="110">
        <v>0</v>
      </c>
      <c r="D62" s="110">
        <v>0</v>
      </c>
      <c r="E62" s="110">
        <v>0</v>
      </c>
      <c r="F62" s="110">
        <v>0</v>
      </c>
      <c r="G62" s="110">
        <v>0</v>
      </c>
    </row>
    <row r="63" spans="1:7" hidden="1" outlineLevel="2" x14ac:dyDescent="0.25">
      <c r="A63" s="106" t="s">
        <v>269</v>
      </c>
      <c r="B63" s="123" t="s">
        <v>270</v>
      </c>
      <c r="C63" s="110">
        <v>0</v>
      </c>
      <c r="D63" s="110">
        <v>0</v>
      </c>
      <c r="E63" s="110">
        <v>0</v>
      </c>
      <c r="F63" s="110">
        <v>0</v>
      </c>
      <c r="G63" s="110">
        <v>0</v>
      </c>
    </row>
    <row r="64" spans="1:7" hidden="1" outlineLevel="2" x14ac:dyDescent="0.25">
      <c r="A64" s="106" t="s">
        <v>407</v>
      </c>
      <c r="B64" s="123" t="s">
        <v>408</v>
      </c>
      <c r="C64" s="110">
        <v>0</v>
      </c>
      <c r="D64" s="110">
        <v>0</v>
      </c>
      <c r="E64" s="110">
        <v>0</v>
      </c>
      <c r="F64" s="110">
        <v>0</v>
      </c>
      <c r="G64" s="110">
        <v>0</v>
      </c>
    </row>
    <row r="65" spans="1:7" hidden="1" outlineLevel="2" x14ac:dyDescent="0.25">
      <c r="A65" s="106" t="s">
        <v>409</v>
      </c>
      <c r="B65" s="123" t="s">
        <v>410</v>
      </c>
      <c r="C65" s="110">
        <v>0</v>
      </c>
      <c r="D65" s="110">
        <v>0</v>
      </c>
      <c r="E65" s="110">
        <v>0</v>
      </c>
      <c r="F65" s="110">
        <v>0</v>
      </c>
      <c r="G65" s="110">
        <v>0</v>
      </c>
    </row>
    <row r="66" spans="1:7" hidden="1" outlineLevel="2" x14ac:dyDescent="0.25">
      <c r="A66" s="106" t="s">
        <v>411</v>
      </c>
      <c r="B66" s="123" t="s">
        <v>412</v>
      </c>
      <c r="C66" s="110">
        <v>0</v>
      </c>
      <c r="D66" s="110">
        <v>0</v>
      </c>
      <c r="E66" s="110">
        <v>0</v>
      </c>
      <c r="F66" s="110">
        <v>0</v>
      </c>
      <c r="G66" s="110">
        <v>0</v>
      </c>
    </row>
    <row r="67" spans="1:7" hidden="1" outlineLevel="2" x14ac:dyDescent="0.25">
      <c r="A67" s="106" t="s">
        <v>400</v>
      </c>
      <c r="B67" s="123" t="s">
        <v>401</v>
      </c>
      <c r="C67" s="110">
        <v>0</v>
      </c>
      <c r="D67" s="110">
        <v>0</v>
      </c>
      <c r="E67" s="110">
        <v>0</v>
      </c>
      <c r="F67" s="110">
        <v>0</v>
      </c>
      <c r="G67" s="110">
        <v>0</v>
      </c>
    </row>
    <row r="68" spans="1:7" hidden="1" outlineLevel="2" x14ac:dyDescent="0.25">
      <c r="A68" t="s">
        <v>311</v>
      </c>
      <c r="B68" s="123"/>
      <c r="C68" s="112">
        <v>0</v>
      </c>
      <c r="D68" s="112">
        <v>0</v>
      </c>
      <c r="E68" s="112">
        <v>0</v>
      </c>
      <c r="F68" s="112">
        <v>0</v>
      </c>
      <c r="G68" s="112">
        <v>0</v>
      </c>
    </row>
    <row r="69" spans="1:7" hidden="1" outlineLevel="2" x14ac:dyDescent="0.25">
      <c r="B69" s="123"/>
      <c r="C69" s="112"/>
      <c r="D69" s="112"/>
      <c r="E69" s="112"/>
      <c r="F69" s="112"/>
      <c r="G69" s="112"/>
    </row>
    <row r="70" spans="1:7" outlineLevel="1" collapsed="1" x14ac:dyDescent="0.25">
      <c r="A70" s="104" t="s">
        <v>491</v>
      </c>
      <c r="B70" s="123">
        <v>41905</v>
      </c>
      <c r="C70" s="118">
        <v>0</v>
      </c>
      <c r="D70" s="118">
        <v>0</v>
      </c>
      <c r="E70" s="118">
        <v>0</v>
      </c>
      <c r="F70" s="118">
        <v>0</v>
      </c>
      <c r="G70" s="118">
        <v>0</v>
      </c>
    </row>
    <row r="71" spans="1:7" outlineLevel="1" x14ac:dyDescent="0.25">
      <c r="A71" s="104" t="s">
        <v>86</v>
      </c>
      <c r="B71" s="123">
        <v>41910</v>
      </c>
      <c r="C71" s="109">
        <v>345429412.93659997</v>
      </c>
      <c r="D71" s="109">
        <v>321064680.36660004</v>
      </c>
      <c r="E71" s="109">
        <v>265720297.44660002</v>
      </c>
      <c r="F71" s="109">
        <v>439475914.57660002</v>
      </c>
      <c r="G71" s="109">
        <v>436231531.6566</v>
      </c>
    </row>
    <row r="72" spans="1:7" hidden="1" outlineLevel="2" x14ac:dyDescent="0.25">
      <c r="B72" s="123"/>
      <c r="C72" s="112"/>
      <c r="D72" s="112"/>
      <c r="E72" s="112"/>
      <c r="F72" s="112"/>
      <c r="G72" s="112"/>
    </row>
    <row r="73" spans="1:7" hidden="1" outlineLevel="2" x14ac:dyDescent="0.25">
      <c r="A73" s="106" t="s">
        <v>257</v>
      </c>
      <c r="B73" s="123" t="s">
        <v>258</v>
      </c>
      <c r="C73" s="117">
        <v>120000000</v>
      </c>
      <c r="D73" s="117">
        <v>40000000</v>
      </c>
      <c r="E73" s="117">
        <v>0</v>
      </c>
      <c r="F73" s="119">
        <v>142550000</v>
      </c>
      <c r="G73" s="119">
        <v>137450000</v>
      </c>
    </row>
    <row r="74" spans="1:7" hidden="1" outlineLevel="2" x14ac:dyDescent="0.25">
      <c r="A74" s="106" t="s">
        <v>261</v>
      </c>
      <c r="B74" s="123" t="s">
        <v>327</v>
      </c>
      <c r="C74" s="110">
        <v>0</v>
      </c>
      <c r="D74" s="110">
        <v>0</v>
      </c>
      <c r="E74" s="110">
        <v>0</v>
      </c>
      <c r="F74" s="110">
        <v>0</v>
      </c>
      <c r="G74" s="110">
        <v>0</v>
      </c>
    </row>
    <row r="75" spans="1:7" hidden="1" outlineLevel="2" x14ac:dyDescent="0.25">
      <c r="A75" s="106" t="s">
        <v>263</v>
      </c>
      <c r="B75" s="123" t="s">
        <v>264</v>
      </c>
      <c r="C75" s="117">
        <v>7095520</v>
      </c>
      <c r="D75" s="117">
        <v>6395520</v>
      </c>
      <c r="E75" s="117">
        <v>5895520</v>
      </c>
      <c r="F75" s="117">
        <v>5895520</v>
      </c>
      <c r="G75" s="117">
        <v>5895520</v>
      </c>
    </row>
    <row r="76" spans="1:7" hidden="1" outlineLevel="2" x14ac:dyDescent="0.25">
      <c r="A76" s="106" t="s">
        <v>315</v>
      </c>
      <c r="B76" s="123" t="s">
        <v>316</v>
      </c>
      <c r="C76" s="110">
        <v>0</v>
      </c>
      <c r="D76" s="110">
        <v>0</v>
      </c>
      <c r="E76" s="110">
        <v>0</v>
      </c>
      <c r="F76" s="110">
        <v>0</v>
      </c>
      <c r="G76" s="110">
        <v>0</v>
      </c>
    </row>
    <row r="77" spans="1:7" hidden="1" outlineLevel="2" x14ac:dyDescent="0.25">
      <c r="A77" s="106" t="s">
        <v>336</v>
      </c>
      <c r="B77" s="123" t="s">
        <v>337</v>
      </c>
      <c r="C77" s="117">
        <v>14431341.73</v>
      </c>
      <c r="D77" s="117">
        <v>59751421.730000004</v>
      </c>
      <c r="E77" s="117">
        <v>48051421.730000004</v>
      </c>
      <c r="F77" s="117">
        <v>81201421.730000004</v>
      </c>
      <c r="G77" s="117">
        <v>87701421.729999989</v>
      </c>
    </row>
    <row r="78" spans="1:7" hidden="1" outlineLevel="2" x14ac:dyDescent="0.25">
      <c r="A78" s="106" t="s">
        <v>269</v>
      </c>
      <c r="B78" s="123" t="s">
        <v>270</v>
      </c>
      <c r="C78" s="117">
        <v>42900000</v>
      </c>
      <c r="D78" s="117">
        <v>44200000</v>
      </c>
      <c r="E78" s="117">
        <v>44200000</v>
      </c>
      <c r="F78" s="117">
        <v>45500000</v>
      </c>
      <c r="G78" s="117">
        <v>44200000</v>
      </c>
    </row>
    <row r="79" spans="1:7" hidden="1" outlineLevel="2" x14ac:dyDescent="0.25">
      <c r="A79" s="106" t="s">
        <v>338</v>
      </c>
      <c r="B79" s="123" t="s">
        <v>339</v>
      </c>
      <c r="C79" s="110">
        <v>0</v>
      </c>
      <c r="D79" s="110">
        <v>0</v>
      </c>
      <c r="E79" s="110">
        <v>0</v>
      </c>
      <c r="F79" s="110">
        <v>0</v>
      </c>
      <c r="G79" s="110">
        <v>0</v>
      </c>
    </row>
    <row r="80" spans="1:7" hidden="1" outlineLevel="2" x14ac:dyDescent="0.25">
      <c r="A80" s="106" t="s">
        <v>271</v>
      </c>
      <c r="B80" s="123" t="s">
        <v>272</v>
      </c>
      <c r="C80" s="110">
        <v>0</v>
      </c>
      <c r="D80" s="110">
        <v>0</v>
      </c>
      <c r="E80" s="110">
        <v>0</v>
      </c>
      <c r="F80" s="110">
        <v>0</v>
      </c>
      <c r="G80" s="110">
        <v>0</v>
      </c>
    </row>
    <row r="81" spans="1:7" hidden="1" outlineLevel="2" x14ac:dyDescent="0.25">
      <c r="A81" s="106" t="s">
        <v>492</v>
      </c>
      <c r="B81" s="123" t="s">
        <v>276</v>
      </c>
      <c r="C81" s="110">
        <v>0</v>
      </c>
      <c r="D81" s="110">
        <v>0</v>
      </c>
      <c r="E81" s="110">
        <v>0</v>
      </c>
      <c r="F81" s="110">
        <v>0</v>
      </c>
      <c r="G81" s="110">
        <v>0</v>
      </c>
    </row>
    <row r="82" spans="1:7" hidden="1" outlineLevel="2" x14ac:dyDescent="0.25">
      <c r="A82" s="106" t="s">
        <v>493</v>
      </c>
      <c r="B82" s="123" t="s">
        <v>354</v>
      </c>
      <c r="C82" s="117">
        <v>86223676.20660001</v>
      </c>
      <c r="D82" s="117">
        <v>86238863.636600018</v>
      </c>
      <c r="E82" s="117">
        <v>84594480.716600001</v>
      </c>
      <c r="F82" s="117">
        <v>82950097.846599996</v>
      </c>
      <c r="G82" s="117">
        <v>81305714.926600009</v>
      </c>
    </row>
    <row r="83" spans="1:7" hidden="1" outlineLevel="2" x14ac:dyDescent="0.25">
      <c r="A83" s="106" t="s">
        <v>429</v>
      </c>
      <c r="B83" s="123" t="s">
        <v>429</v>
      </c>
      <c r="C83" s="117">
        <v>44000000</v>
      </c>
      <c r="D83" s="117">
        <v>42700000</v>
      </c>
      <c r="E83" s="117">
        <v>41200000</v>
      </c>
      <c r="F83" s="117">
        <v>39600000</v>
      </c>
      <c r="G83" s="117">
        <v>37900000</v>
      </c>
    </row>
    <row r="84" spans="1:7" hidden="1" outlineLevel="2" x14ac:dyDescent="0.25">
      <c r="A84" s="106" t="s">
        <v>291</v>
      </c>
      <c r="B84" s="123" t="s">
        <v>292</v>
      </c>
      <c r="C84" s="117">
        <v>30778875</v>
      </c>
      <c r="D84" s="117">
        <v>41778875</v>
      </c>
      <c r="E84" s="117">
        <v>41778875</v>
      </c>
      <c r="F84" s="117">
        <v>41778875</v>
      </c>
      <c r="G84" s="117">
        <v>41778875</v>
      </c>
    </row>
    <row r="85" spans="1:7" hidden="1" outlineLevel="2" x14ac:dyDescent="0.25">
      <c r="A85" s="106" t="s">
        <v>299</v>
      </c>
      <c r="B85" s="123" t="s">
        <v>300</v>
      </c>
      <c r="C85" s="110">
        <v>0</v>
      </c>
      <c r="D85" s="110">
        <v>0</v>
      </c>
      <c r="E85" s="110">
        <v>0</v>
      </c>
      <c r="F85" s="110">
        <v>0</v>
      </c>
      <c r="G85" s="110">
        <v>0</v>
      </c>
    </row>
    <row r="86" spans="1:7" hidden="1" outlineLevel="2" x14ac:dyDescent="0.25">
      <c r="A86" s="106" t="s">
        <v>400</v>
      </c>
      <c r="B86" s="123" t="s">
        <v>401</v>
      </c>
      <c r="C86" s="110">
        <v>0</v>
      </c>
      <c r="D86" s="110">
        <v>0</v>
      </c>
      <c r="E86" s="110">
        <v>0</v>
      </c>
      <c r="F86" s="110">
        <v>0</v>
      </c>
      <c r="G86" s="110">
        <v>0</v>
      </c>
    </row>
    <row r="87" spans="1:7" hidden="1" outlineLevel="2" x14ac:dyDescent="0.25">
      <c r="A87" s="106" t="s">
        <v>309</v>
      </c>
      <c r="B87" s="123" t="s">
        <v>310</v>
      </c>
      <c r="C87" s="110">
        <v>0</v>
      </c>
      <c r="D87" s="110">
        <v>0</v>
      </c>
      <c r="E87" s="110">
        <v>0</v>
      </c>
      <c r="F87" s="110">
        <v>0</v>
      </c>
      <c r="G87" s="110">
        <v>0</v>
      </c>
    </row>
    <row r="88" spans="1:7" hidden="1" outlineLevel="2" x14ac:dyDescent="0.25">
      <c r="A88" t="s">
        <v>311</v>
      </c>
      <c r="B88" s="123"/>
      <c r="C88" s="112">
        <v>0</v>
      </c>
      <c r="D88" s="112">
        <v>0</v>
      </c>
      <c r="E88" s="112">
        <v>0</v>
      </c>
      <c r="F88" s="112">
        <v>0</v>
      </c>
      <c r="G88" s="112">
        <v>0</v>
      </c>
    </row>
    <row r="89" spans="1:7" hidden="1" outlineLevel="2" x14ac:dyDescent="0.25">
      <c r="B89" s="123"/>
      <c r="C89" s="112"/>
      <c r="D89" s="112"/>
      <c r="E89" s="112"/>
      <c r="F89" s="112"/>
      <c r="G89" s="112"/>
    </row>
    <row r="90" spans="1:7" outlineLevel="1" collapsed="1" x14ac:dyDescent="0.25">
      <c r="A90" s="104" t="s">
        <v>87</v>
      </c>
      <c r="B90" s="123">
        <v>78200</v>
      </c>
      <c r="C90" s="109">
        <v>0</v>
      </c>
      <c r="D90" s="109">
        <v>0</v>
      </c>
      <c r="E90" s="109">
        <v>0</v>
      </c>
      <c r="F90" s="109">
        <v>0</v>
      </c>
      <c r="G90" s="109">
        <v>0</v>
      </c>
    </row>
    <row r="91" spans="1:7" outlineLevel="1" x14ac:dyDescent="0.25">
      <c r="A91" s="104" t="s">
        <v>494</v>
      </c>
      <c r="B91" s="123">
        <v>78275</v>
      </c>
      <c r="C91" s="110" t="s">
        <v>495</v>
      </c>
      <c r="D91" s="110" t="s">
        <v>495</v>
      </c>
      <c r="E91" s="110" t="s">
        <v>495</v>
      </c>
      <c r="F91" s="110" t="s">
        <v>495</v>
      </c>
      <c r="G91" s="110" t="s">
        <v>495</v>
      </c>
    </row>
    <row r="92" spans="1:7" outlineLevel="1" x14ac:dyDescent="0.25">
      <c r="A92" s="104" t="s">
        <v>496</v>
      </c>
      <c r="B92" s="123">
        <v>78270</v>
      </c>
      <c r="C92" s="110">
        <v>0</v>
      </c>
      <c r="D92" s="110">
        <v>0</v>
      </c>
      <c r="E92" s="110">
        <v>0</v>
      </c>
      <c r="F92" s="110">
        <v>0</v>
      </c>
      <c r="G92" s="110">
        <v>0</v>
      </c>
    </row>
    <row r="93" spans="1:7" outlineLevel="1" x14ac:dyDescent="0.25">
      <c r="A93" s="104" t="s">
        <v>497</v>
      </c>
      <c r="B93" s="123">
        <v>78295</v>
      </c>
      <c r="C93" s="109">
        <v>-310000</v>
      </c>
      <c r="D93" s="109">
        <v>-461000</v>
      </c>
      <c r="E93" s="109">
        <v>-662000</v>
      </c>
      <c r="F93" s="109">
        <v>-903000</v>
      </c>
      <c r="G93" s="109">
        <v>-1036000</v>
      </c>
    </row>
    <row r="94" spans="1:7" outlineLevel="1" x14ac:dyDescent="0.25">
      <c r="A94" s="104" t="s">
        <v>498</v>
      </c>
      <c r="B94" s="123">
        <v>78280</v>
      </c>
      <c r="C94" s="110">
        <v>0</v>
      </c>
      <c r="D94" s="110">
        <v>0</v>
      </c>
      <c r="E94" s="110">
        <v>0</v>
      </c>
      <c r="F94" s="110">
        <v>0</v>
      </c>
      <c r="G94" s="110">
        <v>0</v>
      </c>
    </row>
    <row r="95" spans="1:7" ht="14.4" x14ac:dyDescent="0.3">
      <c r="A95" s="102" t="s">
        <v>75</v>
      </c>
      <c r="B95" s="123"/>
      <c r="C95" s="111">
        <v>454496788.91419995</v>
      </c>
      <c r="D95" s="111">
        <v>429837269.34420002</v>
      </c>
      <c r="E95" s="111">
        <v>374291886.42420006</v>
      </c>
      <c r="F95" s="111">
        <v>547806503.55420005</v>
      </c>
      <c r="G95" s="111">
        <v>544429120.63419998</v>
      </c>
    </row>
    <row r="96" spans="1:7" x14ac:dyDescent="0.25">
      <c r="B96" s="123"/>
      <c r="C96" s="112"/>
      <c r="D96" s="112"/>
      <c r="E96" s="112"/>
      <c r="F96" s="112"/>
      <c r="G96" s="112"/>
    </row>
    <row r="97" spans="1:9" ht="14.4" x14ac:dyDescent="0.3">
      <c r="A97" s="102" t="s">
        <v>102</v>
      </c>
      <c r="B97" s="123"/>
      <c r="C97" s="112"/>
      <c r="D97" s="112"/>
      <c r="E97" s="112"/>
      <c r="F97" s="112"/>
      <c r="G97" s="112"/>
    </row>
    <row r="98" spans="1:9" x14ac:dyDescent="0.25">
      <c r="A98" s="137" t="s">
        <v>93</v>
      </c>
      <c r="B98" s="138">
        <v>73000</v>
      </c>
      <c r="C98" s="139">
        <v>2500000</v>
      </c>
      <c r="D98" s="139">
        <v>25000000</v>
      </c>
      <c r="E98" s="139">
        <v>72500000</v>
      </c>
      <c r="F98" s="139">
        <v>107500000</v>
      </c>
      <c r="G98" s="139">
        <v>130000000</v>
      </c>
    </row>
    <row r="99" spans="1:9" x14ac:dyDescent="0.25">
      <c r="A99" s="104" t="s">
        <v>94</v>
      </c>
      <c r="B99" s="123">
        <v>75000</v>
      </c>
      <c r="C99" s="113">
        <v>389396</v>
      </c>
      <c r="D99" s="113">
        <v>389396</v>
      </c>
      <c r="E99" s="113">
        <v>389396</v>
      </c>
      <c r="F99" s="113">
        <v>194698</v>
      </c>
      <c r="G99" s="113">
        <v>0</v>
      </c>
      <c r="I99" s="250"/>
    </row>
    <row r="100" spans="1:9" x14ac:dyDescent="0.25">
      <c r="A100" s="104" t="s">
        <v>95</v>
      </c>
      <c r="B100" s="123">
        <v>75100</v>
      </c>
      <c r="C100" s="113">
        <v>2453052.158169325</v>
      </c>
      <c r="D100" s="113">
        <v>2607306.5300007174</v>
      </c>
      <c r="E100" s="113">
        <v>2242475.1776808971</v>
      </c>
      <c r="F100" s="113">
        <v>1835000</v>
      </c>
      <c r="G100" s="113">
        <v>1835000</v>
      </c>
      <c r="I100" s="252"/>
    </row>
    <row r="101" spans="1:9" x14ac:dyDescent="0.25">
      <c r="A101" s="104" t="s">
        <v>96</v>
      </c>
      <c r="B101" s="123">
        <v>73050</v>
      </c>
      <c r="C101" s="113">
        <v>129300000</v>
      </c>
      <c r="D101" s="113">
        <v>129300000</v>
      </c>
      <c r="E101" s="113">
        <v>131412500</v>
      </c>
      <c r="F101" s="113">
        <v>133200000.00000003</v>
      </c>
      <c r="G101" s="113">
        <v>133200000.00000003</v>
      </c>
    </row>
    <row r="102" spans="1:9" x14ac:dyDescent="0.25">
      <c r="A102" s="137" t="s">
        <v>97</v>
      </c>
      <c r="B102" s="138">
        <v>73100</v>
      </c>
      <c r="C102" s="139">
        <v>19623458.30492989</v>
      </c>
      <c r="D102" s="139">
        <v>18105391.253175739</v>
      </c>
      <c r="E102" s="139">
        <v>12702720.174740437</v>
      </c>
      <c r="F102" s="139">
        <v>12265600.612327354</v>
      </c>
      <c r="G102" s="139">
        <v>18469887.571071763</v>
      </c>
      <c r="I102" s="251"/>
    </row>
    <row r="103" spans="1:9" x14ac:dyDescent="0.25">
      <c r="A103" s="104" t="s">
        <v>100</v>
      </c>
      <c r="B103" s="123">
        <v>73200</v>
      </c>
      <c r="C103" s="109">
        <v>2231698</v>
      </c>
      <c r="D103" s="109">
        <v>2343282.9</v>
      </c>
      <c r="E103" s="109">
        <v>2460447.0449999999</v>
      </c>
      <c r="F103" s="109">
        <v>2583469.3972499999</v>
      </c>
      <c r="G103" s="109">
        <v>2712642.8671125001</v>
      </c>
      <c r="I103" s="252"/>
    </row>
    <row r="104" spans="1:9" x14ac:dyDescent="0.25">
      <c r="A104" s="104" t="s">
        <v>499</v>
      </c>
      <c r="B104" s="123">
        <v>73210</v>
      </c>
      <c r="C104" s="110">
        <v>0</v>
      </c>
      <c r="D104" s="110">
        <v>0</v>
      </c>
      <c r="E104" s="110">
        <v>0</v>
      </c>
      <c r="F104" s="110">
        <v>0</v>
      </c>
      <c r="G104" s="110">
        <v>0</v>
      </c>
    </row>
    <row r="105" spans="1:9" x14ac:dyDescent="0.25">
      <c r="A105" s="104" t="s">
        <v>500</v>
      </c>
      <c r="B105" s="123">
        <v>73249</v>
      </c>
      <c r="C105" s="114">
        <v>0</v>
      </c>
      <c r="D105" s="114">
        <v>0</v>
      </c>
      <c r="E105" s="114">
        <v>0</v>
      </c>
      <c r="F105" s="114">
        <v>0</v>
      </c>
      <c r="G105" s="114">
        <v>0</v>
      </c>
    </row>
    <row r="106" spans="1:9" x14ac:dyDescent="0.25">
      <c r="A106" s="104" t="s">
        <v>501</v>
      </c>
      <c r="B106" s="123">
        <v>73250</v>
      </c>
      <c r="C106" s="110">
        <v>0</v>
      </c>
      <c r="D106" s="110">
        <v>0</v>
      </c>
      <c r="E106" s="110">
        <v>0</v>
      </c>
      <c r="F106" s="110">
        <v>0</v>
      </c>
      <c r="G106" s="110">
        <v>0</v>
      </c>
    </row>
    <row r="107" spans="1:9" x14ac:dyDescent="0.25">
      <c r="A107" s="104" t="s">
        <v>235</v>
      </c>
      <c r="B107" s="123">
        <v>73500</v>
      </c>
      <c r="C107" s="110">
        <v>0</v>
      </c>
      <c r="D107" s="110">
        <v>0</v>
      </c>
      <c r="E107" s="110">
        <v>0</v>
      </c>
      <c r="F107" s="110">
        <v>0</v>
      </c>
      <c r="G107" s="110">
        <v>0</v>
      </c>
    </row>
    <row r="108" spans="1:9" ht="14.4" x14ac:dyDescent="0.3">
      <c r="A108" s="102" t="s">
        <v>102</v>
      </c>
      <c r="B108" s="123"/>
      <c r="C108" s="111">
        <v>156497604.46309921</v>
      </c>
      <c r="D108" s="111">
        <v>177745376.68317646</v>
      </c>
      <c r="E108" s="111">
        <v>221707538.39742133</v>
      </c>
      <c r="F108" s="111">
        <v>257578768.00957739</v>
      </c>
      <c r="G108" s="111">
        <v>286217530.43818432</v>
      </c>
    </row>
    <row r="109" spans="1:9" x14ac:dyDescent="0.25">
      <c r="B109" s="123"/>
      <c r="C109" s="112"/>
      <c r="D109" s="112"/>
      <c r="E109" s="112"/>
      <c r="F109" s="112"/>
      <c r="G109" s="112"/>
    </row>
    <row r="110" spans="1:9" ht="15" thickBot="1" x14ac:dyDescent="0.35">
      <c r="A110" s="105" t="s">
        <v>502</v>
      </c>
      <c r="B110" s="105"/>
      <c r="C110" s="120">
        <v>235648689.26779702</v>
      </c>
      <c r="D110" s="120">
        <v>188103090.5564881</v>
      </c>
      <c r="E110" s="120">
        <v>88462001.3767443</v>
      </c>
      <c r="F110" s="120">
        <v>224221021.01205039</v>
      </c>
      <c r="G110" s="120">
        <v>190159599.06119424</v>
      </c>
    </row>
    <row r="111" spans="1:9" x14ac:dyDescent="0.25">
      <c r="B111" s="123"/>
      <c r="C111" s="112"/>
      <c r="D111" s="112"/>
      <c r="E111" s="112"/>
      <c r="F111" s="112"/>
      <c r="G111" s="112"/>
    </row>
    <row r="112" spans="1:9" ht="14.4" x14ac:dyDescent="0.3">
      <c r="A112" s="102" t="s">
        <v>108</v>
      </c>
      <c r="B112" s="123"/>
      <c r="C112" s="112"/>
      <c r="D112" s="112"/>
      <c r="E112" s="112"/>
      <c r="F112" s="112"/>
      <c r="G112" s="112"/>
    </row>
    <row r="113" spans="1:7" ht="14.4" x14ac:dyDescent="0.3">
      <c r="A113" s="104" t="s">
        <v>105</v>
      </c>
      <c r="B113" s="123">
        <v>80100</v>
      </c>
      <c r="C113" s="121">
        <v>30094691.623189423</v>
      </c>
      <c r="D113" s="121">
        <v>42387093.588231437</v>
      </c>
      <c r="E113" s="121">
        <v>43490128.580156073</v>
      </c>
      <c r="F113" s="121">
        <v>44226372.913489401</v>
      </c>
      <c r="G113" s="121">
        <v>27736692.913489401</v>
      </c>
    </row>
    <row r="114" spans="1:7" x14ac:dyDescent="0.25">
      <c r="A114" s="104" t="s">
        <v>503</v>
      </c>
      <c r="B114" s="123">
        <v>80105</v>
      </c>
      <c r="C114" s="115">
        <v>0</v>
      </c>
      <c r="D114" s="115">
        <v>0</v>
      </c>
      <c r="E114" s="115">
        <v>0</v>
      </c>
      <c r="F114" s="115">
        <v>0</v>
      </c>
      <c r="G114" s="115">
        <v>0</v>
      </c>
    </row>
    <row r="115" spans="1:7" x14ac:dyDescent="0.25">
      <c r="A115" s="104" t="s">
        <v>504</v>
      </c>
      <c r="B115" s="123">
        <v>80125</v>
      </c>
      <c r="C115" s="115">
        <v>0</v>
      </c>
      <c r="D115" s="115">
        <v>0</v>
      </c>
      <c r="E115" s="115">
        <v>0</v>
      </c>
      <c r="F115" s="115">
        <v>0</v>
      </c>
      <c r="G115" s="115">
        <v>0</v>
      </c>
    </row>
    <row r="116" spans="1:7" x14ac:dyDescent="0.25">
      <c r="A116" s="104" t="s">
        <v>505</v>
      </c>
      <c r="B116" s="123">
        <v>80150</v>
      </c>
      <c r="C116" s="115">
        <v>0</v>
      </c>
      <c r="D116" s="115">
        <v>0</v>
      </c>
      <c r="E116" s="115">
        <v>0</v>
      </c>
      <c r="F116" s="115">
        <v>0</v>
      </c>
      <c r="G116" s="115">
        <v>0</v>
      </c>
    </row>
    <row r="117" spans="1:7" ht="14.4" x14ac:dyDescent="0.3">
      <c r="A117" s="104" t="s">
        <v>106</v>
      </c>
      <c r="B117" s="123">
        <v>80200</v>
      </c>
      <c r="C117" s="121">
        <v>-64338364.368431367</v>
      </c>
      <c r="D117" s="121">
        <v>-83517025.172148332</v>
      </c>
      <c r="E117" s="121">
        <v>-97458515.155228347</v>
      </c>
      <c r="F117" s="121">
        <v>-109205165.89047885</v>
      </c>
      <c r="G117" s="121">
        <v>-101632553.00251772</v>
      </c>
    </row>
    <row r="118" spans="1:7" ht="14.4" x14ac:dyDescent="0.3">
      <c r="A118" s="104" t="s">
        <v>506</v>
      </c>
      <c r="B118" s="123">
        <v>80205</v>
      </c>
      <c r="C118" s="122">
        <v>0</v>
      </c>
      <c r="D118" s="122">
        <v>0</v>
      </c>
      <c r="E118" s="122">
        <v>0</v>
      </c>
      <c r="F118" s="122">
        <v>0</v>
      </c>
      <c r="G118" s="122">
        <v>0</v>
      </c>
    </row>
    <row r="119" spans="1:7" ht="14.4" x14ac:dyDescent="0.3">
      <c r="A119" s="104" t="s">
        <v>507</v>
      </c>
      <c r="B119" s="123">
        <v>80250</v>
      </c>
      <c r="C119" s="122">
        <v>0</v>
      </c>
      <c r="D119" s="122">
        <v>0</v>
      </c>
      <c r="E119" s="122">
        <v>0</v>
      </c>
      <c r="F119" s="122">
        <v>0</v>
      </c>
      <c r="G119" s="122">
        <v>0</v>
      </c>
    </row>
    <row r="120" spans="1:7" x14ac:dyDescent="0.25">
      <c r="A120" s="104" t="s">
        <v>508</v>
      </c>
      <c r="B120" s="123">
        <v>80255</v>
      </c>
      <c r="C120" s="115">
        <v>0</v>
      </c>
      <c r="D120" s="115">
        <v>0</v>
      </c>
      <c r="E120" s="115">
        <v>0</v>
      </c>
      <c r="F120" s="115">
        <v>0</v>
      </c>
      <c r="G120" s="115">
        <v>0</v>
      </c>
    </row>
    <row r="121" spans="1:7" x14ac:dyDescent="0.25">
      <c r="A121" s="104" t="s">
        <v>509</v>
      </c>
      <c r="B121" s="123">
        <v>80260</v>
      </c>
      <c r="C121" s="115">
        <v>0</v>
      </c>
      <c r="D121" s="115">
        <v>0</v>
      </c>
      <c r="E121" s="115">
        <v>0</v>
      </c>
      <c r="F121" s="115">
        <v>0</v>
      </c>
      <c r="G121" s="115">
        <v>0</v>
      </c>
    </row>
    <row r="122" spans="1:7" x14ac:dyDescent="0.25">
      <c r="A122" s="104" t="s">
        <v>510</v>
      </c>
      <c r="B122" s="123">
        <v>80275</v>
      </c>
      <c r="C122" s="115">
        <v>0</v>
      </c>
      <c r="D122" s="115">
        <v>0</v>
      </c>
      <c r="E122" s="115">
        <v>0</v>
      </c>
      <c r="F122" s="115">
        <v>0</v>
      </c>
      <c r="G122" s="115">
        <v>0</v>
      </c>
    </row>
    <row r="123" spans="1:7" ht="14.4" x14ac:dyDescent="0.3">
      <c r="A123" s="102" t="s">
        <v>108</v>
      </c>
      <c r="B123" s="123"/>
      <c r="C123" s="111">
        <v>-34243672.74524194</v>
      </c>
      <c r="D123" s="111">
        <v>-41129931.583916895</v>
      </c>
      <c r="E123" s="111">
        <v>-53968386.575072274</v>
      </c>
      <c r="F123" s="111">
        <v>-64978792.976989448</v>
      </c>
      <c r="G123" s="111">
        <v>-73895860.089028314</v>
      </c>
    </row>
    <row r="124" spans="1:7" x14ac:dyDescent="0.25">
      <c r="B124" s="123"/>
      <c r="C124" s="112"/>
      <c r="D124" s="112"/>
      <c r="E124" s="112"/>
      <c r="F124" s="112"/>
      <c r="G124" s="112"/>
    </row>
    <row r="125" spans="1:7" ht="15" thickBot="1" x14ac:dyDescent="0.35">
      <c r="A125" s="105" t="s">
        <v>511</v>
      </c>
      <c r="B125" s="105"/>
      <c r="C125" s="116">
        <v>269892362.01303899</v>
      </c>
      <c r="D125" s="116">
        <v>229233022.140405</v>
      </c>
      <c r="E125" s="116">
        <v>142430387.95181656</v>
      </c>
      <c r="F125" s="116">
        <v>289199813.98903984</v>
      </c>
      <c r="G125" s="116">
        <v>264055459.15022254</v>
      </c>
    </row>
    <row r="126" spans="1:7" x14ac:dyDescent="0.25">
      <c r="B126" s="123"/>
      <c r="C126" s="112"/>
      <c r="D126" s="112"/>
      <c r="E126" s="112"/>
      <c r="F126" s="112"/>
      <c r="G126" s="112"/>
    </row>
    <row r="127" spans="1:7" ht="14.4" x14ac:dyDescent="0.3">
      <c r="A127" s="102" t="s">
        <v>110</v>
      </c>
      <c r="B127" s="123"/>
      <c r="C127" s="112"/>
      <c r="D127" s="112"/>
      <c r="E127" s="112"/>
      <c r="F127" s="112"/>
      <c r="G127" s="112"/>
    </row>
    <row r="128" spans="1:7" x14ac:dyDescent="0.25">
      <c r="A128" s="104" t="s">
        <v>512</v>
      </c>
      <c r="B128" s="123">
        <v>79300</v>
      </c>
      <c r="C128" s="113">
        <f>-[6]Financing!B48</f>
        <v>0</v>
      </c>
      <c r="D128" s="113">
        <f>-[6]Financing!C48</f>
        <v>0</v>
      </c>
      <c r="E128" s="113">
        <f>-[6]Financing!D48</f>
        <v>0</v>
      </c>
      <c r="F128" s="113">
        <f>-[6]Financing!E48</f>
        <v>0</v>
      </c>
      <c r="G128" s="113">
        <f>-[6]Financing!F48</f>
        <v>0</v>
      </c>
    </row>
    <row r="129" spans="1:7" ht="14.4" x14ac:dyDescent="0.3">
      <c r="A129" s="102" t="s">
        <v>110</v>
      </c>
      <c r="B129" s="123"/>
      <c r="C129" s="111">
        <f t="shared" ref="C129:G129" si="0">SUM(C128)</f>
        <v>0</v>
      </c>
      <c r="D129" s="111">
        <f t="shared" si="0"/>
        <v>0</v>
      </c>
      <c r="E129" s="111">
        <f t="shared" si="0"/>
        <v>0</v>
      </c>
      <c r="F129" s="111">
        <f t="shared" si="0"/>
        <v>0</v>
      </c>
      <c r="G129" s="111">
        <f t="shared" si="0"/>
        <v>0</v>
      </c>
    </row>
    <row r="130" spans="1:7" x14ac:dyDescent="0.25">
      <c r="B130" s="123"/>
      <c r="C130" s="112"/>
      <c r="D130" s="112"/>
      <c r="E130" s="112"/>
      <c r="F130" s="112"/>
      <c r="G130" s="112"/>
    </row>
    <row r="131" spans="1:7" ht="15" thickBot="1" x14ac:dyDescent="0.35">
      <c r="A131" s="105" t="s">
        <v>513</v>
      </c>
      <c r="B131" s="105"/>
      <c r="C131" s="116">
        <f>C125-C129</f>
        <v>269892362.01303899</v>
      </c>
      <c r="D131" s="116">
        <f t="shared" ref="D131:G131" si="1">D125-D129</f>
        <v>229233022.140405</v>
      </c>
      <c r="E131" s="116">
        <f t="shared" si="1"/>
        <v>142430387.95181656</v>
      </c>
      <c r="F131" s="116">
        <f t="shared" si="1"/>
        <v>289199813.98903984</v>
      </c>
      <c r="G131" s="116">
        <f t="shared" si="1"/>
        <v>264055459.15022254</v>
      </c>
    </row>
  </sheetData>
  <mergeCells count="1">
    <mergeCell ref="C1:G1"/>
  </mergeCells>
  <pageMargins left="0.7" right="0.7" top="0.75" bottom="0.75" header="0.3" footer="0.3"/>
  <customProperties>
    <customPr name="EpmWorksheetKeyString_GU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4A74D-48AE-44A8-8A41-AED4ACE42F12}">
  <dimension ref="A1:A26"/>
  <sheetViews>
    <sheetView showOutlineSymbols="0" workbookViewId="0"/>
  </sheetViews>
  <sheetFormatPr defaultRowHeight="13.2" x14ac:dyDescent="0.25"/>
  <cols>
    <col min="1" max="1" width="3.6640625" customWidth="1"/>
  </cols>
  <sheetData>
    <row r="1" spans="1:1" x14ac:dyDescent="0.25">
      <c r="A1" t="s">
        <v>514</v>
      </c>
    </row>
    <row r="2" spans="1:1" x14ac:dyDescent="0.25">
      <c r="A2" t="s">
        <v>515</v>
      </c>
    </row>
    <row r="8" spans="1:1" x14ac:dyDescent="0.25">
      <c r="A8" t="s">
        <v>516</v>
      </c>
    </row>
    <row r="15" spans="1:1" x14ac:dyDescent="0.25">
      <c r="A15" t="s">
        <v>517</v>
      </c>
    </row>
    <row r="20" spans="1:1" x14ac:dyDescent="0.25">
      <c r="A20" t="s">
        <v>518</v>
      </c>
    </row>
    <row r="26" spans="1:1" x14ac:dyDescent="0.25">
      <c r="A26" t="s">
        <v>519</v>
      </c>
    </row>
  </sheetData>
  <pageMargins left="0.7" right="0.7" top="0.75" bottom="0.75" header="0.3" footer="0.3"/>
  <customProperties>
    <customPr name="EpmWorksheetKeyString_GUID" r:id="rId1"/>
  </customPropertie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8FFC7-2716-4B0B-8414-293E36A3A132}">
  <dimension ref="A1:F20"/>
  <sheetViews>
    <sheetView showOutlineSymbols="0" workbookViewId="0"/>
  </sheetViews>
  <sheetFormatPr defaultColWidth="9.109375" defaultRowHeight="14.4" x14ac:dyDescent="0.3"/>
  <cols>
    <col min="1" max="1" width="9.109375" style="166"/>
    <col min="2" max="2" width="17.44140625" style="166" bestFit="1" customWidth="1"/>
    <col min="3" max="3" width="15.6640625" style="166" bestFit="1" customWidth="1"/>
    <col min="4" max="4" width="34" style="166" bestFit="1" customWidth="1"/>
    <col min="5" max="16384" width="9.109375" style="166"/>
  </cols>
  <sheetData>
    <row r="1" spans="1:6" x14ac:dyDescent="0.3">
      <c r="F1" s="166" t="s">
        <v>520</v>
      </c>
    </row>
    <row r="2" spans="1:6" x14ac:dyDescent="0.3">
      <c r="A2" s="166" t="s">
        <v>521</v>
      </c>
      <c r="B2" s="166" t="s">
        <v>522</v>
      </c>
      <c r="C2" s="166" t="s">
        <v>523</v>
      </c>
      <c r="D2" s="166" t="s">
        <v>524</v>
      </c>
    </row>
    <row r="3" spans="1:6" s="167" customFormat="1" ht="13.2" x14ac:dyDescent="0.25">
      <c r="A3" s="167" t="s">
        <v>525</v>
      </c>
      <c r="B3" s="167">
        <v>0</v>
      </c>
      <c r="C3" s="167">
        <v>0</v>
      </c>
      <c r="D3" s="167">
        <f>2557238.02-2650153.82</f>
        <v>-92915.799999999814</v>
      </c>
    </row>
    <row r="4" spans="1:6" s="167" customFormat="1" ht="13.2" x14ac:dyDescent="0.25">
      <c r="A4" s="167" t="s">
        <v>526</v>
      </c>
      <c r="B4" s="167">
        <v>225000000</v>
      </c>
      <c r="C4" s="167">
        <v>224050681.50684932</v>
      </c>
      <c r="D4" s="167">
        <v>4358805.24</v>
      </c>
    </row>
    <row r="5" spans="1:6" s="167" customFormat="1" ht="13.2" x14ac:dyDescent="0.25">
      <c r="A5" s="167" t="s">
        <v>527</v>
      </c>
      <c r="B5" s="167">
        <v>186000000</v>
      </c>
      <c r="C5" s="167">
        <v>185027674.93150687</v>
      </c>
      <c r="D5" s="167">
        <v>4418250</v>
      </c>
    </row>
    <row r="6" spans="1:6" s="167" customFormat="1" ht="13.2" x14ac:dyDescent="0.25">
      <c r="A6" s="167" t="s">
        <v>528</v>
      </c>
      <c r="B6" s="167">
        <v>140000000</v>
      </c>
      <c r="C6" s="167">
        <v>139241923.69863012</v>
      </c>
      <c r="D6" s="167">
        <f>2584111.75-3073774.99</f>
        <v>-489663.24000000022</v>
      </c>
    </row>
    <row r="7" spans="1:6" s="167" customFormat="1" ht="13.2" x14ac:dyDescent="0.25">
      <c r="A7" s="167" t="s">
        <v>57</v>
      </c>
      <c r="B7" s="167">
        <v>0</v>
      </c>
      <c r="C7" s="167">
        <v>0</v>
      </c>
      <c r="D7" s="167">
        <f>2123493.15-2584111.75</f>
        <v>-460618.60000000009</v>
      </c>
    </row>
    <row r="8" spans="1:6" s="167" customFormat="1" ht="13.2" x14ac:dyDescent="0.25">
      <c r="A8" s="167" t="s">
        <v>529</v>
      </c>
      <c r="B8" s="167">
        <v>325000000</v>
      </c>
      <c r="C8" s="167">
        <v>323257186.30136985</v>
      </c>
      <c r="D8" s="167">
        <f>2684131.69-2123493.15</f>
        <v>560638.54</v>
      </c>
    </row>
    <row r="9" spans="1:6" s="167" customFormat="1" ht="13.2" x14ac:dyDescent="0.25">
      <c r="A9" s="167" t="s">
        <v>530</v>
      </c>
      <c r="B9" s="167">
        <v>335000000</v>
      </c>
      <c r="C9" s="167">
        <v>333238309.17808223</v>
      </c>
      <c r="D9" s="167">
        <f>2938189.88-2684131.69</f>
        <v>254058.18999999994</v>
      </c>
    </row>
    <row r="10" spans="1:6" s="167" customFormat="1" ht="13.2" x14ac:dyDescent="0.25">
      <c r="A10" s="167" t="s">
        <v>531</v>
      </c>
      <c r="B10" s="167">
        <v>474000000</v>
      </c>
      <c r="C10" s="167">
        <v>471410773.5616439</v>
      </c>
      <c r="D10" s="167">
        <f>3425983.21-2938189.88</f>
        <v>487793.33000000007</v>
      </c>
    </row>
    <row r="11" spans="1:6" s="167" customFormat="1" ht="13.2" x14ac:dyDescent="0.25">
      <c r="A11" s="167" t="s">
        <v>532</v>
      </c>
      <c r="B11" s="167">
        <v>464000000</v>
      </c>
      <c r="C11" s="167">
        <v>461510575.96917814</v>
      </c>
      <c r="D11" s="167">
        <v>6576713</v>
      </c>
    </row>
    <row r="12" spans="1:6" s="167" customFormat="1" ht="13.2" x14ac:dyDescent="0.25">
      <c r="A12" s="167" t="s">
        <v>533</v>
      </c>
      <c r="B12" s="167">
        <v>490000000</v>
      </c>
      <c r="C12" s="167">
        <v>486968218.63013703</v>
      </c>
      <c r="D12" s="167">
        <f>4205643.36-3326409.28</f>
        <v>879234.08000000054</v>
      </c>
    </row>
    <row r="13" spans="1:6" s="167" customFormat="1" ht="13.2" x14ac:dyDescent="0.25">
      <c r="A13" s="167" t="s">
        <v>534</v>
      </c>
      <c r="B13" s="167">
        <v>333000000</v>
      </c>
      <c r="C13" s="167">
        <v>331122970.82191777</v>
      </c>
      <c r="D13" s="167">
        <f>3755306.05-4205643.36</f>
        <v>-450337.31000000052</v>
      </c>
    </row>
    <row r="14" spans="1:6" s="167" customFormat="1" ht="13.2" x14ac:dyDescent="0.25">
      <c r="A14" s="167" t="s">
        <v>535</v>
      </c>
      <c r="B14" s="167">
        <f>194000000</f>
        <v>194000000</v>
      </c>
      <c r="C14" s="167">
        <v>193136580.82191783</v>
      </c>
      <c r="D14" s="167">
        <f>3429567.08-3755306.05</f>
        <v>-325738.96999999974</v>
      </c>
    </row>
    <row r="20" spans="5:5" x14ac:dyDescent="0.3">
      <c r="E20" s="166" t="s">
        <v>495</v>
      </c>
    </row>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514F3-91A1-4BE1-BBA0-7E4C2E402638}">
  <sheetPr>
    <tabColor theme="9" tint="0.79998168889431442"/>
  </sheetPr>
  <dimension ref="A1:P59"/>
  <sheetViews>
    <sheetView showOutlineSymbols="0" topLeftCell="A15" workbookViewId="0">
      <selection activeCell="M34" sqref="B34:M34"/>
    </sheetView>
  </sheetViews>
  <sheetFormatPr defaultColWidth="9.109375" defaultRowHeight="14.4" x14ac:dyDescent="0.3"/>
  <cols>
    <col min="1" max="1" width="35.6640625" style="13" customWidth="1"/>
    <col min="2" max="13" width="17.88671875" style="13" customWidth="1"/>
    <col min="14" max="14" width="17.109375" style="68" customWidth="1"/>
    <col min="15" max="16384" width="9.109375" style="13"/>
  </cols>
  <sheetData>
    <row r="1" spans="1:14" x14ac:dyDescent="0.3">
      <c r="A1" s="254" t="s">
        <v>50</v>
      </c>
      <c r="B1" s="254"/>
      <c r="C1" s="254"/>
      <c r="D1" s="254"/>
      <c r="E1" s="254"/>
      <c r="F1" s="254"/>
      <c r="G1" s="254"/>
      <c r="H1" s="254"/>
    </row>
    <row r="2" spans="1:14" x14ac:dyDescent="0.3">
      <c r="A2" s="255" t="s">
        <v>51</v>
      </c>
      <c r="B2" s="255"/>
      <c r="C2" s="255"/>
      <c r="D2" s="255"/>
      <c r="E2" s="255"/>
      <c r="F2" s="255"/>
      <c r="G2" s="255"/>
      <c r="H2" s="255"/>
    </row>
    <row r="3" spans="1:14" x14ac:dyDescent="0.3">
      <c r="A3" s="255" t="s">
        <v>52</v>
      </c>
      <c r="B3" s="255"/>
      <c r="C3" s="255"/>
      <c r="D3" s="255"/>
      <c r="E3" s="255"/>
      <c r="F3" s="255"/>
      <c r="G3" s="255"/>
      <c r="H3" s="255"/>
    </row>
    <row r="4" spans="1:14" x14ac:dyDescent="0.3">
      <c r="A4" s="17"/>
      <c r="B4" s="27" t="s">
        <v>53</v>
      </c>
      <c r="C4" s="27" t="s">
        <v>54</v>
      </c>
      <c r="D4" s="27" t="s">
        <v>55</v>
      </c>
      <c r="E4" s="27" t="s">
        <v>56</v>
      </c>
      <c r="F4" s="27" t="s">
        <v>57</v>
      </c>
      <c r="G4" s="27" t="s">
        <v>58</v>
      </c>
      <c r="H4" s="27" t="s">
        <v>59</v>
      </c>
      <c r="I4" s="27" t="s">
        <v>60</v>
      </c>
      <c r="J4" s="27" t="s">
        <v>61</v>
      </c>
      <c r="K4" s="27" t="s">
        <v>62</v>
      </c>
      <c r="L4" s="27" t="s">
        <v>63</v>
      </c>
      <c r="M4" s="27" t="s">
        <v>64</v>
      </c>
      <c r="N4" s="69" t="s">
        <v>29</v>
      </c>
    </row>
    <row r="5" spans="1:14" x14ac:dyDescent="0.3">
      <c r="A5" s="15" t="s">
        <v>65</v>
      </c>
      <c r="B5" s="16"/>
      <c r="C5" s="16"/>
      <c r="D5" s="16"/>
      <c r="E5" s="16"/>
      <c r="F5" s="16"/>
      <c r="G5" s="16"/>
      <c r="H5" s="16"/>
      <c r="I5" s="16"/>
      <c r="J5" s="16"/>
      <c r="K5" s="16"/>
      <c r="L5" s="16"/>
      <c r="M5" s="16"/>
      <c r="N5" s="70"/>
    </row>
    <row r="6" spans="1:14" x14ac:dyDescent="0.3">
      <c r="A6" s="15" t="s">
        <v>66</v>
      </c>
      <c r="B6" s="14">
        <v>0</v>
      </c>
      <c r="C6" s="14">
        <v>0</v>
      </c>
      <c r="D6" s="14">
        <v>0</v>
      </c>
      <c r="E6" s="14">
        <v>0</v>
      </c>
      <c r="F6" s="14">
        <v>0</v>
      </c>
      <c r="G6" s="14">
        <v>0</v>
      </c>
      <c r="H6" s="14">
        <v>0</v>
      </c>
      <c r="I6" s="14">
        <v>0</v>
      </c>
      <c r="J6" s="14">
        <v>0</v>
      </c>
      <c r="K6" s="14">
        <v>-1</v>
      </c>
      <c r="L6" s="14">
        <v>0</v>
      </c>
      <c r="M6" s="14">
        <v>0</v>
      </c>
      <c r="N6" s="209">
        <v>0</v>
      </c>
    </row>
    <row r="7" spans="1:14" x14ac:dyDescent="0.3">
      <c r="A7" s="22" t="s">
        <v>67</v>
      </c>
      <c r="B7" s="14">
        <v>0</v>
      </c>
      <c r="C7" s="14">
        <v>0</v>
      </c>
      <c r="D7" s="14">
        <v>0</v>
      </c>
      <c r="E7" s="14">
        <v>0</v>
      </c>
      <c r="F7" s="14">
        <v>0</v>
      </c>
      <c r="G7" s="14">
        <v>0</v>
      </c>
      <c r="H7" s="14">
        <v>0</v>
      </c>
      <c r="I7" s="14">
        <v>0</v>
      </c>
      <c r="J7" s="14">
        <v>0</v>
      </c>
      <c r="K7" s="14">
        <v>-1</v>
      </c>
      <c r="L7" s="14">
        <v>0</v>
      </c>
      <c r="M7" s="14">
        <v>0</v>
      </c>
      <c r="N7" s="209">
        <v>0</v>
      </c>
    </row>
    <row r="8" spans="1:14" ht="19.649999999999999" customHeight="1" x14ac:dyDescent="0.3">
      <c r="A8" s="15" t="s">
        <v>68</v>
      </c>
      <c r="B8" s="25">
        <v>0</v>
      </c>
      <c r="C8" s="25">
        <v>0</v>
      </c>
      <c r="D8" s="25">
        <v>0</v>
      </c>
      <c r="E8" s="25">
        <v>0</v>
      </c>
      <c r="F8" s="25">
        <v>0</v>
      </c>
      <c r="G8" s="25">
        <v>0</v>
      </c>
      <c r="H8" s="25">
        <v>0</v>
      </c>
      <c r="I8" s="25">
        <v>0</v>
      </c>
      <c r="J8" s="25">
        <v>0</v>
      </c>
      <c r="K8" s="25">
        <v>-1</v>
      </c>
      <c r="L8" s="25">
        <v>0</v>
      </c>
      <c r="M8" s="25">
        <v>0</v>
      </c>
      <c r="N8" s="210">
        <v>0</v>
      </c>
    </row>
    <row r="9" spans="1:14" x14ac:dyDescent="0.3">
      <c r="A9" s="24"/>
      <c r="B9" s="16"/>
      <c r="C9" s="16"/>
      <c r="D9" s="16"/>
      <c r="E9" s="16"/>
      <c r="F9" s="16"/>
      <c r="G9" s="16"/>
      <c r="H9" s="16"/>
      <c r="I9" s="16"/>
      <c r="J9" s="16"/>
      <c r="K9" s="16"/>
      <c r="L9" s="16"/>
      <c r="M9" s="16"/>
      <c r="N9" s="70"/>
    </row>
    <row r="10" spans="1:14" x14ac:dyDescent="0.3">
      <c r="A10" s="15" t="s">
        <v>69</v>
      </c>
      <c r="B10" s="16"/>
      <c r="C10" s="16"/>
      <c r="D10" s="16"/>
      <c r="E10" s="16"/>
      <c r="F10" s="16"/>
      <c r="G10" s="16"/>
      <c r="H10" s="16"/>
      <c r="I10" s="16"/>
      <c r="J10" s="16"/>
      <c r="K10" s="16"/>
      <c r="L10" s="16"/>
      <c r="M10" s="16"/>
      <c r="N10" s="70"/>
    </row>
    <row r="11" spans="1:14" x14ac:dyDescent="0.3">
      <c r="A11" s="15" t="s">
        <v>70</v>
      </c>
      <c r="B11" s="14">
        <v>3510730</v>
      </c>
      <c r="C11" s="14">
        <v>1842193</v>
      </c>
      <c r="D11" s="14">
        <v>-2539717</v>
      </c>
      <c r="E11" s="14">
        <v>3022473</v>
      </c>
      <c r="F11" s="14">
        <v>3750411</v>
      </c>
      <c r="G11" s="14">
        <v>16381229</v>
      </c>
      <c r="H11" s="14">
        <v>2664700</v>
      </c>
      <c r="I11" s="14">
        <v>4638492</v>
      </c>
      <c r="J11" s="14">
        <v>20048466</v>
      </c>
      <c r="K11" s="14">
        <v>2184155</v>
      </c>
      <c r="L11" s="14">
        <v>4511148</v>
      </c>
      <c r="M11" s="14">
        <v>-4988942</v>
      </c>
      <c r="N11" s="209">
        <v>55025339</v>
      </c>
    </row>
    <row r="12" spans="1:14" x14ac:dyDescent="0.3">
      <c r="A12" s="15" t="s">
        <v>71</v>
      </c>
      <c r="B12" s="14">
        <v>238193</v>
      </c>
      <c r="C12" s="14">
        <v>254859</v>
      </c>
      <c r="D12" s="14">
        <v>246526</v>
      </c>
      <c r="E12" s="14">
        <v>246526</v>
      </c>
      <c r="F12" s="14">
        <v>246526</v>
      </c>
      <c r="G12" s="14">
        <v>246526</v>
      </c>
      <c r="H12" s="14">
        <v>246526</v>
      </c>
      <c r="I12" s="14">
        <v>246526</v>
      </c>
      <c r="J12" s="14">
        <v>246526</v>
      </c>
      <c r="K12" s="14">
        <v>246526</v>
      </c>
      <c r="L12" s="14">
        <v>246526</v>
      </c>
      <c r="M12" s="14">
        <v>346526</v>
      </c>
      <c r="N12" s="209">
        <v>3058310</v>
      </c>
    </row>
    <row r="13" spans="1:14" x14ac:dyDescent="0.3">
      <c r="A13" s="22" t="s">
        <v>72</v>
      </c>
      <c r="B13" s="14">
        <v>238193</v>
      </c>
      <c r="C13" s="14">
        <v>254859</v>
      </c>
      <c r="D13" s="14">
        <v>246526</v>
      </c>
      <c r="E13" s="14">
        <v>246526</v>
      </c>
      <c r="F13" s="14">
        <v>246526</v>
      </c>
      <c r="G13" s="14">
        <v>246526</v>
      </c>
      <c r="H13" s="14">
        <v>246526</v>
      </c>
      <c r="I13" s="14">
        <v>246526</v>
      </c>
      <c r="J13" s="14">
        <v>246526</v>
      </c>
      <c r="K13" s="14">
        <v>246526</v>
      </c>
      <c r="L13" s="14">
        <v>246526</v>
      </c>
      <c r="M13" s="14">
        <v>346526</v>
      </c>
      <c r="N13" s="209">
        <v>3058310</v>
      </c>
    </row>
    <row r="14" spans="1:14" x14ac:dyDescent="0.3">
      <c r="A14" s="21" t="s">
        <v>73</v>
      </c>
      <c r="B14" s="19">
        <v>3748923</v>
      </c>
      <c r="C14" s="19">
        <v>2097052</v>
      </c>
      <c r="D14" s="19">
        <v>-2293191</v>
      </c>
      <c r="E14" s="19">
        <v>3268999</v>
      </c>
      <c r="F14" s="19">
        <v>3996936</v>
      </c>
      <c r="G14" s="19">
        <v>16627755</v>
      </c>
      <c r="H14" s="19">
        <v>2911226</v>
      </c>
      <c r="I14" s="19">
        <v>4885018</v>
      </c>
      <c r="J14" s="19">
        <v>20294992</v>
      </c>
      <c r="K14" s="19">
        <v>2430681</v>
      </c>
      <c r="L14" s="19">
        <v>4757674</v>
      </c>
      <c r="M14" s="19">
        <v>-4642416</v>
      </c>
      <c r="N14" s="211">
        <v>58083649</v>
      </c>
    </row>
    <row r="15" spans="1:14" x14ac:dyDescent="0.3">
      <c r="A15" s="24"/>
      <c r="B15" s="16"/>
      <c r="C15" s="16"/>
      <c r="D15" s="16"/>
      <c r="E15" s="16"/>
      <c r="F15" s="16"/>
      <c r="G15" s="16"/>
      <c r="H15" s="16"/>
      <c r="I15" s="16"/>
      <c r="J15" s="16"/>
      <c r="K15" s="16"/>
      <c r="L15" s="16"/>
      <c r="M15" s="16"/>
      <c r="N15" s="70"/>
    </row>
    <row r="16" spans="1:14" x14ac:dyDescent="0.3">
      <c r="A16" s="21" t="s">
        <v>74</v>
      </c>
      <c r="B16" s="14">
        <v>-3748923</v>
      </c>
      <c r="C16" s="14">
        <v>-2097053</v>
      </c>
      <c r="D16" s="14">
        <v>2293191</v>
      </c>
      <c r="E16" s="14">
        <v>-3268999</v>
      </c>
      <c r="F16" s="14">
        <v>-3996937</v>
      </c>
      <c r="G16" s="14">
        <v>-16627755</v>
      </c>
      <c r="H16" s="14">
        <v>-2911226</v>
      </c>
      <c r="I16" s="14">
        <v>-4885017</v>
      </c>
      <c r="J16" s="14">
        <v>-20294992</v>
      </c>
      <c r="K16" s="14">
        <v>-2430682</v>
      </c>
      <c r="L16" s="14">
        <v>-4757674</v>
      </c>
      <c r="M16" s="14">
        <v>4642416</v>
      </c>
      <c r="N16" s="209">
        <v>-58083649</v>
      </c>
    </row>
    <row r="17" spans="1:14" x14ac:dyDescent="0.3">
      <c r="A17" s="24"/>
      <c r="B17" s="16"/>
      <c r="C17" s="16"/>
      <c r="D17" s="16"/>
      <c r="E17" s="16"/>
      <c r="F17" s="16"/>
      <c r="G17" s="16"/>
      <c r="H17" s="16"/>
      <c r="I17" s="16"/>
      <c r="J17" s="16"/>
      <c r="K17" s="16"/>
      <c r="L17" s="16"/>
      <c r="M17" s="16"/>
      <c r="N17" s="70"/>
    </row>
    <row r="18" spans="1:14" x14ac:dyDescent="0.3">
      <c r="A18" s="15" t="s">
        <v>75</v>
      </c>
      <c r="B18" s="16"/>
      <c r="C18" s="16"/>
      <c r="D18" s="16"/>
      <c r="E18" s="16"/>
      <c r="F18" s="16"/>
      <c r="G18" s="16"/>
      <c r="H18" s="16"/>
      <c r="I18" s="16"/>
      <c r="J18" s="16"/>
      <c r="K18" s="16"/>
      <c r="L18" s="16"/>
      <c r="M18" s="16"/>
      <c r="N18" s="70"/>
    </row>
    <row r="19" spans="1:14" x14ac:dyDescent="0.3">
      <c r="A19" s="22" t="s">
        <v>76</v>
      </c>
      <c r="B19" s="20">
        <v>0</v>
      </c>
      <c r="C19" s="20">
        <v>0</v>
      </c>
      <c r="D19" s="14">
        <v>211892</v>
      </c>
      <c r="E19" s="18" t="s">
        <v>77</v>
      </c>
      <c r="F19" s="18" t="s">
        <v>77</v>
      </c>
      <c r="G19" s="14">
        <v>186259</v>
      </c>
      <c r="H19" s="14">
        <v>36515</v>
      </c>
      <c r="I19" s="18" t="s">
        <v>77</v>
      </c>
      <c r="J19" s="14">
        <v>163386</v>
      </c>
      <c r="K19" s="18" t="s">
        <v>77</v>
      </c>
      <c r="L19" s="18" t="s">
        <v>77</v>
      </c>
      <c r="M19" s="14">
        <v>341330</v>
      </c>
      <c r="N19" s="209">
        <v>939382</v>
      </c>
    </row>
    <row r="20" spans="1:14" x14ac:dyDescent="0.3">
      <c r="A20" s="21" t="s">
        <v>78</v>
      </c>
      <c r="B20" s="20">
        <v>0</v>
      </c>
      <c r="C20" s="20">
        <v>0</v>
      </c>
      <c r="D20" s="14">
        <v>211892</v>
      </c>
      <c r="E20" s="18" t="s">
        <v>77</v>
      </c>
      <c r="F20" s="18" t="s">
        <v>77</v>
      </c>
      <c r="G20" s="14">
        <v>186259</v>
      </c>
      <c r="H20" s="14">
        <v>36515</v>
      </c>
      <c r="I20" s="18" t="s">
        <v>77</v>
      </c>
      <c r="J20" s="14">
        <v>163386</v>
      </c>
      <c r="K20" s="18" t="s">
        <v>77</v>
      </c>
      <c r="L20" s="18" t="s">
        <v>77</v>
      </c>
      <c r="M20" s="14">
        <v>341330</v>
      </c>
      <c r="N20" s="209">
        <v>939382</v>
      </c>
    </row>
    <row r="21" spans="1:14" x14ac:dyDescent="0.3">
      <c r="A21" s="22" t="s">
        <v>79</v>
      </c>
      <c r="B21" s="14">
        <v>8921550</v>
      </c>
      <c r="C21" s="14">
        <v>4994774</v>
      </c>
      <c r="D21" s="14">
        <v>36644137</v>
      </c>
      <c r="E21" s="14">
        <v>19946035</v>
      </c>
      <c r="F21" s="14">
        <v>6907663</v>
      </c>
      <c r="G21" s="14">
        <v>141197849</v>
      </c>
      <c r="H21" s="14">
        <v>22345823</v>
      </c>
      <c r="I21" s="14">
        <v>12728992</v>
      </c>
      <c r="J21" s="14">
        <v>1222195</v>
      </c>
      <c r="K21" s="14">
        <v>21110848</v>
      </c>
      <c r="L21" s="14">
        <v>13990208</v>
      </c>
      <c r="M21" s="14">
        <v>87620481</v>
      </c>
      <c r="N21" s="209">
        <v>377630553</v>
      </c>
    </row>
    <row r="22" spans="1:14" x14ac:dyDescent="0.3">
      <c r="A22" s="21" t="s">
        <v>80</v>
      </c>
      <c r="B22" s="14">
        <v>-498456</v>
      </c>
      <c r="C22" s="14">
        <v>3273896</v>
      </c>
      <c r="D22" s="14">
        <v>-6164025</v>
      </c>
      <c r="E22" s="14">
        <v>1500781</v>
      </c>
      <c r="F22" s="14">
        <v>1514161</v>
      </c>
      <c r="G22" s="14">
        <v>-22401950</v>
      </c>
      <c r="H22" s="14">
        <v>-553406</v>
      </c>
      <c r="I22" s="14">
        <v>2407947</v>
      </c>
      <c r="J22" s="14">
        <v>17261290</v>
      </c>
      <c r="K22" s="14">
        <v>3102511</v>
      </c>
      <c r="L22" s="14">
        <v>606300</v>
      </c>
      <c r="M22" s="14">
        <v>-21477651</v>
      </c>
      <c r="N22" s="209">
        <v>-21428601</v>
      </c>
    </row>
    <row r="23" spans="1:14" x14ac:dyDescent="0.3">
      <c r="A23" s="23" t="s">
        <v>81</v>
      </c>
      <c r="B23" s="14">
        <v>-498456</v>
      </c>
      <c r="C23" s="14">
        <v>3273896</v>
      </c>
      <c r="D23" s="14">
        <v>256465</v>
      </c>
      <c r="E23" s="14">
        <v>1500781</v>
      </c>
      <c r="F23" s="14">
        <v>1514161</v>
      </c>
      <c r="G23" s="14">
        <v>-5651510</v>
      </c>
      <c r="H23" s="14">
        <v>-553406</v>
      </c>
      <c r="I23" s="14">
        <v>2407947</v>
      </c>
      <c r="J23" s="14">
        <v>1047453</v>
      </c>
      <c r="K23" s="14">
        <v>3102511</v>
      </c>
      <c r="L23" s="14">
        <v>606300</v>
      </c>
      <c r="M23" s="14">
        <v>-73263</v>
      </c>
      <c r="N23" s="209">
        <v>6932880</v>
      </c>
    </row>
    <row r="24" spans="1:14" x14ac:dyDescent="0.3">
      <c r="A24" s="23" t="s">
        <v>82</v>
      </c>
      <c r="B24" s="20">
        <v>0</v>
      </c>
      <c r="C24" s="20">
        <v>0</v>
      </c>
      <c r="D24" s="14">
        <v>-6420490</v>
      </c>
      <c r="E24" s="18" t="s">
        <v>77</v>
      </c>
      <c r="F24" s="18" t="s">
        <v>77</v>
      </c>
      <c r="G24" s="14">
        <v>-16750440</v>
      </c>
      <c r="H24" s="18" t="s">
        <v>77</v>
      </c>
      <c r="I24" s="18" t="s">
        <v>77</v>
      </c>
      <c r="J24" s="14">
        <v>16213837</v>
      </c>
      <c r="K24" s="18" t="s">
        <v>77</v>
      </c>
      <c r="L24" s="18" t="s">
        <v>77</v>
      </c>
      <c r="M24" s="14">
        <v>-21404388</v>
      </c>
      <c r="N24" s="209">
        <v>-28361481</v>
      </c>
    </row>
    <row r="25" spans="1:14" x14ac:dyDescent="0.3">
      <c r="A25" s="15" t="s">
        <v>83</v>
      </c>
      <c r="B25" s="14">
        <v>8423094</v>
      </c>
      <c r="C25" s="14">
        <v>8268670</v>
      </c>
      <c r="D25" s="14">
        <v>30480112</v>
      </c>
      <c r="E25" s="14">
        <v>21446816</v>
      </c>
      <c r="F25" s="14">
        <v>8421823</v>
      </c>
      <c r="G25" s="14">
        <v>118795899</v>
      </c>
      <c r="H25" s="14">
        <v>21792417</v>
      </c>
      <c r="I25" s="14">
        <v>15136939</v>
      </c>
      <c r="J25" s="14">
        <v>18483485</v>
      </c>
      <c r="K25" s="14">
        <v>24213359</v>
      </c>
      <c r="L25" s="14">
        <v>14596508</v>
      </c>
      <c r="M25" s="14">
        <v>66142830</v>
      </c>
      <c r="N25" s="209">
        <v>356201952</v>
      </c>
    </row>
    <row r="26" spans="1:14" x14ac:dyDescent="0.3">
      <c r="A26" s="23" t="s">
        <v>84</v>
      </c>
      <c r="B26" s="20">
        <v>0</v>
      </c>
      <c r="C26" s="20">
        <v>0</v>
      </c>
      <c r="D26" s="20">
        <v>0</v>
      </c>
      <c r="E26" s="20">
        <v>0</v>
      </c>
      <c r="F26" s="20">
        <v>0</v>
      </c>
      <c r="G26" s="20">
        <v>0</v>
      </c>
      <c r="H26" s="20">
        <v>0</v>
      </c>
      <c r="I26" s="20">
        <v>0</v>
      </c>
      <c r="J26" s="20">
        <v>0</v>
      </c>
      <c r="K26" s="20">
        <v>0</v>
      </c>
      <c r="L26" s="20">
        <v>0</v>
      </c>
      <c r="M26" s="14">
        <v>2831</v>
      </c>
      <c r="N26" s="209">
        <v>2831</v>
      </c>
    </row>
    <row r="27" spans="1:14" x14ac:dyDescent="0.3">
      <c r="A27" s="23" t="s">
        <v>85</v>
      </c>
      <c r="B27" s="14">
        <v>8405799</v>
      </c>
      <c r="C27" s="14">
        <v>7929522</v>
      </c>
      <c r="D27" s="14">
        <v>8314051</v>
      </c>
      <c r="E27" s="14">
        <v>7992108</v>
      </c>
      <c r="F27" s="14">
        <v>8032221</v>
      </c>
      <c r="G27" s="14">
        <v>7855774</v>
      </c>
      <c r="H27" s="14">
        <v>8804334</v>
      </c>
      <c r="I27" s="14">
        <v>9826003</v>
      </c>
      <c r="J27" s="14">
        <v>8995401</v>
      </c>
      <c r="K27" s="14">
        <v>9225275</v>
      </c>
      <c r="L27" s="14">
        <v>9098521</v>
      </c>
      <c r="M27" s="14">
        <v>9168786</v>
      </c>
      <c r="N27" s="209">
        <v>103647794</v>
      </c>
    </row>
    <row r="28" spans="1:14" ht="19.350000000000001" customHeight="1" x14ac:dyDescent="0.3">
      <c r="A28" s="23" t="s">
        <v>86</v>
      </c>
      <c r="B28" s="20">
        <v>0</v>
      </c>
      <c r="C28" s="14">
        <v>321690</v>
      </c>
      <c r="D28" s="14">
        <v>22000000</v>
      </c>
      <c r="E28" s="14">
        <v>13387962</v>
      </c>
      <c r="F28" s="14">
        <v>322652</v>
      </c>
      <c r="G28" s="14">
        <v>110905000</v>
      </c>
      <c r="H28" s="14">
        <v>13000000</v>
      </c>
      <c r="I28" s="14">
        <v>5322853</v>
      </c>
      <c r="J28" s="14">
        <v>9500000</v>
      </c>
      <c r="K28" s="14">
        <v>15000000</v>
      </c>
      <c r="L28" s="14">
        <v>5509904</v>
      </c>
      <c r="M28" s="14">
        <v>56973129</v>
      </c>
      <c r="N28" s="209">
        <v>252243191</v>
      </c>
    </row>
    <row r="29" spans="1:14" x14ac:dyDescent="0.3">
      <c r="A29" s="23" t="s">
        <v>87</v>
      </c>
      <c r="B29" s="14">
        <v>78295</v>
      </c>
      <c r="C29" s="14">
        <v>78458</v>
      </c>
      <c r="D29" s="14">
        <v>79812</v>
      </c>
      <c r="E29" s="14">
        <v>78663</v>
      </c>
      <c r="F29" s="14">
        <v>78867</v>
      </c>
      <c r="G29" s="14">
        <v>47042</v>
      </c>
      <c r="H29" s="18" t="s">
        <v>77</v>
      </c>
      <c r="I29" s="18" t="s">
        <v>77</v>
      </c>
      <c r="J29" s="18" t="s">
        <v>77</v>
      </c>
      <c r="K29" s="18" t="s">
        <v>77</v>
      </c>
      <c r="L29" s="18" t="s">
        <v>77</v>
      </c>
      <c r="M29" s="18" t="s">
        <v>77</v>
      </c>
      <c r="N29" s="209">
        <v>441136</v>
      </c>
    </row>
    <row r="30" spans="1:14" x14ac:dyDescent="0.3">
      <c r="A30" s="23" t="s">
        <v>88</v>
      </c>
      <c r="B30" s="14">
        <v>61000</v>
      </c>
      <c r="C30" s="14">
        <v>61000</v>
      </c>
      <c r="D30" s="14">
        <v>-86250</v>
      </c>
      <c r="E30" s="14">
        <v>11917</v>
      </c>
      <c r="F30" s="14">
        <v>11917</v>
      </c>
      <c r="G30" s="14">
        <v>11917</v>
      </c>
      <c r="H30" s="14">
        <v>11917</v>
      </c>
      <c r="I30" s="14">
        <v>11917</v>
      </c>
      <c r="J30" s="14">
        <v>11917</v>
      </c>
      <c r="K30" s="14">
        <v>11917</v>
      </c>
      <c r="L30" s="14">
        <v>11917</v>
      </c>
      <c r="M30" s="14">
        <v>1917</v>
      </c>
      <c r="N30" s="209">
        <v>133000</v>
      </c>
    </row>
    <row r="31" spans="1:14" x14ac:dyDescent="0.3">
      <c r="A31" s="15" t="s">
        <v>89</v>
      </c>
      <c r="B31" s="19">
        <v>8921550</v>
      </c>
      <c r="C31" s="19">
        <v>4994774</v>
      </c>
      <c r="D31" s="19">
        <v>36856029</v>
      </c>
      <c r="E31" s="19">
        <v>19946035</v>
      </c>
      <c r="F31" s="19">
        <v>6907663</v>
      </c>
      <c r="G31" s="19">
        <v>141384108</v>
      </c>
      <c r="H31" s="19">
        <v>22382338</v>
      </c>
      <c r="I31" s="19">
        <v>12728992</v>
      </c>
      <c r="J31" s="19">
        <v>1385581</v>
      </c>
      <c r="K31" s="19">
        <v>21110848</v>
      </c>
      <c r="L31" s="19">
        <v>13990208</v>
      </c>
      <c r="M31" s="19">
        <v>87961811</v>
      </c>
      <c r="N31" s="211">
        <v>378569935</v>
      </c>
    </row>
    <row r="32" spans="1:14" x14ac:dyDescent="0.3">
      <c r="A32" s="17"/>
      <c r="B32" s="16"/>
      <c r="C32" s="16"/>
      <c r="D32" s="16"/>
      <c r="E32" s="16"/>
      <c r="F32" s="16"/>
      <c r="G32" s="16"/>
      <c r="H32" s="16"/>
      <c r="I32" s="16"/>
      <c r="J32" s="16"/>
      <c r="K32" s="16"/>
      <c r="L32" s="16"/>
      <c r="M32" s="16"/>
      <c r="N32" s="70"/>
    </row>
    <row r="33" spans="1:16" x14ac:dyDescent="0.3">
      <c r="A33" s="22" t="s">
        <v>90</v>
      </c>
      <c r="B33" s="16"/>
      <c r="C33" s="16"/>
      <c r="D33" s="16"/>
      <c r="E33" s="16"/>
      <c r="F33" s="16"/>
      <c r="G33" s="16"/>
      <c r="H33" s="16"/>
      <c r="I33" s="16"/>
      <c r="J33" s="16"/>
      <c r="K33" s="16"/>
      <c r="L33" s="16"/>
      <c r="M33" s="16"/>
      <c r="N33" s="70"/>
    </row>
    <row r="34" spans="1:16" x14ac:dyDescent="0.3">
      <c r="A34" s="66" t="s">
        <v>91</v>
      </c>
      <c r="B34" s="67">
        <v>10772050</v>
      </c>
      <c r="C34" s="67">
        <v>10615661</v>
      </c>
      <c r="D34" s="67">
        <v>10776115</v>
      </c>
      <c r="E34" s="67">
        <v>10639867</v>
      </c>
      <c r="F34" s="67">
        <v>12634200</v>
      </c>
      <c r="G34" s="67">
        <v>7737970</v>
      </c>
      <c r="H34" s="67">
        <v>11239064</v>
      </c>
      <c r="I34" s="67">
        <v>11425956</v>
      </c>
      <c r="J34" s="67">
        <v>11460565</v>
      </c>
      <c r="K34" s="67">
        <v>11586544</v>
      </c>
      <c r="L34" s="67">
        <v>11593191</v>
      </c>
      <c r="M34" s="67">
        <v>11400966</v>
      </c>
      <c r="N34" s="212">
        <v>131882148</v>
      </c>
      <c r="O34" s="65" t="s">
        <v>92</v>
      </c>
    </row>
    <row r="35" spans="1:16" x14ac:dyDescent="0.3">
      <c r="A35" s="21" t="s">
        <v>93</v>
      </c>
      <c r="B35" s="14">
        <v>1208333</v>
      </c>
      <c r="C35" s="14">
        <v>1208333</v>
      </c>
      <c r="D35" s="14">
        <v>1208333</v>
      </c>
      <c r="E35" s="14">
        <v>1208333</v>
      </c>
      <c r="F35" s="14">
        <v>3156972</v>
      </c>
      <c r="G35" s="14">
        <v>2620000</v>
      </c>
      <c r="H35" s="14">
        <v>2015833</v>
      </c>
      <c r="I35" s="14">
        <v>2015833</v>
      </c>
      <c r="J35" s="14">
        <v>2015833</v>
      </c>
      <c r="K35" s="14">
        <v>2015833</v>
      </c>
      <c r="L35" s="14">
        <v>2015833</v>
      </c>
      <c r="M35" s="14">
        <v>2015833</v>
      </c>
      <c r="N35" s="209">
        <v>22705306</v>
      </c>
    </row>
    <row r="36" spans="1:16" x14ac:dyDescent="0.3">
      <c r="A36" s="21" t="s">
        <v>94</v>
      </c>
      <c r="B36" s="14">
        <v>280902</v>
      </c>
      <c r="C36" s="14">
        <v>105148</v>
      </c>
      <c r="D36" s="14">
        <v>105148</v>
      </c>
      <c r="E36" s="14">
        <v>105148</v>
      </c>
      <c r="F36" s="14">
        <v>126635</v>
      </c>
      <c r="G36" s="14">
        <v>109709</v>
      </c>
      <c r="H36" s="14">
        <v>75939</v>
      </c>
      <c r="I36" s="14">
        <v>75939</v>
      </c>
      <c r="J36" s="14">
        <v>75939</v>
      </c>
      <c r="K36" s="14">
        <v>75939</v>
      </c>
      <c r="L36" s="14">
        <v>88124</v>
      </c>
      <c r="M36" s="14">
        <v>84309</v>
      </c>
      <c r="N36" s="209">
        <v>1308880</v>
      </c>
    </row>
    <row r="37" spans="1:16" ht="19.350000000000001" customHeight="1" x14ac:dyDescent="0.3">
      <c r="A37" s="21" t="s">
        <v>95</v>
      </c>
      <c r="B37" s="14">
        <v>222965</v>
      </c>
      <c r="C37" s="14">
        <v>223430</v>
      </c>
      <c r="D37" s="14">
        <v>227284</v>
      </c>
      <c r="E37" s="14">
        <v>224011</v>
      </c>
      <c r="F37" s="14">
        <v>224593</v>
      </c>
      <c r="G37" s="14">
        <v>224580</v>
      </c>
      <c r="H37" s="14">
        <v>227167</v>
      </c>
      <c r="I37" s="14">
        <v>231808</v>
      </c>
      <c r="J37" s="14">
        <v>232668</v>
      </c>
      <c r="K37" s="14">
        <v>235796</v>
      </c>
      <c r="L37" s="14">
        <v>235659</v>
      </c>
      <c r="M37" s="14">
        <v>234898</v>
      </c>
      <c r="N37" s="209">
        <v>2744858</v>
      </c>
    </row>
    <row r="38" spans="1:16" x14ac:dyDescent="0.3">
      <c r="A38" s="21" t="s">
        <v>96</v>
      </c>
      <c r="B38" s="14">
        <v>9059850</v>
      </c>
      <c r="C38" s="14">
        <v>9078750</v>
      </c>
      <c r="D38" s="14">
        <v>9235350</v>
      </c>
      <c r="E38" s="14">
        <v>9102375</v>
      </c>
      <c r="F38" s="14">
        <v>9126000</v>
      </c>
      <c r="G38" s="14">
        <v>4783680</v>
      </c>
      <c r="H38" s="14">
        <v>8920125</v>
      </c>
      <c r="I38" s="14">
        <v>9102375</v>
      </c>
      <c r="J38" s="14">
        <v>9136125</v>
      </c>
      <c r="K38" s="14">
        <v>9258975</v>
      </c>
      <c r="L38" s="14">
        <v>9253575</v>
      </c>
      <c r="M38" s="14">
        <v>9065925</v>
      </c>
      <c r="N38" s="209">
        <v>105123105</v>
      </c>
    </row>
    <row r="39" spans="1:16" x14ac:dyDescent="0.3">
      <c r="A39" s="66" t="s">
        <v>97</v>
      </c>
      <c r="B39" s="67">
        <v>3586916</v>
      </c>
      <c r="C39" s="67">
        <v>4280763</v>
      </c>
      <c r="D39" s="67">
        <v>4555345</v>
      </c>
      <c r="E39" s="67">
        <v>4497141</v>
      </c>
      <c r="F39" s="67">
        <v>4763068</v>
      </c>
      <c r="G39" s="67">
        <v>2265270</v>
      </c>
      <c r="H39" s="67">
        <v>5680367</v>
      </c>
      <c r="I39" s="67">
        <v>6447776</v>
      </c>
      <c r="J39" s="67">
        <v>6402451</v>
      </c>
      <c r="K39" s="67">
        <v>6777067</v>
      </c>
      <c r="L39" s="67">
        <v>7174087</v>
      </c>
      <c r="M39" s="67">
        <v>6349356</v>
      </c>
      <c r="N39" s="212">
        <v>62779606</v>
      </c>
      <c r="O39" s="65" t="s">
        <v>92</v>
      </c>
      <c r="P39" s="13" t="s">
        <v>98</v>
      </c>
    </row>
    <row r="40" spans="1:16" x14ac:dyDescent="0.3">
      <c r="A40" s="22" t="s">
        <v>99</v>
      </c>
      <c r="B40" s="14">
        <v>278993</v>
      </c>
      <c r="C40" s="14">
        <v>128091</v>
      </c>
      <c r="D40" s="14">
        <v>102471</v>
      </c>
      <c r="E40" s="14">
        <v>129782</v>
      </c>
      <c r="F40" s="14">
        <v>108095</v>
      </c>
      <c r="G40" s="14">
        <v>82744</v>
      </c>
      <c r="H40" s="14">
        <v>204744</v>
      </c>
      <c r="I40" s="14">
        <v>982673</v>
      </c>
      <c r="J40" s="14">
        <v>363078</v>
      </c>
      <c r="K40" s="14">
        <v>271098</v>
      </c>
      <c r="L40" s="14">
        <v>147970</v>
      </c>
      <c r="M40" s="14">
        <v>323373</v>
      </c>
      <c r="N40" s="209">
        <v>3123111</v>
      </c>
    </row>
    <row r="41" spans="1:16" x14ac:dyDescent="0.3">
      <c r="A41" s="15" t="s">
        <v>100</v>
      </c>
      <c r="B41" s="14">
        <v>278993</v>
      </c>
      <c r="C41" s="14">
        <v>128091</v>
      </c>
      <c r="D41" s="14">
        <v>102471</v>
      </c>
      <c r="E41" s="14">
        <v>129782</v>
      </c>
      <c r="F41" s="14">
        <v>108095</v>
      </c>
      <c r="G41" s="14">
        <v>82744</v>
      </c>
      <c r="H41" s="14">
        <v>204744</v>
      </c>
      <c r="I41" s="14">
        <v>200267</v>
      </c>
      <c r="J41" s="14">
        <v>267881</v>
      </c>
      <c r="K41" s="14">
        <v>143633</v>
      </c>
      <c r="L41" s="14">
        <v>64175</v>
      </c>
      <c r="M41" s="14">
        <v>231928</v>
      </c>
      <c r="N41" s="209">
        <v>1942804</v>
      </c>
    </row>
    <row r="42" spans="1:16" x14ac:dyDescent="0.3">
      <c r="A42" s="15" t="s">
        <v>101</v>
      </c>
      <c r="B42" s="20">
        <v>0</v>
      </c>
      <c r="C42" s="20">
        <v>0</v>
      </c>
      <c r="D42" s="20">
        <v>0</v>
      </c>
      <c r="E42" s="20">
        <v>0</v>
      </c>
      <c r="F42" s="20">
        <v>0</v>
      </c>
      <c r="G42" s="20">
        <v>0</v>
      </c>
      <c r="H42" s="20">
        <v>0</v>
      </c>
      <c r="I42" s="14">
        <v>782406</v>
      </c>
      <c r="J42" s="14">
        <v>95197</v>
      </c>
      <c r="K42" s="14">
        <v>127465</v>
      </c>
      <c r="L42" s="14">
        <v>83795</v>
      </c>
      <c r="M42" s="14">
        <v>91444</v>
      </c>
      <c r="N42" s="209">
        <v>1180307</v>
      </c>
    </row>
    <row r="43" spans="1:16" x14ac:dyDescent="0.3">
      <c r="A43" s="15" t="s">
        <v>102</v>
      </c>
      <c r="B43" s="19">
        <v>14637959</v>
      </c>
      <c r="C43" s="19">
        <v>15024515</v>
      </c>
      <c r="D43" s="19">
        <v>15433930</v>
      </c>
      <c r="E43" s="19">
        <v>15266790</v>
      </c>
      <c r="F43" s="19">
        <v>17505363</v>
      </c>
      <c r="G43" s="19">
        <v>10085984</v>
      </c>
      <c r="H43" s="19">
        <v>17124175</v>
      </c>
      <c r="I43" s="19">
        <v>18856405</v>
      </c>
      <c r="J43" s="19">
        <v>18226094</v>
      </c>
      <c r="K43" s="19">
        <v>18634709</v>
      </c>
      <c r="L43" s="19">
        <v>18915248</v>
      </c>
      <c r="M43" s="19">
        <v>18073695</v>
      </c>
      <c r="N43" s="211">
        <v>197784866</v>
      </c>
    </row>
    <row r="44" spans="1:16" x14ac:dyDescent="0.3">
      <c r="A44" s="17"/>
      <c r="B44" s="16"/>
      <c r="C44" s="16"/>
      <c r="D44" s="16"/>
      <c r="E44" s="16"/>
      <c r="F44" s="16"/>
      <c r="G44" s="16"/>
      <c r="H44" s="16"/>
      <c r="I44" s="16"/>
      <c r="J44" s="16"/>
      <c r="K44" s="16"/>
      <c r="L44" s="16"/>
      <c r="M44" s="16"/>
      <c r="N44" s="70"/>
    </row>
    <row r="45" spans="1:16" x14ac:dyDescent="0.3">
      <c r="A45" s="15" t="s">
        <v>103</v>
      </c>
      <c r="B45" s="14">
        <v>-9465332</v>
      </c>
      <c r="C45" s="14">
        <v>-12126794</v>
      </c>
      <c r="D45" s="14">
        <v>23715290</v>
      </c>
      <c r="E45" s="14">
        <v>1410246</v>
      </c>
      <c r="F45" s="14">
        <v>-14594637</v>
      </c>
      <c r="G45" s="14">
        <v>114670369</v>
      </c>
      <c r="H45" s="14">
        <v>2346937</v>
      </c>
      <c r="I45" s="14">
        <v>-11012430</v>
      </c>
      <c r="J45" s="14">
        <v>-37135505</v>
      </c>
      <c r="K45" s="14">
        <v>45458</v>
      </c>
      <c r="L45" s="14">
        <v>-9682714</v>
      </c>
      <c r="M45" s="14">
        <v>74530532</v>
      </c>
      <c r="N45" s="209">
        <v>122701420</v>
      </c>
    </row>
    <row r="46" spans="1:16" x14ac:dyDescent="0.3">
      <c r="A46" s="17"/>
      <c r="B46" s="16"/>
      <c r="C46" s="16"/>
      <c r="D46" s="16"/>
      <c r="E46" s="16"/>
      <c r="F46" s="16"/>
      <c r="G46" s="16"/>
      <c r="H46" s="16"/>
      <c r="I46" s="16"/>
      <c r="J46" s="16"/>
      <c r="K46" s="16"/>
      <c r="L46" s="16"/>
      <c r="M46" s="16"/>
      <c r="N46" s="70"/>
    </row>
    <row r="47" spans="1:16" x14ac:dyDescent="0.3">
      <c r="A47" s="22" t="s">
        <v>104</v>
      </c>
      <c r="B47" s="16"/>
      <c r="C47" s="16"/>
      <c r="D47" s="16"/>
      <c r="E47" s="16"/>
      <c r="F47" s="16"/>
      <c r="G47" s="16"/>
      <c r="H47" s="16"/>
      <c r="I47" s="16"/>
      <c r="J47" s="16"/>
      <c r="K47" s="16"/>
      <c r="L47" s="16"/>
      <c r="M47" s="16"/>
      <c r="N47" s="70"/>
    </row>
    <row r="48" spans="1:16" x14ac:dyDescent="0.3">
      <c r="A48" s="21" t="s">
        <v>105</v>
      </c>
      <c r="B48" s="14">
        <v>-95483</v>
      </c>
      <c r="C48" s="18" t="s">
        <v>77</v>
      </c>
      <c r="D48" s="14">
        <v>6460991</v>
      </c>
      <c r="E48" s="18" t="s">
        <v>77</v>
      </c>
      <c r="F48" s="18" t="s">
        <v>77</v>
      </c>
      <c r="G48" s="14">
        <v>6374891</v>
      </c>
      <c r="H48" s="14">
        <v>-95744</v>
      </c>
      <c r="I48" s="18" t="s">
        <v>77</v>
      </c>
      <c r="J48" s="14">
        <v>6478704</v>
      </c>
      <c r="K48" s="14">
        <v>-108799</v>
      </c>
      <c r="L48" s="18" t="s">
        <v>77</v>
      </c>
      <c r="M48" s="14">
        <v>7362014</v>
      </c>
      <c r="N48" s="209">
        <v>26376575</v>
      </c>
    </row>
    <row r="49" spans="1:14" x14ac:dyDescent="0.3">
      <c r="A49" s="21" t="s">
        <v>106</v>
      </c>
      <c r="B49" s="14">
        <v>-3363840</v>
      </c>
      <c r="C49" s="14">
        <v>-3190424</v>
      </c>
      <c r="D49" s="14">
        <v>-8210248</v>
      </c>
      <c r="E49" s="14">
        <v>-3497912</v>
      </c>
      <c r="F49" s="14">
        <v>-4410917</v>
      </c>
      <c r="G49" s="14">
        <v>-10976454</v>
      </c>
      <c r="H49" s="14">
        <v>-3329046</v>
      </c>
      <c r="I49" s="14">
        <v>-4563298</v>
      </c>
      <c r="J49" s="14">
        <v>-15340120</v>
      </c>
      <c r="K49" s="14">
        <v>-4175536</v>
      </c>
      <c r="L49" s="14">
        <v>-4746568</v>
      </c>
      <c r="M49" s="14">
        <v>-8651244</v>
      </c>
      <c r="N49" s="209">
        <v>-74455606</v>
      </c>
    </row>
    <row r="50" spans="1:14" x14ac:dyDescent="0.3">
      <c r="A50" s="21" t="s">
        <v>107</v>
      </c>
      <c r="B50" s="20">
        <v>0</v>
      </c>
      <c r="C50" s="20">
        <v>0</v>
      </c>
      <c r="D50" s="14">
        <v>1861942</v>
      </c>
      <c r="E50" s="18" t="s">
        <v>77</v>
      </c>
      <c r="F50" s="18" t="s">
        <v>77</v>
      </c>
      <c r="G50" s="14">
        <v>4857628</v>
      </c>
      <c r="H50" s="18" t="s">
        <v>77</v>
      </c>
      <c r="I50" s="18" t="s">
        <v>77</v>
      </c>
      <c r="J50" s="14">
        <v>-4702013</v>
      </c>
      <c r="K50" s="18" t="s">
        <v>77</v>
      </c>
      <c r="L50" s="18" t="s">
        <v>77</v>
      </c>
      <c r="M50" s="14">
        <v>6207272</v>
      </c>
      <c r="N50" s="209">
        <v>8224829</v>
      </c>
    </row>
    <row r="51" spans="1:14" x14ac:dyDescent="0.3">
      <c r="A51" s="15" t="s">
        <v>108</v>
      </c>
      <c r="B51" s="19">
        <v>-3459323</v>
      </c>
      <c r="C51" s="19">
        <v>-3190424</v>
      </c>
      <c r="D51" s="19">
        <v>112685</v>
      </c>
      <c r="E51" s="19">
        <v>-3497912</v>
      </c>
      <c r="F51" s="19">
        <v>-4410917</v>
      </c>
      <c r="G51" s="19">
        <v>256065</v>
      </c>
      <c r="H51" s="19">
        <v>-3424790</v>
      </c>
      <c r="I51" s="19">
        <v>-4563298</v>
      </c>
      <c r="J51" s="19">
        <v>-13563429</v>
      </c>
      <c r="K51" s="19">
        <v>-4284335</v>
      </c>
      <c r="L51" s="19">
        <v>-4746568</v>
      </c>
      <c r="M51" s="19">
        <v>4918043</v>
      </c>
      <c r="N51" s="211">
        <v>-39854202</v>
      </c>
    </row>
    <row r="52" spans="1:14" x14ac:dyDescent="0.3">
      <c r="A52" s="17"/>
      <c r="B52" s="16"/>
      <c r="C52" s="16"/>
      <c r="D52" s="16"/>
      <c r="E52" s="16"/>
      <c r="F52" s="16"/>
      <c r="G52" s="16"/>
      <c r="H52" s="16"/>
      <c r="I52" s="16"/>
      <c r="J52" s="16"/>
      <c r="K52" s="16"/>
      <c r="L52" s="16"/>
      <c r="M52" s="16"/>
      <c r="N52" s="70"/>
    </row>
    <row r="53" spans="1:14" x14ac:dyDescent="0.3">
      <c r="A53" s="17"/>
      <c r="B53" s="16"/>
      <c r="C53" s="16"/>
      <c r="D53" s="16"/>
      <c r="E53" s="16"/>
      <c r="F53" s="16"/>
      <c r="G53" s="16"/>
      <c r="H53" s="16"/>
      <c r="I53" s="16"/>
      <c r="J53" s="16"/>
      <c r="K53" s="16"/>
      <c r="L53" s="16"/>
      <c r="M53" s="16"/>
      <c r="N53" s="70"/>
    </row>
    <row r="54" spans="1:14" x14ac:dyDescent="0.3">
      <c r="A54" s="15" t="s">
        <v>109</v>
      </c>
      <c r="B54" s="14">
        <v>-6006009</v>
      </c>
      <c r="C54" s="14">
        <v>-8936370</v>
      </c>
      <c r="D54" s="14">
        <v>23602605</v>
      </c>
      <c r="E54" s="14">
        <v>4908158</v>
      </c>
      <c r="F54" s="14">
        <v>-10183720</v>
      </c>
      <c r="G54" s="14">
        <v>114414304</v>
      </c>
      <c r="H54" s="14">
        <v>5771727</v>
      </c>
      <c r="I54" s="14">
        <v>-6449132</v>
      </c>
      <c r="J54" s="14">
        <v>-23572076</v>
      </c>
      <c r="K54" s="14">
        <v>4329793</v>
      </c>
      <c r="L54" s="14">
        <v>-4936146</v>
      </c>
      <c r="M54" s="14">
        <v>69612489</v>
      </c>
      <c r="N54" s="209">
        <v>162555622</v>
      </c>
    </row>
    <row r="55" spans="1:14" x14ac:dyDescent="0.3">
      <c r="A55" s="17"/>
      <c r="B55" s="16"/>
      <c r="C55" s="16"/>
      <c r="D55" s="16"/>
      <c r="E55" s="16"/>
      <c r="F55" s="16"/>
      <c r="G55" s="16"/>
      <c r="H55" s="16"/>
      <c r="I55" s="16"/>
      <c r="J55" s="16"/>
      <c r="K55" s="16"/>
      <c r="L55" s="16"/>
      <c r="M55" s="16"/>
      <c r="N55" s="70"/>
    </row>
    <row r="56" spans="1:14" x14ac:dyDescent="0.3">
      <c r="A56" s="15" t="s">
        <v>110</v>
      </c>
      <c r="B56" s="14">
        <v>15913771</v>
      </c>
      <c r="C56" s="18" t="s">
        <v>77</v>
      </c>
      <c r="D56" s="18" t="s">
        <v>77</v>
      </c>
      <c r="E56" s="14">
        <v>15937228</v>
      </c>
      <c r="F56" s="18" t="s">
        <v>77</v>
      </c>
      <c r="G56" s="18" t="s">
        <v>77</v>
      </c>
      <c r="H56" s="14">
        <v>15957398</v>
      </c>
      <c r="I56" s="18" t="s">
        <v>77</v>
      </c>
      <c r="J56" s="18" t="s">
        <v>77</v>
      </c>
      <c r="K56" s="14">
        <v>18133040</v>
      </c>
      <c r="L56" s="18" t="s">
        <v>77</v>
      </c>
      <c r="M56" s="18" t="s">
        <v>77</v>
      </c>
      <c r="N56" s="209">
        <v>65941437</v>
      </c>
    </row>
    <row r="57" spans="1:14" x14ac:dyDescent="0.3">
      <c r="A57" s="17"/>
      <c r="B57" s="16"/>
      <c r="C57" s="16"/>
      <c r="D57" s="16"/>
      <c r="E57" s="16"/>
      <c r="F57" s="16"/>
      <c r="G57" s="16"/>
      <c r="H57" s="16"/>
      <c r="I57" s="16"/>
      <c r="J57" s="16"/>
      <c r="K57" s="16"/>
      <c r="L57" s="16"/>
      <c r="M57" s="16"/>
      <c r="N57" s="70"/>
    </row>
    <row r="58" spans="1:14" x14ac:dyDescent="0.3">
      <c r="A58" s="15" t="s">
        <v>111</v>
      </c>
      <c r="B58" s="14">
        <v>-21919780</v>
      </c>
      <c r="C58" s="14">
        <v>-8936370</v>
      </c>
      <c r="D58" s="14">
        <v>23602605</v>
      </c>
      <c r="E58" s="14">
        <v>-11029070</v>
      </c>
      <c r="F58" s="14">
        <v>-10183720</v>
      </c>
      <c r="G58" s="14">
        <v>114414304</v>
      </c>
      <c r="H58" s="14">
        <v>-10185671</v>
      </c>
      <c r="I58" s="14">
        <v>-6449132</v>
      </c>
      <c r="J58" s="14">
        <v>-23572076</v>
      </c>
      <c r="K58" s="14">
        <v>-13803248</v>
      </c>
      <c r="L58" s="14">
        <v>-4936146</v>
      </c>
      <c r="M58" s="14">
        <v>69612489</v>
      </c>
      <c r="N58" s="209">
        <v>96614184</v>
      </c>
    </row>
    <row r="59" spans="1:14" x14ac:dyDescent="0.3">
      <c r="A59" s="256" t="s">
        <v>112</v>
      </c>
      <c r="B59" s="256"/>
      <c r="C59" s="256"/>
      <c r="D59" s="256"/>
      <c r="E59" s="256"/>
      <c r="F59" s="256"/>
      <c r="G59" s="256"/>
      <c r="H59" s="256"/>
    </row>
  </sheetData>
  <mergeCells count="4">
    <mergeCell ref="A1:H1"/>
    <mergeCell ref="A2:H2"/>
    <mergeCell ref="A3:H3"/>
    <mergeCell ref="A59:H59"/>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CAE40-9CDF-4ADA-A666-084A059AE116}">
  <sheetPr>
    <tabColor theme="9" tint="0.79998168889431442"/>
  </sheetPr>
  <dimension ref="A1:P127"/>
  <sheetViews>
    <sheetView showOutlineSymbols="0" topLeftCell="A35" workbookViewId="0">
      <selection activeCell="N104" sqref="B104:N104"/>
    </sheetView>
  </sheetViews>
  <sheetFormatPr defaultColWidth="9.109375" defaultRowHeight="14.4" outlineLevelRow="1" x14ac:dyDescent="0.3"/>
  <cols>
    <col min="1" max="1" width="35.6640625" style="13" customWidth="1"/>
    <col min="2" max="13" width="17.88671875" style="13" customWidth="1"/>
    <col min="14" max="14" width="14.33203125" style="13" bestFit="1" customWidth="1"/>
    <col min="15" max="15" width="14.88671875" style="13" bestFit="1" customWidth="1"/>
    <col min="16" max="16384" width="9.109375" style="13"/>
  </cols>
  <sheetData>
    <row r="1" spans="1:15" x14ac:dyDescent="0.3">
      <c r="A1" s="254" t="s">
        <v>113</v>
      </c>
      <c r="B1" s="254"/>
      <c r="C1" s="254"/>
      <c r="D1" s="254"/>
      <c r="E1" s="254"/>
      <c r="F1" s="254"/>
      <c r="G1" s="254"/>
      <c r="H1" s="254"/>
    </row>
    <row r="2" spans="1:15" x14ac:dyDescent="0.3">
      <c r="A2" s="255" t="s">
        <v>51</v>
      </c>
      <c r="B2" s="255"/>
      <c r="C2" s="255"/>
      <c r="D2" s="255"/>
      <c r="E2" s="255"/>
      <c r="F2" s="255"/>
      <c r="G2" s="255"/>
      <c r="H2" s="255"/>
    </row>
    <row r="3" spans="1:15" x14ac:dyDescent="0.3">
      <c r="A3" s="255" t="s">
        <v>52</v>
      </c>
      <c r="B3" s="255"/>
      <c r="C3" s="255"/>
      <c r="D3" s="255"/>
      <c r="E3" s="255"/>
      <c r="F3" s="255"/>
      <c r="G3" s="255"/>
      <c r="H3" s="255"/>
      <c r="N3" s="50" t="s">
        <v>114</v>
      </c>
      <c r="O3" s="71"/>
    </row>
    <row r="4" spans="1:15" x14ac:dyDescent="0.3">
      <c r="A4" s="17"/>
      <c r="B4" s="27" t="s">
        <v>53</v>
      </c>
      <c r="C4" s="27" t="s">
        <v>54</v>
      </c>
      <c r="D4" s="27" t="s">
        <v>55</v>
      </c>
      <c r="E4" s="27" t="s">
        <v>56</v>
      </c>
      <c r="F4" s="27" t="s">
        <v>57</v>
      </c>
      <c r="G4" s="27" t="s">
        <v>58</v>
      </c>
      <c r="H4" s="27" t="s">
        <v>59</v>
      </c>
      <c r="I4" s="27" t="s">
        <v>60</v>
      </c>
      <c r="J4" s="27" t="s">
        <v>61</v>
      </c>
      <c r="K4" s="27" t="s">
        <v>62</v>
      </c>
      <c r="L4" s="27" t="s">
        <v>63</v>
      </c>
      <c r="M4" s="27" t="s">
        <v>64</v>
      </c>
      <c r="N4" s="51">
        <v>44896</v>
      </c>
      <c r="O4" s="69" t="s">
        <v>115</v>
      </c>
    </row>
    <row r="5" spans="1:15" x14ac:dyDescent="0.3">
      <c r="A5" s="17"/>
      <c r="B5" s="45" t="s">
        <v>116</v>
      </c>
      <c r="C5" s="45" t="s">
        <v>116</v>
      </c>
      <c r="D5" s="45" t="s">
        <v>116</v>
      </c>
      <c r="E5" s="45" t="s">
        <v>116</v>
      </c>
      <c r="F5" s="45" t="s">
        <v>116</v>
      </c>
      <c r="G5" s="45" t="s">
        <v>116</v>
      </c>
      <c r="H5" s="45" t="s">
        <v>116</v>
      </c>
      <c r="I5" s="45" t="s">
        <v>116</v>
      </c>
      <c r="J5" s="45" t="s">
        <v>116</v>
      </c>
      <c r="K5" s="45" t="s">
        <v>116</v>
      </c>
      <c r="L5" s="45" t="s">
        <v>116</v>
      </c>
      <c r="M5" s="45" t="s">
        <v>116</v>
      </c>
      <c r="N5" s="52" t="s">
        <v>116</v>
      </c>
      <c r="O5" s="72" t="s">
        <v>117</v>
      </c>
    </row>
    <row r="6" spans="1:15" x14ac:dyDescent="0.3">
      <c r="A6" s="29" t="s">
        <v>118</v>
      </c>
      <c r="B6" s="30"/>
      <c r="C6" s="30"/>
      <c r="D6" s="30"/>
      <c r="E6" s="30"/>
      <c r="F6" s="30"/>
      <c r="G6" s="30"/>
      <c r="H6" s="30"/>
      <c r="I6" s="30"/>
      <c r="J6" s="30"/>
      <c r="K6" s="30"/>
      <c r="L6" s="30"/>
      <c r="M6" s="30"/>
    </row>
    <row r="7" spans="1:15" x14ac:dyDescent="0.3">
      <c r="A7" s="29" t="s">
        <v>119</v>
      </c>
      <c r="B7" s="30"/>
      <c r="C7" s="30"/>
      <c r="D7" s="30"/>
      <c r="E7" s="30"/>
      <c r="F7" s="30"/>
      <c r="G7" s="30"/>
      <c r="H7" s="30"/>
      <c r="I7" s="30"/>
      <c r="J7" s="30"/>
      <c r="K7" s="30"/>
      <c r="L7" s="30"/>
      <c r="M7" s="30"/>
    </row>
    <row r="8" spans="1:15" hidden="1" outlineLevel="1" x14ac:dyDescent="0.3">
      <c r="A8" s="37" t="s">
        <v>120</v>
      </c>
      <c r="B8" s="42">
        <v>-76624596</v>
      </c>
      <c r="C8" s="42">
        <v>-128124549</v>
      </c>
      <c r="D8" s="42">
        <v>-164271071</v>
      </c>
      <c r="E8" s="42">
        <v>-201420068</v>
      </c>
      <c r="F8" s="42">
        <v>5301104</v>
      </c>
      <c r="G8" s="42">
        <v>499935</v>
      </c>
      <c r="H8" s="42">
        <v>454276</v>
      </c>
      <c r="I8" s="42">
        <v>-36954386</v>
      </c>
      <c r="J8" s="42">
        <v>346034</v>
      </c>
      <c r="K8" s="42">
        <v>-19073881</v>
      </c>
      <c r="L8" s="42">
        <v>-21921692</v>
      </c>
      <c r="M8" s="42">
        <v>194849</v>
      </c>
    </row>
    <row r="9" spans="1:15" hidden="1" outlineLevel="1" x14ac:dyDescent="0.3">
      <c r="A9" s="36" t="s">
        <v>121</v>
      </c>
      <c r="B9" s="42">
        <v>-77024922</v>
      </c>
      <c r="C9" s="42">
        <v>-128485993</v>
      </c>
      <c r="D9" s="42">
        <v>-165606323</v>
      </c>
      <c r="E9" s="42">
        <v>-202056316</v>
      </c>
      <c r="F9" s="42">
        <v>-195253458</v>
      </c>
      <c r="G9" s="44" t="s">
        <v>77</v>
      </c>
      <c r="H9" s="44" t="s">
        <v>77</v>
      </c>
      <c r="I9" s="42">
        <v>-37359717</v>
      </c>
      <c r="J9" s="44" t="s">
        <v>77</v>
      </c>
      <c r="K9" s="42">
        <v>-19385668</v>
      </c>
      <c r="L9" s="42">
        <v>-22183539</v>
      </c>
      <c r="M9" s="44" t="s">
        <v>77</v>
      </c>
    </row>
    <row r="10" spans="1:15" hidden="1" outlineLevel="1" x14ac:dyDescent="0.3">
      <c r="A10" s="36" t="s">
        <v>122</v>
      </c>
      <c r="B10" s="42">
        <v>400325</v>
      </c>
      <c r="C10" s="42">
        <v>361443</v>
      </c>
      <c r="D10" s="42">
        <v>1335252</v>
      </c>
      <c r="E10" s="42">
        <v>636247</v>
      </c>
      <c r="F10" s="42">
        <v>554562</v>
      </c>
      <c r="G10" s="42">
        <v>499935</v>
      </c>
      <c r="H10" s="42">
        <v>454276</v>
      </c>
      <c r="I10" s="42">
        <v>405331</v>
      </c>
      <c r="J10" s="42">
        <v>346034</v>
      </c>
      <c r="K10" s="42">
        <v>311786</v>
      </c>
      <c r="L10" s="42">
        <v>261847</v>
      </c>
      <c r="M10" s="42">
        <v>194849</v>
      </c>
    </row>
    <row r="11" spans="1:15" hidden="1" outlineLevel="1" x14ac:dyDescent="0.3">
      <c r="A11" s="36" t="s">
        <v>123</v>
      </c>
      <c r="B11" s="164">
        <v>0</v>
      </c>
      <c r="C11" s="164">
        <v>0</v>
      </c>
      <c r="D11" s="164">
        <v>0</v>
      </c>
      <c r="E11" s="164">
        <v>0</v>
      </c>
      <c r="F11" s="42">
        <v>200000000</v>
      </c>
      <c r="G11" s="44" t="s">
        <v>77</v>
      </c>
      <c r="H11" s="44" t="s">
        <v>77</v>
      </c>
      <c r="I11" s="44" t="s">
        <v>77</v>
      </c>
      <c r="J11" s="44" t="s">
        <v>77</v>
      </c>
      <c r="K11" s="44" t="s">
        <v>77</v>
      </c>
      <c r="L11" s="44" t="s">
        <v>77</v>
      </c>
      <c r="M11" s="44" t="s">
        <v>77</v>
      </c>
    </row>
    <row r="12" spans="1:15" hidden="1" outlineLevel="1" x14ac:dyDescent="0.3">
      <c r="A12" s="37" t="s">
        <v>124</v>
      </c>
      <c r="B12" s="42">
        <v>4450417</v>
      </c>
      <c r="C12" s="42">
        <v>4350309</v>
      </c>
      <c r="D12" s="42">
        <v>3747687</v>
      </c>
      <c r="E12" s="42">
        <v>4460595</v>
      </c>
      <c r="F12" s="42">
        <v>3356604</v>
      </c>
      <c r="G12" s="42">
        <v>5851743</v>
      </c>
      <c r="H12" s="42">
        <v>6425691</v>
      </c>
      <c r="I12" s="42">
        <v>5108539</v>
      </c>
      <c r="J12" s="42">
        <v>6459439</v>
      </c>
      <c r="K12" s="42">
        <v>5707276</v>
      </c>
      <c r="L12" s="42">
        <v>5815679</v>
      </c>
      <c r="M12" s="42">
        <v>7864601</v>
      </c>
    </row>
    <row r="13" spans="1:15" hidden="1" outlineLevel="1" x14ac:dyDescent="0.3">
      <c r="A13" s="36" t="s">
        <v>125</v>
      </c>
      <c r="B13" s="42">
        <v>17489</v>
      </c>
      <c r="C13" s="42">
        <v>17489</v>
      </c>
      <c r="D13" s="42">
        <v>17489</v>
      </c>
      <c r="E13" s="42">
        <v>17489</v>
      </c>
      <c r="F13" s="42">
        <v>-804429</v>
      </c>
      <c r="G13" s="42">
        <v>17489</v>
      </c>
      <c r="H13" s="42">
        <v>17489</v>
      </c>
      <c r="I13" s="42">
        <v>17489</v>
      </c>
      <c r="J13" s="42">
        <v>1017489</v>
      </c>
      <c r="K13" s="42">
        <v>1017489</v>
      </c>
      <c r="L13" s="42">
        <v>1017489</v>
      </c>
      <c r="M13" s="42">
        <v>1017489</v>
      </c>
    </row>
    <row r="14" spans="1:15" hidden="1" outlineLevel="1" x14ac:dyDescent="0.3">
      <c r="A14" s="34" t="s">
        <v>126</v>
      </c>
      <c r="B14" s="164">
        <v>0</v>
      </c>
      <c r="C14" s="164">
        <v>0</v>
      </c>
      <c r="D14" s="164">
        <v>0</v>
      </c>
      <c r="E14" s="164">
        <v>0</v>
      </c>
      <c r="F14" s="42">
        <v>-821918</v>
      </c>
      <c r="G14" s="44" t="s">
        <v>77</v>
      </c>
      <c r="H14" s="44" t="s">
        <v>77</v>
      </c>
      <c r="I14" s="44" t="s">
        <v>77</v>
      </c>
      <c r="J14" s="42">
        <v>1000000</v>
      </c>
      <c r="K14" s="42">
        <v>1000000</v>
      </c>
      <c r="L14" s="42">
        <v>1000000</v>
      </c>
      <c r="M14" s="42">
        <v>1000000</v>
      </c>
    </row>
    <row r="15" spans="1:15" hidden="1" outlineLevel="1" x14ac:dyDescent="0.3">
      <c r="A15" s="34" t="s">
        <v>127</v>
      </c>
      <c r="B15" s="42">
        <v>92212</v>
      </c>
      <c r="C15" s="42">
        <v>92212</v>
      </c>
      <c r="D15" s="42">
        <v>92212</v>
      </c>
      <c r="E15" s="42">
        <v>92212</v>
      </c>
      <c r="F15" s="42">
        <v>92212</v>
      </c>
      <c r="G15" s="42">
        <v>92212</v>
      </c>
      <c r="H15" s="42">
        <v>92212</v>
      </c>
      <c r="I15" s="42">
        <v>92212</v>
      </c>
      <c r="J15" s="42">
        <v>92212</v>
      </c>
      <c r="K15" s="42">
        <v>92212</v>
      </c>
      <c r="L15" s="42">
        <v>92212</v>
      </c>
      <c r="M15" s="42">
        <v>92212</v>
      </c>
    </row>
    <row r="16" spans="1:15" hidden="1" outlineLevel="1" x14ac:dyDescent="0.3">
      <c r="A16" s="34" t="s">
        <v>128</v>
      </c>
      <c r="B16" s="42">
        <v>-74723</v>
      </c>
      <c r="C16" s="42">
        <v>-74723</v>
      </c>
      <c r="D16" s="42">
        <v>-74723</v>
      </c>
      <c r="E16" s="42">
        <v>-74723</v>
      </c>
      <c r="F16" s="42">
        <v>-74723</v>
      </c>
      <c r="G16" s="42">
        <v>-74723</v>
      </c>
      <c r="H16" s="42">
        <v>-74723</v>
      </c>
      <c r="I16" s="42">
        <v>-74723</v>
      </c>
      <c r="J16" s="42">
        <v>-74723</v>
      </c>
      <c r="K16" s="42">
        <v>-74723</v>
      </c>
      <c r="L16" s="42">
        <v>-74723</v>
      </c>
      <c r="M16" s="42">
        <v>-74723</v>
      </c>
    </row>
    <row r="17" spans="1:13" hidden="1" outlineLevel="1" x14ac:dyDescent="0.3">
      <c r="A17" s="36" t="s">
        <v>129</v>
      </c>
      <c r="B17" s="42">
        <v>4432928</v>
      </c>
      <c r="C17" s="42">
        <v>4332820</v>
      </c>
      <c r="D17" s="42">
        <v>3730198</v>
      </c>
      <c r="E17" s="42">
        <v>4443106</v>
      </c>
      <c r="F17" s="42">
        <v>4161032</v>
      </c>
      <c r="G17" s="42">
        <v>5834254</v>
      </c>
      <c r="H17" s="42">
        <v>6408202</v>
      </c>
      <c r="I17" s="42">
        <v>5091050</v>
      </c>
      <c r="J17" s="42">
        <v>5441950</v>
      </c>
      <c r="K17" s="42">
        <v>4689787</v>
      </c>
      <c r="L17" s="42">
        <v>4798190</v>
      </c>
      <c r="M17" s="42">
        <v>6847112</v>
      </c>
    </row>
    <row r="18" spans="1:13" hidden="1" outlineLevel="1" x14ac:dyDescent="0.3">
      <c r="A18" s="34" t="s">
        <v>130</v>
      </c>
      <c r="B18" s="42">
        <v>3982091</v>
      </c>
      <c r="C18" s="42">
        <v>3888779</v>
      </c>
      <c r="D18" s="42">
        <v>3206542</v>
      </c>
      <c r="E18" s="42">
        <v>3833247</v>
      </c>
      <c r="F18" s="42">
        <v>3693708</v>
      </c>
      <c r="G18" s="42">
        <v>5213743</v>
      </c>
      <c r="H18" s="42">
        <v>5670872</v>
      </c>
      <c r="I18" s="42">
        <v>4495981</v>
      </c>
      <c r="J18" s="42">
        <v>4830102</v>
      </c>
      <c r="K18" s="42">
        <v>4216868</v>
      </c>
      <c r="L18" s="42">
        <v>4282179</v>
      </c>
      <c r="M18" s="42">
        <v>6168480</v>
      </c>
    </row>
    <row r="19" spans="1:13" hidden="1" outlineLevel="1" x14ac:dyDescent="0.3">
      <c r="A19" s="34" t="s">
        <v>131</v>
      </c>
      <c r="B19" s="42">
        <v>450837</v>
      </c>
      <c r="C19" s="42">
        <v>444041</v>
      </c>
      <c r="D19" s="42">
        <v>523656</v>
      </c>
      <c r="E19" s="42">
        <v>609859</v>
      </c>
      <c r="F19" s="42">
        <v>467325</v>
      </c>
      <c r="G19" s="42">
        <v>620511</v>
      </c>
      <c r="H19" s="42">
        <v>737329</v>
      </c>
      <c r="I19" s="42">
        <v>595069</v>
      </c>
      <c r="J19" s="42">
        <v>611848</v>
      </c>
      <c r="K19" s="42">
        <v>472919</v>
      </c>
      <c r="L19" s="42">
        <v>516012</v>
      </c>
      <c r="M19" s="42">
        <v>678632</v>
      </c>
    </row>
    <row r="20" spans="1:13" hidden="1" outlineLevel="1" x14ac:dyDescent="0.3">
      <c r="A20" s="37" t="s">
        <v>132</v>
      </c>
      <c r="B20" s="42">
        <v>2374852219</v>
      </c>
      <c r="C20" s="42">
        <v>2409312538</v>
      </c>
      <c r="D20" s="42">
        <v>2416179693</v>
      </c>
      <c r="E20" s="42">
        <v>2429383448</v>
      </c>
      <c r="F20" s="42">
        <v>2447335462</v>
      </c>
      <c r="G20" s="42">
        <v>2436156068</v>
      </c>
      <c r="H20" s="42">
        <v>2399890951</v>
      </c>
      <c r="I20" s="42">
        <v>2436484529</v>
      </c>
      <c r="J20" s="42">
        <v>2449531862</v>
      </c>
      <c r="K20" s="42">
        <v>2489933529</v>
      </c>
      <c r="L20" s="42">
        <v>2435100332</v>
      </c>
      <c r="M20" s="42">
        <v>2393129878</v>
      </c>
    </row>
    <row r="21" spans="1:13" hidden="1" outlineLevel="1" x14ac:dyDescent="0.3">
      <c r="A21" s="36" t="s">
        <v>133</v>
      </c>
      <c r="B21" s="42">
        <v>14383460</v>
      </c>
      <c r="C21" s="42">
        <v>22872267</v>
      </c>
      <c r="D21" s="42">
        <v>31587742</v>
      </c>
      <c r="E21" s="42">
        <v>40282711</v>
      </c>
      <c r="F21" s="42">
        <v>49116664</v>
      </c>
      <c r="G21" s="42">
        <v>31981601</v>
      </c>
      <c r="H21" s="42">
        <v>34593844</v>
      </c>
      <c r="I21" s="42">
        <v>43969618</v>
      </c>
      <c r="J21" s="42">
        <v>53002704</v>
      </c>
      <c r="K21" s="42">
        <v>62705475</v>
      </c>
      <c r="L21" s="42">
        <v>31278939</v>
      </c>
      <c r="M21" s="42">
        <v>14752791</v>
      </c>
    </row>
    <row r="22" spans="1:13" ht="21.6" hidden="1" outlineLevel="1" x14ac:dyDescent="0.3">
      <c r="A22" s="21" t="s">
        <v>134</v>
      </c>
      <c r="B22" s="43">
        <v>2240166540</v>
      </c>
      <c r="C22" s="43">
        <v>2261745200</v>
      </c>
      <c r="D22" s="43">
        <v>2255413238</v>
      </c>
      <c r="E22" s="43">
        <v>2259162426</v>
      </c>
      <c r="F22" s="43">
        <v>2261245308</v>
      </c>
      <c r="G22" s="43">
        <v>2231001859</v>
      </c>
      <c r="H22" s="43">
        <v>2225752996</v>
      </c>
      <c r="I22" s="43">
        <v>2255246608</v>
      </c>
      <c r="J22" s="43">
        <v>2254330139</v>
      </c>
      <c r="K22" s="43">
        <v>2283573805</v>
      </c>
      <c r="L22" s="43">
        <v>2259495687</v>
      </c>
      <c r="M22" s="43">
        <v>2229835445</v>
      </c>
    </row>
    <row r="23" spans="1:13" hidden="1" outlineLevel="1" x14ac:dyDescent="0.3">
      <c r="A23" s="36" t="s">
        <v>135</v>
      </c>
      <c r="B23" s="42">
        <v>120302219</v>
      </c>
      <c r="C23" s="42">
        <v>124695072</v>
      </c>
      <c r="D23" s="42">
        <v>129178713</v>
      </c>
      <c r="E23" s="42">
        <v>129938311</v>
      </c>
      <c r="F23" s="42">
        <v>136973490</v>
      </c>
      <c r="G23" s="42">
        <v>173172609</v>
      </c>
      <c r="H23" s="42">
        <v>139544111</v>
      </c>
      <c r="I23" s="42">
        <v>137268304</v>
      </c>
      <c r="J23" s="42">
        <v>142199019</v>
      </c>
      <c r="K23" s="42">
        <v>143654249</v>
      </c>
      <c r="L23" s="42">
        <v>144325706</v>
      </c>
      <c r="M23" s="42">
        <v>148541642</v>
      </c>
    </row>
    <row r="24" spans="1:13" hidden="1" outlineLevel="1" x14ac:dyDescent="0.3">
      <c r="A24" s="37" t="s">
        <v>136</v>
      </c>
      <c r="B24" s="42">
        <v>204159</v>
      </c>
      <c r="C24" s="42">
        <v>204159</v>
      </c>
      <c r="D24" s="42">
        <v>204159</v>
      </c>
      <c r="E24" s="42">
        <v>204159</v>
      </c>
      <c r="F24" s="42">
        <v>204159</v>
      </c>
      <c r="G24" s="42">
        <v>204159</v>
      </c>
      <c r="H24" s="42">
        <v>204159</v>
      </c>
      <c r="I24" s="42">
        <v>299903</v>
      </c>
      <c r="J24" s="42">
        <v>204159</v>
      </c>
      <c r="K24" s="42">
        <v>312957</v>
      </c>
      <c r="L24" s="42">
        <v>312957</v>
      </c>
      <c r="M24" s="42">
        <v>204158</v>
      </c>
    </row>
    <row r="25" spans="1:13" hidden="1" outlineLevel="1" x14ac:dyDescent="0.3">
      <c r="A25" s="36" t="s">
        <v>137</v>
      </c>
      <c r="B25" s="42">
        <v>204159</v>
      </c>
      <c r="C25" s="42">
        <v>204159</v>
      </c>
      <c r="D25" s="42">
        <v>204159</v>
      </c>
      <c r="E25" s="42">
        <v>204159</v>
      </c>
      <c r="F25" s="42">
        <v>204159</v>
      </c>
      <c r="G25" s="42">
        <v>204159</v>
      </c>
      <c r="H25" s="42">
        <v>204159</v>
      </c>
      <c r="I25" s="42">
        <v>299903</v>
      </c>
      <c r="J25" s="42">
        <v>204159</v>
      </c>
      <c r="K25" s="42">
        <v>312957</v>
      </c>
      <c r="L25" s="42">
        <v>312957</v>
      </c>
      <c r="M25" s="42">
        <v>204158</v>
      </c>
    </row>
    <row r="26" spans="1:13" hidden="1" outlineLevel="1" x14ac:dyDescent="0.3">
      <c r="A26" s="37" t="s">
        <v>138</v>
      </c>
      <c r="B26" s="33">
        <v>2132731</v>
      </c>
      <c r="C26" s="33">
        <v>2132731</v>
      </c>
      <c r="D26" s="33">
        <v>11033947</v>
      </c>
      <c r="E26" s="33">
        <v>11033947</v>
      </c>
      <c r="F26" s="33">
        <v>11033947</v>
      </c>
      <c r="G26" s="33">
        <v>11429264</v>
      </c>
      <c r="H26" s="33">
        <v>12098565</v>
      </c>
      <c r="I26" s="33">
        <v>12098565</v>
      </c>
      <c r="J26" s="33">
        <v>3130573</v>
      </c>
      <c r="K26" s="33">
        <v>3130573</v>
      </c>
      <c r="L26" s="33">
        <v>3130573</v>
      </c>
      <c r="M26" s="33">
        <v>10921638</v>
      </c>
    </row>
    <row r="27" spans="1:13" hidden="1" outlineLevel="1" x14ac:dyDescent="0.3">
      <c r="A27" s="36" t="s">
        <v>139</v>
      </c>
      <c r="B27" s="33">
        <v>1905984</v>
      </c>
      <c r="C27" s="33">
        <v>1905984</v>
      </c>
      <c r="D27" s="33">
        <v>4752867</v>
      </c>
      <c r="E27" s="33">
        <v>4752867</v>
      </c>
      <c r="F27" s="33">
        <v>4752867</v>
      </c>
      <c r="G27" s="33">
        <v>7836185</v>
      </c>
      <c r="H27" s="33">
        <v>7836185</v>
      </c>
      <c r="I27" s="33">
        <v>7836185</v>
      </c>
      <c r="J27" s="33">
        <v>3060675</v>
      </c>
      <c r="K27" s="33">
        <v>3060675</v>
      </c>
      <c r="L27" s="33">
        <v>3060675</v>
      </c>
      <c r="M27" s="33">
        <v>6697788</v>
      </c>
    </row>
    <row r="28" spans="1:13" hidden="1" outlineLevel="1" x14ac:dyDescent="0.3">
      <c r="A28" s="36" t="s">
        <v>140</v>
      </c>
      <c r="B28" s="33">
        <v>226747</v>
      </c>
      <c r="C28" s="33">
        <v>226747</v>
      </c>
      <c r="D28" s="33">
        <v>6281080</v>
      </c>
      <c r="E28" s="33">
        <v>6281080</v>
      </c>
      <c r="F28" s="33">
        <v>6281080</v>
      </c>
      <c r="G28" s="33">
        <v>3593080</v>
      </c>
      <c r="H28" s="33">
        <v>4262381</v>
      </c>
      <c r="I28" s="33">
        <v>4262381</v>
      </c>
      <c r="J28" s="33">
        <v>69898</v>
      </c>
      <c r="K28" s="33">
        <v>69898</v>
      </c>
      <c r="L28" s="33">
        <v>69898</v>
      </c>
      <c r="M28" s="33">
        <v>4223850</v>
      </c>
    </row>
    <row r="29" spans="1:13" hidden="1" outlineLevel="1" x14ac:dyDescent="0.3">
      <c r="A29" s="37" t="s">
        <v>141</v>
      </c>
      <c r="B29" s="33">
        <v>8839524</v>
      </c>
      <c r="C29" s="33">
        <v>9716692</v>
      </c>
      <c r="D29" s="33">
        <v>10085396</v>
      </c>
      <c r="E29" s="33">
        <v>9588177</v>
      </c>
      <c r="F29" s="33">
        <v>14057025</v>
      </c>
      <c r="G29" s="33">
        <v>10762501</v>
      </c>
      <c r="H29" s="33">
        <v>11526844</v>
      </c>
      <c r="I29" s="33">
        <v>11998294</v>
      </c>
      <c r="J29" s="33">
        <v>12525679</v>
      </c>
      <c r="K29" s="33">
        <v>13053937</v>
      </c>
      <c r="L29" s="33">
        <v>13178093</v>
      </c>
      <c r="M29" s="33">
        <v>13301000</v>
      </c>
    </row>
    <row r="30" spans="1:13" hidden="1" outlineLevel="1" x14ac:dyDescent="0.3">
      <c r="A30" s="37" t="s">
        <v>142</v>
      </c>
      <c r="B30" s="33">
        <v>3223422</v>
      </c>
      <c r="C30" s="33">
        <v>3420531</v>
      </c>
      <c r="D30" s="33">
        <v>3716367</v>
      </c>
      <c r="E30" s="33">
        <v>3974088</v>
      </c>
      <c r="F30" s="33">
        <v>3176574</v>
      </c>
      <c r="G30" s="33">
        <v>3088074</v>
      </c>
      <c r="H30" s="33">
        <v>2221724</v>
      </c>
      <c r="I30" s="33">
        <v>2041708</v>
      </c>
      <c r="J30" s="33">
        <v>1399417</v>
      </c>
      <c r="K30" s="33">
        <v>903399</v>
      </c>
      <c r="L30" s="33">
        <v>3231018</v>
      </c>
      <c r="M30" s="33">
        <v>3621436</v>
      </c>
    </row>
    <row r="31" spans="1:13" hidden="1" outlineLevel="1" x14ac:dyDescent="0.3">
      <c r="A31" s="36" t="s">
        <v>143</v>
      </c>
      <c r="B31" s="33">
        <v>0</v>
      </c>
      <c r="C31" s="33">
        <v>0</v>
      </c>
      <c r="D31" s="33">
        <v>0</v>
      </c>
      <c r="E31" s="33">
        <v>0</v>
      </c>
      <c r="F31" s="33">
        <v>0</v>
      </c>
      <c r="G31" s="33">
        <v>0</v>
      </c>
      <c r="H31" s="33">
        <v>0</v>
      </c>
      <c r="I31" s="33">
        <v>0</v>
      </c>
      <c r="J31" s="33">
        <v>0</v>
      </c>
      <c r="K31" s="33">
        <v>0</v>
      </c>
      <c r="L31" s="33">
        <v>0</v>
      </c>
      <c r="M31" s="33">
        <v>0</v>
      </c>
    </row>
    <row r="32" spans="1:13" hidden="1" outlineLevel="1" x14ac:dyDescent="0.3">
      <c r="A32" s="36" t="s">
        <v>144</v>
      </c>
      <c r="B32" s="33">
        <v>3223422</v>
      </c>
      <c r="C32" s="33">
        <v>3420531</v>
      </c>
      <c r="D32" s="33">
        <v>3716367</v>
      </c>
      <c r="E32" s="33">
        <v>3974088</v>
      </c>
      <c r="F32" s="33">
        <v>3176574</v>
      </c>
      <c r="G32" s="33">
        <v>3088074</v>
      </c>
      <c r="H32" s="33">
        <v>2221724</v>
      </c>
      <c r="I32" s="33">
        <v>2041708</v>
      </c>
      <c r="J32" s="33">
        <v>1399417</v>
      </c>
      <c r="K32" s="33">
        <v>903399</v>
      </c>
      <c r="L32" s="33">
        <v>3231018</v>
      </c>
      <c r="M32" s="33">
        <v>3621436</v>
      </c>
    </row>
    <row r="33" spans="1:13" collapsed="1" x14ac:dyDescent="0.3">
      <c r="A33" s="29" t="s">
        <v>145</v>
      </c>
      <c r="B33" s="32">
        <v>2317077876</v>
      </c>
      <c r="C33" s="32">
        <v>2301012411</v>
      </c>
      <c r="D33" s="32">
        <v>2280696178</v>
      </c>
      <c r="E33" s="32">
        <v>2257224346</v>
      </c>
      <c r="F33" s="32">
        <v>2484464874</v>
      </c>
      <c r="G33" s="32">
        <v>2467991744</v>
      </c>
      <c r="H33" s="32">
        <v>2432822210</v>
      </c>
      <c r="I33" s="32">
        <v>2431077153</v>
      </c>
      <c r="J33" s="32">
        <v>2473597163</v>
      </c>
      <c r="K33" s="32">
        <v>2493967791</v>
      </c>
      <c r="L33" s="32">
        <v>2438846961</v>
      </c>
      <c r="M33" s="32">
        <v>2429237561</v>
      </c>
    </row>
    <row r="34" spans="1:13" x14ac:dyDescent="0.3">
      <c r="A34" s="31"/>
      <c r="B34" s="30"/>
      <c r="C34" s="30"/>
      <c r="D34" s="30"/>
      <c r="E34" s="30"/>
      <c r="F34" s="30"/>
      <c r="G34" s="30"/>
      <c r="H34" s="30"/>
      <c r="I34" s="30"/>
      <c r="J34" s="30"/>
      <c r="K34" s="30"/>
      <c r="L34" s="30"/>
      <c r="M34" s="30"/>
    </row>
    <row r="35" spans="1:13" x14ac:dyDescent="0.3">
      <c r="A35" s="29" t="s">
        <v>146</v>
      </c>
      <c r="B35" s="33">
        <v>1427180</v>
      </c>
      <c r="C35" s="33">
        <v>1575935</v>
      </c>
      <c r="D35" s="33">
        <v>2187982</v>
      </c>
      <c r="E35" s="33">
        <v>2193481</v>
      </c>
      <c r="F35" s="33">
        <v>2713139</v>
      </c>
      <c r="G35" s="33">
        <v>2811680</v>
      </c>
      <c r="H35" s="33">
        <v>2737287</v>
      </c>
      <c r="I35" s="33">
        <v>3322975</v>
      </c>
      <c r="J35" s="33">
        <v>3699370</v>
      </c>
      <c r="K35" s="33">
        <v>3920754</v>
      </c>
      <c r="L35" s="33">
        <v>4015903</v>
      </c>
      <c r="M35" s="33">
        <v>4311106</v>
      </c>
    </row>
    <row r="36" spans="1:13" hidden="1" outlineLevel="1" x14ac:dyDescent="0.3">
      <c r="A36" s="36" t="s">
        <v>147</v>
      </c>
      <c r="B36" s="33">
        <v>111247</v>
      </c>
      <c r="C36" s="38" t="s">
        <v>77</v>
      </c>
      <c r="D36" s="33">
        <v>27611</v>
      </c>
      <c r="E36" s="38" t="s">
        <v>77</v>
      </c>
      <c r="F36" s="38" t="s">
        <v>77</v>
      </c>
      <c r="G36" s="38" t="s">
        <v>77</v>
      </c>
      <c r="H36" s="38" t="s">
        <v>77</v>
      </c>
      <c r="I36" s="38" t="s">
        <v>77</v>
      </c>
      <c r="J36" s="33">
        <v>91938</v>
      </c>
      <c r="K36" s="38" t="s">
        <v>77</v>
      </c>
      <c r="L36" s="38" t="s">
        <v>77</v>
      </c>
      <c r="M36" s="38" t="s">
        <v>77</v>
      </c>
    </row>
    <row r="37" spans="1:13" hidden="1" outlineLevel="1" x14ac:dyDescent="0.3">
      <c r="A37" s="36" t="s">
        <v>148</v>
      </c>
      <c r="B37" s="33">
        <v>4188018</v>
      </c>
      <c r="C37" s="33">
        <v>4188018</v>
      </c>
      <c r="D37" s="33">
        <v>4188018</v>
      </c>
      <c r="E37" s="33">
        <v>4188018</v>
      </c>
      <c r="F37" s="33">
        <v>4188018</v>
      </c>
      <c r="G37" s="33">
        <v>4188018</v>
      </c>
      <c r="H37" s="33">
        <v>4188018</v>
      </c>
      <c r="I37" s="33">
        <v>4188018</v>
      </c>
      <c r="J37" s="33">
        <v>4188018</v>
      </c>
      <c r="K37" s="33">
        <v>4188018</v>
      </c>
      <c r="L37" s="33">
        <v>4188018</v>
      </c>
      <c r="M37" s="33">
        <v>4188018</v>
      </c>
    </row>
    <row r="38" spans="1:13" hidden="1" outlineLevel="1" x14ac:dyDescent="0.3">
      <c r="A38" s="36" t="s">
        <v>149</v>
      </c>
      <c r="B38" s="33">
        <v>-3496475</v>
      </c>
      <c r="C38" s="33">
        <v>-3523658</v>
      </c>
      <c r="D38" s="33">
        <v>-3550842</v>
      </c>
      <c r="E38" s="33">
        <v>-3578026</v>
      </c>
      <c r="F38" s="33">
        <v>-3605209</v>
      </c>
      <c r="G38" s="33">
        <v>-3632393</v>
      </c>
      <c r="H38" s="33">
        <v>-3659577</v>
      </c>
      <c r="I38" s="33">
        <v>-3686760</v>
      </c>
      <c r="J38" s="33">
        <v>-3713944</v>
      </c>
      <c r="K38" s="33">
        <v>-3741128</v>
      </c>
      <c r="L38" s="33">
        <v>-3768311</v>
      </c>
      <c r="M38" s="33">
        <v>-3795495</v>
      </c>
    </row>
    <row r="39" spans="1:13" hidden="1" outlineLevel="1" x14ac:dyDescent="0.3">
      <c r="A39" s="36" t="s">
        <v>150</v>
      </c>
      <c r="B39" s="33">
        <v>624390</v>
      </c>
      <c r="C39" s="33">
        <v>911576</v>
      </c>
      <c r="D39" s="33">
        <v>1523195</v>
      </c>
      <c r="E39" s="33">
        <v>1583489</v>
      </c>
      <c r="F39" s="33">
        <v>2130330</v>
      </c>
      <c r="G39" s="33">
        <v>2256055</v>
      </c>
      <c r="H39" s="33">
        <v>2208846</v>
      </c>
      <c r="I39" s="33">
        <v>2821717</v>
      </c>
      <c r="J39" s="33">
        <v>3133358</v>
      </c>
      <c r="K39" s="33">
        <v>3473863</v>
      </c>
      <c r="L39" s="33">
        <v>3596196</v>
      </c>
      <c r="M39" s="33">
        <v>3918583</v>
      </c>
    </row>
    <row r="40" spans="1:13" collapsed="1" x14ac:dyDescent="0.3">
      <c r="A40" s="31"/>
      <c r="B40" s="41"/>
      <c r="C40" s="41"/>
      <c r="D40" s="41"/>
      <c r="E40" s="41"/>
      <c r="F40" s="41"/>
      <c r="G40" s="41"/>
      <c r="H40" s="41"/>
      <c r="I40" s="41"/>
      <c r="J40" s="41"/>
      <c r="K40" s="41"/>
      <c r="L40" s="41"/>
      <c r="M40" s="41"/>
    </row>
    <row r="41" spans="1:13" x14ac:dyDescent="0.3">
      <c r="A41" s="29" t="s">
        <v>151</v>
      </c>
      <c r="B41" s="30"/>
      <c r="C41" s="30"/>
      <c r="D41" s="30"/>
      <c r="E41" s="30"/>
      <c r="F41" s="30"/>
      <c r="G41" s="30"/>
      <c r="H41" s="30"/>
      <c r="I41" s="30"/>
      <c r="J41" s="30"/>
      <c r="K41" s="30"/>
      <c r="L41" s="30"/>
      <c r="M41" s="30"/>
    </row>
    <row r="42" spans="1:13" hidden="1" outlineLevel="1" x14ac:dyDescent="0.3">
      <c r="A42" s="37" t="s">
        <v>152</v>
      </c>
      <c r="B42" s="33">
        <v>3285192</v>
      </c>
      <c r="C42" s="33">
        <v>3285192</v>
      </c>
      <c r="D42" s="33">
        <v>7681409</v>
      </c>
      <c r="E42" s="33">
        <v>7681409</v>
      </c>
      <c r="F42" s="33">
        <v>7681409</v>
      </c>
      <c r="G42" s="33">
        <v>8108024</v>
      </c>
      <c r="H42" s="33">
        <v>8108024</v>
      </c>
      <c r="I42" s="33">
        <v>8108024</v>
      </c>
      <c r="J42" s="33">
        <v>3911548</v>
      </c>
      <c r="K42" s="33">
        <v>3911548</v>
      </c>
      <c r="L42" s="33">
        <v>3911548</v>
      </c>
      <c r="M42" s="33">
        <v>11288818</v>
      </c>
    </row>
    <row r="43" spans="1:13" hidden="1" outlineLevel="1" x14ac:dyDescent="0.3">
      <c r="A43" s="36" t="s">
        <v>153</v>
      </c>
      <c r="B43" s="33">
        <v>3285192</v>
      </c>
      <c r="C43" s="33">
        <v>3285192</v>
      </c>
      <c r="D43" s="33">
        <v>7681409</v>
      </c>
      <c r="E43" s="33">
        <v>7681409</v>
      </c>
      <c r="F43" s="33">
        <v>7681409</v>
      </c>
      <c r="G43" s="33">
        <v>8108024</v>
      </c>
      <c r="H43" s="33">
        <v>8108024</v>
      </c>
      <c r="I43" s="33">
        <v>8108024</v>
      </c>
      <c r="J43" s="33">
        <v>3911548</v>
      </c>
      <c r="K43" s="33">
        <v>3911548</v>
      </c>
      <c r="L43" s="33">
        <v>3911548</v>
      </c>
      <c r="M43" s="33">
        <v>11288818</v>
      </c>
    </row>
    <row r="44" spans="1:13" hidden="1" outlineLevel="1" x14ac:dyDescent="0.3">
      <c r="A44" s="37" t="s">
        <v>154</v>
      </c>
      <c r="B44" s="33">
        <v>2959772</v>
      </c>
      <c r="C44" s="33">
        <v>2959772</v>
      </c>
      <c r="D44" s="33">
        <v>2959772</v>
      </c>
      <c r="E44" s="33">
        <v>2959772</v>
      </c>
      <c r="F44" s="33">
        <v>2959772</v>
      </c>
      <c r="G44" s="33">
        <v>2959772</v>
      </c>
      <c r="H44" s="33">
        <v>2959772</v>
      </c>
      <c r="I44" s="33">
        <v>2959772</v>
      </c>
      <c r="J44" s="33">
        <v>2959772</v>
      </c>
      <c r="K44" s="33">
        <v>2959772</v>
      </c>
      <c r="L44" s="33">
        <v>2959772</v>
      </c>
      <c r="M44" s="33">
        <v>2959772</v>
      </c>
    </row>
    <row r="45" spans="1:13" hidden="1" outlineLevel="1" x14ac:dyDescent="0.3">
      <c r="A45" s="36" t="s">
        <v>155</v>
      </c>
      <c r="B45" s="33">
        <v>2959772</v>
      </c>
      <c r="C45" s="33">
        <v>2959772</v>
      </c>
      <c r="D45" s="33">
        <v>2959772</v>
      </c>
      <c r="E45" s="33">
        <v>2959772</v>
      </c>
      <c r="F45" s="33">
        <v>2959772</v>
      </c>
      <c r="G45" s="33">
        <v>2959772</v>
      </c>
      <c r="H45" s="33">
        <v>2959772</v>
      </c>
      <c r="I45" s="33">
        <v>2959772</v>
      </c>
      <c r="J45" s="33">
        <v>2959772</v>
      </c>
      <c r="K45" s="33">
        <v>2959772</v>
      </c>
      <c r="L45" s="33">
        <v>2959772</v>
      </c>
      <c r="M45" s="33">
        <v>2959772</v>
      </c>
    </row>
    <row r="46" spans="1:13" hidden="1" outlineLevel="1" x14ac:dyDescent="0.3">
      <c r="A46" s="37" t="s">
        <v>156</v>
      </c>
      <c r="B46" s="33">
        <v>8040248189</v>
      </c>
      <c r="C46" s="33">
        <v>8164988064</v>
      </c>
      <c r="D46" s="33">
        <v>8164759465</v>
      </c>
      <c r="E46" s="33">
        <v>8165507674</v>
      </c>
      <c r="F46" s="33">
        <v>8165255882</v>
      </c>
      <c r="G46" s="33">
        <v>8157012459</v>
      </c>
      <c r="H46" s="33">
        <v>8156743829</v>
      </c>
      <c r="I46" s="33">
        <v>8156475200</v>
      </c>
      <c r="J46" s="33">
        <v>8156206570</v>
      </c>
      <c r="K46" s="33">
        <v>8155937940</v>
      </c>
      <c r="L46" s="33">
        <v>8190339433</v>
      </c>
      <c r="M46" s="33">
        <v>8364530602</v>
      </c>
    </row>
    <row r="47" spans="1:13" hidden="1" outlineLevel="1" x14ac:dyDescent="0.3">
      <c r="A47" s="36" t="s">
        <v>157</v>
      </c>
      <c r="B47" s="33">
        <v>5000000</v>
      </c>
      <c r="C47" s="33">
        <v>5000000</v>
      </c>
      <c r="D47" s="33">
        <v>5000000</v>
      </c>
      <c r="E47" s="33">
        <v>5000000</v>
      </c>
      <c r="F47" s="33">
        <v>5000000</v>
      </c>
      <c r="G47" s="33">
        <v>5000000</v>
      </c>
      <c r="H47" s="33">
        <v>5000000</v>
      </c>
      <c r="I47" s="33">
        <v>5000000</v>
      </c>
      <c r="J47" s="33">
        <v>5000000</v>
      </c>
      <c r="K47" s="33">
        <v>5000000</v>
      </c>
      <c r="L47" s="33">
        <v>2500000</v>
      </c>
      <c r="M47" s="33">
        <v>2500000</v>
      </c>
    </row>
    <row r="48" spans="1:13" hidden="1" outlineLevel="1" x14ac:dyDescent="0.3">
      <c r="A48" s="36" t="s">
        <v>158</v>
      </c>
      <c r="B48" s="33">
        <v>8017009719</v>
      </c>
      <c r="C48" s="33">
        <v>8142009719</v>
      </c>
      <c r="D48" s="33">
        <v>8142009719</v>
      </c>
      <c r="E48" s="33">
        <v>8142009719</v>
      </c>
      <c r="F48" s="33">
        <v>8142009719</v>
      </c>
      <c r="G48" s="33">
        <v>8133815219</v>
      </c>
      <c r="H48" s="33">
        <v>8133815219</v>
      </c>
      <c r="I48" s="33">
        <v>8133815219</v>
      </c>
      <c r="J48" s="33">
        <v>8133815219</v>
      </c>
      <c r="K48" s="33">
        <v>8133815219</v>
      </c>
      <c r="L48" s="33">
        <v>8170773194</v>
      </c>
      <c r="M48" s="33">
        <v>8345201794</v>
      </c>
    </row>
    <row r="49" spans="1:16" hidden="1" outlineLevel="1" x14ac:dyDescent="0.3">
      <c r="A49" s="36" t="s">
        <v>159</v>
      </c>
      <c r="B49" s="33">
        <v>34877723</v>
      </c>
      <c r="C49" s="33">
        <v>34877723</v>
      </c>
      <c r="D49" s="33">
        <v>34877723</v>
      </c>
      <c r="E49" s="33">
        <v>35877723</v>
      </c>
      <c r="F49" s="33">
        <v>35877723</v>
      </c>
      <c r="G49" s="33">
        <v>35877723</v>
      </c>
      <c r="H49" s="33">
        <v>35877723</v>
      </c>
      <c r="I49" s="33">
        <v>35877723</v>
      </c>
      <c r="J49" s="33">
        <v>35877723</v>
      </c>
      <c r="K49" s="33">
        <v>35877723</v>
      </c>
      <c r="L49" s="33">
        <v>35877723</v>
      </c>
      <c r="M49" s="33">
        <v>35977723</v>
      </c>
    </row>
    <row r="50" spans="1:16" hidden="1" outlineLevel="1" x14ac:dyDescent="0.3">
      <c r="A50" s="36" t="s">
        <v>160</v>
      </c>
      <c r="B50" s="33">
        <v>-18603412</v>
      </c>
      <c r="C50" s="33">
        <v>-18831088</v>
      </c>
      <c r="D50" s="33">
        <v>-19050430</v>
      </c>
      <c r="E50" s="33">
        <v>-19269772</v>
      </c>
      <c r="F50" s="33">
        <v>-19489114</v>
      </c>
      <c r="G50" s="33">
        <v>-19708457</v>
      </c>
      <c r="H50" s="33">
        <v>-19927799</v>
      </c>
      <c r="I50" s="33">
        <v>-20147141</v>
      </c>
      <c r="J50" s="33">
        <v>-20366483</v>
      </c>
      <c r="K50" s="33">
        <v>-20585826</v>
      </c>
      <c r="L50" s="33">
        <v>-20805168</v>
      </c>
      <c r="M50" s="33">
        <v>-21124510</v>
      </c>
    </row>
    <row r="51" spans="1:16" hidden="1" outlineLevel="1" x14ac:dyDescent="0.3">
      <c r="A51" s="36" t="s">
        <v>161</v>
      </c>
      <c r="B51" s="33">
        <v>1964160</v>
      </c>
      <c r="C51" s="33">
        <v>1931710</v>
      </c>
      <c r="D51" s="33">
        <v>1922453</v>
      </c>
      <c r="E51" s="33">
        <v>1890004</v>
      </c>
      <c r="F51" s="33">
        <v>1857554</v>
      </c>
      <c r="G51" s="33">
        <v>2027974</v>
      </c>
      <c r="H51" s="33">
        <v>1978686</v>
      </c>
      <c r="I51" s="33">
        <v>1929399</v>
      </c>
      <c r="J51" s="33">
        <v>1880111</v>
      </c>
      <c r="K51" s="33">
        <v>1830824</v>
      </c>
      <c r="L51" s="33">
        <v>1993683</v>
      </c>
      <c r="M51" s="33">
        <v>1975595</v>
      </c>
    </row>
    <row r="52" spans="1:16" hidden="1" outlineLevel="1" x14ac:dyDescent="0.3">
      <c r="A52" s="37" t="s">
        <v>162</v>
      </c>
      <c r="B52" s="33">
        <v>183301717</v>
      </c>
      <c r="C52" s="33">
        <v>183363236</v>
      </c>
      <c r="D52" s="33">
        <v>184217415</v>
      </c>
      <c r="E52" s="33">
        <v>187171695</v>
      </c>
      <c r="F52" s="33">
        <v>191280594</v>
      </c>
      <c r="G52" s="33">
        <v>159565691</v>
      </c>
      <c r="H52" s="33">
        <v>162894737</v>
      </c>
      <c r="I52" s="33">
        <v>164578244</v>
      </c>
      <c r="J52" s="33">
        <v>178269235</v>
      </c>
      <c r="K52" s="33">
        <v>178204440</v>
      </c>
      <c r="L52" s="33">
        <v>186442335</v>
      </c>
      <c r="M52" s="33">
        <v>186472154</v>
      </c>
    </row>
    <row r="53" spans="1:16" hidden="1" outlineLevel="1" x14ac:dyDescent="0.3">
      <c r="A53" s="36" t="s">
        <v>163</v>
      </c>
      <c r="B53" s="33">
        <v>183301717</v>
      </c>
      <c r="C53" s="33">
        <v>183363236</v>
      </c>
      <c r="D53" s="33">
        <v>184217415</v>
      </c>
      <c r="E53" s="33">
        <v>187171695</v>
      </c>
      <c r="F53" s="33">
        <v>191280594</v>
      </c>
      <c r="G53" s="33">
        <v>159565691</v>
      </c>
      <c r="H53" s="33">
        <v>162894737</v>
      </c>
      <c r="I53" s="33">
        <v>164578244</v>
      </c>
      <c r="J53" s="33">
        <v>178269235</v>
      </c>
      <c r="K53" s="33">
        <v>178204440</v>
      </c>
      <c r="L53" s="33">
        <v>186442335</v>
      </c>
      <c r="M53" s="33">
        <v>186472154</v>
      </c>
    </row>
    <row r="54" spans="1:16" collapsed="1" x14ac:dyDescent="0.3">
      <c r="A54" s="29" t="s">
        <v>164</v>
      </c>
      <c r="B54" s="32">
        <v>8229794871</v>
      </c>
      <c r="C54" s="32">
        <v>8354596264</v>
      </c>
      <c r="D54" s="32">
        <v>8359618061</v>
      </c>
      <c r="E54" s="32">
        <v>8363320550</v>
      </c>
      <c r="F54" s="32">
        <v>8367177657</v>
      </c>
      <c r="G54" s="32">
        <v>8327645946</v>
      </c>
      <c r="H54" s="32">
        <v>8330706362</v>
      </c>
      <c r="I54" s="32">
        <v>8332121239</v>
      </c>
      <c r="J54" s="32">
        <v>8341347125</v>
      </c>
      <c r="K54" s="32">
        <v>8341013701</v>
      </c>
      <c r="L54" s="32">
        <v>8383653088</v>
      </c>
      <c r="M54" s="32">
        <v>8565251346</v>
      </c>
    </row>
    <row r="55" spans="1:16" x14ac:dyDescent="0.3">
      <c r="A55" s="31"/>
      <c r="B55" s="30"/>
      <c r="C55" s="30"/>
      <c r="D55" s="30"/>
      <c r="E55" s="30"/>
      <c r="F55" s="30"/>
      <c r="G55" s="30"/>
      <c r="H55" s="30"/>
      <c r="I55" s="30"/>
      <c r="J55" s="30"/>
      <c r="K55" s="30"/>
      <c r="L55" s="30"/>
      <c r="M55" s="30"/>
    </row>
    <row r="56" spans="1:16" ht="15" thickBot="1" x14ac:dyDescent="0.35">
      <c r="A56" s="29" t="s">
        <v>165</v>
      </c>
      <c r="B56" s="33">
        <v>10548299927</v>
      </c>
      <c r="C56" s="33">
        <v>10657184611</v>
      </c>
      <c r="D56" s="33">
        <v>10642502221</v>
      </c>
      <c r="E56" s="33">
        <v>10622738377</v>
      </c>
      <c r="F56" s="33">
        <v>10854355669</v>
      </c>
      <c r="G56" s="33">
        <v>10798449370</v>
      </c>
      <c r="H56" s="33">
        <v>10766265860</v>
      </c>
      <c r="I56" s="33">
        <v>10766521367</v>
      </c>
      <c r="J56" s="33">
        <v>10818643659</v>
      </c>
      <c r="K56" s="33">
        <v>10838902246</v>
      </c>
      <c r="L56" s="33">
        <v>10826515951</v>
      </c>
      <c r="M56" s="33">
        <v>10998800013</v>
      </c>
    </row>
    <row r="57" spans="1:16" x14ac:dyDescent="0.3">
      <c r="A57" s="31"/>
      <c r="B57" s="40"/>
      <c r="C57" s="40"/>
      <c r="D57" s="40"/>
      <c r="E57" s="40"/>
      <c r="F57" s="40"/>
      <c r="G57" s="40"/>
      <c r="H57" s="40"/>
      <c r="I57" s="40"/>
      <c r="J57" s="40"/>
      <c r="K57" s="40"/>
      <c r="L57" s="40"/>
      <c r="M57" s="40"/>
    </row>
    <row r="58" spans="1:16" x14ac:dyDescent="0.3">
      <c r="A58" s="29" t="s">
        <v>166</v>
      </c>
      <c r="B58" s="30"/>
      <c r="C58" s="30"/>
      <c r="D58" s="30"/>
      <c r="E58" s="30"/>
      <c r="F58" s="30"/>
      <c r="G58" s="30"/>
      <c r="H58" s="30"/>
      <c r="I58" s="30"/>
      <c r="J58" s="30"/>
      <c r="K58" s="30"/>
      <c r="L58" s="30"/>
      <c r="M58" s="30"/>
    </row>
    <row r="59" spans="1:16" x14ac:dyDescent="0.3">
      <c r="A59" s="29" t="s">
        <v>167</v>
      </c>
      <c r="B59" s="30"/>
      <c r="C59" s="30"/>
      <c r="D59" s="30"/>
      <c r="E59" s="30"/>
      <c r="F59" s="30"/>
      <c r="G59" s="30"/>
      <c r="H59" s="30"/>
      <c r="I59" s="30"/>
      <c r="J59" s="30"/>
      <c r="K59" s="30"/>
      <c r="L59" s="30"/>
      <c r="M59" s="30"/>
    </row>
    <row r="60" spans="1:16" x14ac:dyDescent="0.3">
      <c r="A60" s="46" t="s">
        <v>168</v>
      </c>
      <c r="B60" s="47">
        <f>796313370+B127</f>
        <v>796313370</v>
      </c>
      <c r="C60" s="47">
        <f>796313370+C127</f>
        <v>1021313370</v>
      </c>
      <c r="D60" s="47">
        <f>795941699+D127</f>
        <v>981941699</v>
      </c>
      <c r="E60" s="47">
        <f>795941699+E127</f>
        <v>935941699</v>
      </c>
      <c r="F60" s="47">
        <f>795941699+F127</f>
        <v>795941699</v>
      </c>
      <c r="G60" s="47">
        <f>883549899+G127</f>
        <v>1208549899</v>
      </c>
      <c r="H60" s="47">
        <f>831266570+H127</f>
        <v>1166266570</v>
      </c>
      <c r="I60" s="47">
        <f>796160055+I127</f>
        <v>1270160055</v>
      </c>
      <c r="J60" s="47">
        <f>844849944+J127</f>
        <v>1308849944</v>
      </c>
      <c r="K60" s="47">
        <f>796200603+K127</f>
        <v>1286200603</v>
      </c>
      <c r="L60" s="47">
        <f>796200603+L127</f>
        <v>1129200603</v>
      </c>
      <c r="M60" s="47">
        <f>846145975+M127</f>
        <v>1040145975</v>
      </c>
      <c r="N60" s="61">
        <f>+'Support B. 22 BS'!M59</f>
        <v>796313370</v>
      </c>
      <c r="O60" s="81">
        <f>AVERAGE(B60:N60)</f>
        <v>1056702988.9230769</v>
      </c>
      <c r="P60" s="151" t="s">
        <v>169</v>
      </c>
    </row>
    <row r="61" spans="1:16" x14ac:dyDescent="0.3">
      <c r="A61" s="36" t="s">
        <v>170</v>
      </c>
      <c r="B61" s="39">
        <v>0</v>
      </c>
      <c r="C61" s="39">
        <v>0</v>
      </c>
      <c r="D61" s="39">
        <v>0</v>
      </c>
      <c r="E61" s="39">
        <v>0</v>
      </c>
      <c r="F61" s="39">
        <v>0</v>
      </c>
      <c r="G61" s="33">
        <v>87389844</v>
      </c>
      <c r="H61" s="33">
        <v>35106515</v>
      </c>
      <c r="I61" s="38" t="s">
        <v>77</v>
      </c>
      <c r="J61" s="33">
        <v>48649341</v>
      </c>
      <c r="K61" s="38" t="s">
        <v>77</v>
      </c>
      <c r="L61" s="38" t="s">
        <v>77</v>
      </c>
      <c r="M61" s="33">
        <v>49945373</v>
      </c>
      <c r="N61" s="62" t="str">
        <f>+'Support B. 22 BS'!M60</f>
        <v>-</v>
      </c>
    </row>
    <row r="62" spans="1:16" x14ac:dyDescent="0.3">
      <c r="A62" s="36" t="s">
        <v>171</v>
      </c>
      <c r="B62" s="33">
        <v>796313370</v>
      </c>
      <c r="C62" s="33">
        <v>796313370</v>
      </c>
      <c r="D62" s="33">
        <v>795941699</v>
      </c>
      <c r="E62" s="33">
        <v>795941699</v>
      </c>
      <c r="F62" s="33">
        <v>795941699</v>
      </c>
      <c r="G62" s="33">
        <v>796160055</v>
      </c>
      <c r="H62" s="33">
        <v>796160055</v>
      </c>
      <c r="I62" s="33">
        <v>796160055</v>
      </c>
      <c r="J62" s="33">
        <v>796200603</v>
      </c>
      <c r="K62" s="33">
        <v>796200603</v>
      </c>
      <c r="L62" s="33">
        <v>796200603</v>
      </c>
      <c r="M62" s="33">
        <v>796200603</v>
      </c>
      <c r="N62" s="57">
        <f>+'Support B. 22 BS'!M61</f>
        <v>796313370</v>
      </c>
    </row>
    <row r="63" spans="1:16" x14ac:dyDescent="0.3">
      <c r="A63" s="46" t="s">
        <v>172</v>
      </c>
      <c r="B63" s="47">
        <v>500000000</v>
      </c>
      <c r="C63" s="47">
        <v>500000000</v>
      </c>
      <c r="D63" s="47">
        <v>500000000</v>
      </c>
      <c r="E63" s="47">
        <v>500000000</v>
      </c>
      <c r="F63" s="47">
        <v>500000000</v>
      </c>
      <c r="G63" s="165">
        <v>0</v>
      </c>
      <c r="H63" s="165">
        <v>0</v>
      </c>
      <c r="I63" s="165">
        <v>0</v>
      </c>
      <c r="J63" s="165">
        <v>0</v>
      </c>
      <c r="K63" s="165">
        <v>0</v>
      </c>
      <c r="L63" s="165">
        <v>0</v>
      </c>
      <c r="M63" s="165">
        <v>0</v>
      </c>
      <c r="N63" s="61">
        <f>+'Support B. 22 BS'!M62</f>
        <v>500000000</v>
      </c>
      <c r="O63" s="169">
        <f>AVERAGE(B63:N63)</f>
        <v>230769230.76923078</v>
      </c>
    </row>
    <row r="64" spans="1:16" hidden="1" outlineLevel="1" x14ac:dyDescent="0.3">
      <c r="A64" s="37" t="s">
        <v>173</v>
      </c>
      <c r="B64" s="33">
        <v>62671405</v>
      </c>
      <c r="C64" s="33">
        <v>78814148</v>
      </c>
      <c r="D64" s="33">
        <v>68784372</v>
      </c>
      <c r="E64" s="33">
        <v>63999416</v>
      </c>
      <c r="F64" s="33">
        <v>65154989</v>
      </c>
      <c r="G64" s="33">
        <v>68575870</v>
      </c>
      <c r="H64" s="33">
        <v>62966393</v>
      </c>
      <c r="I64" s="33">
        <v>65303784</v>
      </c>
      <c r="J64" s="33">
        <v>68906731</v>
      </c>
      <c r="K64" s="33">
        <v>65612542</v>
      </c>
      <c r="L64" s="33">
        <v>67481102</v>
      </c>
      <c r="M64" s="33">
        <v>70827575</v>
      </c>
    </row>
    <row r="65" spans="1:13" hidden="1" outlineLevel="1" x14ac:dyDescent="0.3">
      <c r="A65" s="36" t="s">
        <v>174</v>
      </c>
      <c r="B65" s="33">
        <v>6333999</v>
      </c>
      <c r="C65" s="33">
        <v>21891989</v>
      </c>
      <c r="D65" s="33">
        <v>10929658</v>
      </c>
      <c r="E65" s="33">
        <v>6472448</v>
      </c>
      <c r="F65" s="33">
        <v>6023045</v>
      </c>
      <c r="G65" s="33">
        <v>7591099</v>
      </c>
      <c r="H65" s="33">
        <v>4487712</v>
      </c>
      <c r="I65" s="33">
        <v>5179464</v>
      </c>
      <c r="J65" s="33">
        <v>8323837</v>
      </c>
      <c r="K65" s="33">
        <v>5769823</v>
      </c>
      <c r="L65" s="33">
        <v>6516938</v>
      </c>
      <c r="M65" s="33">
        <v>9694478</v>
      </c>
    </row>
    <row r="66" spans="1:13" hidden="1" outlineLevel="1" x14ac:dyDescent="0.3">
      <c r="A66" s="36" t="s">
        <v>175</v>
      </c>
      <c r="B66" s="33">
        <v>0</v>
      </c>
      <c r="C66" s="33">
        <v>0</v>
      </c>
      <c r="D66" s="33">
        <v>0</v>
      </c>
      <c r="E66" s="33">
        <v>0</v>
      </c>
      <c r="F66" s="33">
        <v>0</v>
      </c>
      <c r="G66" s="33">
        <v>0</v>
      </c>
      <c r="H66" s="33">
        <v>0</v>
      </c>
      <c r="I66" s="33">
        <v>0</v>
      </c>
      <c r="J66" s="33">
        <v>0</v>
      </c>
      <c r="K66" s="33">
        <v>0</v>
      </c>
      <c r="L66" s="33">
        <v>0</v>
      </c>
      <c r="M66" s="33">
        <v>0</v>
      </c>
    </row>
    <row r="67" spans="1:13" hidden="1" outlineLevel="1" x14ac:dyDescent="0.3">
      <c r="A67" s="36" t="s">
        <v>176</v>
      </c>
      <c r="B67" s="33">
        <v>0</v>
      </c>
      <c r="C67" s="33">
        <v>0</v>
      </c>
      <c r="D67" s="33">
        <v>0</v>
      </c>
      <c r="E67" s="33">
        <v>0</v>
      </c>
      <c r="F67" s="33">
        <v>0</v>
      </c>
      <c r="G67" s="33">
        <v>0</v>
      </c>
      <c r="H67" s="33">
        <v>0</v>
      </c>
      <c r="I67" s="33">
        <v>0</v>
      </c>
      <c r="J67" s="33">
        <v>0</v>
      </c>
      <c r="K67" s="33">
        <v>0</v>
      </c>
      <c r="L67" s="33">
        <v>0</v>
      </c>
      <c r="M67" s="33">
        <v>0</v>
      </c>
    </row>
    <row r="68" spans="1:13" hidden="1" outlineLevel="1" x14ac:dyDescent="0.3">
      <c r="A68" s="36" t="s">
        <v>177</v>
      </c>
      <c r="B68" s="33">
        <v>53508616</v>
      </c>
      <c r="C68" s="33">
        <v>54093370</v>
      </c>
      <c r="D68" s="33">
        <v>55025925</v>
      </c>
      <c r="E68" s="33">
        <v>54698179</v>
      </c>
      <c r="F68" s="33">
        <v>56303154</v>
      </c>
      <c r="G68" s="33">
        <v>58155981</v>
      </c>
      <c r="H68" s="33">
        <v>55649891</v>
      </c>
      <c r="I68" s="33">
        <v>57295530</v>
      </c>
      <c r="J68" s="33">
        <v>57754104</v>
      </c>
      <c r="K68" s="33">
        <v>57013930</v>
      </c>
      <c r="L68" s="33">
        <v>58135375</v>
      </c>
      <c r="M68" s="33">
        <v>58304308</v>
      </c>
    </row>
    <row r="69" spans="1:13" hidden="1" outlineLevel="1" x14ac:dyDescent="0.3">
      <c r="A69" s="36" t="s">
        <v>178</v>
      </c>
      <c r="B69" s="33">
        <v>2828790</v>
      </c>
      <c r="C69" s="33">
        <v>2828790</v>
      </c>
      <c r="D69" s="33">
        <v>2828790</v>
      </c>
      <c r="E69" s="33">
        <v>2828790</v>
      </c>
      <c r="F69" s="33">
        <v>2828790</v>
      </c>
      <c r="G69" s="33">
        <v>2828790</v>
      </c>
      <c r="H69" s="33">
        <v>2828790</v>
      </c>
      <c r="I69" s="33">
        <v>2828790</v>
      </c>
      <c r="J69" s="33">
        <v>2828790</v>
      </c>
      <c r="K69" s="33">
        <v>2828790</v>
      </c>
      <c r="L69" s="33">
        <v>2828790</v>
      </c>
      <c r="M69" s="33">
        <v>2828790</v>
      </c>
    </row>
    <row r="70" spans="1:13" hidden="1" outlineLevel="1" x14ac:dyDescent="0.3">
      <c r="A70" s="37" t="s">
        <v>179</v>
      </c>
      <c r="B70" s="33">
        <v>25470</v>
      </c>
      <c r="C70" s="33">
        <v>25372</v>
      </c>
      <c r="D70" s="33">
        <v>103055</v>
      </c>
      <c r="E70" s="33">
        <v>95346</v>
      </c>
      <c r="F70" s="33">
        <v>95346</v>
      </c>
      <c r="G70" s="33">
        <v>99934</v>
      </c>
      <c r="H70" s="33">
        <v>98924</v>
      </c>
      <c r="I70" s="33">
        <v>98924</v>
      </c>
      <c r="J70" s="33">
        <v>95346</v>
      </c>
      <c r="K70" s="33">
        <v>95346</v>
      </c>
      <c r="L70" s="33">
        <v>98689</v>
      </c>
      <c r="M70" s="33">
        <v>136802</v>
      </c>
    </row>
    <row r="71" spans="1:13" hidden="1" outlineLevel="1" x14ac:dyDescent="0.3">
      <c r="A71" s="36" t="s">
        <v>180</v>
      </c>
      <c r="B71" s="33">
        <v>25470</v>
      </c>
      <c r="C71" s="33">
        <v>25372</v>
      </c>
      <c r="D71" s="33">
        <v>103055</v>
      </c>
      <c r="E71" s="33">
        <v>95346</v>
      </c>
      <c r="F71" s="33">
        <v>95346</v>
      </c>
      <c r="G71" s="33">
        <v>99934</v>
      </c>
      <c r="H71" s="33">
        <v>98924</v>
      </c>
      <c r="I71" s="33">
        <v>98924</v>
      </c>
      <c r="J71" s="33">
        <v>95346</v>
      </c>
      <c r="K71" s="33">
        <v>95346</v>
      </c>
      <c r="L71" s="33">
        <v>98689</v>
      </c>
      <c r="M71" s="33">
        <v>136802</v>
      </c>
    </row>
    <row r="72" spans="1:13" hidden="1" outlineLevel="1" x14ac:dyDescent="0.3">
      <c r="A72" s="37" t="s">
        <v>181</v>
      </c>
      <c r="B72" s="33">
        <v>18827106</v>
      </c>
      <c r="C72" s="33">
        <v>18827106</v>
      </c>
      <c r="D72" s="33">
        <v>13898250</v>
      </c>
      <c r="E72" s="33">
        <v>13898250</v>
      </c>
      <c r="F72" s="33">
        <v>13898250</v>
      </c>
      <c r="G72" s="33">
        <v>6279826</v>
      </c>
      <c r="H72" s="33">
        <v>6949127</v>
      </c>
      <c r="I72" s="33">
        <v>6949127</v>
      </c>
      <c r="J72" s="33">
        <v>27555008</v>
      </c>
      <c r="K72" s="33">
        <v>27555008</v>
      </c>
      <c r="L72" s="33">
        <v>27555008</v>
      </c>
      <c r="M72" s="33">
        <v>1535374</v>
      </c>
    </row>
    <row r="73" spans="1:13" hidden="1" outlineLevel="1" x14ac:dyDescent="0.3">
      <c r="A73" s="36" t="s">
        <v>182</v>
      </c>
      <c r="B73" s="33">
        <v>14092359</v>
      </c>
      <c r="C73" s="33">
        <v>14092359</v>
      </c>
      <c r="D73" s="33">
        <v>13665171</v>
      </c>
      <c r="E73" s="33">
        <v>13665171</v>
      </c>
      <c r="F73" s="33">
        <v>13665171</v>
      </c>
      <c r="G73" s="33">
        <v>6046746</v>
      </c>
      <c r="H73" s="33">
        <v>6046746</v>
      </c>
      <c r="I73" s="33">
        <v>6046746</v>
      </c>
      <c r="J73" s="33">
        <v>10853110</v>
      </c>
      <c r="K73" s="33">
        <v>10853110</v>
      </c>
      <c r="L73" s="33">
        <v>10853110</v>
      </c>
      <c r="M73" s="33">
        <v>1535374</v>
      </c>
    </row>
    <row r="74" spans="1:13" hidden="1" outlineLevel="1" x14ac:dyDescent="0.3">
      <c r="A74" s="36" t="s">
        <v>183</v>
      </c>
      <c r="B74" s="33">
        <v>4734747</v>
      </c>
      <c r="C74" s="33">
        <v>4734747</v>
      </c>
      <c r="D74" s="33">
        <v>233080</v>
      </c>
      <c r="E74" s="33">
        <v>233080</v>
      </c>
      <c r="F74" s="33">
        <v>233080</v>
      </c>
      <c r="G74" s="33">
        <v>233080</v>
      </c>
      <c r="H74" s="33">
        <v>902381</v>
      </c>
      <c r="I74" s="33">
        <v>902381</v>
      </c>
      <c r="J74" s="33">
        <v>16701898</v>
      </c>
      <c r="K74" s="33">
        <v>16701898</v>
      </c>
      <c r="L74" s="33">
        <v>16701898</v>
      </c>
      <c r="M74" s="38" t="s">
        <v>77</v>
      </c>
    </row>
    <row r="75" spans="1:13" hidden="1" outlineLevel="1" x14ac:dyDescent="0.3">
      <c r="A75" s="37" t="s">
        <v>184</v>
      </c>
      <c r="B75" s="33">
        <v>295668744</v>
      </c>
      <c r="C75" s="33">
        <v>85076457</v>
      </c>
      <c r="D75" s="33">
        <v>108558483</v>
      </c>
      <c r="E75" s="33">
        <v>321963557</v>
      </c>
      <c r="F75" s="33">
        <v>131652379</v>
      </c>
      <c r="G75" s="33">
        <v>84388414</v>
      </c>
      <c r="H75" s="33">
        <v>300030361</v>
      </c>
      <c r="I75" s="33">
        <v>108076794</v>
      </c>
      <c r="J75" s="33">
        <v>115735218</v>
      </c>
      <c r="K75" s="33">
        <v>344575438</v>
      </c>
      <c r="L75" s="33">
        <v>127618203</v>
      </c>
      <c r="M75" s="33">
        <v>83380151</v>
      </c>
    </row>
    <row r="76" spans="1:13" hidden="1" outlineLevel="1" x14ac:dyDescent="0.3">
      <c r="A76" s="36" t="s">
        <v>185</v>
      </c>
      <c r="B76" s="33">
        <v>1812500</v>
      </c>
      <c r="C76" s="33">
        <v>3020833</v>
      </c>
      <c r="D76" s="33">
        <v>4229167</v>
      </c>
      <c r="E76" s="33">
        <v>5437500</v>
      </c>
      <c r="F76" s="33">
        <v>8594472</v>
      </c>
      <c r="G76" s="33">
        <v>3964472</v>
      </c>
      <c r="H76" s="33">
        <v>5980306</v>
      </c>
      <c r="I76" s="33">
        <v>7996139</v>
      </c>
      <c r="J76" s="33">
        <v>10011972</v>
      </c>
      <c r="K76" s="33">
        <v>12027806</v>
      </c>
      <c r="L76" s="33">
        <v>1948639</v>
      </c>
      <c r="M76" s="33">
        <v>3964472</v>
      </c>
    </row>
    <row r="77" spans="1:13" hidden="1" outlineLevel="1" x14ac:dyDescent="0.3">
      <c r="A77" s="36" t="s">
        <v>186</v>
      </c>
      <c r="B77" s="33">
        <v>77863652</v>
      </c>
      <c r="C77" s="33">
        <v>58784235</v>
      </c>
      <c r="D77" s="33">
        <v>72053113</v>
      </c>
      <c r="E77" s="33">
        <v>71751716</v>
      </c>
      <c r="F77" s="33">
        <v>72250703</v>
      </c>
      <c r="G77" s="33">
        <v>79828144</v>
      </c>
      <c r="H77" s="33">
        <v>80273606</v>
      </c>
      <c r="I77" s="33">
        <v>81204937</v>
      </c>
      <c r="J77" s="33">
        <v>77726748</v>
      </c>
      <c r="K77" s="33">
        <v>79528552</v>
      </c>
      <c r="L77" s="33">
        <v>79219149</v>
      </c>
      <c r="M77" s="33">
        <v>78820509</v>
      </c>
    </row>
    <row r="78" spans="1:13" hidden="1" outlineLevel="1" x14ac:dyDescent="0.3">
      <c r="A78" s="36" t="s">
        <v>187</v>
      </c>
      <c r="B78" s="33">
        <v>13817250</v>
      </c>
      <c r="C78" s="33">
        <v>23271390</v>
      </c>
      <c r="D78" s="33">
        <v>32276205</v>
      </c>
      <c r="E78" s="33">
        <v>41548680</v>
      </c>
      <c r="F78" s="33">
        <v>50807205</v>
      </c>
      <c r="G78" s="33">
        <v>595800</v>
      </c>
      <c r="H78" s="33">
        <v>9513090</v>
      </c>
      <c r="I78" s="33">
        <v>18875745</v>
      </c>
      <c r="J78" s="33">
        <v>27996525</v>
      </c>
      <c r="K78" s="33">
        <v>38075895</v>
      </c>
      <c r="L78" s="33">
        <v>46450440</v>
      </c>
      <c r="M78" s="33">
        <v>595170</v>
      </c>
    </row>
    <row r="79" spans="1:13" hidden="1" outlineLevel="1" x14ac:dyDescent="0.3">
      <c r="A79" s="36" t="s">
        <v>188</v>
      </c>
      <c r="B79" s="33">
        <v>186261573</v>
      </c>
      <c r="C79" s="38" t="s">
        <v>77</v>
      </c>
      <c r="D79" s="38" t="s">
        <v>77</v>
      </c>
      <c r="E79" s="33">
        <v>187288435</v>
      </c>
      <c r="F79" s="38" t="s">
        <v>77</v>
      </c>
      <c r="G79" s="38" t="s">
        <v>77</v>
      </c>
      <c r="H79" s="33">
        <v>188305963</v>
      </c>
      <c r="I79" s="38" t="s">
        <v>77</v>
      </c>
      <c r="J79" s="38" t="s">
        <v>77</v>
      </c>
      <c r="K79" s="33">
        <v>196810170</v>
      </c>
      <c r="L79" s="38" t="s">
        <v>77</v>
      </c>
      <c r="M79" s="38" t="s">
        <v>77</v>
      </c>
    </row>
    <row r="80" spans="1:13" hidden="1" outlineLevel="1" x14ac:dyDescent="0.3">
      <c r="A80" s="36" t="s">
        <v>189</v>
      </c>
      <c r="B80" s="33">
        <v>15913771</v>
      </c>
      <c r="C80" s="38" t="s">
        <v>77</v>
      </c>
      <c r="D80" s="38" t="s">
        <v>77</v>
      </c>
      <c r="E80" s="33">
        <v>15937228</v>
      </c>
      <c r="F80" s="38" t="s">
        <v>77</v>
      </c>
      <c r="G80" s="38" t="s">
        <v>77</v>
      </c>
      <c r="H80" s="33">
        <v>15957398</v>
      </c>
      <c r="I80" s="33">
        <v>-25</v>
      </c>
      <c r="J80" s="33">
        <v>-25</v>
      </c>
      <c r="K80" s="33">
        <v>18133015</v>
      </c>
      <c r="L80" s="33">
        <v>-25</v>
      </c>
      <c r="M80" s="38" t="s">
        <v>77</v>
      </c>
    </row>
    <row r="81" spans="1:16" hidden="1" outlineLevel="1" x14ac:dyDescent="0.3">
      <c r="A81" s="36" t="s">
        <v>190</v>
      </c>
      <c r="B81" s="33">
        <v>-2</v>
      </c>
      <c r="C81" s="33">
        <v>-2</v>
      </c>
      <c r="D81" s="33">
        <v>-2</v>
      </c>
      <c r="E81" s="33">
        <v>-2</v>
      </c>
      <c r="F81" s="33">
        <v>-2</v>
      </c>
      <c r="G81" s="33">
        <v>-2</v>
      </c>
      <c r="H81" s="33">
        <v>-2</v>
      </c>
      <c r="I81" s="33">
        <v>-2</v>
      </c>
      <c r="J81" s="33">
        <v>-2</v>
      </c>
      <c r="K81" s="38" t="s">
        <v>77</v>
      </c>
      <c r="L81" s="38" t="s">
        <v>77</v>
      </c>
      <c r="M81" s="38" t="s">
        <v>77</v>
      </c>
    </row>
    <row r="82" spans="1:16" collapsed="1" x14ac:dyDescent="0.3">
      <c r="A82" s="29" t="s">
        <v>191</v>
      </c>
      <c r="B82" s="32">
        <v>1673506094</v>
      </c>
      <c r="C82" s="32">
        <v>1479056452</v>
      </c>
      <c r="D82" s="32">
        <v>1487285859</v>
      </c>
      <c r="E82" s="32">
        <v>1695898268</v>
      </c>
      <c r="F82" s="32">
        <v>1506742662</v>
      </c>
      <c r="G82" s="32">
        <v>1042893943</v>
      </c>
      <c r="H82" s="32">
        <v>1201311375</v>
      </c>
      <c r="I82" s="32">
        <v>976588684</v>
      </c>
      <c r="J82" s="32">
        <v>1057142246</v>
      </c>
      <c r="K82" s="32">
        <v>1234038937</v>
      </c>
      <c r="L82" s="32">
        <v>1018953606</v>
      </c>
      <c r="M82" s="32">
        <v>1002025878</v>
      </c>
      <c r="O82" s="81">
        <f>+O60+O63</f>
        <v>1287472219.6923077</v>
      </c>
    </row>
    <row r="83" spans="1:16" x14ac:dyDescent="0.3">
      <c r="A83" s="31"/>
      <c r="B83" s="30"/>
      <c r="C83" s="30"/>
      <c r="D83" s="30"/>
      <c r="E83" s="30"/>
      <c r="F83" s="30"/>
      <c r="G83" s="30"/>
      <c r="H83" s="30"/>
      <c r="I83" s="30"/>
      <c r="J83" s="30"/>
      <c r="K83" s="30"/>
      <c r="L83" s="30"/>
      <c r="M83" s="30"/>
      <c r="O83" s="158" t="s">
        <v>92</v>
      </c>
    </row>
    <row r="84" spans="1:16" x14ac:dyDescent="0.3">
      <c r="A84" s="46" t="s">
        <v>192</v>
      </c>
      <c r="B84" s="47">
        <f>2247320801-B127</f>
        <v>2247320801</v>
      </c>
      <c r="C84" s="47">
        <f>2502886011-C127</f>
        <v>2277886011</v>
      </c>
      <c r="D84" s="47">
        <f>2454878555-D127</f>
        <v>2268878555</v>
      </c>
      <c r="E84" s="47">
        <f>2415144827-E127</f>
        <v>2275144827</v>
      </c>
      <c r="F84" s="47">
        <f>2776383475-F127</f>
        <v>2776383475</v>
      </c>
      <c r="G84" s="47">
        <f>3056071434-G127</f>
        <v>2731071434</v>
      </c>
      <c r="H84" s="47">
        <f>3058420036-H127</f>
        <v>2723420036</v>
      </c>
      <c r="I84" s="47">
        <f>3239038145-I127</f>
        <v>2765038145</v>
      </c>
      <c r="J84" s="47">
        <f>3228568787-J127</f>
        <v>2764568787</v>
      </c>
      <c r="K84" s="47">
        <f>3295232209-K127</f>
        <v>2805232209</v>
      </c>
      <c r="L84" s="47">
        <f>3304624121-L127</f>
        <v>2971624121</v>
      </c>
      <c r="M84" s="47">
        <f>3125739241-M127</f>
        <v>2931739241</v>
      </c>
      <c r="N84" s="61">
        <f>+'Support B. 22 BS'!M84</f>
        <v>2280213557</v>
      </c>
      <c r="O84" s="81">
        <f>AVERAGE(B84:N84)</f>
        <v>2601424707.6153846</v>
      </c>
      <c r="P84" s="151" t="s">
        <v>193</v>
      </c>
    </row>
    <row r="85" spans="1:16" x14ac:dyDescent="0.3">
      <c r="A85" s="36" t="s">
        <v>194</v>
      </c>
      <c r="B85" s="33">
        <v>1591544653</v>
      </c>
      <c r="C85" s="33">
        <v>1847109863</v>
      </c>
      <c r="D85" s="33">
        <v>1799102407</v>
      </c>
      <c r="E85" s="33">
        <v>1759368679</v>
      </c>
      <c r="F85" s="33">
        <v>2120607327</v>
      </c>
      <c r="G85" s="33">
        <v>2400295286</v>
      </c>
      <c r="H85" s="33">
        <v>2402643888</v>
      </c>
      <c r="I85" s="33">
        <v>2583261997</v>
      </c>
      <c r="J85" s="33">
        <v>2572792638</v>
      </c>
      <c r="K85" s="33">
        <v>2639456060</v>
      </c>
      <c r="L85" s="33">
        <v>2648847973</v>
      </c>
      <c r="M85" s="33">
        <v>2469963093</v>
      </c>
      <c r="N85" s="57">
        <f>+'Support B. 22 BS'!M85</f>
        <v>1624437409</v>
      </c>
      <c r="O85" s="158" t="s">
        <v>92</v>
      </c>
    </row>
    <row r="86" spans="1:16" x14ac:dyDescent="0.3">
      <c r="A86" s="36" t="s">
        <v>195</v>
      </c>
      <c r="B86" s="33">
        <v>655776148</v>
      </c>
      <c r="C86" s="33">
        <v>655776148</v>
      </c>
      <c r="D86" s="33">
        <v>655776148</v>
      </c>
      <c r="E86" s="33">
        <v>655776148</v>
      </c>
      <c r="F86" s="33">
        <v>655776148</v>
      </c>
      <c r="G86" s="33">
        <v>655776148</v>
      </c>
      <c r="H86" s="33">
        <v>655776148</v>
      </c>
      <c r="I86" s="33">
        <v>655776148</v>
      </c>
      <c r="J86" s="33">
        <v>655776148</v>
      </c>
      <c r="K86" s="33">
        <v>655776148</v>
      </c>
      <c r="L86" s="33">
        <v>655776148</v>
      </c>
      <c r="M86" s="33">
        <v>655776148</v>
      </c>
      <c r="N86" s="57">
        <f>+'Support B. 22 BS'!M86</f>
        <v>655776148</v>
      </c>
    </row>
    <row r="87" spans="1:16" hidden="1" outlineLevel="1" x14ac:dyDescent="0.3">
      <c r="A87" s="37" t="s">
        <v>196</v>
      </c>
      <c r="B87" s="33">
        <v>1333130</v>
      </c>
      <c r="C87" s="33">
        <v>1333130</v>
      </c>
      <c r="D87" s="33">
        <v>1333130</v>
      </c>
      <c r="E87" s="33">
        <v>1333130</v>
      </c>
      <c r="F87" s="33">
        <v>1333130</v>
      </c>
      <c r="G87" s="33">
        <v>1333130</v>
      </c>
      <c r="H87" s="33">
        <v>1333130</v>
      </c>
      <c r="I87" s="33">
        <v>1333130</v>
      </c>
      <c r="J87" s="33">
        <v>1333130</v>
      </c>
      <c r="K87" s="33">
        <v>1333130</v>
      </c>
      <c r="L87" s="33">
        <v>1333130</v>
      </c>
      <c r="M87" s="33">
        <v>1333130</v>
      </c>
    </row>
    <row r="88" spans="1:16" hidden="1" outlineLevel="1" x14ac:dyDescent="0.3">
      <c r="A88" s="37" t="s">
        <v>197</v>
      </c>
      <c r="B88" s="33">
        <v>8513823</v>
      </c>
      <c r="C88" s="33">
        <v>8513823</v>
      </c>
      <c r="D88" s="33">
        <v>9763621</v>
      </c>
      <c r="E88" s="33">
        <v>9763621</v>
      </c>
      <c r="F88" s="33">
        <v>9763621</v>
      </c>
      <c r="G88" s="33">
        <v>4141538</v>
      </c>
      <c r="H88" s="33">
        <v>4141538</v>
      </c>
      <c r="I88" s="33">
        <v>4141538</v>
      </c>
      <c r="J88" s="33">
        <v>6577026</v>
      </c>
      <c r="K88" s="33">
        <v>6577026</v>
      </c>
      <c r="L88" s="33">
        <v>6577026</v>
      </c>
      <c r="M88" s="33">
        <v>5504758</v>
      </c>
    </row>
    <row r="89" spans="1:16" hidden="1" outlineLevel="1" x14ac:dyDescent="0.3">
      <c r="A89" s="36" t="s">
        <v>198</v>
      </c>
      <c r="B89" s="33">
        <v>8513823</v>
      </c>
      <c r="C89" s="33">
        <v>8513823</v>
      </c>
      <c r="D89" s="33">
        <v>9763621</v>
      </c>
      <c r="E89" s="33">
        <v>9763621</v>
      </c>
      <c r="F89" s="33">
        <v>9763621</v>
      </c>
      <c r="G89" s="33">
        <v>4141538</v>
      </c>
      <c r="H89" s="33">
        <v>4141538</v>
      </c>
      <c r="I89" s="33">
        <v>4141538</v>
      </c>
      <c r="J89" s="33">
        <v>6577026</v>
      </c>
      <c r="K89" s="33">
        <v>6577026</v>
      </c>
      <c r="L89" s="33">
        <v>6577026</v>
      </c>
      <c r="M89" s="33">
        <v>5504758</v>
      </c>
    </row>
    <row r="90" spans="1:16" hidden="1" outlineLevel="1" x14ac:dyDescent="0.3">
      <c r="A90" s="37" t="s">
        <v>199</v>
      </c>
      <c r="B90" s="33">
        <v>24838013</v>
      </c>
      <c r="C90" s="33">
        <v>24771593</v>
      </c>
      <c r="D90" s="33">
        <v>24585533</v>
      </c>
      <c r="E90" s="33">
        <v>24696030</v>
      </c>
      <c r="F90" s="33">
        <v>24816781</v>
      </c>
      <c r="G90" s="33">
        <v>24096391</v>
      </c>
      <c r="H90" s="33">
        <v>24108673</v>
      </c>
      <c r="I90" s="33">
        <v>24015488</v>
      </c>
      <c r="J90" s="33">
        <v>24278386</v>
      </c>
      <c r="K90" s="33">
        <v>24399138</v>
      </c>
      <c r="L90" s="33">
        <v>24519890</v>
      </c>
      <c r="M90" s="33">
        <v>25962622</v>
      </c>
    </row>
    <row r="91" spans="1:16" ht="21.6" hidden="1" outlineLevel="1" x14ac:dyDescent="0.3">
      <c r="A91" s="21" t="s">
        <v>200</v>
      </c>
      <c r="B91" s="14">
        <v>24838013</v>
      </c>
      <c r="C91" s="14">
        <v>24771593</v>
      </c>
      <c r="D91" s="14">
        <v>24585533</v>
      </c>
      <c r="E91" s="14">
        <v>24696030</v>
      </c>
      <c r="F91" s="14">
        <v>24816781</v>
      </c>
      <c r="G91" s="14">
        <v>24096391</v>
      </c>
      <c r="H91" s="14">
        <v>24108673</v>
      </c>
      <c r="I91" s="14">
        <v>24015488</v>
      </c>
      <c r="J91" s="14">
        <v>24278386</v>
      </c>
      <c r="K91" s="14">
        <v>24399138</v>
      </c>
      <c r="L91" s="14">
        <v>24519890</v>
      </c>
      <c r="M91" s="14">
        <v>25962622</v>
      </c>
    </row>
    <row r="92" spans="1:16" hidden="1" outlineLevel="1" x14ac:dyDescent="0.3">
      <c r="A92" s="37" t="s">
        <v>201</v>
      </c>
      <c r="B92" s="33">
        <v>-11384457</v>
      </c>
      <c r="C92" s="33">
        <v>-11384457</v>
      </c>
      <c r="D92" s="33">
        <v>-17588114</v>
      </c>
      <c r="E92" s="33">
        <v>-17588114</v>
      </c>
      <c r="F92" s="33">
        <v>-17588114</v>
      </c>
      <c r="G92" s="33">
        <v>-15202135</v>
      </c>
      <c r="H92" s="33">
        <v>-15238650</v>
      </c>
      <c r="I92" s="33">
        <v>-15238650</v>
      </c>
      <c r="J92" s="33">
        <v>-14064048</v>
      </c>
      <c r="K92" s="33">
        <v>-14064048</v>
      </c>
      <c r="L92" s="33">
        <v>-14064048</v>
      </c>
      <c r="M92" s="33">
        <v>-13208988</v>
      </c>
    </row>
    <row r="93" spans="1:16" hidden="1" outlineLevel="1" x14ac:dyDescent="0.3">
      <c r="A93" s="36" t="s">
        <v>202</v>
      </c>
      <c r="B93" s="33">
        <v>12114400</v>
      </c>
      <c r="C93" s="33">
        <v>12114400</v>
      </c>
      <c r="D93" s="33">
        <v>6122636</v>
      </c>
      <c r="E93" s="33">
        <v>6122636</v>
      </c>
      <c r="F93" s="33">
        <v>6122636</v>
      </c>
      <c r="G93" s="33">
        <v>8694874</v>
      </c>
      <c r="H93" s="33">
        <v>8694874</v>
      </c>
      <c r="I93" s="33">
        <v>8694874</v>
      </c>
      <c r="J93" s="33">
        <v>10032861</v>
      </c>
      <c r="K93" s="33">
        <v>10032861</v>
      </c>
      <c r="L93" s="33">
        <v>10032861</v>
      </c>
      <c r="M93" s="33">
        <v>11229251</v>
      </c>
    </row>
    <row r="94" spans="1:16" hidden="1" outlineLevel="1" x14ac:dyDescent="0.3">
      <c r="A94" s="36" t="s">
        <v>203</v>
      </c>
      <c r="B94" s="33">
        <v>-23498858</v>
      </c>
      <c r="C94" s="33">
        <v>-23498858</v>
      </c>
      <c r="D94" s="33">
        <v>-23710750</v>
      </c>
      <c r="E94" s="33">
        <v>-23710750</v>
      </c>
      <c r="F94" s="33">
        <v>-23710750</v>
      </c>
      <c r="G94" s="33">
        <v>-23897009</v>
      </c>
      <c r="H94" s="33">
        <v>-23933523</v>
      </c>
      <c r="I94" s="33">
        <v>-23933523</v>
      </c>
      <c r="J94" s="33">
        <v>-24096909</v>
      </c>
      <c r="K94" s="33">
        <v>-24096909</v>
      </c>
      <c r="L94" s="33">
        <v>-24096909</v>
      </c>
      <c r="M94" s="33">
        <v>-24438239</v>
      </c>
    </row>
    <row r="95" spans="1:16" collapsed="1" x14ac:dyDescent="0.3">
      <c r="A95" s="29" t="s">
        <v>204</v>
      </c>
      <c r="B95" s="32">
        <v>2270621310</v>
      </c>
      <c r="C95" s="32">
        <v>2526120099</v>
      </c>
      <c r="D95" s="32">
        <v>2472972725</v>
      </c>
      <c r="E95" s="32">
        <v>2433349494</v>
      </c>
      <c r="F95" s="32">
        <v>2794708894</v>
      </c>
      <c r="G95" s="32">
        <v>3070440358</v>
      </c>
      <c r="H95" s="32">
        <v>3072764728</v>
      </c>
      <c r="I95" s="32">
        <v>3253289651</v>
      </c>
      <c r="J95" s="32">
        <v>3246693281</v>
      </c>
      <c r="K95" s="32">
        <v>3313477455</v>
      </c>
      <c r="L95" s="32">
        <v>3322990119</v>
      </c>
      <c r="M95" s="32">
        <v>3145330763</v>
      </c>
    </row>
    <row r="96" spans="1:16" x14ac:dyDescent="0.3">
      <c r="A96" s="31"/>
      <c r="B96" s="30"/>
      <c r="C96" s="30"/>
      <c r="D96" s="30"/>
      <c r="E96" s="30"/>
      <c r="F96" s="30"/>
      <c r="G96" s="30"/>
      <c r="H96" s="30"/>
      <c r="I96" s="30"/>
      <c r="J96" s="30"/>
      <c r="K96" s="30"/>
      <c r="L96" s="30"/>
      <c r="M96" s="30"/>
    </row>
    <row r="97" spans="1:15" x14ac:dyDescent="0.3">
      <c r="A97" s="29" t="s">
        <v>205</v>
      </c>
      <c r="B97" s="30"/>
      <c r="C97" s="30"/>
      <c r="D97" s="30"/>
      <c r="E97" s="30"/>
      <c r="F97" s="30"/>
      <c r="G97" s="30"/>
      <c r="H97" s="30"/>
      <c r="I97" s="30"/>
      <c r="J97" s="30"/>
      <c r="K97" s="30"/>
      <c r="L97" s="30"/>
      <c r="M97" s="30"/>
    </row>
    <row r="98" spans="1:15" x14ac:dyDescent="0.3">
      <c r="A98" s="31"/>
      <c r="B98" s="30"/>
      <c r="C98" s="30"/>
      <c r="D98" s="30"/>
      <c r="E98" s="30"/>
      <c r="F98" s="30"/>
      <c r="G98" s="30"/>
      <c r="H98" s="30"/>
      <c r="I98" s="30"/>
      <c r="J98" s="30"/>
      <c r="K98" s="30"/>
      <c r="L98" s="30"/>
      <c r="M98" s="30"/>
    </row>
    <row r="99" spans="1:15" x14ac:dyDescent="0.3">
      <c r="A99" s="29" t="s">
        <v>206</v>
      </c>
      <c r="B99" s="30"/>
      <c r="C99" s="30"/>
      <c r="D99" s="30"/>
      <c r="E99" s="30"/>
      <c r="F99" s="30"/>
      <c r="G99" s="30"/>
      <c r="H99" s="30"/>
      <c r="I99" s="30"/>
      <c r="J99" s="30"/>
      <c r="K99" s="30"/>
      <c r="L99" s="30"/>
      <c r="M99" s="30"/>
    </row>
    <row r="100" spans="1:15" x14ac:dyDescent="0.3">
      <c r="A100" s="46" t="s">
        <v>207</v>
      </c>
      <c r="B100" s="47">
        <v>7766679996</v>
      </c>
      <c r="C100" s="47">
        <v>7835973594</v>
      </c>
      <c r="D100" s="47">
        <v>7838547677</v>
      </c>
      <c r="E100" s="47">
        <v>7850275890</v>
      </c>
      <c r="F100" s="47">
        <v>7921241183</v>
      </c>
      <c r="G100" s="47">
        <v>7921924808</v>
      </c>
      <c r="H100" s="47">
        <v>7925221344</v>
      </c>
      <c r="I100" s="47">
        <v>7991816525</v>
      </c>
      <c r="J100" s="47">
        <v>7992487443</v>
      </c>
      <c r="K100" s="47">
        <v>7996581978</v>
      </c>
      <c r="L100" s="47">
        <v>8180850065</v>
      </c>
      <c r="M100" s="47">
        <v>8461990367</v>
      </c>
      <c r="N100" s="61">
        <f>+'Support B. 22 BS'!M100</f>
        <v>7761357474</v>
      </c>
      <c r="O100" s="81">
        <f>AVERAGE(B100:N100)</f>
        <v>7957303718.7692308</v>
      </c>
    </row>
    <row r="101" spans="1:15" x14ac:dyDescent="0.3">
      <c r="A101" s="36" t="s">
        <v>208</v>
      </c>
      <c r="B101" s="33">
        <v>7766679996</v>
      </c>
      <c r="C101" s="33">
        <v>7835973594</v>
      </c>
      <c r="D101" s="33">
        <v>7838547677</v>
      </c>
      <c r="E101" s="33">
        <v>7850275890</v>
      </c>
      <c r="F101" s="33">
        <v>7921241183</v>
      </c>
      <c r="G101" s="33">
        <v>7921924808</v>
      </c>
      <c r="H101" s="33">
        <v>7925221344</v>
      </c>
      <c r="I101" s="33">
        <v>7991816525</v>
      </c>
      <c r="J101" s="33">
        <v>7992487443</v>
      </c>
      <c r="K101" s="33">
        <v>7996581978</v>
      </c>
      <c r="L101" s="33">
        <v>8180850065</v>
      </c>
      <c r="M101" s="33">
        <v>8461990367</v>
      </c>
      <c r="N101" s="57">
        <f>+'Support B. 22 BS'!M101</f>
        <v>7761357474</v>
      </c>
      <c r="O101" s="158" t="s">
        <v>209</v>
      </c>
    </row>
    <row r="102" spans="1:15" x14ac:dyDescent="0.3">
      <c r="A102" s="46" t="s">
        <v>210</v>
      </c>
      <c r="B102" s="47">
        <v>1421836628</v>
      </c>
      <c r="C102" s="47">
        <v>1421836628</v>
      </c>
      <c r="D102" s="47">
        <v>1421836628</v>
      </c>
      <c r="E102" s="47">
        <v>1421836628</v>
      </c>
      <c r="F102" s="47">
        <v>1421836628</v>
      </c>
      <c r="G102" s="47">
        <v>1421820675</v>
      </c>
      <c r="H102" s="47">
        <v>1421820675</v>
      </c>
      <c r="I102" s="47">
        <v>1421820675</v>
      </c>
      <c r="J102" s="47">
        <v>1421820675</v>
      </c>
      <c r="K102" s="47">
        <v>1421820675</v>
      </c>
      <c r="L102" s="47">
        <v>1421820675</v>
      </c>
      <c r="M102" s="47">
        <v>1421820675</v>
      </c>
      <c r="N102" s="61">
        <f>+'Support B. 22 BS'!M102</f>
        <v>1421836628</v>
      </c>
      <c r="O102" s="81">
        <f>AVERAGE(B102:N102)</f>
        <v>1421828037.9230769</v>
      </c>
    </row>
    <row r="103" spans="1:15" x14ac:dyDescent="0.3">
      <c r="A103" s="36" t="s">
        <v>211</v>
      </c>
      <c r="B103" s="33">
        <v>1421836628</v>
      </c>
      <c r="C103" s="33">
        <v>1421836628</v>
      </c>
      <c r="D103" s="33">
        <v>1421836628</v>
      </c>
      <c r="E103" s="33">
        <v>1421836628</v>
      </c>
      <c r="F103" s="33">
        <v>1421836628</v>
      </c>
      <c r="G103" s="33">
        <v>1421820675</v>
      </c>
      <c r="H103" s="33">
        <v>1421820675</v>
      </c>
      <c r="I103" s="33">
        <v>1421820675</v>
      </c>
      <c r="J103" s="33">
        <v>1421820675</v>
      </c>
      <c r="K103" s="33">
        <v>1421820675</v>
      </c>
      <c r="L103" s="33">
        <v>1421820675</v>
      </c>
      <c r="M103" s="33">
        <v>1421820675</v>
      </c>
      <c r="N103" s="57">
        <f>+'Support B. 22 BS'!M103</f>
        <v>1421836628</v>
      </c>
      <c r="O103" s="158" t="s">
        <v>92</v>
      </c>
    </row>
    <row r="104" spans="1:15" x14ac:dyDescent="0.3">
      <c r="A104" s="46" t="s">
        <v>212</v>
      </c>
      <c r="B104" s="47">
        <v>49183390</v>
      </c>
      <c r="C104" s="47">
        <v>49183390</v>
      </c>
      <c r="D104" s="47">
        <v>49589376</v>
      </c>
      <c r="E104" s="47">
        <v>49589376</v>
      </c>
      <c r="F104" s="47">
        <v>49589376</v>
      </c>
      <c r="G104" s="47">
        <v>49893425</v>
      </c>
      <c r="H104" s="47">
        <v>49893425</v>
      </c>
      <c r="I104" s="47">
        <v>49893425</v>
      </c>
      <c r="J104" s="47">
        <v>50429960</v>
      </c>
      <c r="K104" s="47">
        <v>50429960</v>
      </c>
      <c r="L104" s="47">
        <v>50429960</v>
      </c>
      <c r="M104" s="47">
        <v>50862285</v>
      </c>
      <c r="N104" s="61">
        <f>+'Support B. 22 BS'!M104</f>
        <v>49183390</v>
      </c>
      <c r="O104" s="81">
        <f>AVERAGE(B104:N104)</f>
        <v>49857749.07692308</v>
      </c>
    </row>
    <row r="105" spans="1:15" x14ac:dyDescent="0.3">
      <c r="A105" s="36" t="s">
        <v>213</v>
      </c>
      <c r="B105" s="33">
        <v>49183390</v>
      </c>
      <c r="C105" s="33">
        <v>49183390</v>
      </c>
      <c r="D105" s="33">
        <v>49589376</v>
      </c>
      <c r="E105" s="33">
        <v>49589376</v>
      </c>
      <c r="F105" s="33">
        <v>49589376</v>
      </c>
      <c r="G105" s="33">
        <v>49893425</v>
      </c>
      <c r="H105" s="33">
        <v>49893425</v>
      </c>
      <c r="I105" s="33">
        <v>49893425</v>
      </c>
      <c r="J105" s="33">
        <v>50429960</v>
      </c>
      <c r="K105" s="33">
        <v>50429960</v>
      </c>
      <c r="L105" s="33">
        <v>50429960</v>
      </c>
      <c r="M105" s="33">
        <v>50862285</v>
      </c>
      <c r="N105" s="57">
        <f>+'Support B. 22 BS'!M105</f>
        <v>49183390</v>
      </c>
      <c r="O105" s="158" t="s">
        <v>209</v>
      </c>
    </row>
    <row r="106" spans="1:15" hidden="1" outlineLevel="1" x14ac:dyDescent="0.3">
      <c r="A106" s="37" t="s">
        <v>214</v>
      </c>
      <c r="B106" s="33">
        <v>127021880</v>
      </c>
      <c r="C106" s="33">
        <v>114583261</v>
      </c>
      <c r="D106" s="33">
        <v>118236165</v>
      </c>
      <c r="E106" s="33">
        <v>116072435</v>
      </c>
      <c r="F106" s="33">
        <v>114870805</v>
      </c>
      <c r="G106" s="33">
        <v>131695735</v>
      </c>
      <c r="H106" s="33">
        <v>133965522</v>
      </c>
      <c r="I106" s="33">
        <v>118320986</v>
      </c>
      <c r="J106" s="33">
        <v>118850708</v>
      </c>
      <c r="K106" s="33">
        <v>101947314</v>
      </c>
      <c r="L106" s="33">
        <v>115869916</v>
      </c>
      <c r="M106" s="33">
        <v>131555944</v>
      </c>
    </row>
    <row r="107" spans="1:15" hidden="1" outlineLevel="1" x14ac:dyDescent="0.3">
      <c r="A107" s="36" t="s">
        <v>215</v>
      </c>
      <c r="B107" s="33">
        <v>1614131</v>
      </c>
      <c r="C107" s="33">
        <v>1614131</v>
      </c>
      <c r="D107" s="33">
        <v>1614131</v>
      </c>
      <c r="E107" s="33">
        <v>1614131</v>
      </c>
      <c r="F107" s="33">
        <v>1614131</v>
      </c>
      <c r="G107" s="33">
        <v>1614131</v>
      </c>
      <c r="H107" s="33">
        <v>1614131</v>
      </c>
      <c r="I107" s="33">
        <v>1614131</v>
      </c>
      <c r="J107" s="33">
        <v>1614131</v>
      </c>
      <c r="K107" s="33">
        <v>1614131</v>
      </c>
      <c r="L107" s="33">
        <v>1614131</v>
      </c>
      <c r="M107" s="33">
        <v>940164</v>
      </c>
    </row>
    <row r="108" spans="1:15" hidden="1" outlineLevel="1" x14ac:dyDescent="0.3">
      <c r="A108" s="36" t="s">
        <v>216</v>
      </c>
      <c r="B108" s="33">
        <v>1</v>
      </c>
      <c r="C108" s="33">
        <v>1</v>
      </c>
      <c r="D108" s="33">
        <v>1</v>
      </c>
      <c r="E108" s="33">
        <v>1</v>
      </c>
      <c r="F108" s="33">
        <v>1</v>
      </c>
      <c r="G108" s="33">
        <v>1</v>
      </c>
      <c r="H108" s="33">
        <v>1</v>
      </c>
      <c r="I108" s="33">
        <v>1</v>
      </c>
      <c r="J108" s="33">
        <v>1</v>
      </c>
      <c r="K108" s="33">
        <v>1</v>
      </c>
      <c r="L108" s="33">
        <v>1</v>
      </c>
      <c r="M108" s="33">
        <v>1</v>
      </c>
    </row>
    <row r="109" spans="1:15" hidden="1" outlineLevel="1" x14ac:dyDescent="0.3">
      <c r="A109" s="36" t="s">
        <v>217</v>
      </c>
      <c r="B109" s="33">
        <v>-40103559</v>
      </c>
      <c r="C109" s="33">
        <v>-70991932</v>
      </c>
      <c r="D109" s="33">
        <v>-61925200</v>
      </c>
      <c r="E109" s="33">
        <v>-67294487</v>
      </c>
      <c r="F109" s="33">
        <v>-70276981</v>
      </c>
      <c r="G109" s="33">
        <v>-26965704</v>
      </c>
      <c r="H109" s="33">
        <v>-19447054</v>
      </c>
      <c r="I109" s="33">
        <v>-61697910</v>
      </c>
      <c r="J109" s="33">
        <v>-60384608</v>
      </c>
      <c r="K109" s="33">
        <v>-102291337</v>
      </c>
      <c r="L109" s="33">
        <v>-67781965</v>
      </c>
      <c r="M109" s="33">
        <v>-25265135</v>
      </c>
    </row>
    <row r="110" spans="1:15" hidden="1" outlineLevel="1" x14ac:dyDescent="0.3">
      <c r="A110" s="36" t="s">
        <v>218</v>
      </c>
      <c r="B110" s="33">
        <v>-21</v>
      </c>
      <c r="C110" s="33">
        <v>-21</v>
      </c>
      <c r="D110" s="33">
        <v>-21</v>
      </c>
      <c r="E110" s="33">
        <v>-21</v>
      </c>
      <c r="F110" s="33">
        <v>-21</v>
      </c>
      <c r="G110" s="33">
        <v>-21</v>
      </c>
      <c r="H110" s="33">
        <v>-21</v>
      </c>
      <c r="I110" s="33">
        <v>-21</v>
      </c>
      <c r="J110" s="33">
        <v>-21</v>
      </c>
      <c r="K110" s="33">
        <v>-21</v>
      </c>
      <c r="L110" s="38" t="s">
        <v>77</v>
      </c>
      <c r="M110" s="38" t="s">
        <v>77</v>
      </c>
    </row>
    <row r="111" spans="1:15" hidden="1" outlineLevel="1" x14ac:dyDescent="0.3">
      <c r="A111" s="36" t="s">
        <v>219</v>
      </c>
      <c r="B111" s="33">
        <v>2283960</v>
      </c>
      <c r="C111" s="33">
        <v>2283960</v>
      </c>
      <c r="D111" s="33">
        <v>2283960</v>
      </c>
      <c r="E111" s="33">
        <v>2283960</v>
      </c>
      <c r="F111" s="33">
        <v>2283960</v>
      </c>
      <c r="G111" s="33">
        <v>2283960</v>
      </c>
      <c r="H111" s="33">
        <v>2283960</v>
      </c>
      <c r="I111" s="33">
        <v>2283960</v>
      </c>
      <c r="J111" s="33">
        <v>2283960</v>
      </c>
      <c r="K111" s="33">
        <v>2283960</v>
      </c>
      <c r="L111" s="33">
        <v>2283960</v>
      </c>
      <c r="M111" s="33">
        <v>2283960</v>
      </c>
    </row>
    <row r="112" spans="1:15" hidden="1" outlineLevel="1" x14ac:dyDescent="0.3">
      <c r="A112" s="36" t="s">
        <v>220</v>
      </c>
      <c r="B112" s="33">
        <v>163227367</v>
      </c>
      <c r="C112" s="33">
        <v>181677121</v>
      </c>
      <c r="D112" s="33">
        <v>176263293</v>
      </c>
      <c r="E112" s="33">
        <v>179468850</v>
      </c>
      <c r="F112" s="33">
        <v>181249714</v>
      </c>
      <c r="G112" s="33">
        <v>154763367</v>
      </c>
      <c r="H112" s="33">
        <v>149514504</v>
      </c>
      <c r="I112" s="33">
        <v>176120825</v>
      </c>
      <c r="J112" s="33">
        <v>175337244</v>
      </c>
      <c r="K112" s="33">
        <v>200340579</v>
      </c>
      <c r="L112" s="33">
        <v>179753788</v>
      </c>
      <c r="M112" s="33">
        <v>153596953</v>
      </c>
    </row>
    <row r="113" spans="1:16" hidden="1" outlineLevel="1" x14ac:dyDescent="0.3">
      <c r="A113" s="37" t="s">
        <v>221</v>
      </c>
      <c r="B113" s="33">
        <v>-2760549370</v>
      </c>
      <c r="C113" s="33">
        <v>-2769568814</v>
      </c>
      <c r="D113" s="33">
        <v>-2745966209</v>
      </c>
      <c r="E113" s="33">
        <v>-2944283714</v>
      </c>
      <c r="F113" s="33">
        <v>-2954633878</v>
      </c>
      <c r="G113" s="33">
        <v>-2840219575</v>
      </c>
      <c r="H113" s="33">
        <v>-3038711209</v>
      </c>
      <c r="I113" s="33">
        <v>-3045208579</v>
      </c>
      <c r="J113" s="33">
        <v>-3068780655</v>
      </c>
      <c r="K113" s="33">
        <v>-3279394073</v>
      </c>
      <c r="L113" s="33">
        <v>-3284398389</v>
      </c>
      <c r="M113" s="33">
        <v>-3214785899</v>
      </c>
    </row>
    <row r="114" spans="1:16" hidden="1" outlineLevel="1" x14ac:dyDescent="0.3">
      <c r="A114" s="36" t="s">
        <v>222</v>
      </c>
      <c r="B114" s="33">
        <v>-21919780</v>
      </c>
      <c r="C114" s="33">
        <v>-30856150</v>
      </c>
      <c r="D114" s="33">
        <v>-7253545</v>
      </c>
      <c r="E114" s="33">
        <v>-18282615</v>
      </c>
      <c r="F114" s="33">
        <v>-28466335</v>
      </c>
      <c r="G114" s="33">
        <v>85947968</v>
      </c>
      <c r="H114" s="33">
        <v>75762297</v>
      </c>
      <c r="I114" s="33">
        <v>69313165</v>
      </c>
      <c r="J114" s="33">
        <v>45741089</v>
      </c>
      <c r="K114" s="33">
        <v>31937841</v>
      </c>
      <c r="L114" s="33">
        <v>27001695</v>
      </c>
      <c r="M114" s="33">
        <v>96614184</v>
      </c>
    </row>
    <row r="115" spans="1:16" ht="21.6" hidden="1" outlineLevel="1" x14ac:dyDescent="0.3">
      <c r="A115" s="35" t="s">
        <v>223</v>
      </c>
      <c r="B115" s="14">
        <v>-21919780</v>
      </c>
      <c r="C115" s="14">
        <v>-30856150</v>
      </c>
      <c r="D115" s="14">
        <v>-7253545</v>
      </c>
      <c r="E115" s="14">
        <v>-18282615</v>
      </c>
      <c r="F115" s="14">
        <v>-28466335</v>
      </c>
      <c r="G115" s="14">
        <v>85947968</v>
      </c>
      <c r="H115" s="14">
        <v>75762297</v>
      </c>
      <c r="I115" s="14">
        <v>69313165</v>
      </c>
      <c r="J115" s="14">
        <v>45741089</v>
      </c>
      <c r="K115" s="14">
        <v>31937841</v>
      </c>
      <c r="L115" s="14">
        <v>27001695</v>
      </c>
      <c r="M115" s="14">
        <v>96614184</v>
      </c>
    </row>
    <row r="116" spans="1:16" hidden="1" outlineLevel="1" x14ac:dyDescent="0.3">
      <c r="A116" s="36" t="s">
        <v>224</v>
      </c>
      <c r="B116" s="33">
        <v>-186261573</v>
      </c>
      <c r="C116" s="33">
        <v>-186344646</v>
      </c>
      <c r="D116" s="33">
        <v>-186344646</v>
      </c>
      <c r="E116" s="33">
        <v>-373633081</v>
      </c>
      <c r="F116" s="33">
        <v>-373799525</v>
      </c>
      <c r="G116" s="33">
        <v>-373799525</v>
      </c>
      <c r="H116" s="33">
        <v>-562105488</v>
      </c>
      <c r="I116" s="33">
        <v>-562153726</v>
      </c>
      <c r="J116" s="33">
        <v>-562153726</v>
      </c>
      <c r="K116" s="33">
        <v>-758963896</v>
      </c>
      <c r="L116" s="33">
        <v>-759032066</v>
      </c>
      <c r="M116" s="33">
        <v>-759032066</v>
      </c>
    </row>
    <row r="117" spans="1:16" hidden="1" outlineLevel="1" x14ac:dyDescent="0.3">
      <c r="A117" s="36" t="s">
        <v>225</v>
      </c>
      <c r="B117" s="33">
        <v>-2552368018</v>
      </c>
      <c r="C117" s="33">
        <v>-2552368018</v>
      </c>
      <c r="D117" s="33">
        <v>-2552368018</v>
      </c>
      <c r="E117" s="33">
        <v>-2552368018</v>
      </c>
      <c r="F117" s="33">
        <v>-2552368018</v>
      </c>
      <c r="G117" s="33">
        <v>-2552368018</v>
      </c>
      <c r="H117" s="33">
        <v>-2552368018</v>
      </c>
      <c r="I117" s="33">
        <v>-2552368018</v>
      </c>
      <c r="J117" s="33">
        <v>-2552368018</v>
      </c>
      <c r="K117" s="33">
        <v>-2552368018</v>
      </c>
      <c r="L117" s="33">
        <v>-2552368018</v>
      </c>
      <c r="M117" s="33">
        <v>-2552368018</v>
      </c>
    </row>
    <row r="118" spans="1:16" ht="21.6" hidden="1" outlineLevel="1" x14ac:dyDescent="0.3">
      <c r="A118" s="35" t="s">
        <v>226</v>
      </c>
      <c r="B118" s="14">
        <v>-2426698</v>
      </c>
      <c r="C118" s="14">
        <v>-2426698</v>
      </c>
      <c r="D118" s="14">
        <v>-2426698</v>
      </c>
      <c r="E118" s="14">
        <v>-2426698</v>
      </c>
      <c r="F118" s="14">
        <v>-2426698</v>
      </c>
      <c r="G118" s="14">
        <v>-2426698</v>
      </c>
      <c r="H118" s="14">
        <v>-2426698</v>
      </c>
      <c r="I118" s="14">
        <v>-2426698</v>
      </c>
      <c r="J118" s="14">
        <v>-2426698</v>
      </c>
      <c r="K118" s="14">
        <v>-2426698</v>
      </c>
      <c r="L118" s="14">
        <v>-2426698</v>
      </c>
      <c r="M118" s="14">
        <v>-2426698</v>
      </c>
    </row>
    <row r="119" spans="1:16" hidden="1" outlineLevel="1" x14ac:dyDescent="0.3">
      <c r="A119" s="34" t="s">
        <v>227</v>
      </c>
      <c r="B119" s="33">
        <v>-2549941319</v>
      </c>
      <c r="C119" s="33">
        <v>-2549941319</v>
      </c>
      <c r="D119" s="33">
        <v>-2549941319</v>
      </c>
      <c r="E119" s="33">
        <v>-2549941319</v>
      </c>
      <c r="F119" s="33">
        <v>-2549941319</v>
      </c>
      <c r="G119" s="33">
        <v>-2549941319</v>
      </c>
      <c r="H119" s="33">
        <v>-2549941319</v>
      </c>
      <c r="I119" s="33">
        <v>-2549941319</v>
      </c>
      <c r="J119" s="33">
        <v>-2549941319</v>
      </c>
      <c r="K119" s="33">
        <v>-2549941319</v>
      </c>
      <c r="L119" s="33">
        <v>-2549941319</v>
      </c>
      <c r="M119" s="33">
        <v>-2549941319</v>
      </c>
    </row>
    <row r="120" spans="1:16" collapsed="1" x14ac:dyDescent="0.3">
      <c r="A120" s="29" t="s">
        <v>228</v>
      </c>
      <c r="B120" s="32">
        <v>6604172523</v>
      </c>
      <c r="C120" s="32">
        <v>6652008059</v>
      </c>
      <c r="D120" s="32">
        <v>6682243637</v>
      </c>
      <c r="E120" s="32">
        <v>6493490614</v>
      </c>
      <c r="F120" s="32">
        <v>6552904113</v>
      </c>
      <c r="G120" s="32">
        <v>6685115069</v>
      </c>
      <c r="H120" s="32">
        <v>6492189757</v>
      </c>
      <c r="I120" s="32">
        <v>6536643032</v>
      </c>
      <c r="J120" s="32">
        <v>6514808131</v>
      </c>
      <c r="K120" s="32">
        <v>6291385854</v>
      </c>
      <c r="L120" s="32">
        <v>6484572227</v>
      </c>
      <c r="M120" s="32">
        <v>6851443372</v>
      </c>
    </row>
    <row r="121" spans="1:16" x14ac:dyDescent="0.3">
      <c r="A121" s="29" t="s">
        <v>229</v>
      </c>
      <c r="B121" s="32">
        <v>6604172523</v>
      </c>
      <c r="C121" s="32">
        <v>6652008059</v>
      </c>
      <c r="D121" s="32">
        <v>6682243637</v>
      </c>
      <c r="E121" s="32">
        <v>6493490614</v>
      </c>
      <c r="F121" s="32">
        <v>6552904113</v>
      </c>
      <c r="G121" s="32">
        <v>6685115069</v>
      </c>
      <c r="H121" s="32">
        <v>6492189757</v>
      </c>
      <c r="I121" s="32">
        <v>6536643032</v>
      </c>
      <c r="J121" s="32">
        <v>6514808131</v>
      </c>
      <c r="K121" s="32">
        <v>6291385854</v>
      </c>
      <c r="L121" s="32">
        <v>6484572227</v>
      </c>
      <c r="M121" s="32">
        <v>6851443372</v>
      </c>
      <c r="N121" s="158" t="s">
        <v>230</v>
      </c>
      <c r="O121" s="81">
        <f>+O100+O104</f>
        <v>8007161467.8461542</v>
      </c>
    </row>
    <row r="122" spans="1:16" x14ac:dyDescent="0.3">
      <c r="A122" s="31"/>
      <c r="B122" s="30"/>
      <c r="C122" s="30"/>
      <c r="D122" s="30"/>
      <c r="E122" s="30"/>
      <c r="F122" s="30"/>
      <c r="G122" s="30"/>
      <c r="H122" s="30"/>
      <c r="I122" s="30"/>
      <c r="J122" s="30"/>
      <c r="K122" s="30"/>
      <c r="L122" s="30"/>
      <c r="M122" s="30"/>
      <c r="O122" s="158" t="s">
        <v>92</v>
      </c>
    </row>
    <row r="123" spans="1:16" ht="15" thickBot="1" x14ac:dyDescent="0.35">
      <c r="A123" s="29" t="s">
        <v>231</v>
      </c>
      <c r="B123" s="28">
        <v>10548299927</v>
      </c>
      <c r="C123" s="28">
        <v>10657184611</v>
      </c>
      <c r="D123" s="28">
        <v>10642502221</v>
      </c>
      <c r="E123" s="28">
        <v>10622738377</v>
      </c>
      <c r="F123" s="28">
        <v>10854355669</v>
      </c>
      <c r="G123" s="28">
        <v>10798449370</v>
      </c>
      <c r="H123" s="28">
        <v>10766265860</v>
      </c>
      <c r="I123" s="28">
        <v>10766521367</v>
      </c>
      <c r="J123" s="28">
        <v>10818643659</v>
      </c>
      <c r="K123" s="28">
        <v>10838902246</v>
      </c>
      <c r="L123" s="28">
        <v>10826515951</v>
      </c>
      <c r="M123" s="28">
        <v>10998800013</v>
      </c>
    </row>
    <row r="124" spans="1:16" x14ac:dyDescent="0.3">
      <c r="A124" s="257" t="s">
        <v>112</v>
      </c>
      <c r="B124" s="257"/>
      <c r="C124" s="257"/>
      <c r="D124" s="257"/>
      <c r="E124" s="257"/>
      <c r="F124" s="257"/>
      <c r="G124" s="257"/>
      <c r="H124" s="257"/>
    </row>
    <row r="127" spans="1:16" x14ac:dyDescent="0.3">
      <c r="A127" s="152" t="s">
        <v>232</v>
      </c>
      <c r="B127" s="153">
        <f>+'2023 Revolver Balances(TRE)'!B3</f>
        <v>0</v>
      </c>
      <c r="C127" s="153">
        <f>+'2023 Revolver Balances(TRE)'!B4</f>
        <v>225000000</v>
      </c>
      <c r="D127" s="153">
        <f>+'2023 Revolver Balances(TRE)'!B5</f>
        <v>186000000</v>
      </c>
      <c r="E127" s="153">
        <f>+'2023 Revolver Balances(TRE)'!B6</f>
        <v>140000000</v>
      </c>
      <c r="F127" s="153">
        <f>+'2023 Revolver Balances(TRE)'!B7</f>
        <v>0</v>
      </c>
      <c r="G127" s="153">
        <f>+'2023 Revolver Balances(TRE)'!B8</f>
        <v>325000000</v>
      </c>
      <c r="H127" s="153">
        <f>+'2023 Revolver Balances(TRE)'!B9</f>
        <v>335000000</v>
      </c>
      <c r="I127" s="153">
        <f>+'2023 Revolver Balances(TRE)'!B10</f>
        <v>474000000</v>
      </c>
      <c r="J127" s="153">
        <f>+'2023 Revolver Balances(TRE)'!B11</f>
        <v>464000000</v>
      </c>
      <c r="K127" s="153">
        <f>+'2023 Revolver Balances(TRE)'!B12</f>
        <v>490000000</v>
      </c>
      <c r="L127" s="153">
        <f>+'2023 Revolver Balances(TRE)'!B13</f>
        <v>333000000</v>
      </c>
      <c r="M127" s="153">
        <f>+'2023 Revolver Balances(TRE)'!B14</f>
        <v>194000000</v>
      </c>
      <c r="P127" s="154" t="s">
        <v>233</v>
      </c>
    </row>
  </sheetData>
  <mergeCells count="4">
    <mergeCell ref="A1:H1"/>
    <mergeCell ref="A2:H2"/>
    <mergeCell ref="A3:H3"/>
    <mergeCell ref="A124:H124"/>
  </mergeCells>
  <pageMargins left="0.7" right="0.7" top="0.75" bottom="0.75" header="0.3" footer="0.3"/>
  <pageSetup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83A08-5F5A-4F06-8611-4EDE6D819F08}">
  <sheetPr>
    <tabColor theme="0" tint="-0.249977111117893"/>
  </sheetPr>
  <dimension ref="A1:O59"/>
  <sheetViews>
    <sheetView showOutlineSymbols="0" workbookViewId="0"/>
  </sheetViews>
  <sheetFormatPr defaultColWidth="9.109375" defaultRowHeight="14.4" x14ac:dyDescent="0.3"/>
  <cols>
    <col min="1" max="1" width="35.6640625" style="13" customWidth="1"/>
    <col min="2" max="13" width="15.44140625" style="13" customWidth="1"/>
    <col min="14" max="14" width="17.109375" style="68" customWidth="1"/>
    <col min="15" max="15" width="9.109375" style="65"/>
    <col min="16" max="16384" width="9.109375" style="13"/>
  </cols>
  <sheetData>
    <row r="1" spans="1:14" x14ac:dyDescent="0.3">
      <c r="A1" s="254" t="s">
        <v>50</v>
      </c>
      <c r="B1" s="254"/>
      <c r="C1" s="254"/>
      <c r="D1" s="254"/>
      <c r="E1" s="254"/>
      <c r="F1" s="254"/>
      <c r="G1" s="254"/>
      <c r="H1" s="254"/>
    </row>
    <row r="2" spans="1:14" x14ac:dyDescent="0.3">
      <c r="A2" s="255" t="s">
        <v>51</v>
      </c>
      <c r="B2" s="255"/>
      <c r="C2" s="255"/>
      <c r="D2" s="255"/>
      <c r="E2" s="255"/>
      <c r="F2" s="255"/>
      <c r="G2" s="255"/>
      <c r="H2" s="255"/>
    </row>
    <row r="3" spans="1:14" x14ac:dyDescent="0.3">
      <c r="A3" s="255" t="s">
        <v>234</v>
      </c>
      <c r="B3" s="255"/>
      <c r="C3" s="255"/>
      <c r="D3" s="255"/>
      <c r="E3" s="255"/>
      <c r="F3" s="255"/>
      <c r="G3" s="255"/>
      <c r="H3" s="255"/>
    </row>
    <row r="4" spans="1:14" x14ac:dyDescent="0.3">
      <c r="A4" s="17"/>
      <c r="B4" s="27" t="s">
        <v>53</v>
      </c>
      <c r="C4" s="27" t="s">
        <v>54</v>
      </c>
      <c r="D4" s="27" t="s">
        <v>55</v>
      </c>
      <c r="E4" s="27" t="s">
        <v>56</v>
      </c>
      <c r="F4" s="27" t="s">
        <v>57</v>
      </c>
      <c r="G4" s="27" t="s">
        <v>58</v>
      </c>
      <c r="H4" s="27" t="s">
        <v>59</v>
      </c>
      <c r="I4" s="27" t="s">
        <v>60</v>
      </c>
      <c r="J4" s="27" t="s">
        <v>61</v>
      </c>
      <c r="K4" s="27" t="s">
        <v>62</v>
      </c>
      <c r="L4" s="27" t="s">
        <v>63</v>
      </c>
      <c r="M4" s="27" t="s">
        <v>64</v>
      </c>
      <c r="N4" s="69" t="s">
        <v>29</v>
      </c>
    </row>
    <row r="5" spans="1:14" x14ac:dyDescent="0.3">
      <c r="A5" s="15" t="s">
        <v>65</v>
      </c>
      <c r="B5" s="16"/>
      <c r="C5" s="16"/>
      <c r="D5" s="16"/>
      <c r="E5" s="16"/>
      <c r="F5" s="16"/>
      <c r="G5" s="16"/>
      <c r="H5" s="16"/>
      <c r="I5" s="16"/>
      <c r="J5" s="16"/>
      <c r="K5" s="16"/>
      <c r="L5" s="16"/>
      <c r="M5" s="16"/>
      <c r="N5" s="70"/>
    </row>
    <row r="6" spans="1:14" x14ac:dyDescent="0.3">
      <c r="A6" s="15" t="s">
        <v>66</v>
      </c>
      <c r="B6" s="18" t="s">
        <v>77</v>
      </c>
      <c r="C6" s="14">
        <v>0</v>
      </c>
      <c r="D6" s="14">
        <v>0</v>
      </c>
      <c r="E6" s="14">
        <v>0</v>
      </c>
      <c r="F6" s="14">
        <v>0</v>
      </c>
      <c r="G6" s="14">
        <v>0</v>
      </c>
      <c r="H6" s="14">
        <v>1</v>
      </c>
      <c r="I6" s="14">
        <v>-1</v>
      </c>
      <c r="J6" s="14">
        <v>-1</v>
      </c>
      <c r="K6" s="14">
        <v>2</v>
      </c>
      <c r="L6" s="14">
        <v>0</v>
      </c>
      <c r="M6" s="14">
        <v>0</v>
      </c>
      <c r="N6" s="209">
        <v>1</v>
      </c>
    </row>
    <row r="7" spans="1:14" x14ac:dyDescent="0.3">
      <c r="A7" s="22" t="s">
        <v>67</v>
      </c>
      <c r="B7" s="18" t="s">
        <v>77</v>
      </c>
      <c r="C7" s="14">
        <v>0</v>
      </c>
      <c r="D7" s="14">
        <v>0</v>
      </c>
      <c r="E7" s="14">
        <v>0</v>
      </c>
      <c r="F7" s="14">
        <v>0</v>
      </c>
      <c r="G7" s="14">
        <v>0</v>
      </c>
      <c r="H7" s="14">
        <v>1</v>
      </c>
      <c r="I7" s="14">
        <v>-1</v>
      </c>
      <c r="J7" s="14">
        <v>-1</v>
      </c>
      <c r="K7" s="14">
        <v>2</v>
      </c>
      <c r="L7" s="14">
        <v>0</v>
      </c>
      <c r="M7" s="14">
        <v>0</v>
      </c>
      <c r="N7" s="209">
        <v>1</v>
      </c>
    </row>
    <row r="8" spans="1:14" ht="19.649999999999999" customHeight="1" x14ac:dyDescent="0.3">
      <c r="A8" s="15" t="s">
        <v>68</v>
      </c>
      <c r="B8" s="26" t="s">
        <v>77</v>
      </c>
      <c r="C8" s="25">
        <v>0</v>
      </c>
      <c r="D8" s="25">
        <v>0</v>
      </c>
      <c r="E8" s="25">
        <v>0</v>
      </c>
      <c r="F8" s="25">
        <v>0</v>
      </c>
      <c r="G8" s="25">
        <v>0</v>
      </c>
      <c r="H8" s="25">
        <v>1</v>
      </c>
      <c r="I8" s="25">
        <v>-1</v>
      </c>
      <c r="J8" s="25">
        <v>-1</v>
      </c>
      <c r="K8" s="25">
        <v>2</v>
      </c>
      <c r="L8" s="25">
        <v>0</v>
      </c>
      <c r="M8" s="25">
        <v>0</v>
      </c>
      <c r="N8" s="210">
        <v>1</v>
      </c>
    </row>
    <row r="9" spans="1:14" x14ac:dyDescent="0.3">
      <c r="A9" s="24"/>
      <c r="B9" s="16"/>
      <c r="C9" s="16"/>
      <c r="D9" s="16"/>
      <c r="E9" s="16"/>
      <c r="F9" s="16"/>
      <c r="G9" s="16"/>
      <c r="H9" s="16"/>
      <c r="I9" s="16"/>
      <c r="J9" s="16"/>
      <c r="K9" s="16"/>
      <c r="L9" s="16"/>
      <c r="M9" s="16"/>
      <c r="N9" s="70"/>
    </row>
    <row r="10" spans="1:14" x14ac:dyDescent="0.3">
      <c r="A10" s="15" t="s">
        <v>69</v>
      </c>
      <c r="B10" s="16"/>
      <c r="C10" s="16"/>
      <c r="D10" s="16"/>
      <c r="E10" s="16"/>
      <c r="F10" s="16"/>
      <c r="G10" s="16"/>
      <c r="H10" s="16"/>
      <c r="I10" s="16"/>
      <c r="J10" s="16"/>
      <c r="K10" s="16"/>
      <c r="L10" s="16"/>
      <c r="M10" s="16"/>
      <c r="N10" s="70"/>
    </row>
    <row r="11" spans="1:14" x14ac:dyDescent="0.3">
      <c r="A11" s="15" t="s">
        <v>70</v>
      </c>
      <c r="B11" s="14">
        <v>1855466</v>
      </c>
      <c r="C11" s="14">
        <v>845917</v>
      </c>
      <c r="D11" s="14">
        <v>9821540</v>
      </c>
      <c r="E11" s="14">
        <v>1149508</v>
      </c>
      <c r="F11" s="14">
        <v>2635147</v>
      </c>
      <c r="G11" s="14">
        <v>14494913</v>
      </c>
      <c r="H11" s="14">
        <v>2561610</v>
      </c>
      <c r="I11" s="14">
        <v>1925901</v>
      </c>
      <c r="J11" s="14">
        <v>17230218</v>
      </c>
      <c r="K11" s="14">
        <v>2727316</v>
      </c>
      <c r="L11" s="14">
        <v>2339934</v>
      </c>
      <c r="M11" s="14">
        <v>10038540</v>
      </c>
      <c r="N11" s="209">
        <v>67626009</v>
      </c>
    </row>
    <row r="12" spans="1:14" x14ac:dyDescent="0.3">
      <c r="A12" s="15" t="s">
        <v>71</v>
      </c>
      <c r="B12" s="14">
        <v>253171</v>
      </c>
      <c r="C12" s="14">
        <v>253171</v>
      </c>
      <c r="D12" s="14">
        <v>253171</v>
      </c>
      <c r="E12" s="14">
        <v>253171</v>
      </c>
      <c r="F12" s="14">
        <v>253171</v>
      </c>
      <c r="G12" s="14">
        <v>253171</v>
      </c>
      <c r="H12" s="14">
        <v>251123</v>
      </c>
      <c r="I12" s="14">
        <v>251123</v>
      </c>
      <c r="J12" s="14">
        <v>251123</v>
      </c>
      <c r="K12" s="14">
        <v>252754</v>
      </c>
      <c r="L12" s="14">
        <v>242583</v>
      </c>
      <c r="M12" s="14">
        <v>238192</v>
      </c>
      <c r="N12" s="209">
        <v>3005924</v>
      </c>
    </row>
    <row r="13" spans="1:14" x14ac:dyDescent="0.3">
      <c r="A13" s="22" t="s">
        <v>72</v>
      </c>
      <c r="B13" s="14">
        <v>253171</v>
      </c>
      <c r="C13" s="14">
        <v>253171</v>
      </c>
      <c r="D13" s="14">
        <v>253171</v>
      </c>
      <c r="E13" s="14">
        <v>253171</v>
      </c>
      <c r="F13" s="14">
        <v>253171</v>
      </c>
      <c r="G13" s="14">
        <v>253171</v>
      </c>
      <c r="H13" s="14">
        <v>251123</v>
      </c>
      <c r="I13" s="14">
        <v>251123</v>
      </c>
      <c r="J13" s="14">
        <v>251123</v>
      </c>
      <c r="K13" s="14">
        <v>252754</v>
      </c>
      <c r="L13" s="14">
        <v>242583</v>
      </c>
      <c r="M13" s="14">
        <v>238192</v>
      </c>
      <c r="N13" s="209">
        <v>3005924</v>
      </c>
    </row>
    <row r="14" spans="1:14" x14ac:dyDescent="0.3">
      <c r="A14" s="21" t="s">
        <v>73</v>
      </c>
      <c r="B14" s="19">
        <v>2108637</v>
      </c>
      <c r="C14" s="19">
        <v>1099088</v>
      </c>
      <c r="D14" s="19">
        <v>10074711</v>
      </c>
      <c r="E14" s="19">
        <v>1402679</v>
      </c>
      <c r="F14" s="19">
        <v>2888317</v>
      </c>
      <c r="G14" s="19">
        <v>14748084</v>
      </c>
      <c r="H14" s="19">
        <v>2812734</v>
      </c>
      <c r="I14" s="19">
        <v>2177024</v>
      </c>
      <c r="J14" s="19">
        <v>17481341</v>
      </c>
      <c r="K14" s="19">
        <v>2980069</v>
      </c>
      <c r="L14" s="19">
        <v>2582518</v>
      </c>
      <c r="M14" s="19">
        <v>10276733</v>
      </c>
      <c r="N14" s="211">
        <v>70631933</v>
      </c>
    </row>
    <row r="15" spans="1:14" x14ac:dyDescent="0.3">
      <c r="A15" s="24"/>
      <c r="B15" s="16"/>
      <c r="C15" s="16"/>
      <c r="D15" s="16"/>
      <c r="E15" s="16"/>
      <c r="F15" s="16"/>
      <c r="G15" s="16"/>
      <c r="H15" s="16"/>
      <c r="I15" s="16"/>
      <c r="J15" s="16"/>
      <c r="K15" s="16"/>
      <c r="L15" s="16"/>
      <c r="M15" s="16"/>
      <c r="N15" s="70"/>
    </row>
    <row r="16" spans="1:14" x14ac:dyDescent="0.3">
      <c r="A16" s="21" t="s">
        <v>74</v>
      </c>
      <c r="B16" s="14">
        <v>-2108637</v>
      </c>
      <c r="C16" s="14">
        <v>-1099088</v>
      </c>
      <c r="D16" s="14">
        <v>-10074710</v>
      </c>
      <c r="E16" s="14">
        <v>-1402679</v>
      </c>
      <c r="F16" s="14">
        <v>-2888317</v>
      </c>
      <c r="G16" s="14">
        <v>-14748084</v>
      </c>
      <c r="H16" s="14">
        <v>-2812733</v>
      </c>
      <c r="I16" s="14">
        <v>-2177025</v>
      </c>
      <c r="J16" s="14">
        <v>-17481343</v>
      </c>
      <c r="K16" s="14">
        <v>-2980067</v>
      </c>
      <c r="L16" s="14">
        <v>-2582518</v>
      </c>
      <c r="M16" s="14">
        <v>-10276732</v>
      </c>
      <c r="N16" s="209">
        <v>-70631932</v>
      </c>
    </row>
    <row r="17" spans="1:14" x14ac:dyDescent="0.3">
      <c r="A17" s="24"/>
      <c r="B17" s="16"/>
      <c r="C17" s="16"/>
      <c r="D17" s="16"/>
      <c r="E17" s="16"/>
      <c r="F17" s="16"/>
      <c r="G17" s="16"/>
      <c r="H17" s="16"/>
      <c r="I17" s="16"/>
      <c r="J17" s="16"/>
      <c r="K17" s="16"/>
      <c r="L17" s="16"/>
      <c r="M17" s="16"/>
      <c r="N17" s="70"/>
    </row>
    <row r="18" spans="1:14" x14ac:dyDescent="0.3">
      <c r="A18" s="15" t="s">
        <v>75</v>
      </c>
      <c r="B18" s="16"/>
      <c r="C18" s="16"/>
      <c r="D18" s="16"/>
      <c r="E18" s="16"/>
      <c r="F18" s="16"/>
      <c r="G18" s="16"/>
      <c r="H18" s="16"/>
      <c r="I18" s="16"/>
      <c r="J18" s="16"/>
      <c r="K18" s="16"/>
      <c r="L18" s="16"/>
      <c r="M18" s="16"/>
      <c r="N18" s="70"/>
    </row>
    <row r="19" spans="1:14" x14ac:dyDescent="0.3">
      <c r="A19" s="22" t="s">
        <v>76</v>
      </c>
      <c r="B19" s="14">
        <v>-21838</v>
      </c>
      <c r="C19" s="18" t="s">
        <v>77</v>
      </c>
      <c r="D19" s="14">
        <v>163386</v>
      </c>
      <c r="E19" s="14">
        <v>-3828</v>
      </c>
      <c r="F19" s="18" t="s">
        <v>77</v>
      </c>
      <c r="G19" s="14">
        <v>186259</v>
      </c>
      <c r="H19" s="18" t="s">
        <v>77</v>
      </c>
      <c r="I19" s="14">
        <v>46696</v>
      </c>
      <c r="J19" s="14">
        <v>163386</v>
      </c>
      <c r="K19" s="18" t="s">
        <v>77</v>
      </c>
      <c r="L19" s="18" t="s">
        <v>77</v>
      </c>
      <c r="M19" s="14">
        <v>202536</v>
      </c>
      <c r="N19" s="209">
        <v>736597</v>
      </c>
    </row>
    <row r="20" spans="1:14" x14ac:dyDescent="0.3">
      <c r="A20" s="21" t="s">
        <v>78</v>
      </c>
      <c r="B20" s="14">
        <v>-21838</v>
      </c>
      <c r="C20" s="18" t="s">
        <v>77</v>
      </c>
      <c r="D20" s="14">
        <v>163386</v>
      </c>
      <c r="E20" s="14">
        <v>-3828</v>
      </c>
      <c r="F20" s="18" t="s">
        <v>77</v>
      </c>
      <c r="G20" s="14">
        <v>186259</v>
      </c>
      <c r="H20" s="18" t="s">
        <v>77</v>
      </c>
      <c r="I20" s="14">
        <v>46696</v>
      </c>
      <c r="J20" s="14">
        <v>163386</v>
      </c>
      <c r="K20" s="18" t="s">
        <v>77</v>
      </c>
      <c r="L20" s="18" t="s">
        <v>77</v>
      </c>
      <c r="M20" s="14">
        <v>202536</v>
      </c>
      <c r="N20" s="209">
        <v>736597</v>
      </c>
    </row>
    <row r="21" spans="1:14" x14ac:dyDescent="0.3">
      <c r="A21" s="22" t="s">
        <v>79</v>
      </c>
      <c r="B21" s="14">
        <v>8643989</v>
      </c>
      <c r="C21" s="14">
        <v>8776547</v>
      </c>
      <c r="D21" s="14">
        <v>39805041</v>
      </c>
      <c r="E21" s="14">
        <v>5302862</v>
      </c>
      <c r="F21" s="14">
        <v>9949827</v>
      </c>
      <c r="G21" s="14">
        <v>-7617980</v>
      </c>
      <c r="H21" s="14">
        <v>23788057</v>
      </c>
      <c r="I21" s="14">
        <v>8858042</v>
      </c>
      <c r="J21" s="14">
        <v>133154879</v>
      </c>
      <c r="K21" s="14">
        <v>33988848</v>
      </c>
      <c r="L21" s="14">
        <v>13111243</v>
      </c>
      <c r="M21" s="14">
        <v>32209285</v>
      </c>
      <c r="N21" s="209">
        <v>309970641</v>
      </c>
    </row>
    <row r="22" spans="1:14" x14ac:dyDescent="0.3">
      <c r="A22" s="21" t="s">
        <v>80</v>
      </c>
      <c r="B22" s="14">
        <v>153570</v>
      </c>
      <c r="C22" s="14">
        <v>-120606</v>
      </c>
      <c r="D22" s="14">
        <v>-2519850</v>
      </c>
      <c r="E22" s="14">
        <v>3324989</v>
      </c>
      <c r="F22" s="14">
        <v>-853324</v>
      </c>
      <c r="G22" s="14">
        <v>1967300</v>
      </c>
      <c r="H22" s="14">
        <v>-224412</v>
      </c>
      <c r="I22" s="14">
        <v>33016</v>
      </c>
      <c r="J22" s="14">
        <v>34412164</v>
      </c>
      <c r="K22" s="14">
        <v>1826779</v>
      </c>
      <c r="L22" s="14">
        <v>1006764</v>
      </c>
      <c r="M22" s="14">
        <v>-10375465</v>
      </c>
      <c r="N22" s="209">
        <v>28630925</v>
      </c>
    </row>
    <row r="23" spans="1:14" x14ac:dyDescent="0.3">
      <c r="A23" s="23" t="s">
        <v>81</v>
      </c>
      <c r="B23" s="14">
        <v>153570</v>
      </c>
      <c r="C23" s="14">
        <v>-120606</v>
      </c>
      <c r="D23" s="14">
        <v>-1658462</v>
      </c>
      <c r="E23" s="14">
        <v>3324989</v>
      </c>
      <c r="F23" s="14">
        <v>-853324</v>
      </c>
      <c r="G23" s="14">
        <v>2213630</v>
      </c>
      <c r="H23" s="14">
        <v>-224412</v>
      </c>
      <c r="I23" s="14">
        <v>33016</v>
      </c>
      <c r="J23" s="14">
        <v>3273420</v>
      </c>
      <c r="K23" s="14">
        <v>1826779</v>
      </c>
      <c r="L23" s="14">
        <v>1006764</v>
      </c>
      <c r="M23" s="14">
        <v>2111953</v>
      </c>
      <c r="N23" s="209">
        <v>11087318</v>
      </c>
    </row>
    <row r="24" spans="1:14" x14ac:dyDescent="0.3">
      <c r="A24" s="23" t="s">
        <v>82</v>
      </c>
      <c r="B24" s="20">
        <v>0</v>
      </c>
      <c r="C24" s="20">
        <v>0</v>
      </c>
      <c r="D24" s="14">
        <v>-861388</v>
      </c>
      <c r="E24" s="18" t="s">
        <v>77</v>
      </c>
      <c r="F24" s="18" t="s">
        <v>77</v>
      </c>
      <c r="G24" s="14">
        <v>-246330</v>
      </c>
      <c r="H24" s="18" t="s">
        <v>77</v>
      </c>
      <c r="I24" s="18" t="s">
        <v>77</v>
      </c>
      <c r="J24" s="14">
        <v>31138743</v>
      </c>
      <c r="K24" s="18" t="s">
        <v>77</v>
      </c>
      <c r="L24" s="18" t="s">
        <v>77</v>
      </c>
      <c r="M24" s="14">
        <v>-12487418</v>
      </c>
      <c r="N24" s="209">
        <v>17543607</v>
      </c>
    </row>
    <row r="25" spans="1:14" x14ac:dyDescent="0.3">
      <c r="A25" s="15" t="s">
        <v>83</v>
      </c>
      <c r="B25" s="14">
        <v>8797559</v>
      </c>
      <c r="C25" s="14">
        <v>8655941</v>
      </c>
      <c r="D25" s="14">
        <v>37285191</v>
      </c>
      <c r="E25" s="14">
        <v>8627851</v>
      </c>
      <c r="F25" s="14">
        <v>9096502</v>
      </c>
      <c r="G25" s="14">
        <v>-5650680</v>
      </c>
      <c r="H25" s="14">
        <v>23563645</v>
      </c>
      <c r="I25" s="14">
        <v>8891059</v>
      </c>
      <c r="J25" s="14">
        <v>167567042</v>
      </c>
      <c r="K25" s="14">
        <v>35815626</v>
      </c>
      <c r="L25" s="14">
        <v>14118007</v>
      </c>
      <c r="M25" s="14">
        <v>21833820</v>
      </c>
      <c r="N25" s="209">
        <v>338601566</v>
      </c>
    </row>
    <row r="26" spans="1:14" x14ac:dyDescent="0.3">
      <c r="A26" s="23" t="s">
        <v>84</v>
      </c>
      <c r="B26" s="20">
        <v>0</v>
      </c>
      <c r="C26" s="20">
        <v>0</v>
      </c>
      <c r="D26" s="20">
        <v>0</v>
      </c>
      <c r="E26" s="20">
        <v>0</v>
      </c>
      <c r="F26" s="20">
        <v>0</v>
      </c>
      <c r="G26" s="20">
        <v>0</v>
      </c>
      <c r="H26" s="20">
        <v>0</v>
      </c>
      <c r="I26" s="20">
        <v>0</v>
      </c>
      <c r="J26" s="20">
        <v>0</v>
      </c>
      <c r="K26" s="20">
        <v>0</v>
      </c>
      <c r="L26" s="20">
        <v>0</v>
      </c>
      <c r="M26" s="14">
        <v>1326</v>
      </c>
      <c r="N26" s="209">
        <v>1326</v>
      </c>
    </row>
    <row r="27" spans="1:14" x14ac:dyDescent="0.3">
      <c r="A27" s="23" t="s">
        <v>85</v>
      </c>
      <c r="B27" s="14">
        <v>8792966</v>
      </c>
      <c r="C27" s="14">
        <v>8340971</v>
      </c>
      <c r="D27" s="14">
        <v>8768103</v>
      </c>
      <c r="E27" s="14">
        <v>8603438</v>
      </c>
      <c r="F27" s="14">
        <v>8772739</v>
      </c>
      <c r="G27" s="14">
        <v>-15192112</v>
      </c>
      <c r="H27" s="14">
        <v>8549150</v>
      </c>
      <c r="I27" s="14">
        <v>8566887</v>
      </c>
      <c r="J27" s="14">
        <v>8550348</v>
      </c>
      <c r="K27" s="14">
        <v>8796710</v>
      </c>
      <c r="L27" s="14">
        <v>8603510</v>
      </c>
      <c r="M27" s="14">
        <v>8814208</v>
      </c>
      <c r="N27" s="209">
        <v>79966918</v>
      </c>
    </row>
    <row r="28" spans="1:14" ht="19.350000000000001" customHeight="1" x14ac:dyDescent="0.3">
      <c r="A28" s="23" t="s">
        <v>86</v>
      </c>
      <c r="B28" s="20">
        <v>0</v>
      </c>
      <c r="C28" s="14">
        <v>309793</v>
      </c>
      <c r="D28" s="14">
        <v>28500000</v>
      </c>
      <c r="E28" s="18" t="s">
        <v>77</v>
      </c>
      <c r="F28" s="14">
        <v>309793</v>
      </c>
      <c r="G28" s="14">
        <v>9500000</v>
      </c>
      <c r="H28" s="14">
        <v>15000000</v>
      </c>
      <c r="I28" s="14">
        <v>309793</v>
      </c>
      <c r="J28" s="14">
        <v>159000000</v>
      </c>
      <c r="K28" s="14">
        <v>27000000</v>
      </c>
      <c r="L28" s="14">
        <v>5497045</v>
      </c>
      <c r="M28" s="14">
        <v>13000000</v>
      </c>
      <c r="N28" s="209">
        <v>258426425</v>
      </c>
    </row>
    <row r="29" spans="1:14" x14ac:dyDescent="0.3">
      <c r="A29" s="23" t="s">
        <v>87</v>
      </c>
      <c r="B29" s="14">
        <v>73593</v>
      </c>
      <c r="C29" s="14">
        <v>74177</v>
      </c>
      <c r="D29" s="14">
        <v>73838</v>
      </c>
      <c r="E29" s="14">
        <v>73663</v>
      </c>
      <c r="F29" s="14">
        <v>74970</v>
      </c>
      <c r="G29" s="14">
        <v>102432</v>
      </c>
      <c r="H29" s="14">
        <v>75495</v>
      </c>
      <c r="I29" s="14">
        <v>75378</v>
      </c>
      <c r="J29" s="14">
        <v>77694</v>
      </c>
      <c r="K29" s="14">
        <v>79917</v>
      </c>
      <c r="L29" s="14">
        <v>78453</v>
      </c>
      <c r="M29" s="14">
        <v>79287</v>
      </c>
      <c r="N29" s="209">
        <v>938897</v>
      </c>
    </row>
    <row r="30" spans="1:14" x14ac:dyDescent="0.3">
      <c r="A30" s="23" t="s">
        <v>88</v>
      </c>
      <c r="B30" s="14">
        <v>69000</v>
      </c>
      <c r="C30" s="14">
        <v>69000</v>
      </c>
      <c r="D30" s="14">
        <v>56750</v>
      </c>
      <c r="E30" s="14">
        <v>49250</v>
      </c>
      <c r="F30" s="14">
        <v>61000</v>
      </c>
      <c r="G30" s="14">
        <v>61000</v>
      </c>
      <c r="H30" s="14">
        <v>61000</v>
      </c>
      <c r="I30" s="14">
        <v>61000</v>
      </c>
      <c r="J30" s="14">
        <v>61000</v>
      </c>
      <c r="K30" s="14">
        <v>61000</v>
      </c>
      <c r="L30" s="14">
        <v>61000</v>
      </c>
      <c r="M30" s="14">
        <v>61000</v>
      </c>
      <c r="N30" s="209">
        <v>732000</v>
      </c>
    </row>
    <row r="31" spans="1:14" x14ac:dyDescent="0.3">
      <c r="A31" s="15" t="s">
        <v>89</v>
      </c>
      <c r="B31" s="19">
        <v>8622151</v>
      </c>
      <c r="C31" s="19">
        <v>8776547</v>
      </c>
      <c r="D31" s="19">
        <v>39968427</v>
      </c>
      <c r="E31" s="19">
        <v>5299034</v>
      </c>
      <c r="F31" s="19">
        <v>9949827</v>
      </c>
      <c r="G31" s="19">
        <v>-7431721</v>
      </c>
      <c r="H31" s="19">
        <v>23788057</v>
      </c>
      <c r="I31" s="19">
        <v>8904739</v>
      </c>
      <c r="J31" s="19">
        <v>133318265</v>
      </c>
      <c r="K31" s="19">
        <v>33988848</v>
      </c>
      <c r="L31" s="19">
        <v>13111243</v>
      </c>
      <c r="M31" s="19">
        <v>32411821</v>
      </c>
      <c r="N31" s="211">
        <v>310707238</v>
      </c>
    </row>
    <row r="32" spans="1:14" x14ac:dyDescent="0.3">
      <c r="A32" s="17"/>
      <c r="B32" s="16"/>
      <c r="C32" s="16"/>
      <c r="D32" s="16"/>
      <c r="E32" s="16"/>
      <c r="F32" s="16"/>
      <c r="G32" s="16"/>
      <c r="H32" s="16"/>
      <c r="I32" s="16"/>
      <c r="J32" s="16"/>
      <c r="K32" s="16"/>
      <c r="L32" s="16"/>
      <c r="M32" s="16"/>
      <c r="N32" s="70"/>
    </row>
    <row r="33" spans="1:15" x14ac:dyDescent="0.3">
      <c r="A33" s="22" t="s">
        <v>90</v>
      </c>
      <c r="B33" s="16"/>
      <c r="C33" s="16"/>
      <c r="D33" s="16"/>
      <c r="E33" s="16"/>
      <c r="F33" s="16"/>
      <c r="G33" s="16"/>
      <c r="H33" s="16"/>
      <c r="I33" s="16"/>
      <c r="J33" s="16"/>
      <c r="K33" s="16"/>
      <c r="L33" s="16"/>
      <c r="M33" s="16"/>
      <c r="N33" s="70"/>
    </row>
    <row r="34" spans="1:15" x14ac:dyDescent="0.3">
      <c r="A34" s="66" t="s">
        <v>91</v>
      </c>
      <c r="B34" s="67">
        <v>10175127</v>
      </c>
      <c r="C34" s="67">
        <v>10090845</v>
      </c>
      <c r="D34" s="67">
        <v>10050795</v>
      </c>
      <c r="E34" s="67">
        <v>10030079</v>
      </c>
      <c r="F34" s="67">
        <v>10184754</v>
      </c>
      <c r="G34" s="67">
        <v>10162481</v>
      </c>
      <c r="H34" s="67">
        <v>10254973</v>
      </c>
      <c r="I34" s="67">
        <v>10316539</v>
      </c>
      <c r="J34" s="67">
        <v>10548257</v>
      </c>
      <c r="K34" s="67">
        <v>10779100</v>
      </c>
      <c r="L34" s="67">
        <v>10605646</v>
      </c>
      <c r="M34" s="67">
        <v>10716278</v>
      </c>
      <c r="N34" s="212">
        <v>123914875</v>
      </c>
      <c r="O34" s="65" t="s">
        <v>92</v>
      </c>
    </row>
    <row r="35" spans="1:15" x14ac:dyDescent="0.3">
      <c r="A35" s="21" t="s">
        <v>93</v>
      </c>
      <c r="B35" s="14">
        <v>1208333</v>
      </c>
      <c r="C35" s="14">
        <v>1208333</v>
      </c>
      <c r="D35" s="14">
        <v>1208333</v>
      </c>
      <c r="E35" s="14">
        <v>1208333</v>
      </c>
      <c r="F35" s="14">
        <v>1208333</v>
      </c>
      <c r="G35" s="14">
        <v>1208333</v>
      </c>
      <c r="H35" s="14">
        <v>1208333</v>
      </c>
      <c r="I35" s="14">
        <v>1208333</v>
      </c>
      <c r="J35" s="14">
        <v>1208333</v>
      </c>
      <c r="K35" s="14">
        <v>1208333</v>
      </c>
      <c r="L35" s="14">
        <v>1208333</v>
      </c>
      <c r="M35" s="14">
        <v>1208333</v>
      </c>
      <c r="N35" s="209">
        <v>14500000</v>
      </c>
    </row>
    <row r="36" spans="1:15" x14ac:dyDescent="0.3">
      <c r="A36" s="21" t="s">
        <v>94</v>
      </c>
      <c r="B36" s="14">
        <v>255279</v>
      </c>
      <c r="C36" s="14">
        <v>101945</v>
      </c>
      <c r="D36" s="14">
        <v>101945</v>
      </c>
      <c r="E36" s="14">
        <v>101945</v>
      </c>
      <c r="F36" s="14">
        <v>101945</v>
      </c>
      <c r="G36" s="14">
        <v>102452</v>
      </c>
      <c r="H36" s="14">
        <v>103030</v>
      </c>
      <c r="I36" s="14">
        <v>178417</v>
      </c>
      <c r="J36" s="14">
        <v>135787</v>
      </c>
      <c r="K36" s="14">
        <v>103339</v>
      </c>
      <c r="L36" s="14">
        <v>103339</v>
      </c>
      <c r="M36" s="14">
        <v>111353</v>
      </c>
      <c r="N36" s="209">
        <v>1500776</v>
      </c>
    </row>
    <row r="37" spans="1:15" ht="24" customHeight="1" x14ac:dyDescent="0.3">
      <c r="A37" s="21" t="s">
        <v>95</v>
      </c>
      <c r="B37" s="14">
        <v>195715</v>
      </c>
      <c r="C37" s="14">
        <v>197266</v>
      </c>
      <c r="D37" s="14">
        <v>196366</v>
      </c>
      <c r="E37" s="14">
        <v>195901</v>
      </c>
      <c r="F37" s="14">
        <v>199376</v>
      </c>
      <c r="G37" s="14">
        <v>202246</v>
      </c>
      <c r="H37" s="14">
        <v>207760</v>
      </c>
      <c r="I37" s="14">
        <v>207439</v>
      </c>
      <c r="J37" s="14">
        <v>213812</v>
      </c>
      <c r="K37" s="14">
        <v>219928</v>
      </c>
      <c r="L37" s="14">
        <v>215899</v>
      </c>
      <c r="M37" s="14">
        <v>221992</v>
      </c>
      <c r="N37" s="209">
        <v>2473698</v>
      </c>
    </row>
    <row r="38" spans="1:15" x14ac:dyDescent="0.3">
      <c r="A38" s="21" t="s">
        <v>96</v>
      </c>
      <c r="B38" s="14">
        <v>8515800</v>
      </c>
      <c r="C38" s="14">
        <v>8583300</v>
      </c>
      <c r="D38" s="14">
        <v>8544150</v>
      </c>
      <c r="E38" s="14">
        <v>8523900</v>
      </c>
      <c r="F38" s="14">
        <v>8675100</v>
      </c>
      <c r="G38" s="14">
        <v>8649450</v>
      </c>
      <c r="H38" s="14">
        <v>8735850</v>
      </c>
      <c r="I38" s="14">
        <v>8722350</v>
      </c>
      <c r="J38" s="14">
        <v>8990325</v>
      </c>
      <c r="K38" s="14">
        <v>9247500</v>
      </c>
      <c r="L38" s="14">
        <v>9078075</v>
      </c>
      <c r="M38" s="14">
        <v>9174600</v>
      </c>
      <c r="N38" s="209">
        <v>105440400</v>
      </c>
    </row>
    <row r="39" spans="1:15" x14ac:dyDescent="0.3">
      <c r="A39" s="66" t="s">
        <v>97</v>
      </c>
      <c r="B39" s="67">
        <v>342712</v>
      </c>
      <c r="C39" s="67">
        <v>328712</v>
      </c>
      <c r="D39" s="67">
        <v>420915</v>
      </c>
      <c r="E39" s="67">
        <v>528929</v>
      </c>
      <c r="F39" s="67">
        <v>640506</v>
      </c>
      <c r="G39" s="67">
        <v>734870</v>
      </c>
      <c r="H39" s="67">
        <v>1027126</v>
      </c>
      <c r="I39" s="67">
        <v>2663234</v>
      </c>
      <c r="J39" s="67">
        <v>2968886</v>
      </c>
      <c r="K39" s="67">
        <v>3032174</v>
      </c>
      <c r="L39" s="67">
        <v>3152319</v>
      </c>
      <c r="M39" s="67">
        <v>3516668</v>
      </c>
      <c r="N39" s="212">
        <v>19357051</v>
      </c>
      <c r="O39" s="65" t="s">
        <v>92</v>
      </c>
    </row>
    <row r="40" spans="1:15" x14ac:dyDescent="0.3">
      <c r="A40" s="22" t="s">
        <v>99</v>
      </c>
      <c r="B40" s="14">
        <v>101743</v>
      </c>
      <c r="C40" s="14">
        <v>139988</v>
      </c>
      <c r="D40" s="14">
        <v>93382</v>
      </c>
      <c r="E40" s="14">
        <v>242893</v>
      </c>
      <c r="F40" s="14">
        <v>120122</v>
      </c>
      <c r="G40" s="14">
        <v>436986</v>
      </c>
      <c r="H40" s="14">
        <v>14899</v>
      </c>
      <c r="I40" s="14">
        <v>286607</v>
      </c>
      <c r="J40" s="14">
        <v>385566</v>
      </c>
      <c r="K40" s="14">
        <v>-13832</v>
      </c>
      <c r="L40" s="14">
        <v>150028</v>
      </c>
      <c r="M40" s="14">
        <v>126738</v>
      </c>
      <c r="N40" s="209">
        <v>2085120</v>
      </c>
    </row>
    <row r="41" spans="1:15" x14ac:dyDescent="0.3">
      <c r="A41" s="15" t="s">
        <v>100</v>
      </c>
      <c r="B41" s="14">
        <v>101743</v>
      </c>
      <c r="C41" s="14">
        <v>139988</v>
      </c>
      <c r="D41" s="14">
        <v>93382</v>
      </c>
      <c r="E41" s="14">
        <v>242893</v>
      </c>
      <c r="F41" s="14">
        <v>120122</v>
      </c>
      <c r="G41" s="14">
        <v>436986</v>
      </c>
      <c r="H41" s="14">
        <v>14899</v>
      </c>
      <c r="I41" s="14">
        <v>286607</v>
      </c>
      <c r="J41" s="14">
        <v>385566</v>
      </c>
      <c r="K41" s="14">
        <v>-13832</v>
      </c>
      <c r="L41" s="14">
        <v>150028</v>
      </c>
      <c r="M41" s="14">
        <v>126738</v>
      </c>
      <c r="N41" s="209">
        <v>2085120</v>
      </c>
    </row>
    <row r="42" spans="1:15" x14ac:dyDescent="0.3">
      <c r="A42" s="22" t="s">
        <v>235</v>
      </c>
      <c r="B42" s="14">
        <v>-55823</v>
      </c>
      <c r="C42" s="14">
        <v>-100269</v>
      </c>
      <c r="D42" s="14">
        <v>-40342</v>
      </c>
      <c r="E42" s="14">
        <v>-99322</v>
      </c>
      <c r="F42" s="14">
        <v>-146986</v>
      </c>
      <c r="G42" s="14">
        <v>-146952</v>
      </c>
      <c r="H42" s="14">
        <v>-108891</v>
      </c>
      <c r="I42" s="18" t="s">
        <v>77</v>
      </c>
      <c r="J42" s="14">
        <v>-141086</v>
      </c>
      <c r="K42" s="14">
        <v>-383086</v>
      </c>
      <c r="L42" s="14">
        <v>-173730</v>
      </c>
      <c r="M42" s="18" t="s">
        <v>77</v>
      </c>
      <c r="N42" s="209">
        <v>-1396488</v>
      </c>
    </row>
    <row r="43" spans="1:15" x14ac:dyDescent="0.3">
      <c r="A43" s="15" t="s">
        <v>102</v>
      </c>
      <c r="B43" s="19">
        <v>10563758</v>
      </c>
      <c r="C43" s="19">
        <v>10459276</v>
      </c>
      <c r="D43" s="19">
        <v>10524749</v>
      </c>
      <c r="E43" s="19">
        <v>10702580</v>
      </c>
      <c r="F43" s="19">
        <v>10798395</v>
      </c>
      <c r="G43" s="19">
        <v>11187384</v>
      </c>
      <c r="H43" s="19">
        <v>11188107</v>
      </c>
      <c r="I43" s="19">
        <v>13266381</v>
      </c>
      <c r="J43" s="19">
        <v>13761624</v>
      </c>
      <c r="K43" s="19">
        <v>13414357</v>
      </c>
      <c r="L43" s="19">
        <v>13734263</v>
      </c>
      <c r="M43" s="19">
        <v>14359684</v>
      </c>
      <c r="N43" s="211">
        <v>143960557</v>
      </c>
    </row>
    <row r="44" spans="1:15" x14ac:dyDescent="0.3">
      <c r="A44" s="17"/>
      <c r="B44" s="16"/>
      <c r="C44" s="16"/>
      <c r="D44" s="16"/>
      <c r="E44" s="16"/>
      <c r="F44" s="16"/>
      <c r="G44" s="16"/>
      <c r="H44" s="16"/>
      <c r="I44" s="16"/>
      <c r="J44" s="16"/>
      <c r="K44" s="16"/>
      <c r="L44" s="16"/>
      <c r="M44" s="16"/>
      <c r="N44" s="70"/>
    </row>
    <row r="45" spans="1:15" x14ac:dyDescent="0.3">
      <c r="A45" s="15" t="s">
        <v>103</v>
      </c>
      <c r="B45" s="14">
        <v>-4050243</v>
      </c>
      <c r="C45" s="14">
        <v>-2781816</v>
      </c>
      <c r="D45" s="14">
        <v>19368967</v>
      </c>
      <c r="E45" s="14">
        <v>-6806225</v>
      </c>
      <c r="F45" s="14">
        <v>-3736886</v>
      </c>
      <c r="G45" s="14">
        <v>-33367190</v>
      </c>
      <c r="H45" s="14">
        <v>9787217</v>
      </c>
      <c r="I45" s="14">
        <v>-6538667</v>
      </c>
      <c r="J45" s="14">
        <v>102075299</v>
      </c>
      <c r="K45" s="14">
        <v>17594424</v>
      </c>
      <c r="L45" s="14">
        <v>-3205537</v>
      </c>
      <c r="M45" s="14">
        <v>7775405</v>
      </c>
      <c r="N45" s="209">
        <v>96114748</v>
      </c>
    </row>
    <row r="46" spans="1:15" x14ac:dyDescent="0.3">
      <c r="A46" s="17"/>
      <c r="B46" s="16"/>
      <c r="C46" s="16"/>
      <c r="D46" s="16"/>
      <c r="E46" s="16"/>
      <c r="F46" s="16"/>
      <c r="G46" s="16"/>
      <c r="H46" s="16"/>
      <c r="I46" s="16"/>
      <c r="J46" s="16"/>
      <c r="K46" s="16"/>
      <c r="L46" s="16"/>
      <c r="M46" s="16"/>
      <c r="N46" s="70"/>
    </row>
    <row r="47" spans="1:15" x14ac:dyDescent="0.3">
      <c r="A47" s="22" t="s">
        <v>104</v>
      </c>
      <c r="B47" s="16"/>
      <c r="C47" s="16"/>
      <c r="D47" s="16"/>
      <c r="E47" s="16"/>
      <c r="F47" s="16"/>
      <c r="G47" s="16"/>
      <c r="H47" s="16"/>
      <c r="I47" s="16"/>
      <c r="J47" s="16"/>
      <c r="K47" s="16"/>
      <c r="L47" s="16"/>
      <c r="M47" s="16"/>
      <c r="N47" s="70"/>
    </row>
    <row r="48" spans="1:15" x14ac:dyDescent="0.3">
      <c r="A48" s="21" t="s">
        <v>105</v>
      </c>
      <c r="B48" s="14">
        <v>-93907</v>
      </c>
      <c r="C48" s="18" t="s">
        <v>77</v>
      </c>
      <c r="D48" s="14">
        <v>6391149</v>
      </c>
      <c r="E48" s="14">
        <v>-93919</v>
      </c>
      <c r="F48" s="18" t="s">
        <v>77</v>
      </c>
      <c r="G48" s="14">
        <v>6409733</v>
      </c>
      <c r="H48" s="14">
        <v>-94281</v>
      </c>
      <c r="I48" s="18" t="s">
        <v>77</v>
      </c>
      <c r="J48" s="14">
        <v>6379696</v>
      </c>
      <c r="K48" s="14">
        <v>-94784</v>
      </c>
      <c r="L48" s="18" t="s">
        <v>77</v>
      </c>
      <c r="M48" s="14">
        <v>6413741</v>
      </c>
      <c r="N48" s="209">
        <v>25217427</v>
      </c>
    </row>
    <row r="49" spans="1:14" x14ac:dyDescent="0.3">
      <c r="A49" s="21" t="s">
        <v>106</v>
      </c>
      <c r="B49" s="14">
        <v>-1327647</v>
      </c>
      <c r="C49" s="14">
        <v>-1042065</v>
      </c>
      <c r="D49" s="14">
        <v>-9834820</v>
      </c>
      <c r="E49" s="14">
        <v>-1353950</v>
      </c>
      <c r="F49" s="14">
        <v>-1403423</v>
      </c>
      <c r="G49" s="14">
        <v>-11779063</v>
      </c>
      <c r="H49" s="14">
        <v>-1739139</v>
      </c>
      <c r="I49" s="14">
        <v>-2367401</v>
      </c>
      <c r="J49" s="14">
        <v>-13514351</v>
      </c>
      <c r="K49" s="14">
        <v>-2985600</v>
      </c>
      <c r="L49" s="14">
        <v>-2802116</v>
      </c>
      <c r="M49" s="14">
        <v>-11537678</v>
      </c>
      <c r="N49" s="209">
        <v>-61687252</v>
      </c>
    </row>
    <row r="50" spans="1:14" x14ac:dyDescent="0.3">
      <c r="A50" s="21" t="s">
        <v>107</v>
      </c>
      <c r="B50" s="20">
        <v>0</v>
      </c>
      <c r="C50" s="20">
        <v>0</v>
      </c>
      <c r="D50" s="14">
        <v>249803</v>
      </c>
      <c r="E50" s="18" t="s">
        <v>77</v>
      </c>
      <c r="F50" s="18" t="s">
        <v>77</v>
      </c>
      <c r="G50" s="14">
        <v>71436</v>
      </c>
      <c r="H50" s="18" t="s">
        <v>77</v>
      </c>
      <c r="I50" s="18" t="s">
        <v>77</v>
      </c>
      <c r="J50" s="14">
        <v>-9030235</v>
      </c>
      <c r="K50" s="18" t="s">
        <v>77</v>
      </c>
      <c r="L50" s="18" t="s">
        <v>77</v>
      </c>
      <c r="M50" s="14">
        <v>3621351</v>
      </c>
      <c r="N50" s="209">
        <v>-5087646</v>
      </c>
    </row>
    <row r="51" spans="1:14" x14ac:dyDescent="0.3">
      <c r="A51" s="15" t="s">
        <v>108</v>
      </c>
      <c r="B51" s="19">
        <v>-1421554</v>
      </c>
      <c r="C51" s="19">
        <v>-1042065</v>
      </c>
      <c r="D51" s="19">
        <v>-3193868</v>
      </c>
      <c r="E51" s="19">
        <v>-1447869</v>
      </c>
      <c r="F51" s="19">
        <v>-1403423</v>
      </c>
      <c r="G51" s="19">
        <v>-5297894</v>
      </c>
      <c r="H51" s="19">
        <v>-1833420</v>
      </c>
      <c r="I51" s="19">
        <v>-2367401</v>
      </c>
      <c r="J51" s="19">
        <v>-16164890</v>
      </c>
      <c r="K51" s="19">
        <v>-3080384</v>
      </c>
      <c r="L51" s="19">
        <v>-2802116</v>
      </c>
      <c r="M51" s="19">
        <v>-1502586</v>
      </c>
      <c r="N51" s="211">
        <v>-41557470</v>
      </c>
    </row>
    <row r="52" spans="1:14" x14ac:dyDescent="0.3">
      <c r="A52" s="17"/>
      <c r="B52" s="16"/>
      <c r="C52" s="16"/>
      <c r="D52" s="16"/>
      <c r="E52" s="16"/>
      <c r="F52" s="16"/>
      <c r="G52" s="16"/>
      <c r="H52" s="16"/>
      <c r="I52" s="16"/>
      <c r="J52" s="16"/>
      <c r="K52" s="16"/>
      <c r="L52" s="16"/>
      <c r="M52" s="16"/>
      <c r="N52" s="70"/>
    </row>
    <row r="53" spans="1:14" x14ac:dyDescent="0.3">
      <c r="A53" s="17"/>
      <c r="B53" s="16"/>
      <c r="C53" s="16"/>
      <c r="D53" s="16"/>
      <c r="E53" s="16"/>
      <c r="F53" s="16"/>
      <c r="G53" s="16"/>
      <c r="H53" s="16"/>
      <c r="I53" s="16"/>
      <c r="J53" s="16"/>
      <c r="K53" s="16"/>
      <c r="L53" s="16"/>
      <c r="M53" s="16"/>
      <c r="N53" s="70"/>
    </row>
    <row r="54" spans="1:14" x14ac:dyDescent="0.3">
      <c r="A54" s="15" t="s">
        <v>109</v>
      </c>
      <c r="B54" s="14">
        <v>-2628689</v>
      </c>
      <c r="C54" s="14">
        <v>-1739751</v>
      </c>
      <c r="D54" s="14">
        <v>22562835</v>
      </c>
      <c r="E54" s="14">
        <v>-5358355</v>
      </c>
      <c r="F54" s="14">
        <v>-2333463</v>
      </c>
      <c r="G54" s="14">
        <v>-28069296</v>
      </c>
      <c r="H54" s="14">
        <v>11620637</v>
      </c>
      <c r="I54" s="14">
        <v>-4171266</v>
      </c>
      <c r="J54" s="14">
        <v>118240189</v>
      </c>
      <c r="K54" s="14">
        <v>20674808</v>
      </c>
      <c r="L54" s="14">
        <v>-403421</v>
      </c>
      <c r="M54" s="14">
        <v>9277991</v>
      </c>
      <c r="N54" s="209">
        <v>137672219</v>
      </c>
    </row>
    <row r="55" spans="1:14" x14ac:dyDescent="0.3">
      <c r="A55" s="17"/>
      <c r="B55" s="16"/>
      <c r="C55" s="16"/>
      <c r="D55" s="16"/>
      <c r="E55" s="16"/>
      <c r="F55" s="16"/>
      <c r="G55" s="16"/>
      <c r="H55" s="16"/>
      <c r="I55" s="16"/>
      <c r="J55" s="16"/>
      <c r="K55" s="16"/>
      <c r="L55" s="16"/>
      <c r="M55" s="16"/>
      <c r="N55" s="70"/>
    </row>
    <row r="56" spans="1:14" x14ac:dyDescent="0.3">
      <c r="A56" s="15" t="s">
        <v>110</v>
      </c>
      <c r="B56" s="14">
        <v>15651212</v>
      </c>
      <c r="C56" s="18" t="s">
        <v>77</v>
      </c>
      <c r="D56" s="18" t="s">
        <v>77</v>
      </c>
      <c r="E56" s="14">
        <v>15653138</v>
      </c>
      <c r="F56" s="18" t="s">
        <v>77</v>
      </c>
      <c r="G56" s="18" t="s">
        <v>77</v>
      </c>
      <c r="H56" s="14">
        <v>15713537</v>
      </c>
      <c r="I56" s="18" t="s">
        <v>77</v>
      </c>
      <c r="J56" s="18" t="s">
        <v>77</v>
      </c>
      <c r="K56" s="14">
        <v>15797393</v>
      </c>
      <c r="L56" s="18" t="s">
        <v>77</v>
      </c>
      <c r="M56" s="18" t="s">
        <v>77</v>
      </c>
      <c r="N56" s="209">
        <v>62815279</v>
      </c>
    </row>
    <row r="57" spans="1:14" x14ac:dyDescent="0.3">
      <c r="A57" s="17"/>
      <c r="B57" s="16"/>
      <c r="C57" s="16"/>
      <c r="D57" s="16"/>
      <c r="E57" s="16"/>
      <c r="F57" s="16"/>
      <c r="G57" s="16"/>
      <c r="H57" s="16"/>
      <c r="I57" s="16"/>
      <c r="J57" s="16"/>
      <c r="K57" s="16"/>
      <c r="L57" s="16"/>
      <c r="M57" s="16"/>
      <c r="N57" s="70"/>
    </row>
    <row r="58" spans="1:14" x14ac:dyDescent="0.3">
      <c r="A58" s="15" t="s">
        <v>111</v>
      </c>
      <c r="B58" s="14">
        <v>-18279901</v>
      </c>
      <c r="C58" s="14">
        <v>-1739751</v>
      </c>
      <c r="D58" s="14">
        <v>22562835</v>
      </c>
      <c r="E58" s="14">
        <v>-21011494</v>
      </c>
      <c r="F58" s="14">
        <v>-2333463</v>
      </c>
      <c r="G58" s="14">
        <v>-28069296</v>
      </c>
      <c r="H58" s="14">
        <v>-4092900</v>
      </c>
      <c r="I58" s="14">
        <v>-4171266</v>
      </c>
      <c r="J58" s="14">
        <v>118240189</v>
      </c>
      <c r="K58" s="14">
        <v>4877416</v>
      </c>
      <c r="L58" s="14">
        <v>-403421</v>
      </c>
      <c r="M58" s="14">
        <v>9277991</v>
      </c>
      <c r="N58" s="209">
        <v>74856940</v>
      </c>
    </row>
    <row r="59" spans="1:14" x14ac:dyDescent="0.3">
      <c r="A59" s="256" t="s">
        <v>112</v>
      </c>
      <c r="B59" s="256"/>
      <c r="C59" s="256"/>
      <c r="D59" s="256"/>
      <c r="E59" s="256"/>
      <c r="F59" s="256"/>
      <c r="G59" s="256"/>
      <c r="H59" s="256"/>
    </row>
  </sheetData>
  <mergeCells count="4">
    <mergeCell ref="A1:H1"/>
    <mergeCell ref="A2:H2"/>
    <mergeCell ref="A3:H3"/>
    <mergeCell ref="A59:H59"/>
  </mergeCells>
  <pageMargins left="0.7" right="0.7" top="0.75" bottom="0.75"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9A649-D1D2-475F-A398-EF0D42C9882D}">
  <sheetPr>
    <tabColor theme="0" tint="-0.249977111117893"/>
  </sheetPr>
  <dimension ref="A1:P125"/>
  <sheetViews>
    <sheetView showOutlineSymbols="0" workbookViewId="0"/>
  </sheetViews>
  <sheetFormatPr defaultColWidth="9.109375" defaultRowHeight="14.4" outlineLevelRow="1" x14ac:dyDescent="0.3"/>
  <cols>
    <col min="1" max="1" width="35.6640625" style="13" customWidth="1"/>
    <col min="2" max="13" width="16.5546875" style="13" customWidth="1"/>
    <col min="14" max="14" width="12.5546875" style="49" customWidth="1"/>
    <col min="15" max="15" width="14.5546875" style="71" bestFit="1" customWidth="1"/>
    <col min="16" max="16" width="9.109375" style="65"/>
    <col min="17" max="16384" width="9.109375" style="13"/>
  </cols>
  <sheetData>
    <row r="1" spans="1:15" x14ac:dyDescent="0.3">
      <c r="A1" s="254" t="s">
        <v>113</v>
      </c>
      <c r="B1" s="254"/>
      <c r="C1" s="254"/>
      <c r="D1" s="254"/>
      <c r="E1" s="254"/>
      <c r="F1" s="254"/>
      <c r="G1" s="254"/>
      <c r="H1" s="254"/>
    </row>
    <row r="2" spans="1:15" x14ac:dyDescent="0.3">
      <c r="A2" s="255" t="s">
        <v>51</v>
      </c>
      <c r="B2" s="255"/>
      <c r="C2" s="255"/>
      <c r="D2" s="255"/>
      <c r="E2" s="255"/>
      <c r="F2" s="255"/>
      <c r="G2" s="255"/>
      <c r="H2" s="255"/>
    </row>
    <row r="3" spans="1:15" x14ac:dyDescent="0.3">
      <c r="A3" s="255" t="s">
        <v>234</v>
      </c>
      <c r="B3" s="255"/>
      <c r="C3" s="255"/>
      <c r="D3" s="255"/>
      <c r="E3" s="255"/>
      <c r="F3" s="255"/>
      <c r="G3" s="255"/>
      <c r="H3" s="255"/>
      <c r="N3" s="50" t="s">
        <v>114</v>
      </c>
    </row>
    <row r="4" spans="1:15" x14ac:dyDescent="0.3">
      <c r="A4" s="17"/>
      <c r="B4" s="27" t="s">
        <v>53</v>
      </c>
      <c r="C4" s="27" t="s">
        <v>54</v>
      </c>
      <c r="D4" s="27" t="s">
        <v>55</v>
      </c>
      <c r="E4" s="27" t="s">
        <v>56</v>
      </c>
      <c r="F4" s="27" t="s">
        <v>57</v>
      </c>
      <c r="G4" s="27" t="s">
        <v>58</v>
      </c>
      <c r="H4" s="27" t="s">
        <v>59</v>
      </c>
      <c r="I4" s="27" t="s">
        <v>60</v>
      </c>
      <c r="J4" s="27" t="s">
        <v>61</v>
      </c>
      <c r="K4" s="27" t="s">
        <v>62</v>
      </c>
      <c r="L4" s="27" t="s">
        <v>63</v>
      </c>
      <c r="M4" s="27" t="s">
        <v>64</v>
      </c>
      <c r="N4" s="51">
        <v>44531</v>
      </c>
      <c r="O4" s="69" t="s">
        <v>115</v>
      </c>
    </row>
    <row r="5" spans="1:15" x14ac:dyDescent="0.3">
      <c r="A5" s="17"/>
      <c r="B5" s="45" t="s">
        <v>116</v>
      </c>
      <c r="C5" s="45" t="s">
        <v>116</v>
      </c>
      <c r="D5" s="45" t="s">
        <v>116</v>
      </c>
      <c r="E5" s="45" t="s">
        <v>116</v>
      </c>
      <c r="F5" s="45" t="s">
        <v>116</v>
      </c>
      <c r="G5" s="45" t="s">
        <v>116</v>
      </c>
      <c r="H5" s="45" t="s">
        <v>116</v>
      </c>
      <c r="I5" s="45" t="s">
        <v>116</v>
      </c>
      <c r="J5" s="45" t="s">
        <v>116</v>
      </c>
      <c r="K5" s="45" t="s">
        <v>116</v>
      </c>
      <c r="L5" s="45" t="s">
        <v>116</v>
      </c>
      <c r="M5" s="45" t="s">
        <v>116</v>
      </c>
      <c r="N5" s="52" t="s">
        <v>116</v>
      </c>
      <c r="O5" s="72" t="s">
        <v>117</v>
      </c>
    </row>
    <row r="6" spans="1:15" x14ac:dyDescent="0.3">
      <c r="A6" s="29" t="s">
        <v>118</v>
      </c>
      <c r="B6" s="30"/>
      <c r="C6" s="30"/>
      <c r="D6" s="30"/>
      <c r="E6" s="30"/>
      <c r="F6" s="30"/>
      <c r="G6" s="30"/>
      <c r="H6" s="30"/>
      <c r="I6" s="30"/>
      <c r="J6" s="30"/>
      <c r="K6" s="30"/>
      <c r="L6" s="30"/>
      <c r="M6" s="30"/>
      <c r="N6" s="53"/>
      <c r="O6" s="73"/>
    </row>
    <row r="7" spans="1:15" x14ac:dyDescent="0.3">
      <c r="A7" s="29" t="s">
        <v>119</v>
      </c>
      <c r="B7" s="30"/>
      <c r="C7" s="30"/>
      <c r="D7" s="30"/>
      <c r="E7" s="30"/>
      <c r="F7" s="30"/>
      <c r="G7" s="30"/>
      <c r="H7" s="30"/>
      <c r="I7" s="30"/>
      <c r="J7" s="30"/>
      <c r="K7" s="30"/>
      <c r="L7" s="30"/>
      <c r="M7" s="30"/>
      <c r="N7" s="53"/>
      <c r="O7" s="73"/>
    </row>
    <row r="8" spans="1:15" hidden="1" outlineLevel="1" x14ac:dyDescent="0.3">
      <c r="A8" s="37" t="s">
        <v>120</v>
      </c>
      <c r="B8" s="42">
        <v>137171801</v>
      </c>
      <c r="C8" s="42">
        <v>3422098</v>
      </c>
      <c r="D8" s="42">
        <v>81703422</v>
      </c>
      <c r="E8" s="42">
        <v>223307064</v>
      </c>
      <c r="F8" s="42">
        <v>118222393</v>
      </c>
      <c r="G8" s="42">
        <v>73683763</v>
      </c>
      <c r="H8" s="42">
        <v>-35671273</v>
      </c>
      <c r="I8" s="42">
        <v>-30281406</v>
      </c>
      <c r="J8" s="42">
        <v>116391699</v>
      </c>
      <c r="K8" s="42">
        <v>93491110</v>
      </c>
      <c r="L8" s="42">
        <v>-36726526</v>
      </c>
      <c r="M8" s="42">
        <v>-61459391</v>
      </c>
      <c r="N8" s="54"/>
      <c r="O8" s="74"/>
    </row>
    <row r="9" spans="1:15" hidden="1" outlineLevel="1" x14ac:dyDescent="0.3">
      <c r="A9" s="36" t="s">
        <v>121</v>
      </c>
      <c r="B9" s="42">
        <v>-60034510</v>
      </c>
      <c r="C9" s="42">
        <v>-70228135</v>
      </c>
      <c r="D9" s="42">
        <v>-94102717</v>
      </c>
      <c r="E9" s="44" t="s">
        <v>77</v>
      </c>
      <c r="F9" s="44" t="s">
        <v>77</v>
      </c>
      <c r="G9" s="44" t="s">
        <v>77</v>
      </c>
      <c r="H9" s="42">
        <v>-35779507</v>
      </c>
      <c r="I9" s="42">
        <v>-30731026</v>
      </c>
      <c r="J9" s="42">
        <v>-50540872</v>
      </c>
      <c r="K9" s="42">
        <v>-49618415</v>
      </c>
      <c r="L9" s="42">
        <v>-37099846</v>
      </c>
      <c r="M9" s="42">
        <v>-62181401</v>
      </c>
      <c r="N9" s="54"/>
      <c r="O9" s="74"/>
    </row>
    <row r="10" spans="1:15" hidden="1" outlineLevel="1" x14ac:dyDescent="0.3">
      <c r="A10" s="36" t="s">
        <v>122</v>
      </c>
      <c r="B10" s="42">
        <v>706311</v>
      </c>
      <c r="C10" s="42">
        <v>1650233</v>
      </c>
      <c r="D10" s="42">
        <v>806139</v>
      </c>
      <c r="E10" s="42">
        <v>307064</v>
      </c>
      <c r="F10" s="42">
        <v>222393</v>
      </c>
      <c r="G10" s="42">
        <v>183763</v>
      </c>
      <c r="H10" s="42">
        <v>108234</v>
      </c>
      <c r="I10" s="42">
        <v>449619</v>
      </c>
      <c r="J10" s="42">
        <v>432571</v>
      </c>
      <c r="K10" s="42">
        <v>-1390475</v>
      </c>
      <c r="L10" s="42">
        <v>373321</v>
      </c>
      <c r="M10" s="42">
        <v>722009</v>
      </c>
      <c r="N10" s="54"/>
      <c r="O10" s="74"/>
    </row>
    <row r="11" spans="1:15" hidden="1" outlineLevel="1" x14ac:dyDescent="0.3">
      <c r="A11" s="36" t="s">
        <v>123</v>
      </c>
      <c r="B11" s="42">
        <v>196500000</v>
      </c>
      <c r="C11" s="42">
        <v>72000000</v>
      </c>
      <c r="D11" s="42">
        <v>175000000</v>
      </c>
      <c r="E11" s="42">
        <v>223000000</v>
      </c>
      <c r="F11" s="42">
        <v>118000000</v>
      </c>
      <c r="G11" s="42">
        <v>73500000</v>
      </c>
      <c r="H11" s="44" t="s">
        <v>77</v>
      </c>
      <c r="I11" s="44" t="s">
        <v>77</v>
      </c>
      <c r="J11" s="42">
        <v>166500000</v>
      </c>
      <c r="K11" s="42">
        <v>144500000</v>
      </c>
      <c r="L11" s="44" t="s">
        <v>77</v>
      </c>
      <c r="M11" s="44" t="s">
        <v>77</v>
      </c>
      <c r="N11" s="55"/>
      <c r="O11" s="75"/>
    </row>
    <row r="12" spans="1:15" hidden="1" outlineLevel="1" x14ac:dyDescent="0.3">
      <c r="A12" s="37" t="s">
        <v>124</v>
      </c>
      <c r="B12" s="42">
        <v>4004353</v>
      </c>
      <c r="C12" s="42">
        <v>3721138</v>
      </c>
      <c r="D12" s="42">
        <v>3656759</v>
      </c>
      <c r="E12" s="42">
        <v>5632773</v>
      </c>
      <c r="F12" s="42">
        <v>5540452</v>
      </c>
      <c r="G12" s="42">
        <v>5909582</v>
      </c>
      <c r="H12" s="42">
        <v>5422872</v>
      </c>
      <c r="I12" s="42">
        <v>5305409</v>
      </c>
      <c r="J12" s="42">
        <v>4600495</v>
      </c>
      <c r="K12" s="42">
        <v>3736621</v>
      </c>
      <c r="L12" s="42">
        <v>3697481</v>
      </c>
      <c r="M12" s="42">
        <v>3220594</v>
      </c>
      <c r="N12" s="54"/>
      <c r="O12" s="74"/>
    </row>
    <row r="13" spans="1:15" hidden="1" outlineLevel="1" x14ac:dyDescent="0.3">
      <c r="A13" s="36" t="s">
        <v>125</v>
      </c>
      <c r="B13" s="42">
        <v>259082</v>
      </c>
      <c r="C13" s="42">
        <v>61188</v>
      </c>
      <c r="D13" s="42">
        <v>101530</v>
      </c>
      <c r="E13" s="42">
        <v>200852</v>
      </c>
      <c r="F13" s="42">
        <v>347838</v>
      </c>
      <c r="G13" s="42">
        <v>494790</v>
      </c>
      <c r="H13" s="42">
        <v>37914</v>
      </c>
      <c r="I13" s="42">
        <v>37914</v>
      </c>
      <c r="J13" s="42">
        <v>178999</v>
      </c>
      <c r="K13" s="42">
        <v>562085</v>
      </c>
      <c r="L13" s="42">
        <v>17489</v>
      </c>
      <c r="M13" s="42">
        <v>17489</v>
      </c>
      <c r="N13" s="54"/>
      <c r="O13" s="74"/>
    </row>
    <row r="14" spans="1:15" hidden="1" outlineLevel="1" x14ac:dyDescent="0.3">
      <c r="A14" s="34" t="s">
        <v>126</v>
      </c>
      <c r="B14" s="42">
        <v>241593</v>
      </c>
      <c r="C14" s="42">
        <v>43699</v>
      </c>
      <c r="D14" s="42">
        <v>84041</v>
      </c>
      <c r="E14" s="42">
        <v>183363</v>
      </c>
      <c r="F14" s="42">
        <v>330349</v>
      </c>
      <c r="G14" s="42">
        <v>477301</v>
      </c>
      <c r="H14" s="42">
        <v>20425</v>
      </c>
      <c r="I14" s="42">
        <v>20425</v>
      </c>
      <c r="J14" s="42">
        <v>161510</v>
      </c>
      <c r="K14" s="42">
        <v>544596</v>
      </c>
      <c r="L14" s="44" t="s">
        <v>77</v>
      </c>
      <c r="M14" s="44" t="s">
        <v>77</v>
      </c>
      <c r="N14" s="55"/>
      <c r="O14" s="75"/>
    </row>
    <row r="15" spans="1:15" hidden="1" outlineLevel="1" x14ac:dyDescent="0.3">
      <c r="A15" s="34" t="s">
        <v>127</v>
      </c>
      <c r="B15" s="42">
        <v>92212</v>
      </c>
      <c r="C15" s="42">
        <v>92212</v>
      </c>
      <c r="D15" s="42">
        <v>92212</v>
      </c>
      <c r="E15" s="42">
        <v>92212</v>
      </c>
      <c r="F15" s="42">
        <v>92212</v>
      </c>
      <c r="G15" s="42">
        <v>92212</v>
      </c>
      <c r="H15" s="42">
        <v>92212</v>
      </c>
      <c r="I15" s="42">
        <v>92212</v>
      </c>
      <c r="J15" s="42">
        <v>92212</v>
      </c>
      <c r="K15" s="42">
        <v>92212</v>
      </c>
      <c r="L15" s="42">
        <v>92212</v>
      </c>
      <c r="M15" s="42">
        <v>92212</v>
      </c>
      <c r="N15" s="54"/>
      <c r="O15" s="74"/>
    </row>
    <row r="16" spans="1:15" hidden="1" outlineLevel="1" x14ac:dyDescent="0.3">
      <c r="A16" s="34" t="s">
        <v>128</v>
      </c>
      <c r="B16" s="42">
        <v>-74723</v>
      </c>
      <c r="C16" s="42">
        <v>-74723</v>
      </c>
      <c r="D16" s="42">
        <v>-74723</v>
      </c>
      <c r="E16" s="42">
        <v>-74723</v>
      </c>
      <c r="F16" s="42">
        <v>-74723</v>
      </c>
      <c r="G16" s="42">
        <v>-74723</v>
      </c>
      <c r="H16" s="42">
        <v>-74723</v>
      </c>
      <c r="I16" s="42">
        <v>-74723</v>
      </c>
      <c r="J16" s="42">
        <v>-74723</v>
      </c>
      <c r="K16" s="42">
        <v>-74723</v>
      </c>
      <c r="L16" s="42">
        <v>-74723</v>
      </c>
      <c r="M16" s="42">
        <v>-74723</v>
      </c>
      <c r="N16" s="54"/>
      <c r="O16" s="74"/>
    </row>
    <row r="17" spans="1:15" hidden="1" outlineLevel="1" x14ac:dyDescent="0.3">
      <c r="A17" s="36" t="s">
        <v>129</v>
      </c>
      <c r="B17" s="42">
        <v>3745271</v>
      </c>
      <c r="C17" s="42">
        <v>3659951</v>
      </c>
      <c r="D17" s="42">
        <v>3555229</v>
      </c>
      <c r="E17" s="42">
        <v>5431921</v>
      </c>
      <c r="F17" s="42">
        <v>5192613</v>
      </c>
      <c r="G17" s="42">
        <v>5414792</v>
      </c>
      <c r="H17" s="42">
        <v>5384959</v>
      </c>
      <c r="I17" s="42">
        <v>5267495</v>
      </c>
      <c r="J17" s="42">
        <v>4421496</v>
      </c>
      <c r="K17" s="42">
        <v>3174537</v>
      </c>
      <c r="L17" s="42">
        <v>3679992</v>
      </c>
      <c r="M17" s="42">
        <v>3203105</v>
      </c>
      <c r="N17" s="54"/>
      <c r="O17" s="74"/>
    </row>
    <row r="18" spans="1:15" hidden="1" outlineLevel="1" x14ac:dyDescent="0.3">
      <c r="A18" s="34" t="s">
        <v>130</v>
      </c>
      <c r="B18" s="42">
        <v>3412087</v>
      </c>
      <c r="C18" s="42">
        <v>3415543</v>
      </c>
      <c r="D18" s="42">
        <v>3285486</v>
      </c>
      <c r="E18" s="42">
        <v>5096187</v>
      </c>
      <c r="F18" s="42">
        <v>4875824</v>
      </c>
      <c r="G18" s="42">
        <v>5070629</v>
      </c>
      <c r="H18" s="42">
        <v>4927268</v>
      </c>
      <c r="I18" s="42">
        <v>4943167</v>
      </c>
      <c r="J18" s="42">
        <v>3976367</v>
      </c>
      <c r="K18" s="42">
        <v>2750303</v>
      </c>
      <c r="L18" s="42">
        <v>3371323</v>
      </c>
      <c r="M18" s="42">
        <v>2915666</v>
      </c>
      <c r="N18" s="54"/>
      <c r="O18" s="74"/>
    </row>
    <row r="19" spans="1:15" hidden="1" outlineLevel="1" x14ac:dyDescent="0.3">
      <c r="A19" s="34" t="s">
        <v>131</v>
      </c>
      <c r="B19" s="42">
        <v>333184</v>
      </c>
      <c r="C19" s="42">
        <v>244408</v>
      </c>
      <c r="D19" s="42">
        <v>269743</v>
      </c>
      <c r="E19" s="42">
        <v>335735</v>
      </c>
      <c r="F19" s="42">
        <v>316789</v>
      </c>
      <c r="G19" s="42">
        <v>344163</v>
      </c>
      <c r="H19" s="42">
        <v>457691</v>
      </c>
      <c r="I19" s="42">
        <v>324329</v>
      </c>
      <c r="J19" s="42">
        <v>445129</v>
      </c>
      <c r="K19" s="42">
        <v>424233</v>
      </c>
      <c r="L19" s="42">
        <v>308670</v>
      </c>
      <c r="M19" s="42">
        <v>287438</v>
      </c>
      <c r="N19" s="54"/>
      <c r="O19" s="74"/>
    </row>
    <row r="20" spans="1:15" hidden="1" outlineLevel="1" x14ac:dyDescent="0.3">
      <c r="A20" s="37" t="s">
        <v>132</v>
      </c>
      <c r="B20" s="42">
        <v>2324806344</v>
      </c>
      <c r="C20" s="42">
        <v>2331971526</v>
      </c>
      <c r="D20" s="42">
        <v>2323868903</v>
      </c>
      <c r="E20" s="42">
        <v>2362523589</v>
      </c>
      <c r="F20" s="42">
        <v>2355342390</v>
      </c>
      <c r="G20" s="42">
        <v>2351748852</v>
      </c>
      <c r="H20" s="42">
        <v>2415409707</v>
      </c>
      <c r="I20" s="42">
        <v>2854393003</v>
      </c>
      <c r="J20" s="42">
        <v>2940484082</v>
      </c>
      <c r="K20" s="42">
        <v>2942552917</v>
      </c>
      <c r="L20" s="42">
        <v>2894501690</v>
      </c>
      <c r="M20" s="42">
        <v>2386330249</v>
      </c>
      <c r="N20" s="54"/>
      <c r="O20" s="74"/>
    </row>
    <row r="21" spans="1:15" hidden="1" outlineLevel="1" x14ac:dyDescent="0.3">
      <c r="A21" s="36" t="s">
        <v>133</v>
      </c>
      <c r="B21" s="42">
        <v>30249743</v>
      </c>
      <c r="C21" s="42">
        <v>38526991</v>
      </c>
      <c r="D21" s="42">
        <v>46969664</v>
      </c>
      <c r="E21" s="42">
        <v>56002457</v>
      </c>
      <c r="F21" s="42">
        <v>64526452</v>
      </c>
      <c r="G21" s="42">
        <v>31983472</v>
      </c>
      <c r="H21" s="42">
        <v>34073497</v>
      </c>
      <c r="I21" s="42">
        <v>42855356</v>
      </c>
      <c r="J21" s="42">
        <v>52016793</v>
      </c>
      <c r="K21" s="42">
        <v>60764925</v>
      </c>
      <c r="L21" s="42">
        <v>29111246</v>
      </c>
      <c r="M21" s="42">
        <v>12261021</v>
      </c>
      <c r="N21" s="54"/>
      <c r="O21" s="74"/>
    </row>
    <row r="22" spans="1:15" ht="21.6" hidden="1" outlineLevel="1" x14ac:dyDescent="0.3">
      <c r="A22" s="21" t="s">
        <v>134</v>
      </c>
      <c r="B22" s="43">
        <v>2193953906</v>
      </c>
      <c r="C22" s="43">
        <v>2192233238</v>
      </c>
      <c r="D22" s="43">
        <v>2175435691</v>
      </c>
      <c r="E22" s="43">
        <v>2200129281</v>
      </c>
      <c r="F22" s="43">
        <v>2188172055</v>
      </c>
      <c r="G22" s="43">
        <v>2201508247</v>
      </c>
      <c r="H22" s="43">
        <v>2273286699</v>
      </c>
      <c r="I22" s="43">
        <v>2704050087</v>
      </c>
      <c r="J22" s="43">
        <v>2775698398</v>
      </c>
      <c r="K22" s="43">
        <v>2768725912</v>
      </c>
      <c r="L22" s="43">
        <v>2751775556</v>
      </c>
      <c r="M22" s="43">
        <v>2256329706</v>
      </c>
      <c r="N22" s="56"/>
      <c r="O22" s="76"/>
    </row>
    <row r="23" spans="1:15" hidden="1" outlineLevel="1" x14ac:dyDescent="0.3">
      <c r="A23" s="36" t="s">
        <v>135</v>
      </c>
      <c r="B23" s="42">
        <v>100602695</v>
      </c>
      <c r="C23" s="42">
        <v>101211297</v>
      </c>
      <c r="D23" s="42">
        <v>101463548</v>
      </c>
      <c r="E23" s="42">
        <v>106391851</v>
      </c>
      <c r="F23" s="42">
        <v>102643883</v>
      </c>
      <c r="G23" s="42">
        <v>118257134</v>
      </c>
      <c r="H23" s="42">
        <v>108049511</v>
      </c>
      <c r="I23" s="42">
        <v>107487560</v>
      </c>
      <c r="J23" s="42">
        <v>112768891</v>
      </c>
      <c r="K23" s="42">
        <v>113062080</v>
      </c>
      <c r="L23" s="42">
        <v>113614888</v>
      </c>
      <c r="M23" s="42">
        <v>117739522</v>
      </c>
      <c r="N23" s="54"/>
      <c r="O23" s="74"/>
    </row>
    <row r="24" spans="1:15" hidden="1" outlineLevel="1" x14ac:dyDescent="0.3">
      <c r="A24" s="37" t="s">
        <v>136</v>
      </c>
      <c r="B24" s="42">
        <v>203282</v>
      </c>
      <c r="C24" s="42">
        <v>203282</v>
      </c>
      <c r="D24" s="42">
        <v>109375</v>
      </c>
      <c r="E24" s="42">
        <v>109375</v>
      </c>
      <c r="F24" s="42">
        <v>109375</v>
      </c>
      <c r="G24" s="42">
        <v>109375</v>
      </c>
      <c r="H24" s="42">
        <v>109375</v>
      </c>
      <c r="I24" s="42">
        <v>109375</v>
      </c>
      <c r="J24" s="42">
        <v>109375</v>
      </c>
      <c r="K24" s="42">
        <v>109375</v>
      </c>
      <c r="L24" s="42">
        <v>204159</v>
      </c>
      <c r="M24" s="42">
        <v>204159</v>
      </c>
      <c r="N24" s="54"/>
      <c r="O24" s="74"/>
    </row>
    <row r="25" spans="1:15" hidden="1" outlineLevel="1" x14ac:dyDescent="0.3">
      <c r="A25" s="36" t="s">
        <v>137</v>
      </c>
      <c r="B25" s="42">
        <v>203282</v>
      </c>
      <c r="C25" s="42">
        <v>203282</v>
      </c>
      <c r="D25" s="42">
        <v>109375</v>
      </c>
      <c r="E25" s="42">
        <v>109375</v>
      </c>
      <c r="F25" s="42">
        <v>109375</v>
      </c>
      <c r="G25" s="42">
        <v>109375</v>
      </c>
      <c r="H25" s="42">
        <v>109375</v>
      </c>
      <c r="I25" s="42">
        <v>109375</v>
      </c>
      <c r="J25" s="42">
        <v>109375</v>
      </c>
      <c r="K25" s="42">
        <v>109375</v>
      </c>
      <c r="L25" s="42">
        <v>204159</v>
      </c>
      <c r="M25" s="42">
        <v>204159</v>
      </c>
      <c r="N25" s="54"/>
      <c r="O25" s="74"/>
    </row>
    <row r="26" spans="1:15" hidden="1" outlineLevel="1" x14ac:dyDescent="0.3">
      <c r="A26" s="37" t="s">
        <v>138</v>
      </c>
      <c r="B26" s="33">
        <v>10984783</v>
      </c>
      <c r="C26" s="33">
        <v>10984783</v>
      </c>
      <c r="D26" s="33">
        <v>7621296</v>
      </c>
      <c r="E26" s="33">
        <v>7621296</v>
      </c>
      <c r="F26" s="33">
        <v>7621296</v>
      </c>
      <c r="G26" s="33">
        <v>5036471</v>
      </c>
      <c r="H26" s="33">
        <v>5036471</v>
      </c>
      <c r="I26" s="33">
        <v>5036471</v>
      </c>
      <c r="J26" s="33">
        <v>915320</v>
      </c>
      <c r="K26" s="33">
        <v>915320</v>
      </c>
      <c r="L26" s="33">
        <v>915320</v>
      </c>
      <c r="M26" s="33">
        <v>2132731</v>
      </c>
      <c r="N26" s="57"/>
      <c r="O26" s="77"/>
    </row>
    <row r="27" spans="1:15" hidden="1" outlineLevel="1" x14ac:dyDescent="0.3">
      <c r="A27" s="36" t="s">
        <v>139</v>
      </c>
      <c r="B27" s="33">
        <v>64783</v>
      </c>
      <c r="C27" s="33">
        <v>64783</v>
      </c>
      <c r="D27" s="33">
        <v>565296</v>
      </c>
      <c r="E27" s="33">
        <v>565296</v>
      </c>
      <c r="F27" s="33">
        <v>565296</v>
      </c>
      <c r="G27" s="33">
        <v>2656471</v>
      </c>
      <c r="H27" s="33">
        <v>2656471</v>
      </c>
      <c r="I27" s="33">
        <v>2656471</v>
      </c>
      <c r="J27" s="33">
        <v>915320</v>
      </c>
      <c r="K27" s="33">
        <v>915320</v>
      </c>
      <c r="L27" s="33">
        <v>915320</v>
      </c>
      <c r="M27" s="33">
        <v>1905984</v>
      </c>
      <c r="N27" s="57"/>
      <c r="O27" s="77"/>
    </row>
    <row r="28" spans="1:15" hidden="1" outlineLevel="1" x14ac:dyDescent="0.3">
      <c r="A28" s="36" t="s">
        <v>140</v>
      </c>
      <c r="B28" s="33">
        <v>10920000</v>
      </c>
      <c r="C28" s="33">
        <v>10920000</v>
      </c>
      <c r="D28" s="33">
        <v>7056000</v>
      </c>
      <c r="E28" s="33">
        <v>7056000</v>
      </c>
      <c r="F28" s="33">
        <v>7056000</v>
      </c>
      <c r="G28" s="33">
        <v>2380000</v>
      </c>
      <c r="H28" s="33">
        <v>2380000</v>
      </c>
      <c r="I28" s="33">
        <v>2380000</v>
      </c>
      <c r="J28" s="38" t="s">
        <v>77</v>
      </c>
      <c r="K28" s="38" t="s">
        <v>77</v>
      </c>
      <c r="L28" s="38" t="s">
        <v>77</v>
      </c>
      <c r="M28" s="33">
        <v>226747</v>
      </c>
      <c r="N28" s="57"/>
      <c r="O28" s="77"/>
    </row>
    <row r="29" spans="1:15" hidden="1" outlineLevel="1" x14ac:dyDescent="0.3">
      <c r="A29" s="37" t="s">
        <v>141</v>
      </c>
      <c r="B29" s="33">
        <v>4397165</v>
      </c>
      <c r="C29" s="33">
        <v>4559170</v>
      </c>
      <c r="D29" s="33">
        <v>4751991</v>
      </c>
      <c r="E29" s="33">
        <v>8639212</v>
      </c>
      <c r="F29" s="33">
        <v>5676994</v>
      </c>
      <c r="G29" s="33">
        <v>6179343</v>
      </c>
      <c r="H29" s="33">
        <v>6891206</v>
      </c>
      <c r="I29" s="33">
        <v>7364580</v>
      </c>
      <c r="J29" s="33">
        <v>8080492</v>
      </c>
      <c r="K29" s="33">
        <v>8577893</v>
      </c>
      <c r="L29" s="33">
        <v>8630100</v>
      </c>
      <c r="M29" s="33">
        <v>8845445</v>
      </c>
      <c r="N29" s="57"/>
      <c r="O29" s="77"/>
    </row>
    <row r="30" spans="1:15" hidden="1" outlineLevel="1" x14ac:dyDescent="0.3">
      <c r="A30" s="37" t="s">
        <v>142</v>
      </c>
      <c r="B30" s="33">
        <v>3507957</v>
      </c>
      <c r="C30" s="33">
        <v>3403917</v>
      </c>
      <c r="D30" s="33">
        <v>3074178</v>
      </c>
      <c r="E30" s="33">
        <v>3114117</v>
      </c>
      <c r="F30" s="33">
        <v>3852591</v>
      </c>
      <c r="G30" s="33">
        <v>2328856</v>
      </c>
      <c r="H30" s="33">
        <v>1967337</v>
      </c>
      <c r="I30" s="33">
        <v>1855741</v>
      </c>
      <c r="J30" s="33">
        <v>1368260</v>
      </c>
      <c r="K30" s="33">
        <v>876052</v>
      </c>
      <c r="L30" s="33">
        <v>3249084</v>
      </c>
      <c r="M30" s="33">
        <v>2930480</v>
      </c>
      <c r="N30" s="57"/>
      <c r="O30" s="77"/>
    </row>
    <row r="31" spans="1:15" hidden="1" outlineLevel="1" x14ac:dyDescent="0.3">
      <c r="A31" s="36" t="s">
        <v>143</v>
      </c>
      <c r="B31" s="33">
        <v>0</v>
      </c>
      <c r="C31" s="33">
        <v>0</v>
      </c>
      <c r="D31" s="33">
        <v>0</v>
      </c>
      <c r="E31" s="33">
        <v>0</v>
      </c>
      <c r="F31" s="33">
        <v>1034873</v>
      </c>
      <c r="G31" s="33">
        <v>0</v>
      </c>
      <c r="H31" s="33">
        <v>0</v>
      </c>
      <c r="I31" s="33">
        <v>0</v>
      </c>
      <c r="J31" s="33">
        <v>0</v>
      </c>
      <c r="K31" s="33">
        <v>0</v>
      </c>
      <c r="L31" s="33">
        <v>0</v>
      </c>
      <c r="M31" s="33">
        <v>0</v>
      </c>
      <c r="N31" s="57"/>
      <c r="O31" s="77"/>
    </row>
    <row r="32" spans="1:15" hidden="1" outlineLevel="1" x14ac:dyDescent="0.3">
      <c r="A32" s="36" t="s">
        <v>144</v>
      </c>
      <c r="B32" s="33">
        <v>3507957</v>
      </c>
      <c r="C32" s="33">
        <v>3403917</v>
      </c>
      <c r="D32" s="33">
        <v>3074178</v>
      </c>
      <c r="E32" s="33">
        <v>3114117</v>
      </c>
      <c r="F32" s="33">
        <v>2817718</v>
      </c>
      <c r="G32" s="33">
        <v>2328856</v>
      </c>
      <c r="H32" s="33">
        <v>1967337</v>
      </c>
      <c r="I32" s="33">
        <v>1855741</v>
      </c>
      <c r="J32" s="33">
        <v>1368260</v>
      </c>
      <c r="K32" s="33">
        <v>876052</v>
      </c>
      <c r="L32" s="33">
        <v>3249084</v>
      </c>
      <c r="M32" s="33">
        <v>2930480</v>
      </c>
      <c r="N32" s="57"/>
      <c r="O32" s="77"/>
    </row>
    <row r="33" spans="1:15" collapsed="1" x14ac:dyDescent="0.3">
      <c r="A33" s="29" t="s">
        <v>145</v>
      </c>
      <c r="B33" s="32">
        <v>2485075685</v>
      </c>
      <c r="C33" s="32">
        <v>2358265914</v>
      </c>
      <c r="D33" s="32">
        <v>2424785924</v>
      </c>
      <c r="E33" s="32">
        <v>2610947426</v>
      </c>
      <c r="F33" s="32">
        <v>2496365490</v>
      </c>
      <c r="G33" s="32">
        <v>2444996242</v>
      </c>
      <c r="H33" s="32">
        <v>2399165696</v>
      </c>
      <c r="I33" s="32">
        <v>2843783172</v>
      </c>
      <c r="J33" s="32">
        <v>3071949722</v>
      </c>
      <c r="K33" s="32">
        <v>3050259287</v>
      </c>
      <c r="L33" s="32">
        <v>2874471309</v>
      </c>
      <c r="M33" s="32">
        <v>2342204266</v>
      </c>
      <c r="N33" s="58"/>
      <c r="O33" s="78"/>
    </row>
    <row r="34" spans="1:15" x14ac:dyDescent="0.3">
      <c r="A34" s="31"/>
      <c r="B34" s="30"/>
      <c r="C34" s="30"/>
      <c r="D34" s="30"/>
      <c r="E34" s="30"/>
      <c r="F34" s="30"/>
      <c r="G34" s="30"/>
      <c r="H34" s="30"/>
      <c r="I34" s="30"/>
      <c r="J34" s="30"/>
      <c r="K34" s="30"/>
      <c r="L34" s="30"/>
      <c r="M34" s="30"/>
      <c r="N34" s="53"/>
      <c r="O34" s="73"/>
    </row>
    <row r="35" spans="1:15" x14ac:dyDescent="0.3">
      <c r="A35" s="29" t="s">
        <v>146</v>
      </c>
      <c r="B35" s="33">
        <v>1346713</v>
      </c>
      <c r="C35" s="33">
        <v>1343703</v>
      </c>
      <c r="D35" s="33">
        <v>1348064</v>
      </c>
      <c r="E35" s="33">
        <v>1406256</v>
      </c>
      <c r="F35" s="33">
        <v>1336061</v>
      </c>
      <c r="G35" s="33">
        <v>1328944</v>
      </c>
      <c r="H35" s="33">
        <v>1320008</v>
      </c>
      <c r="I35" s="33">
        <v>1436111</v>
      </c>
      <c r="J35" s="33">
        <v>1425394</v>
      </c>
      <c r="K35" s="33">
        <v>1423511</v>
      </c>
      <c r="L35" s="33">
        <v>1528022</v>
      </c>
      <c r="M35" s="33">
        <v>1418902</v>
      </c>
      <c r="N35" s="57"/>
      <c r="O35" s="77"/>
    </row>
    <row r="36" spans="1:15" hidden="1" outlineLevel="1" x14ac:dyDescent="0.3">
      <c r="A36" s="36" t="s">
        <v>148</v>
      </c>
      <c r="B36" s="33">
        <v>4188018</v>
      </c>
      <c r="C36" s="33">
        <v>4188018</v>
      </c>
      <c r="D36" s="33">
        <v>4188018</v>
      </c>
      <c r="E36" s="33">
        <v>4188018</v>
      </c>
      <c r="F36" s="33">
        <v>4188018</v>
      </c>
      <c r="G36" s="33">
        <v>4188018</v>
      </c>
      <c r="H36" s="33">
        <v>4188018</v>
      </c>
      <c r="I36" s="33">
        <v>4188018</v>
      </c>
      <c r="J36" s="33">
        <v>4188018</v>
      </c>
      <c r="K36" s="33">
        <v>4188018</v>
      </c>
      <c r="L36" s="33">
        <v>4188018</v>
      </c>
      <c r="M36" s="33">
        <v>4188018</v>
      </c>
      <c r="N36" s="57"/>
      <c r="O36" s="77"/>
    </row>
    <row r="37" spans="1:15" hidden="1" outlineLevel="1" x14ac:dyDescent="0.3">
      <c r="A37" s="36" t="s">
        <v>149</v>
      </c>
      <c r="B37" s="33">
        <v>-3083839</v>
      </c>
      <c r="C37" s="33">
        <v>-3121536</v>
      </c>
      <c r="D37" s="33">
        <v>-3159234</v>
      </c>
      <c r="E37" s="33">
        <v>-3196931</v>
      </c>
      <c r="F37" s="33">
        <v>-3234628</v>
      </c>
      <c r="G37" s="33">
        <v>-3272325</v>
      </c>
      <c r="H37" s="33">
        <v>-3307975</v>
      </c>
      <c r="I37" s="33">
        <v>-3343625</v>
      </c>
      <c r="J37" s="33">
        <v>-3379274</v>
      </c>
      <c r="K37" s="33">
        <v>-3414924</v>
      </c>
      <c r="L37" s="33">
        <v>-3442108</v>
      </c>
      <c r="M37" s="33">
        <v>-3469291</v>
      </c>
      <c r="N37" s="57"/>
      <c r="O37" s="77"/>
    </row>
    <row r="38" spans="1:15" hidden="1" outlineLevel="1" x14ac:dyDescent="0.3">
      <c r="A38" s="36" t="s">
        <v>150</v>
      </c>
      <c r="B38" s="33">
        <v>242534</v>
      </c>
      <c r="C38" s="33">
        <v>277221</v>
      </c>
      <c r="D38" s="33">
        <v>319280</v>
      </c>
      <c r="E38" s="33">
        <v>415168</v>
      </c>
      <c r="F38" s="33">
        <v>382671</v>
      </c>
      <c r="G38" s="33">
        <v>413251</v>
      </c>
      <c r="H38" s="33">
        <v>439965</v>
      </c>
      <c r="I38" s="33">
        <v>591718</v>
      </c>
      <c r="J38" s="33">
        <v>616651</v>
      </c>
      <c r="K38" s="33">
        <v>650417</v>
      </c>
      <c r="L38" s="33">
        <v>782112</v>
      </c>
      <c r="M38" s="33">
        <v>700175</v>
      </c>
      <c r="N38" s="57"/>
      <c r="O38" s="77"/>
    </row>
    <row r="39" spans="1:15" collapsed="1" x14ac:dyDescent="0.3">
      <c r="A39" s="31"/>
      <c r="B39" s="41"/>
      <c r="C39" s="41"/>
      <c r="D39" s="41"/>
      <c r="E39" s="41"/>
      <c r="F39" s="41"/>
      <c r="G39" s="41"/>
      <c r="H39" s="41"/>
      <c r="I39" s="41"/>
      <c r="J39" s="41"/>
      <c r="K39" s="41"/>
      <c r="L39" s="41"/>
      <c r="M39" s="41"/>
      <c r="N39" s="59"/>
      <c r="O39" s="79"/>
    </row>
    <row r="40" spans="1:15" x14ac:dyDescent="0.3">
      <c r="A40" s="29" t="s">
        <v>151</v>
      </c>
      <c r="B40" s="30"/>
      <c r="C40" s="30"/>
      <c r="D40" s="30"/>
      <c r="E40" s="30"/>
      <c r="F40" s="30"/>
      <c r="G40" s="30"/>
      <c r="H40" s="30"/>
      <c r="I40" s="30"/>
      <c r="J40" s="30"/>
      <c r="K40" s="30"/>
      <c r="L40" s="30"/>
      <c r="M40" s="30"/>
      <c r="N40" s="53"/>
      <c r="O40" s="73"/>
    </row>
    <row r="41" spans="1:15" hidden="1" outlineLevel="1" x14ac:dyDescent="0.3">
      <c r="A41" s="37" t="s">
        <v>152</v>
      </c>
      <c r="B41" s="33">
        <v>63819</v>
      </c>
      <c r="C41" s="33">
        <v>63819</v>
      </c>
      <c r="D41" s="33">
        <v>424694</v>
      </c>
      <c r="E41" s="33">
        <v>424694</v>
      </c>
      <c r="F41" s="33">
        <v>424694</v>
      </c>
      <c r="G41" s="33">
        <v>4042046</v>
      </c>
      <c r="H41" s="33">
        <v>4042046</v>
      </c>
      <c r="I41" s="33">
        <v>4042046</v>
      </c>
      <c r="J41" s="33">
        <v>4566852</v>
      </c>
      <c r="K41" s="33">
        <v>4566852</v>
      </c>
      <c r="L41" s="33">
        <v>4566852</v>
      </c>
      <c r="M41" s="33">
        <v>3285192</v>
      </c>
      <c r="N41" s="57"/>
      <c r="O41" s="77"/>
    </row>
    <row r="42" spans="1:15" hidden="1" outlineLevel="1" x14ac:dyDescent="0.3">
      <c r="A42" s="36" t="s">
        <v>153</v>
      </c>
      <c r="B42" s="33">
        <v>63819</v>
      </c>
      <c r="C42" s="33">
        <v>63819</v>
      </c>
      <c r="D42" s="33">
        <v>424694</v>
      </c>
      <c r="E42" s="33">
        <v>424694</v>
      </c>
      <c r="F42" s="33">
        <v>424694</v>
      </c>
      <c r="G42" s="33">
        <v>4042046</v>
      </c>
      <c r="H42" s="33">
        <v>4042046</v>
      </c>
      <c r="I42" s="33">
        <v>4042046</v>
      </c>
      <c r="J42" s="33">
        <v>4566852</v>
      </c>
      <c r="K42" s="33">
        <v>4566852</v>
      </c>
      <c r="L42" s="33">
        <v>4566852</v>
      </c>
      <c r="M42" s="33">
        <v>3285192</v>
      </c>
      <c r="N42" s="57"/>
      <c r="O42" s="77"/>
    </row>
    <row r="43" spans="1:15" hidden="1" outlineLevel="1" x14ac:dyDescent="0.3">
      <c r="A43" s="37" t="s">
        <v>154</v>
      </c>
      <c r="B43" s="33">
        <v>2959772</v>
      </c>
      <c r="C43" s="33">
        <v>2959772</v>
      </c>
      <c r="D43" s="33">
        <v>2959772</v>
      </c>
      <c r="E43" s="33">
        <v>2959772</v>
      </c>
      <c r="F43" s="33">
        <v>2959772</v>
      </c>
      <c r="G43" s="33">
        <v>2959772</v>
      </c>
      <c r="H43" s="33">
        <v>2959772</v>
      </c>
      <c r="I43" s="33">
        <v>2959772</v>
      </c>
      <c r="J43" s="33">
        <v>2959772</v>
      </c>
      <c r="K43" s="33">
        <v>2959772</v>
      </c>
      <c r="L43" s="33">
        <v>2959772</v>
      </c>
      <c r="M43" s="33">
        <v>2959772</v>
      </c>
      <c r="N43" s="57"/>
      <c r="O43" s="77"/>
    </row>
    <row r="44" spans="1:15" hidden="1" outlineLevel="1" x14ac:dyDescent="0.3">
      <c r="A44" s="36" t="s">
        <v>155</v>
      </c>
      <c r="B44" s="33">
        <v>2959772</v>
      </c>
      <c r="C44" s="33">
        <v>2959772</v>
      </c>
      <c r="D44" s="33">
        <v>2959772</v>
      </c>
      <c r="E44" s="33">
        <v>2959772</v>
      </c>
      <c r="F44" s="33">
        <v>2959772</v>
      </c>
      <c r="G44" s="33">
        <v>2959772</v>
      </c>
      <c r="H44" s="33">
        <v>2959772</v>
      </c>
      <c r="I44" s="33">
        <v>2959772</v>
      </c>
      <c r="J44" s="33">
        <v>2959772</v>
      </c>
      <c r="K44" s="33">
        <v>2959772</v>
      </c>
      <c r="L44" s="33">
        <v>2959772</v>
      </c>
      <c r="M44" s="33">
        <v>2959772</v>
      </c>
      <c r="N44" s="57"/>
      <c r="O44" s="77"/>
    </row>
    <row r="45" spans="1:15" hidden="1" outlineLevel="1" x14ac:dyDescent="0.3">
      <c r="A45" s="37" t="s">
        <v>156</v>
      </c>
      <c r="B45" s="33">
        <v>7537597611</v>
      </c>
      <c r="C45" s="33">
        <v>7538350704</v>
      </c>
      <c r="D45" s="33">
        <v>7538103796</v>
      </c>
      <c r="E45" s="33">
        <v>7537856889</v>
      </c>
      <c r="F45" s="33">
        <v>7537609980</v>
      </c>
      <c r="G45" s="33">
        <v>7529094012</v>
      </c>
      <c r="H45" s="33">
        <v>7528847105</v>
      </c>
      <c r="I45" s="33">
        <v>7528600197</v>
      </c>
      <c r="J45" s="33">
        <v>7528367181</v>
      </c>
      <c r="K45" s="33">
        <v>7528118334</v>
      </c>
      <c r="L45" s="33">
        <v>7570620567</v>
      </c>
      <c r="M45" s="33">
        <v>8039570050</v>
      </c>
      <c r="N45" s="57"/>
      <c r="O45" s="77"/>
    </row>
    <row r="46" spans="1:15" hidden="1" outlineLevel="1" x14ac:dyDescent="0.3">
      <c r="A46" s="36" t="s">
        <v>157</v>
      </c>
      <c r="B46" s="33">
        <v>7500000</v>
      </c>
      <c r="C46" s="33">
        <v>7500000</v>
      </c>
      <c r="D46" s="33">
        <v>7500000</v>
      </c>
      <c r="E46" s="33">
        <v>7500000</v>
      </c>
      <c r="F46" s="33">
        <v>7500000</v>
      </c>
      <c r="G46" s="33">
        <v>7500000</v>
      </c>
      <c r="H46" s="33">
        <v>7500000</v>
      </c>
      <c r="I46" s="33">
        <v>7500000</v>
      </c>
      <c r="J46" s="33">
        <v>7500000</v>
      </c>
      <c r="K46" s="33">
        <v>7500000</v>
      </c>
      <c r="L46" s="33">
        <v>5000000</v>
      </c>
      <c r="M46" s="33">
        <v>5000000</v>
      </c>
      <c r="N46" s="57"/>
      <c r="O46" s="77"/>
    </row>
    <row r="47" spans="1:15" hidden="1" outlineLevel="1" x14ac:dyDescent="0.3">
      <c r="A47" s="36" t="s">
        <v>158</v>
      </c>
      <c r="B47" s="33">
        <v>7510678997</v>
      </c>
      <c r="C47" s="33">
        <v>7510678997</v>
      </c>
      <c r="D47" s="33">
        <v>7510678997</v>
      </c>
      <c r="E47" s="33">
        <v>7510678997</v>
      </c>
      <c r="F47" s="33">
        <v>7510678995</v>
      </c>
      <c r="G47" s="33">
        <v>7502409935</v>
      </c>
      <c r="H47" s="33">
        <v>7502409935</v>
      </c>
      <c r="I47" s="33">
        <v>7502409935</v>
      </c>
      <c r="J47" s="33">
        <v>7502409935</v>
      </c>
      <c r="K47" s="33">
        <v>7502409935</v>
      </c>
      <c r="L47" s="33">
        <v>7547659310</v>
      </c>
      <c r="M47" s="33">
        <v>8016029719</v>
      </c>
      <c r="N47" s="57"/>
      <c r="O47" s="77"/>
    </row>
    <row r="48" spans="1:15" hidden="1" outlineLevel="1" x14ac:dyDescent="0.3">
      <c r="A48" s="36" t="s">
        <v>159</v>
      </c>
      <c r="B48" s="33">
        <v>33777723</v>
      </c>
      <c r="C48" s="33">
        <v>34777723</v>
      </c>
      <c r="D48" s="33">
        <v>34777723</v>
      </c>
      <c r="E48" s="33">
        <v>34777723</v>
      </c>
      <c r="F48" s="33">
        <v>34777723</v>
      </c>
      <c r="G48" s="33">
        <v>34777723</v>
      </c>
      <c r="H48" s="33">
        <v>34777723</v>
      </c>
      <c r="I48" s="33">
        <v>34777723</v>
      </c>
      <c r="J48" s="33">
        <v>34777723</v>
      </c>
      <c r="K48" s="33">
        <v>34777723</v>
      </c>
      <c r="L48" s="33">
        <v>34777723</v>
      </c>
      <c r="M48" s="33">
        <v>34777723</v>
      </c>
      <c r="N48" s="57"/>
      <c r="O48" s="77"/>
    </row>
    <row r="49" spans="1:16" hidden="1" outlineLevel="1" x14ac:dyDescent="0.3">
      <c r="A49" s="36" t="s">
        <v>160</v>
      </c>
      <c r="B49" s="33">
        <v>-16025102</v>
      </c>
      <c r="C49" s="33">
        <v>-16240576</v>
      </c>
      <c r="D49" s="33">
        <v>-16456049</v>
      </c>
      <c r="E49" s="33">
        <v>-16671523</v>
      </c>
      <c r="F49" s="33">
        <v>-16886997</v>
      </c>
      <c r="G49" s="33">
        <v>-17102470</v>
      </c>
      <c r="H49" s="33">
        <v>-17317944</v>
      </c>
      <c r="I49" s="33">
        <v>-17533417</v>
      </c>
      <c r="J49" s="33">
        <v>-17748891</v>
      </c>
      <c r="K49" s="33">
        <v>-17965995</v>
      </c>
      <c r="L49" s="33">
        <v>-18181395</v>
      </c>
      <c r="M49" s="33">
        <v>-18392403</v>
      </c>
      <c r="N49" s="57"/>
      <c r="O49" s="77"/>
    </row>
    <row r="50" spans="1:16" hidden="1" outlineLevel="1" x14ac:dyDescent="0.3">
      <c r="A50" s="36" t="s">
        <v>161</v>
      </c>
      <c r="B50" s="33">
        <v>1665993</v>
      </c>
      <c r="C50" s="33">
        <v>1634560</v>
      </c>
      <c r="D50" s="33">
        <v>1603126</v>
      </c>
      <c r="E50" s="33">
        <v>1571692</v>
      </c>
      <c r="F50" s="33">
        <v>1540258</v>
      </c>
      <c r="G50" s="33">
        <v>1508824</v>
      </c>
      <c r="H50" s="33">
        <v>1477390</v>
      </c>
      <c r="I50" s="33">
        <v>1445957</v>
      </c>
      <c r="J50" s="33">
        <v>1428414</v>
      </c>
      <c r="K50" s="33">
        <v>1396671</v>
      </c>
      <c r="L50" s="33">
        <v>1364929</v>
      </c>
      <c r="M50" s="33">
        <v>2155012</v>
      </c>
      <c r="N50" s="57"/>
      <c r="O50" s="77"/>
    </row>
    <row r="51" spans="1:16" hidden="1" outlineLevel="1" x14ac:dyDescent="0.3">
      <c r="A51" s="37" t="s">
        <v>162</v>
      </c>
      <c r="B51" s="33">
        <v>147456328</v>
      </c>
      <c r="C51" s="33">
        <v>148135819</v>
      </c>
      <c r="D51" s="33">
        <v>148054215</v>
      </c>
      <c r="E51" s="33">
        <v>154481181</v>
      </c>
      <c r="F51" s="33">
        <v>153415444</v>
      </c>
      <c r="G51" s="33">
        <v>152610116</v>
      </c>
      <c r="H51" s="33">
        <v>153285428</v>
      </c>
      <c r="I51" s="33">
        <v>159720131</v>
      </c>
      <c r="J51" s="33">
        <v>166663828</v>
      </c>
      <c r="K51" s="33">
        <v>170659347</v>
      </c>
      <c r="L51" s="33">
        <v>175919265</v>
      </c>
      <c r="M51" s="33">
        <v>177594218</v>
      </c>
      <c r="N51" s="57"/>
      <c r="O51" s="77"/>
    </row>
    <row r="52" spans="1:16" hidden="1" outlineLevel="1" x14ac:dyDescent="0.3">
      <c r="A52" s="36" t="s">
        <v>163</v>
      </c>
      <c r="B52" s="33">
        <v>147456328</v>
      </c>
      <c r="C52" s="33">
        <v>148135819</v>
      </c>
      <c r="D52" s="33">
        <v>148054215</v>
      </c>
      <c r="E52" s="33">
        <v>154481181</v>
      </c>
      <c r="F52" s="33">
        <v>153415444</v>
      </c>
      <c r="G52" s="33">
        <v>152610116</v>
      </c>
      <c r="H52" s="33">
        <v>153285428</v>
      </c>
      <c r="I52" s="33">
        <v>159720131</v>
      </c>
      <c r="J52" s="33">
        <v>166663828</v>
      </c>
      <c r="K52" s="33">
        <v>170659347</v>
      </c>
      <c r="L52" s="33">
        <v>175919265</v>
      </c>
      <c r="M52" s="33">
        <v>177594218</v>
      </c>
      <c r="N52" s="57"/>
      <c r="O52" s="77"/>
    </row>
    <row r="53" spans="1:16" collapsed="1" x14ac:dyDescent="0.3">
      <c r="A53" s="29" t="s">
        <v>164</v>
      </c>
      <c r="B53" s="32">
        <v>7688077531</v>
      </c>
      <c r="C53" s="32">
        <v>7689510114</v>
      </c>
      <c r="D53" s="32">
        <v>7689542476</v>
      </c>
      <c r="E53" s="32">
        <v>7695722535</v>
      </c>
      <c r="F53" s="32">
        <v>7694409889</v>
      </c>
      <c r="G53" s="32">
        <v>7688705946</v>
      </c>
      <c r="H53" s="32">
        <v>7689134350</v>
      </c>
      <c r="I53" s="32">
        <v>7695322146</v>
      </c>
      <c r="J53" s="32">
        <v>7702557632</v>
      </c>
      <c r="K53" s="32">
        <v>7706304305</v>
      </c>
      <c r="L53" s="32">
        <v>7754066456</v>
      </c>
      <c r="M53" s="32">
        <v>8223409233</v>
      </c>
      <c r="N53" s="58"/>
      <c r="O53" s="78"/>
    </row>
    <row r="54" spans="1:16" x14ac:dyDescent="0.3">
      <c r="A54" s="31"/>
      <c r="B54" s="30"/>
      <c r="C54" s="30"/>
      <c r="D54" s="30"/>
      <c r="E54" s="30"/>
      <c r="F54" s="30"/>
      <c r="G54" s="30"/>
      <c r="H54" s="30"/>
      <c r="I54" s="30"/>
      <c r="J54" s="30"/>
      <c r="K54" s="30"/>
      <c r="L54" s="30"/>
      <c r="M54" s="30"/>
      <c r="N54" s="53"/>
      <c r="O54" s="73"/>
    </row>
    <row r="55" spans="1:16" ht="15" thickBot="1" x14ac:dyDescent="0.35">
      <c r="A55" s="29" t="s">
        <v>165</v>
      </c>
      <c r="B55" s="33">
        <v>10174499928</v>
      </c>
      <c r="C55" s="33">
        <v>10049119731</v>
      </c>
      <c r="D55" s="33">
        <v>10115676464</v>
      </c>
      <c r="E55" s="33">
        <v>10308076217</v>
      </c>
      <c r="F55" s="33">
        <v>10192111440</v>
      </c>
      <c r="G55" s="33">
        <v>10135031132</v>
      </c>
      <c r="H55" s="33">
        <v>10089620054</v>
      </c>
      <c r="I55" s="33">
        <v>10540541430</v>
      </c>
      <c r="J55" s="33">
        <v>10775932749</v>
      </c>
      <c r="K55" s="33">
        <v>10757987104</v>
      </c>
      <c r="L55" s="33">
        <v>10630065787</v>
      </c>
      <c r="M55" s="33">
        <v>10567032401</v>
      </c>
      <c r="N55" s="57"/>
      <c r="O55" s="77"/>
    </row>
    <row r="56" spans="1:16" x14ac:dyDescent="0.3">
      <c r="A56" s="31"/>
      <c r="B56" s="40"/>
      <c r="C56" s="40"/>
      <c r="D56" s="40"/>
      <c r="E56" s="40"/>
      <c r="F56" s="40"/>
      <c r="G56" s="40"/>
      <c r="H56" s="40"/>
      <c r="I56" s="40"/>
      <c r="J56" s="40"/>
      <c r="K56" s="40"/>
      <c r="L56" s="40"/>
      <c r="M56" s="40"/>
      <c r="N56" s="60"/>
      <c r="O56" s="80"/>
    </row>
    <row r="57" spans="1:16" x14ac:dyDescent="0.3">
      <c r="A57" s="29" t="s">
        <v>166</v>
      </c>
      <c r="B57" s="30"/>
      <c r="C57" s="30"/>
      <c r="D57" s="30"/>
      <c r="E57" s="30"/>
      <c r="F57" s="30"/>
      <c r="G57" s="30"/>
      <c r="H57" s="30"/>
      <c r="I57" s="30"/>
      <c r="J57" s="30"/>
      <c r="K57" s="30"/>
      <c r="L57" s="30"/>
      <c r="M57" s="30"/>
      <c r="N57" s="53"/>
      <c r="O57" s="73"/>
    </row>
    <row r="58" spans="1:16" x14ac:dyDescent="0.3">
      <c r="A58" s="29" t="s">
        <v>167</v>
      </c>
      <c r="B58" s="30"/>
      <c r="C58" s="30"/>
      <c r="D58" s="30"/>
      <c r="E58" s="30"/>
      <c r="F58" s="30"/>
      <c r="G58" s="30"/>
      <c r="H58" s="30"/>
      <c r="I58" s="30"/>
      <c r="J58" s="30"/>
      <c r="K58" s="30"/>
      <c r="L58" s="30"/>
      <c r="M58" s="30"/>
      <c r="N58" s="53"/>
      <c r="O58" s="73"/>
    </row>
    <row r="59" spans="1:16" x14ac:dyDescent="0.3">
      <c r="A59" s="46" t="s">
        <v>236</v>
      </c>
      <c r="B59" s="47">
        <v>399684863</v>
      </c>
      <c r="C59" s="47">
        <v>399684863</v>
      </c>
      <c r="D59" s="47">
        <v>399538192</v>
      </c>
      <c r="E59" s="47">
        <v>520866351</v>
      </c>
      <c r="F59" s="47">
        <v>520707458</v>
      </c>
      <c r="G59" s="47">
        <v>473933824</v>
      </c>
      <c r="H59" s="47">
        <v>399189863</v>
      </c>
      <c r="I59" s="47">
        <v>399189863</v>
      </c>
      <c r="J59" s="47">
        <v>796784658</v>
      </c>
      <c r="K59" s="47">
        <v>796784658</v>
      </c>
      <c r="L59" s="47">
        <v>796784658</v>
      </c>
      <c r="M59" s="47">
        <v>796313370</v>
      </c>
      <c r="N59" s="61">
        <v>422475956</v>
      </c>
      <c r="O59" s="81">
        <f>AVERAGE(B59:N59)</f>
        <v>547841429</v>
      </c>
      <c r="P59" s="65" t="s">
        <v>92</v>
      </c>
    </row>
    <row r="60" spans="1:16" x14ac:dyDescent="0.3">
      <c r="A60" s="36" t="s">
        <v>170</v>
      </c>
      <c r="B60" s="39">
        <v>0</v>
      </c>
      <c r="C60" s="39">
        <v>0</v>
      </c>
      <c r="D60" s="39">
        <v>0</v>
      </c>
      <c r="E60" s="33">
        <v>121328159</v>
      </c>
      <c r="F60" s="33">
        <v>121169267</v>
      </c>
      <c r="G60" s="33">
        <v>74743961</v>
      </c>
      <c r="H60" s="38" t="s">
        <v>77</v>
      </c>
      <c r="I60" s="38" t="s">
        <v>77</v>
      </c>
      <c r="J60" s="38" t="s">
        <v>77</v>
      </c>
      <c r="K60" s="38" t="s">
        <v>77</v>
      </c>
      <c r="L60" s="38" t="s">
        <v>77</v>
      </c>
      <c r="M60" s="38" t="s">
        <v>77</v>
      </c>
      <c r="N60" s="62">
        <v>22791093</v>
      </c>
      <c r="O60" s="82"/>
    </row>
    <row r="61" spans="1:16" x14ac:dyDescent="0.3">
      <c r="A61" s="36" t="s">
        <v>171</v>
      </c>
      <c r="B61" s="33">
        <v>399684863</v>
      </c>
      <c r="C61" s="33">
        <v>399684863</v>
      </c>
      <c r="D61" s="33">
        <v>399538192</v>
      </c>
      <c r="E61" s="33">
        <v>399538192</v>
      </c>
      <c r="F61" s="33">
        <v>399538192</v>
      </c>
      <c r="G61" s="33">
        <v>399189863</v>
      </c>
      <c r="H61" s="33">
        <v>399189863</v>
      </c>
      <c r="I61" s="33">
        <v>399189863</v>
      </c>
      <c r="J61" s="33">
        <v>796784658</v>
      </c>
      <c r="K61" s="33">
        <v>796784658</v>
      </c>
      <c r="L61" s="33">
        <v>796784658</v>
      </c>
      <c r="M61" s="33">
        <v>796313370</v>
      </c>
      <c r="N61" s="57">
        <v>399684863</v>
      </c>
      <c r="O61" s="77"/>
    </row>
    <row r="62" spans="1:16" x14ac:dyDescent="0.3">
      <c r="A62" s="46" t="s">
        <v>172</v>
      </c>
      <c r="B62" s="48">
        <v>0</v>
      </c>
      <c r="C62" s="48">
        <v>0</v>
      </c>
      <c r="D62" s="48">
        <v>0</v>
      </c>
      <c r="E62" s="48">
        <v>0</v>
      </c>
      <c r="F62" s="48">
        <v>0</v>
      </c>
      <c r="G62" s="47">
        <v>500000000</v>
      </c>
      <c r="H62" s="47">
        <v>500000000</v>
      </c>
      <c r="I62" s="47">
        <v>500000000</v>
      </c>
      <c r="J62" s="47">
        <v>500000000</v>
      </c>
      <c r="K62" s="47">
        <v>500000000</v>
      </c>
      <c r="L62" s="47">
        <v>500000000</v>
      </c>
      <c r="M62" s="47">
        <v>500000000</v>
      </c>
      <c r="N62" s="61">
        <v>0</v>
      </c>
      <c r="O62" s="81">
        <f>AVERAGE(B62:N62)</f>
        <v>269230769.23076922</v>
      </c>
      <c r="P62" s="65" t="s">
        <v>92</v>
      </c>
    </row>
    <row r="63" spans="1:16" hidden="1" outlineLevel="1" x14ac:dyDescent="0.3">
      <c r="A63" s="37" t="s">
        <v>173</v>
      </c>
      <c r="B63" s="33">
        <v>55708282</v>
      </c>
      <c r="C63" s="33">
        <v>72736726</v>
      </c>
      <c r="D63" s="33">
        <v>63559862</v>
      </c>
      <c r="E63" s="33">
        <v>65630184</v>
      </c>
      <c r="F63" s="33">
        <v>58757730</v>
      </c>
      <c r="G63" s="33">
        <v>62916681</v>
      </c>
      <c r="H63" s="33">
        <v>59682983</v>
      </c>
      <c r="I63" s="33">
        <v>61007445</v>
      </c>
      <c r="J63" s="33">
        <v>64258994</v>
      </c>
      <c r="K63" s="33">
        <v>61836995</v>
      </c>
      <c r="L63" s="33">
        <v>61024186</v>
      </c>
      <c r="M63" s="33">
        <v>68249281</v>
      </c>
      <c r="N63" s="57"/>
      <c r="O63" s="77"/>
    </row>
    <row r="64" spans="1:16" hidden="1" outlineLevel="1" x14ac:dyDescent="0.3">
      <c r="A64" s="36" t="s">
        <v>174</v>
      </c>
      <c r="B64" s="33">
        <v>3597630</v>
      </c>
      <c r="C64" s="33">
        <v>18939290</v>
      </c>
      <c r="D64" s="33">
        <v>8967197</v>
      </c>
      <c r="E64" s="33">
        <v>11776846</v>
      </c>
      <c r="F64" s="33">
        <v>3950031</v>
      </c>
      <c r="G64" s="33">
        <v>7388355</v>
      </c>
      <c r="H64" s="33">
        <v>4336750</v>
      </c>
      <c r="I64" s="33">
        <v>5512950</v>
      </c>
      <c r="J64" s="33">
        <v>8362157</v>
      </c>
      <c r="K64" s="33">
        <v>5533983</v>
      </c>
      <c r="L64" s="33">
        <v>4464436</v>
      </c>
      <c r="M64" s="33">
        <v>10629764</v>
      </c>
      <c r="N64" s="57"/>
      <c r="O64" s="77"/>
    </row>
    <row r="65" spans="1:15" hidden="1" outlineLevel="1" x14ac:dyDescent="0.3">
      <c r="A65" s="36" t="s">
        <v>175</v>
      </c>
      <c r="B65" s="33">
        <v>0</v>
      </c>
      <c r="C65" s="33">
        <v>-22302</v>
      </c>
      <c r="D65" s="33">
        <v>-66353</v>
      </c>
      <c r="E65" s="33">
        <v>-66353</v>
      </c>
      <c r="F65" s="33">
        <v>-109362</v>
      </c>
      <c r="G65" s="33">
        <v>-131116</v>
      </c>
      <c r="H65" s="33">
        <v>-152590</v>
      </c>
      <c r="I65" s="33">
        <v>-173913</v>
      </c>
      <c r="J65" s="33">
        <v>-197586</v>
      </c>
      <c r="K65" s="33">
        <v>0</v>
      </c>
      <c r="L65" s="33">
        <v>-24172</v>
      </c>
      <c r="M65" s="33">
        <v>0</v>
      </c>
      <c r="N65" s="57"/>
      <c r="O65" s="77"/>
    </row>
    <row r="66" spans="1:15" hidden="1" outlineLevel="1" x14ac:dyDescent="0.3">
      <c r="A66" s="36" t="s">
        <v>176</v>
      </c>
      <c r="B66" s="33">
        <v>0</v>
      </c>
      <c r="C66" s="33">
        <v>0</v>
      </c>
      <c r="D66" s="33">
        <v>0</v>
      </c>
      <c r="E66" s="33">
        <v>0</v>
      </c>
      <c r="F66" s="33">
        <v>0</v>
      </c>
      <c r="G66" s="33">
        <v>0</v>
      </c>
      <c r="H66" s="33">
        <v>0</v>
      </c>
      <c r="I66" s="33">
        <v>0</v>
      </c>
      <c r="J66" s="33">
        <v>0</v>
      </c>
      <c r="K66" s="33">
        <v>0</v>
      </c>
      <c r="L66" s="33">
        <v>0</v>
      </c>
      <c r="M66" s="33">
        <v>0</v>
      </c>
      <c r="N66" s="57"/>
      <c r="O66" s="77"/>
    </row>
    <row r="67" spans="1:15" hidden="1" outlineLevel="1" x14ac:dyDescent="0.3">
      <c r="A67" s="36" t="s">
        <v>177</v>
      </c>
      <c r="B67" s="33">
        <v>49281861</v>
      </c>
      <c r="C67" s="33">
        <v>50990947</v>
      </c>
      <c r="D67" s="33">
        <v>51830227</v>
      </c>
      <c r="E67" s="33">
        <v>51090901</v>
      </c>
      <c r="F67" s="33">
        <v>52088271</v>
      </c>
      <c r="G67" s="33">
        <v>52830652</v>
      </c>
      <c r="H67" s="33">
        <v>52670033</v>
      </c>
      <c r="I67" s="33">
        <v>52839618</v>
      </c>
      <c r="J67" s="33">
        <v>53265633</v>
      </c>
      <c r="K67" s="33">
        <v>53474222</v>
      </c>
      <c r="L67" s="33">
        <v>53755132</v>
      </c>
      <c r="M67" s="33">
        <v>54790728</v>
      </c>
      <c r="N67" s="57"/>
      <c r="O67" s="77"/>
    </row>
    <row r="68" spans="1:15" hidden="1" outlineLevel="1" x14ac:dyDescent="0.3">
      <c r="A68" s="36" t="s">
        <v>178</v>
      </c>
      <c r="B68" s="33">
        <v>2828790</v>
      </c>
      <c r="C68" s="33">
        <v>2828790</v>
      </c>
      <c r="D68" s="33">
        <v>2828790</v>
      </c>
      <c r="E68" s="33">
        <v>2828790</v>
      </c>
      <c r="F68" s="33">
        <v>2828790</v>
      </c>
      <c r="G68" s="33">
        <v>2828790</v>
      </c>
      <c r="H68" s="33">
        <v>2828790</v>
      </c>
      <c r="I68" s="33">
        <v>2828790</v>
      </c>
      <c r="J68" s="33">
        <v>2828790</v>
      </c>
      <c r="K68" s="33">
        <v>2828790</v>
      </c>
      <c r="L68" s="33">
        <v>2828790</v>
      </c>
      <c r="M68" s="33">
        <v>2828790</v>
      </c>
      <c r="N68" s="57"/>
      <c r="O68" s="77"/>
    </row>
    <row r="69" spans="1:15" hidden="1" outlineLevel="1" x14ac:dyDescent="0.3">
      <c r="A69" s="36" t="s">
        <v>237</v>
      </c>
      <c r="B69" s="33">
        <v>1</v>
      </c>
      <c r="C69" s="33">
        <v>1</v>
      </c>
      <c r="D69" s="33">
        <v>1</v>
      </c>
      <c r="E69" s="33">
        <v>1</v>
      </c>
      <c r="F69" s="38" t="s">
        <v>77</v>
      </c>
      <c r="G69" s="38" t="s">
        <v>77</v>
      </c>
      <c r="H69" s="38" t="s">
        <v>77</v>
      </c>
      <c r="I69" s="38" t="s">
        <v>77</v>
      </c>
      <c r="J69" s="38" t="s">
        <v>77</v>
      </c>
      <c r="K69" s="38" t="s">
        <v>77</v>
      </c>
      <c r="L69" s="38" t="s">
        <v>77</v>
      </c>
      <c r="M69" s="38" t="s">
        <v>77</v>
      </c>
      <c r="N69" s="62"/>
      <c r="O69" s="82"/>
    </row>
    <row r="70" spans="1:15" hidden="1" outlineLevel="1" x14ac:dyDescent="0.3">
      <c r="A70" s="37" t="s">
        <v>179</v>
      </c>
      <c r="B70" s="33">
        <v>7773</v>
      </c>
      <c r="C70" s="33">
        <v>561</v>
      </c>
      <c r="D70" s="33">
        <v>561</v>
      </c>
      <c r="E70" s="33">
        <v>-93358</v>
      </c>
      <c r="F70" s="33">
        <v>-93358</v>
      </c>
      <c r="G70" s="33">
        <v>561</v>
      </c>
      <c r="H70" s="33">
        <v>-97719</v>
      </c>
      <c r="I70" s="33">
        <v>-93720</v>
      </c>
      <c r="J70" s="33">
        <v>561</v>
      </c>
      <c r="K70" s="33">
        <v>-94223</v>
      </c>
      <c r="L70" s="33">
        <v>79821</v>
      </c>
      <c r="M70" s="33">
        <v>95346</v>
      </c>
      <c r="N70" s="57"/>
      <c r="O70" s="77"/>
    </row>
    <row r="71" spans="1:15" hidden="1" outlineLevel="1" x14ac:dyDescent="0.3">
      <c r="A71" s="36" t="s">
        <v>180</v>
      </c>
      <c r="B71" s="33">
        <v>7773</v>
      </c>
      <c r="C71" s="33">
        <v>561</v>
      </c>
      <c r="D71" s="33">
        <v>561</v>
      </c>
      <c r="E71" s="33">
        <v>-93358</v>
      </c>
      <c r="F71" s="33">
        <v>-93358</v>
      </c>
      <c r="G71" s="33">
        <v>561</v>
      </c>
      <c r="H71" s="33">
        <v>-97719</v>
      </c>
      <c r="I71" s="33">
        <v>-93720</v>
      </c>
      <c r="J71" s="33">
        <v>561</v>
      </c>
      <c r="K71" s="33">
        <v>-94223</v>
      </c>
      <c r="L71" s="33">
        <v>79821</v>
      </c>
      <c r="M71" s="33">
        <v>95346</v>
      </c>
      <c r="N71" s="57"/>
      <c r="O71" s="77"/>
    </row>
    <row r="72" spans="1:15" hidden="1" outlineLevel="1" x14ac:dyDescent="0.3">
      <c r="A72" s="37" t="s">
        <v>181</v>
      </c>
      <c r="B72" s="39">
        <v>0</v>
      </c>
      <c r="C72" s="39">
        <v>0</v>
      </c>
      <c r="D72" s="39">
        <v>0</v>
      </c>
      <c r="E72" s="39">
        <v>0</v>
      </c>
      <c r="F72" s="39">
        <v>0</v>
      </c>
      <c r="G72" s="33">
        <v>2168470</v>
      </c>
      <c r="H72" s="33">
        <v>2168470</v>
      </c>
      <c r="I72" s="33">
        <v>2168470</v>
      </c>
      <c r="J72" s="33">
        <v>28811570</v>
      </c>
      <c r="K72" s="33">
        <v>28811570</v>
      </c>
      <c r="L72" s="33">
        <v>28811570</v>
      </c>
      <c r="M72" s="33">
        <v>18827106</v>
      </c>
      <c r="N72" s="57"/>
      <c r="O72" s="77"/>
    </row>
    <row r="73" spans="1:15" hidden="1" outlineLevel="1" x14ac:dyDescent="0.3">
      <c r="A73" s="36" t="s">
        <v>182</v>
      </c>
      <c r="B73" s="39">
        <v>0</v>
      </c>
      <c r="C73" s="39">
        <v>0</v>
      </c>
      <c r="D73" s="39">
        <v>0</v>
      </c>
      <c r="E73" s="39">
        <v>0</v>
      </c>
      <c r="F73" s="39">
        <v>0</v>
      </c>
      <c r="G73" s="33">
        <v>2168470</v>
      </c>
      <c r="H73" s="33">
        <v>2168470</v>
      </c>
      <c r="I73" s="33">
        <v>2168470</v>
      </c>
      <c r="J73" s="33">
        <v>18843570</v>
      </c>
      <c r="K73" s="33">
        <v>18843570</v>
      </c>
      <c r="L73" s="33">
        <v>18843570</v>
      </c>
      <c r="M73" s="33">
        <v>14092359</v>
      </c>
      <c r="N73" s="57"/>
      <c r="O73" s="77"/>
    </row>
    <row r="74" spans="1:15" hidden="1" outlineLevel="1" x14ac:dyDescent="0.3">
      <c r="A74" s="36" t="s">
        <v>183</v>
      </c>
      <c r="B74" s="39">
        <v>0</v>
      </c>
      <c r="C74" s="39">
        <v>0</v>
      </c>
      <c r="D74" s="39">
        <v>0</v>
      </c>
      <c r="E74" s="39">
        <v>0</v>
      </c>
      <c r="F74" s="39">
        <v>0</v>
      </c>
      <c r="G74" s="39">
        <v>0</v>
      </c>
      <c r="H74" s="39">
        <v>0</v>
      </c>
      <c r="I74" s="39">
        <v>0</v>
      </c>
      <c r="J74" s="33">
        <v>9968000</v>
      </c>
      <c r="K74" s="33">
        <v>9968000</v>
      </c>
      <c r="L74" s="33">
        <v>9968000</v>
      </c>
      <c r="M74" s="33">
        <v>4734747</v>
      </c>
      <c r="N74" s="57"/>
      <c r="O74" s="77"/>
    </row>
    <row r="75" spans="1:15" hidden="1" outlineLevel="1" x14ac:dyDescent="0.3">
      <c r="A75" s="37" t="s">
        <v>184</v>
      </c>
      <c r="B75" s="33">
        <v>279660384</v>
      </c>
      <c r="C75" s="33">
        <v>80939969</v>
      </c>
      <c r="D75" s="33">
        <v>103283640</v>
      </c>
      <c r="E75" s="33">
        <v>305896009</v>
      </c>
      <c r="F75" s="33">
        <v>126308560</v>
      </c>
      <c r="G75" s="33">
        <v>82188615</v>
      </c>
      <c r="H75" s="33">
        <v>285515699</v>
      </c>
      <c r="I75" s="33">
        <v>105131508</v>
      </c>
      <c r="J75" s="33">
        <v>119274183</v>
      </c>
      <c r="K75" s="33">
        <v>331462222</v>
      </c>
      <c r="L75" s="33">
        <v>141557530</v>
      </c>
      <c r="M75" s="33">
        <v>82486337</v>
      </c>
      <c r="N75" s="57"/>
      <c r="O75" s="77"/>
    </row>
    <row r="76" spans="1:15" hidden="1" outlineLevel="1" x14ac:dyDescent="0.3">
      <c r="A76" s="36" t="s">
        <v>185</v>
      </c>
      <c r="B76" s="33">
        <v>1812500</v>
      </c>
      <c r="C76" s="33">
        <v>3020833</v>
      </c>
      <c r="D76" s="33">
        <v>4229167</v>
      </c>
      <c r="E76" s="33">
        <v>5437500</v>
      </c>
      <c r="F76" s="33">
        <v>6645833</v>
      </c>
      <c r="G76" s="33">
        <v>604167</v>
      </c>
      <c r="H76" s="33">
        <v>1812500</v>
      </c>
      <c r="I76" s="33">
        <v>3020833</v>
      </c>
      <c r="J76" s="33">
        <v>4229167</v>
      </c>
      <c r="K76" s="33">
        <v>5437500</v>
      </c>
      <c r="L76" s="33">
        <v>6645833</v>
      </c>
      <c r="M76" s="33">
        <v>604167</v>
      </c>
      <c r="N76" s="57"/>
      <c r="O76" s="77"/>
    </row>
    <row r="77" spans="1:15" hidden="1" outlineLevel="1" x14ac:dyDescent="0.3">
      <c r="A77" s="36" t="s">
        <v>186</v>
      </c>
      <c r="B77" s="33">
        <v>76076831</v>
      </c>
      <c r="C77" s="33">
        <v>56205557</v>
      </c>
      <c r="D77" s="33">
        <v>69251515</v>
      </c>
      <c r="E77" s="33">
        <v>71154346</v>
      </c>
      <c r="F77" s="33">
        <v>72422448</v>
      </c>
      <c r="G77" s="33">
        <v>76945490</v>
      </c>
      <c r="H77" s="33">
        <v>78719187</v>
      </c>
      <c r="I77" s="33">
        <v>79690866</v>
      </c>
      <c r="J77" s="33">
        <v>82353823</v>
      </c>
      <c r="K77" s="33">
        <v>83379467</v>
      </c>
      <c r="L77" s="33">
        <v>84459318</v>
      </c>
      <c r="M77" s="33">
        <v>76973932</v>
      </c>
      <c r="N77" s="57"/>
      <c r="O77" s="77"/>
    </row>
    <row r="78" spans="1:15" hidden="1" outlineLevel="1" x14ac:dyDescent="0.3">
      <c r="A78" s="36" t="s">
        <v>187</v>
      </c>
      <c r="B78" s="33">
        <v>13164165</v>
      </c>
      <c r="C78" s="33">
        <v>21713580</v>
      </c>
      <c r="D78" s="33">
        <v>29802960</v>
      </c>
      <c r="E78" s="33">
        <v>39032820</v>
      </c>
      <c r="F78" s="33">
        <v>47240280</v>
      </c>
      <c r="G78" s="33">
        <v>4638960</v>
      </c>
      <c r="H78" s="33">
        <v>13272840</v>
      </c>
      <c r="I78" s="33">
        <v>22419810</v>
      </c>
      <c r="J78" s="33">
        <v>32691195</v>
      </c>
      <c r="K78" s="33">
        <v>41765940</v>
      </c>
      <c r="L78" s="33">
        <v>50452380</v>
      </c>
      <c r="M78" s="33">
        <v>4908240</v>
      </c>
      <c r="N78" s="57"/>
      <c r="O78" s="77"/>
    </row>
    <row r="79" spans="1:15" hidden="1" outlineLevel="1" x14ac:dyDescent="0.3">
      <c r="A79" s="36" t="s">
        <v>188</v>
      </c>
      <c r="B79" s="33">
        <v>172955678</v>
      </c>
      <c r="C79" s="38" t="s">
        <v>77</v>
      </c>
      <c r="D79" s="38" t="s">
        <v>77</v>
      </c>
      <c r="E79" s="33">
        <v>174618207</v>
      </c>
      <c r="F79" s="38" t="s">
        <v>77</v>
      </c>
      <c r="G79" s="38" t="s">
        <v>77</v>
      </c>
      <c r="H79" s="33">
        <v>175997637</v>
      </c>
      <c r="I79" s="38" t="s">
        <v>77</v>
      </c>
      <c r="J79" s="38" t="s">
        <v>77</v>
      </c>
      <c r="K79" s="33">
        <v>185081924</v>
      </c>
      <c r="L79" s="38" t="s">
        <v>77</v>
      </c>
      <c r="M79" s="38" t="s">
        <v>77</v>
      </c>
      <c r="N79" s="62"/>
      <c r="O79" s="82"/>
    </row>
    <row r="80" spans="1:15" hidden="1" outlineLevel="1" x14ac:dyDescent="0.3">
      <c r="A80" s="36" t="s">
        <v>189</v>
      </c>
      <c r="B80" s="33">
        <v>15651212</v>
      </c>
      <c r="C80" s="38" t="s">
        <v>77</v>
      </c>
      <c r="D80" s="38" t="s">
        <v>77</v>
      </c>
      <c r="E80" s="33">
        <v>15653138</v>
      </c>
      <c r="F80" s="38" t="s">
        <v>77</v>
      </c>
      <c r="G80" s="38" t="s">
        <v>77</v>
      </c>
      <c r="H80" s="33">
        <v>15713537</v>
      </c>
      <c r="I80" s="38" t="s">
        <v>77</v>
      </c>
      <c r="J80" s="38" t="s">
        <v>77</v>
      </c>
      <c r="K80" s="33">
        <v>15797393</v>
      </c>
      <c r="L80" s="38" t="s">
        <v>77</v>
      </c>
      <c r="M80" s="38" t="s">
        <v>77</v>
      </c>
      <c r="N80" s="62"/>
      <c r="O80" s="82"/>
    </row>
    <row r="81" spans="1:16" hidden="1" outlineLevel="1" x14ac:dyDescent="0.3">
      <c r="A81" s="36" t="s">
        <v>190</v>
      </c>
      <c r="B81" s="33">
        <v>-2</v>
      </c>
      <c r="C81" s="33">
        <v>-2</v>
      </c>
      <c r="D81" s="33">
        <v>-2</v>
      </c>
      <c r="E81" s="33">
        <v>-2</v>
      </c>
      <c r="F81" s="33">
        <v>-2</v>
      </c>
      <c r="G81" s="33">
        <v>-2</v>
      </c>
      <c r="H81" s="33">
        <v>-2</v>
      </c>
      <c r="I81" s="33">
        <v>-2</v>
      </c>
      <c r="J81" s="33">
        <v>-2</v>
      </c>
      <c r="K81" s="33">
        <v>-2</v>
      </c>
      <c r="L81" s="33">
        <v>-2</v>
      </c>
      <c r="M81" s="33">
        <v>-2</v>
      </c>
      <c r="N81" s="57"/>
      <c r="O81" s="77"/>
    </row>
    <row r="82" spans="1:16" collapsed="1" x14ac:dyDescent="0.3">
      <c r="A82" s="29" t="s">
        <v>191</v>
      </c>
      <c r="B82" s="32">
        <v>735061303</v>
      </c>
      <c r="C82" s="32">
        <v>553362119</v>
      </c>
      <c r="D82" s="32">
        <v>566382255</v>
      </c>
      <c r="E82" s="32">
        <v>892299186</v>
      </c>
      <c r="F82" s="32">
        <v>705680391</v>
      </c>
      <c r="G82" s="32">
        <v>1121208151</v>
      </c>
      <c r="H82" s="32">
        <v>1246459296</v>
      </c>
      <c r="I82" s="32">
        <v>1067403566</v>
      </c>
      <c r="J82" s="32">
        <v>1509129965</v>
      </c>
      <c r="K82" s="32">
        <v>1718801221</v>
      </c>
      <c r="L82" s="32">
        <v>1528257764</v>
      </c>
      <c r="M82" s="32">
        <v>1465971441</v>
      </c>
      <c r="N82" s="58"/>
      <c r="O82" s="78"/>
    </row>
    <row r="83" spans="1:16" x14ac:dyDescent="0.3">
      <c r="A83" s="31"/>
      <c r="B83" s="30"/>
      <c r="C83" s="30"/>
      <c r="D83" s="30"/>
      <c r="E83" s="30"/>
      <c r="F83" s="30"/>
      <c r="G83" s="30"/>
      <c r="H83" s="30"/>
      <c r="I83" s="30"/>
      <c r="J83" s="30"/>
      <c r="K83" s="30"/>
      <c r="L83" s="30"/>
      <c r="M83" s="30"/>
      <c r="N83" s="53"/>
      <c r="O83" s="73"/>
    </row>
    <row r="84" spans="1:16" x14ac:dyDescent="0.3">
      <c r="A84" s="46" t="s">
        <v>238</v>
      </c>
      <c r="B84" s="47">
        <v>2668857984</v>
      </c>
      <c r="C84" s="47">
        <v>2666648260</v>
      </c>
      <c r="D84" s="47">
        <v>2642879254</v>
      </c>
      <c r="E84" s="47">
        <v>2678286166</v>
      </c>
      <c r="F84" s="47">
        <v>2661314365</v>
      </c>
      <c r="G84" s="47">
        <v>2190139547</v>
      </c>
      <c r="H84" s="47">
        <v>2182540177</v>
      </c>
      <c r="I84" s="47">
        <v>2730544637</v>
      </c>
      <c r="J84" s="47">
        <v>2334966914</v>
      </c>
      <c r="K84" s="47">
        <v>2282371084</v>
      </c>
      <c r="L84" s="47">
        <v>2275725417</v>
      </c>
      <c r="M84" s="47">
        <v>2280213557</v>
      </c>
      <c r="N84" s="61">
        <v>2663752054</v>
      </c>
      <c r="O84" s="81">
        <f>AVERAGE(B84:N84)</f>
        <v>2481403032</v>
      </c>
      <c r="P84" s="65" t="s">
        <v>92</v>
      </c>
    </row>
    <row r="85" spans="1:16" x14ac:dyDescent="0.3">
      <c r="A85" s="36" t="s">
        <v>194</v>
      </c>
      <c r="B85" s="33">
        <v>2013081836</v>
      </c>
      <c r="C85" s="33">
        <v>2010872111</v>
      </c>
      <c r="D85" s="33">
        <v>1987103106</v>
      </c>
      <c r="E85" s="33">
        <v>2022510017</v>
      </c>
      <c r="F85" s="33">
        <v>2005538217</v>
      </c>
      <c r="G85" s="33">
        <v>1534363399</v>
      </c>
      <c r="H85" s="33">
        <v>1526764028</v>
      </c>
      <c r="I85" s="33">
        <v>2074768488</v>
      </c>
      <c r="J85" s="33">
        <v>1679190766</v>
      </c>
      <c r="K85" s="33">
        <v>1626594936</v>
      </c>
      <c r="L85" s="33">
        <v>1619949268</v>
      </c>
      <c r="M85" s="33">
        <v>1624437409</v>
      </c>
      <c r="N85" s="57">
        <v>2007975905</v>
      </c>
      <c r="O85" s="77"/>
    </row>
    <row r="86" spans="1:16" x14ac:dyDescent="0.3">
      <c r="A86" s="36" t="s">
        <v>195</v>
      </c>
      <c r="B86" s="33">
        <v>655776148</v>
      </c>
      <c r="C86" s="33">
        <v>655776148</v>
      </c>
      <c r="D86" s="33">
        <v>655776148</v>
      </c>
      <c r="E86" s="33">
        <v>655776148</v>
      </c>
      <c r="F86" s="33">
        <v>655776148</v>
      </c>
      <c r="G86" s="33">
        <v>655776148</v>
      </c>
      <c r="H86" s="33">
        <v>655776148</v>
      </c>
      <c r="I86" s="33">
        <v>655776148</v>
      </c>
      <c r="J86" s="33">
        <v>655776148</v>
      </c>
      <c r="K86" s="33">
        <v>655776148</v>
      </c>
      <c r="L86" s="33">
        <v>655776148</v>
      </c>
      <c r="M86" s="33">
        <v>655776148</v>
      </c>
      <c r="N86" s="57">
        <v>655776148</v>
      </c>
      <c r="O86" s="77"/>
    </row>
    <row r="87" spans="1:16" hidden="1" outlineLevel="1" x14ac:dyDescent="0.3">
      <c r="A87" s="37" t="s">
        <v>196</v>
      </c>
      <c r="B87" s="33">
        <v>1373097</v>
      </c>
      <c r="C87" s="33">
        <v>1373097</v>
      </c>
      <c r="D87" s="33">
        <v>1373097</v>
      </c>
      <c r="E87" s="33">
        <v>1373097</v>
      </c>
      <c r="F87" s="33">
        <v>1373097</v>
      </c>
      <c r="G87" s="33">
        <v>1373097</v>
      </c>
      <c r="H87" s="33">
        <v>1373097</v>
      </c>
      <c r="I87" s="33">
        <v>1373097</v>
      </c>
      <c r="J87" s="33">
        <v>1373097</v>
      </c>
      <c r="K87" s="33">
        <v>1373097</v>
      </c>
      <c r="L87" s="33">
        <v>1373097</v>
      </c>
      <c r="M87" s="33">
        <v>1333130</v>
      </c>
      <c r="N87" s="57"/>
      <c r="O87" s="77"/>
    </row>
    <row r="88" spans="1:16" hidden="1" outlineLevel="1" x14ac:dyDescent="0.3">
      <c r="A88" s="37" t="s">
        <v>197</v>
      </c>
      <c r="B88" s="39">
        <v>0</v>
      </c>
      <c r="C88" s="39">
        <v>0</v>
      </c>
      <c r="D88" s="39">
        <v>0</v>
      </c>
      <c r="E88" s="39">
        <v>0</v>
      </c>
      <c r="F88" s="39">
        <v>0</v>
      </c>
      <c r="G88" s="33">
        <v>3293727</v>
      </c>
      <c r="H88" s="33">
        <v>3293727</v>
      </c>
      <c r="I88" s="33">
        <v>3293727</v>
      </c>
      <c r="J88" s="33">
        <v>16541025</v>
      </c>
      <c r="K88" s="33">
        <v>16541025</v>
      </c>
      <c r="L88" s="33">
        <v>16541025</v>
      </c>
      <c r="M88" s="33">
        <v>8513823</v>
      </c>
      <c r="N88" s="57"/>
      <c r="O88" s="77"/>
    </row>
    <row r="89" spans="1:16" hidden="1" outlineLevel="1" x14ac:dyDescent="0.3">
      <c r="A89" s="36" t="s">
        <v>198</v>
      </c>
      <c r="B89" s="39">
        <v>0</v>
      </c>
      <c r="C89" s="39">
        <v>0</v>
      </c>
      <c r="D89" s="39">
        <v>0</v>
      </c>
      <c r="E89" s="39">
        <v>0</v>
      </c>
      <c r="F89" s="39">
        <v>0</v>
      </c>
      <c r="G89" s="33">
        <v>3293727</v>
      </c>
      <c r="H89" s="33">
        <v>3293727</v>
      </c>
      <c r="I89" s="33">
        <v>3293727</v>
      </c>
      <c r="J89" s="33">
        <v>16541025</v>
      </c>
      <c r="K89" s="33">
        <v>16541025</v>
      </c>
      <c r="L89" s="33">
        <v>16541025</v>
      </c>
      <c r="M89" s="33">
        <v>8513823</v>
      </c>
      <c r="N89" s="57"/>
      <c r="O89" s="77"/>
    </row>
    <row r="90" spans="1:16" hidden="1" outlineLevel="1" x14ac:dyDescent="0.3">
      <c r="A90" s="37" t="s">
        <v>199</v>
      </c>
      <c r="B90" s="33">
        <v>31453072</v>
      </c>
      <c r="C90" s="33">
        <v>31692174</v>
      </c>
      <c r="D90" s="33">
        <v>31743553</v>
      </c>
      <c r="E90" s="33">
        <v>31878451</v>
      </c>
      <c r="F90" s="33">
        <v>32085826</v>
      </c>
      <c r="G90" s="33">
        <v>32432779</v>
      </c>
      <c r="H90" s="33">
        <v>32626580</v>
      </c>
      <c r="I90" s="33">
        <v>32025138</v>
      </c>
      <c r="J90" s="33">
        <v>32763302</v>
      </c>
      <c r="K90" s="33">
        <v>33001223</v>
      </c>
      <c r="L90" s="33">
        <v>33239144</v>
      </c>
      <c r="M90" s="33">
        <v>24666506</v>
      </c>
      <c r="N90" s="57"/>
      <c r="O90" s="77"/>
    </row>
    <row r="91" spans="1:16" ht="21.6" hidden="1" outlineLevel="1" x14ac:dyDescent="0.3">
      <c r="A91" s="21" t="s">
        <v>200</v>
      </c>
      <c r="B91" s="14">
        <v>31453072</v>
      </c>
      <c r="C91" s="14">
        <v>31692174</v>
      </c>
      <c r="D91" s="14">
        <v>31743553</v>
      </c>
      <c r="E91" s="14">
        <v>31878451</v>
      </c>
      <c r="F91" s="14">
        <v>32085826</v>
      </c>
      <c r="G91" s="14">
        <v>32432779</v>
      </c>
      <c r="H91" s="14">
        <v>32626580</v>
      </c>
      <c r="I91" s="14">
        <v>32025138</v>
      </c>
      <c r="J91" s="14">
        <v>32763302</v>
      </c>
      <c r="K91" s="14">
        <v>33001223</v>
      </c>
      <c r="L91" s="14">
        <v>33239144</v>
      </c>
      <c r="M91" s="14">
        <v>24666506</v>
      </c>
      <c r="N91" s="63"/>
      <c r="O91" s="83"/>
    </row>
    <row r="92" spans="1:16" hidden="1" outlineLevel="1" x14ac:dyDescent="0.3">
      <c r="A92" s="37" t="s">
        <v>201</v>
      </c>
      <c r="B92" s="33">
        <v>-9651827</v>
      </c>
      <c r="C92" s="33">
        <v>-9651827</v>
      </c>
      <c r="D92" s="33">
        <v>-15813233</v>
      </c>
      <c r="E92" s="33">
        <v>-15809405</v>
      </c>
      <c r="F92" s="33">
        <v>-15809405</v>
      </c>
      <c r="G92" s="33">
        <v>-13333164</v>
      </c>
      <c r="H92" s="33">
        <v>-13333164</v>
      </c>
      <c r="I92" s="33">
        <v>-13379860</v>
      </c>
      <c r="J92" s="33">
        <v>-11375319</v>
      </c>
      <c r="K92" s="33">
        <v>-11375319</v>
      </c>
      <c r="L92" s="33">
        <v>-11375319</v>
      </c>
      <c r="M92" s="33">
        <v>-11384457</v>
      </c>
      <c r="N92" s="57"/>
      <c r="O92" s="77"/>
    </row>
    <row r="93" spans="1:16" hidden="1" outlineLevel="1" x14ac:dyDescent="0.3">
      <c r="A93" s="36" t="s">
        <v>202</v>
      </c>
      <c r="B93" s="33">
        <v>13088595</v>
      </c>
      <c r="C93" s="33">
        <v>13088595</v>
      </c>
      <c r="D93" s="33">
        <v>7090575</v>
      </c>
      <c r="E93" s="33">
        <v>7090575</v>
      </c>
      <c r="F93" s="33">
        <v>7090575</v>
      </c>
      <c r="G93" s="33">
        <v>9753075</v>
      </c>
      <c r="H93" s="33">
        <v>9753075</v>
      </c>
      <c r="I93" s="33">
        <v>9753075</v>
      </c>
      <c r="J93" s="33">
        <v>11921002</v>
      </c>
      <c r="K93" s="33">
        <v>11921002</v>
      </c>
      <c r="L93" s="33">
        <v>11921002</v>
      </c>
      <c r="M93" s="33">
        <v>12114400</v>
      </c>
      <c r="N93" s="57"/>
      <c r="O93" s="77"/>
    </row>
    <row r="94" spans="1:16" hidden="1" outlineLevel="1" x14ac:dyDescent="0.3">
      <c r="A94" s="36" t="s">
        <v>203</v>
      </c>
      <c r="B94" s="33">
        <v>-22740422</v>
      </c>
      <c r="C94" s="33">
        <v>-22740422</v>
      </c>
      <c r="D94" s="33">
        <v>-22903808</v>
      </c>
      <c r="E94" s="33">
        <v>-22899980</v>
      </c>
      <c r="F94" s="33">
        <v>-22899980</v>
      </c>
      <c r="G94" s="33">
        <v>-23086239</v>
      </c>
      <c r="H94" s="33">
        <v>-23086239</v>
      </c>
      <c r="I94" s="33">
        <v>-23132935</v>
      </c>
      <c r="J94" s="33">
        <v>-23296321</v>
      </c>
      <c r="K94" s="33">
        <v>-23296321</v>
      </c>
      <c r="L94" s="33">
        <v>-23296321</v>
      </c>
      <c r="M94" s="33">
        <v>-23498858</v>
      </c>
      <c r="N94" s="57"/>
      <c r="O94" s="77"/>
    </row>
    <row r="95" spans="1:16" collapsed="1" x14ac:dyDescent="0.3">
      <c r="A95" s="29" t="s">
        <v>204</v>
      </c>
      <c r="B95" s="32">
        <v>2692032326</v>
      </c>
      <c r="C95" s="32">
        <v>2690061703</v>
      </c>
      <c r="D95" s="32">
        <v>2660182671</v>
      </c>
      <c r="E95" s="32">
        <v>2695728308</v>
      </c>
      <c r="F95" s="32">
        <v>2678963883</v>
      </c>
      <c r="G95" s="32">
        <v>2213905986</v>
      </c>
      <c r="H95" s="32">
        <v>2206500417</v>
      </c>
      <c r="I95" s="32">
        <v>2753856739</v>
      </c>
      <c r="J95" s="32">
        <v>2374269019</v>
      </c>
      <c r="K95" s="32">
        <v>2321911110</v>
      </c>
      <c r="L95" s="32">
        <v>2315503364</v>
      </c>
      <c r="M95" s="32">
        <v>2303342559</v>
      </c>
      <c r="N95" s="58"/>
      <c r="O95" s="78"/>
    </row>
    <row r="96" spans="1:16" x14ac:dyDescent="0.3">
      <c r="A96" s="31"/>
      <c r="B96" s="30"/>
      <c r="C96" s="30"/>
      <c r="D96" s="30"/>
      <c r="E96" s="30"/>
      <c r="F96" s="30"/>
      <c r="G96" s="30"/>
      <c r="H96" s="30"/>
      <c r="I96" s="30"/>
      <c r="J96" s="30"/>
      <c r="K96" s="30"/>
      <c r="L96" s="30"/>
      <c r="M96" s="30"/>
      <c r="N96" s="53"/>
      <c r="O96" s="73"/>
    </row>
    <row r="97" spans="1:16" x14ac:dyDescent="0.3">
      <c r="A97" s="29" t="s">
        <v>205</v>
      </c>
      <c r="B97" s="30"/>
      <c r="C97" s="30"/>
      <c r="D97" s="30"/>
      <c r="E97" s="30"/>
      <c r="F97" s="30"/>
      <c r="G97" s="30"/>
      <c r="H97" s="30"/>
      <c r="I97" s="30"/>
      <c r="J97" s="30"/>
      <c r="K97" s="30"/>
      <c r="L97" s="30"/>
      <c r="M97" s="30"/>
      <c r="N97" s="53"/>
      <c r="O97" s="73"/>
    </row>
    <row r="98" spans="1:16" x14ac:dyDescent="0.3">
      <c r="A98" s="31"/>
      <c r="B98" s="30"/>
      <c r="C98" s="30"/>
      <c r="D98" s="30"/>
      <c r="E98" s="30"/>
      <c r="F98" s="30"/>
      <c r="G98" s="30"/>
      <c r="H98" s="30"/>
      <c r="I98" s="30"/>
      <c r="J98" s="30"/>
      <c r="K98" s="30"/>
      <c r="L98" s="30"/>
      <c r="M98" s="30"/>
      <c r="N98" s="53"/>
      <c r="O98" s="73"/>
    </row>
    <row r="99" spans="1:16" x14ac:dyDescent="0.3">
      <c r="A99" s="29" t="s">
        <v>206</v>
      </c>
      <c r="B99" s="30"/>
      <c r="C99" s="30"/>
      <c r="D99" s="30"/>
      <c r="E99" s="30"/>
      <c r="F99" s="30"/>
      <c r="G99" s="30"/>
      <c r="H99" s="30"/>
      <c r="I99" s="30"/>
      <c r="J99" s="30"/>
      <c r="K99" s="30"/>
      <c r="L99" s="30"/>
      <c r="M99" s="30"/>
      <c r="N99" s="53"/>
      <c r="O99" s="73"/>
    </row>
    <row r="100" spans="1:16" x14ac:dyDescent="0.3">
      <c r="A100" s="46" t="s">
        <v>207</v>
      </c>
      <c r="B100" s="47">
        <v>7248342859</v>
      </c>
      <c r="C100" s="47">
        <v>7308055893</v>
      </c>
      <c r="D100" s="47">
        <v>7364738210</v>
      </c>
      <c r="E100" s="47">
        <v>7396823911</v>
      </c>
      <c r="F100" s="47">
        <v>7483977868</v>
      </c>
      <c r="G100" s="47">
        <v>7508950402</v>
      </c>
      <c r="H100" s="47">
        <v>7524979291</v>
      </c>
      <c r="I100" s="47">
        <v>7610860208</v>
      </c>
      <c r="J100" s="47">
        <v>7674339601</v>
      </c>
      <c r="K100" s="47">
        <v>7678334144</v>
      </c>
      <c r="L100" s="47">
        <v>7745506923</v>
      </c>
      <c r="M100" s="47">
        <v>7761357474</v>
      </c>
      <c r="N100" s="61">
        <v>7242418077</v>
      </c>
      <c r="O100" s="81">
        <f>AVERAGE(B100:N100)</f>
        <v>7503744989.3076925</v>
      </c>
      <c r="P100" s="65" t="s">
        <v>92</v>
      </c>
    </row>
    <row r="101" spans="1:16" x14ac:dyDescent="0.3">
      <c r="A101" s="36" t="s">
        <v>208</v>
      </c>
      <c r="B101" s="33">
        <v>7248342859</v>
      </c>
      <c r="C101" s="33">
        <v>7308055893</v>
      </c>
      <c r="D101" s="33">
        <v>7364738210</v>
      </c>
      <c r="E101" s="33">
        <v>7396823911</v>
      </c>
      <c r="F101" s="33">
        <v>7483977868</v>
      </c>
      <c r="G101" s="33">
        <v>7508950402</v>
      </c>
      <c r="H101" s="33">
        <v>7524979291</v>
      </c>
      <c r="I101" s="33">
        <v>7610860208</v>
      </c>
      <c r="J101" s="33">
        <v>7674339601</v>
      </c>
      <c r="K101" s="33">
        <v>7678334144</v>
      </c>
      <c r="L101" s="33">
        <v>7745506923</v>
      </c>
      <c r="M101" s="33">
        <v>7761357474</v>
      </c>
      <c r="N101" s="57">
        <v>7242418077</v>
      </c>
      <c r="O101" s="77"/>
    </row>
    <row r="102" spans="1:16" x14ac:dyDescent="0.3">
      <c r="A102" s="46" t="s">
        <v>210</v>
      </c>
      <c r="B102" s="47">
        <v>1421846638</v>
      </c>
      <c r="C102" s="47">
        <v>1421846638</v>
      </c>
      <c r="D102" s="47">
        <v>1421846638</v>
      </c>
      <c r="E102" s="47">
        <v>1421846638</v>
      </c>
      <c r="F102" s="47">
        <v>1421846638</v>
      </c>
      <c r="G102" s="47">
        <v>1421846638</v>
      </c>
      <c r="H102" s="47">
        <v>1421846638</v>
      </c>
      <c r="I102" s="47">
        <v>1421846638</v>
      </c>
      <c r="J102" s="47">
        <v>1421836628</v>
      </c>
      <c r="K102" s="47">
        <v>1421836628</v>
      </c>
      <c r="L102" s="47">
        <v>1421836628</v>
      </c>
      <c r="M102" s="47">
        <v>1421836628</v>
      </c>
      <c r="N102" s="61">
        <v>1421846638</v>
      </c>
      <c r="O102" s="81">
        <f>AVERAGE(B102:N102)</f>
        <v>1421843558</v>
      </c>
      <c r="P102" s="65" t="s">
        <v>92</v>
      </c>
    </row>
    <row r="103" spans="1:16" x14ac:dyDescent="0.3">
      <c r="A103" s="36" t="s">
        <v>211</v>
      </c>
      <c r="B103" s="33">
        <v>1421846638</v>
      </c>
      <c r="C103" s="33">
        <v>1421846638</v>
      </c>
      <c r="D103" s="33">
        <v>1421846638</v>
      </c>
      <c r="E103" s="33">
        <v>1421846638</v>
      </c>
      <c r="F103" s="33">
        <v>1421846638</v>
      </c>
      <c r="G103" s="33">
        <v>1421846638</v>
      </c>
      <c r="H103" s="33">
        <v>1421846638</v>
      </c>
      <c r="I103" s="33">
        <v>1421846638</v>
      </c>
      <c r="J103" s="33">
        <v>1421836628</v>
      </c>
      <c r="K103" s="33">
        <v>1421836628</v>
      </c>
      <c r="L103" s="33">
        <v>1421836628</v>
      </c>
      <c r="M103" s="33">
        <v>1421836628</v>
      </c>
      <c r="N103" s="57">
        <v>1421846638</v>
      </c>
      <c r="O103" s="77"/>
    </row>
    <row r="104" spans="1:16" x14ac:dyDescent="0.3">
      <c r="A104" s="46" t="s">
        <v>212</v>
      </c>
      <c r="B104" s="47">
        <v>47852127</v>
      </c>
      <c r="C104" s="47">
        <v>47852127</v>
      </c>
      <c r="D104" s="47">
        <v>48245272</v>
      </c>
      <c r="E104" s="47">
        <v>48245272</v>
      </c>
      <c r="F104" s="47">
        <v>48245272</v>
      </c>
      <c r="G104" s="47">
        <v>48233884</v>
      </c>
      <c r="H104" s="47">
        <v>48233884</v>
      </c>
      <c r="I104" s="47">
        <v>48233884</v>
      </c>
      <c r="J104" s="47">
        <v>48708637</v>
      </c>
      <c r="K104" s="47">
        <v>48708637</v>
      </c>
      <c r="L104" s="47">
        <v>48708637</v>
      </c>
      <c r="M104" s="47">
        <v>49183390</v>
      </c>
      <c r="N104" s="61">
        <v>47852127</v>
      </c>
      <c r="O104" s="81">
        <f>AVERAGE(B104:N104)</f>
        <v>48331011.538461536</v>
      </c>
      <c r="P104" s="65" t="s">
        <v>92</v>
      </c>
    </row>
    <row r="105" spans="1:16" x14ac:dyDescent="0.3">
      <c r="A105" s="36" t="s">
        <v>213</v>
      </c>
      <c r="B105" s="33">
        <v>47852127</v>
      </c>
      <c r="C105" s="33">
        <v>47852127</v>
      </c>
      <c r="D105" s="33">
        <v>48245272</v>
      </c>
      <c r="E105" s="33">
        <v>48245272</v>
      </c>
      <c r="F105" s="33">
        <v>48245272</v>
      </c>
      <c r="G105" s="33">
        <v>48233884</v>
      </c>
      <c r="H105" s="33">
        <v>48233884</v>
      </c>
      <c r="I105" s="33">
        <v>48233884</v>
      </c>
      <c r="J105" s="33">
        <v>48708637</v>
      </c>
      <c r="K105" s="33">
        <v>48708637</v>
      </c>
      <c r="L105" s="33">
        <v>48708637</v>
      </c>
      <c r="M105" s="33">
        <v>49183390</v>
      </c>
      <c r="N105" s="57">
        <v>47852127</v>
      </c>
      <c r="O105" s="77"/>
    </row>
    <row r="106" spans="1:16" hidden="1" outlineLevel="1" x14ac:dyDescent="0.3">
      <c r="A106" s="37" t="s">
        <v>214</v>
      </c>
      <c r="B106" s="33">
        <v>136197113</v>
      </c>
      <c r="C106" s="33">
        <v>136585433</v>
      </c>
      <c r="D106" s="33">
        <v>140362766</v>
      </c>
      <c r="E106" s="33">
        <v>134843950</v>
      </c>
      <c r="F106" s="33">
        <v>139815694</v>
      </c>
      <c r="G106" s="33">
        <v>135373670</v>
      </c>
      <c r="H106" s="33">
        <v>136178666</v>
      </c>
      <c r="I106" s="33">
        <v>137179905</v>
      </c>
      <c r="J106" s="33">
        <v>128248219</v>
      </c>
      <c r="K106" s="33">
        <v>129199194</v>
      </c>
      <c r="L106" s="33">
        <v>131513024</v>
      </c>
      <c r="M106" s="33">
        <v>117708927</v>
      </c>
      <c r="N106" s="57"/>
      <c r="O106" s="77"/>
    </row>
    <row r="107" spans="1:16" hidden="1" outlineLevel="1" x14ac:dyDescent="0.3">
      <c r="A107" s="36" t="s">
        <v>215</v>
      </c>
      <c r="B107" s="33">
        <v>-4693762</v>
      </c>
      <c r="C107" s="33">
        <v>-4693762</v>
      </c>
      <c r="D107" s="33">
        <v>-4693762</v>
      </c>
      <c r="E107" s="33">
        <v>-4693762</v>
      </c>
      <c r="F107" s="33">
        <v>-4693762</v>
      </c>
      <c r="G107" s="33">
        <v>-4693762</v>
      </c>
      <c r="H107" s="33">
        <v>-4693762</v>
      </c>
      <c r="I107" s="33">
        <v>-4693762</v>
      </c>
      <c r="J107" s="33">
        <v>-4693762</v>
      </c>
      <c r="K107" s="33">
        <v>-4693762</v>
      </c>
      <c r="L107" s="33">
        <v>-4693762</v>
      </c>
      <c r="M107" s="33">
        <v>1614131</v>
      </c>
      <c r="N107" s="57"/>
      <c r="O107" s="77"/>
    </row>
    <row r="108" spans="1:16" hidden="1" outlineLevel="1" x14ac:dyDescent="0.3">
      <c r="A108" s="36" t="s">
        <v>216</v>
      </c>
      <c r="B108" s="33">
        <v>1</v>
      </c>
      <c r="C108" s="33">
        <v>1</v>
      </c>
      <c r="D108" s="33">
        <v>1</v>
      </c>
      <c r="E108" s="33">
        <v>1</v>
      </c>
      <c r="F108" s="33">
        <v>1</v>
      </c>
      <c r="G108" s="33">
        <v>1</v>
      </c>
      <c r="H108" s="33">
        <v>1</v>
      </c>
      <c r="I108" s="33">
        <v>1</v>
      </c>
      <c r="J108" s="33">
        <v>1</v>
      </c>
      <c r="K108" s="33">
        <v>1</v>
      </c>
      <c r="L108" s="33">
        <v>1</v>
      </c>
      <c r="M108" s="33">
        <v>1</v>
      </c>
      <c r="N108" s="57"/>
      <c r="O108" s="77"/>
    </row>
    <row r="109" spans="1:16" hidden="1" outlineLevel="1" x14ac:dyDescent="0.3">
      <c r="A109" s="36" t="s">
        <v>217</v>
      </c>
      <c r="B109" s="33">
        <v>29534793</v>
      </c>
      <c r="C109" s="33">
        <v>31672734</v>
      </c>
      <c r="D109" s="33">
        <v>52279754</v>
      </c>
      <c r="E109" s="33">
        <v>22099613</v>
      </c>
      <c r="F109" s="33">
        <v>36784799</v>
      </c>
      <c r="G109" s="33">
        <v>12513736</v>
      </c>
      <c r="H109" s="33">
        <v>18838280</v>
      </c>
      <c r="I109" s="33">
        <v>-11634069</v>
      </c>
      <c r="J109" s="33">
        <v>-82663826</v>
      </c>
      <c r="K109" s="33">
        <v>-75751376</v>
      </c>
      <c r="L109" s="33">
        <v>-58944991</v>
      </c>
      <c r="M109" s="33">
        <v>-63236019</v>
      </c>
      <c r="N109" s="57"/>
      <c r="O109" s="77"/>
    </row>
    <row r="110" spans="1:16" hidden="1" outlineLevel="1" x14ac:dyDescent="0.3">
      <c r="A110" s="36" t="s">
        <v>218</v>
      </c>
      <c r="B110" s="33">
        <v>-21</v>
      </c>
      <c r="C110" s="33">
        <v>-21</v>
      </c>
      <c r="D110" s="33">
        <v>-21</v>
      </c>
      <c r="E110" s="33">
        <v>-21</v>
      </c>
      <c r="F110" s="33">
        <v>-21</v>
      </c>
      <c r="G110" s="33">
        <v>-21</v>
      </c>
      <c r="H110" s="33">
        <v>-21</v>
      </c>
      <c r="I110" s="33">
        <v>-21</v>
      </c>
      <c r="J110" s="33">
        <v>-21</v>
      </c>
      <c r="K110" s="33">
        <v>-21</v>
      </c>
      <c r="L110" s="33">
        <v>-21</v>
      </c>
      <c r="M110" s="33">
        <v>-21</v>
      </c>
      <c r="N110" s="57"/>
      <c r="O110" s="77"/>
    </row>
    <row r="111" spans="1:16" hidden="1" outlineLevel="1" x14ac:dyDescent="0.3">
      <c r="A111" s="36" t="s">
        <v>219</v>
      </c>
      <c r="B111" s="39">
        <v>0</v>
      </c>
      <c r="C111" s="39">
        <v>0</v>
      </c>
      <c r="D111" s="39">
        <v>0</v>
      </c>
      <c r="E111" s="38" t="s">
        <v>77</v>
      </c>
      <c r="F111" s="33">
        <v>2283960</v>
      </c>
      <c r="G111" s="33">
        <v>2283960</v>
      </c>
      <c r="H111" s="33">
        <v>2283960</v>
      </c>
      <c r="I111" s="33">
        <v>2283960</v>
      </c>
      <c r="J111" s="33">
        <v>2283960</v>
      </c>
      <c r="K111" s="33">
        <v>2283960</v>
      </c>
      <c r="L111" s="33">
        <v>2283960</v>
      </c>
      <c r="M111" s="33">
        <v>2283960</v>
      </c>
      <c r="N111" s="57"/>
      <c r="O111" s="77"/>
    </row>
    <row r="112" spans="1:16" hidden="1" outlineLevel="1" x14ac:dyDescent="0.3">
      <c r="A112" s="36" t="s">
        <v>220</v>
      </c>
      <c r="B112" s="33">
        <v>111356102</v>
      </c>
      <c r="C112" s="33">
        <v>109606481</v>
      </c>
      <c r="D112" s="33">
        <v>92776793</v>
      </c>
      <c r="E112" s="33">
        <v>117438118</v>
      </c>
      <c r="F112" s="33">
        <v>105440717</v>
      </c>
      <c r="G112" s="33">
        <v>125269755</v>
      </c>
      <c r="H112" s="33">
        <v>119750207</v>
      </c>
      <c r="I112" s="33">
        <v>151223795</v>
      </c>
      <c r="J112" s="33">
        <v>213321867</v>
      </c>
      <c r="K112" s="33">
        <v>207360391</v>
      </c>
      <c r="L112" s="33">
        <v>192867837</v>
      </c>
      <c r="M112" s="33">
        <v>177046874</v>
      </c>
      <c r="N112" s="57"/>
      <c r="O112" s="77"/>
    </row>
    <row r="113" spans="1:15" hidden="1" outlineLevel="1" x14ac:dyDescent="0.3">
      <c r="A113" s="37" t="s">
        <v>221</v>
      </c>
      <c r="B113" s="33">
        <v>-2106832438</v>
      </c>
      <c r="C113" s="33">
        <v>-2108644182</v>
      </c>
      <c r="D113" s="33">
        <v>-2086081347</v>
      </c>
      <c r="E113" s="33">
        <v>-2281711048</v>
      </c>
      <c r="F113" s="33">
        <v>-2286418305</v>
      </c>
      <c r="G113" s="33">
        <v>-2314487600</v>
      </c>
      <c r="H113" s="33">
        <v>-2494578138</v>
      </c>
      <c r="I113" s="33">
        <v>-2498839510</v>
      </c>
      <c r="J113" s="33">
        <v>-2380599321</v>
      </c>
      <c r="K113" s="33">
        <v>-2560803830</v>
      </c>
      <c r="L113" s="33">
        <v>-2561260553</v>
      </c>
      <c r="M113" s="33">
        <v>-2552368018</v>
      </c>
      <c r="N113" s="57"/>
      <c r="O113" s="77"/>
    </row>
    <row r="114" spans="1:15" hidden="1" outlineLevel="1" x14ac:dyDescent="0.3">
      <c r="A114" s="36" t="s">
        <v>222</v>
      </c>
      <c r="B114" s="33">
        <v>-18279901</v>
      </c>
      <c r="C114" s="33">
        <v>-20019652</v>
      </c>
      <c r="D114" s="33">
        <v>2543184</v>
      </c>
      <c r="E114" s="33">
        <v>-18468310</v>
      </c>
      <c r="F114" s="33">
        <v>-20801773</v>
      </c>
      <c r="G114" s="33">
        <v>-48871069</v>
      </c>
      <c r="H114" s="33">
        <v>-52963969</v>
      </c>
      <c r="I114" s="33">
        <v>-57135235</v>
      </c>
      <c r="J114" s="33">
        <v>61104954</v>
      </c>
      <c r="K114" s="33">
        <v>65982370</v>
      </c>
      <c r="L114" s="33">
        <v>65578949</v>
      </c>
      <c r="M114" s="33">
        <v>74856940</v>
      </c>
      <c r="N114" s="57"/>
      <c r="O114" s="77"/>
    </row>
    <row r="115" spans="1:15" ht="21.6" hidden="1" outlineLevel="1" x14ac:dyDescent="0.3">
      <c r="A115" s="35" t="s">
        <v>223</v>
      </c>
      <c r="B115" s="14">
        <v>-18279901</v>
      </c>
      <c r="C115" s="14">
        <v>-20019652</v>
      </c>
      <c r="D115" s="14">
        <v>2543184</v>
      </c>
      <c r="E115" s="14">
        <v>-18468310</v>
      </c>
      <c r="F115" s="14">
        <v>-20801773</v>
      </c>
      <c r="G115" s="14">
        <v>-48871069</v>
      </c>
      <c r="H115" s="14">
        <v>-52963969</v>
      </c>
      <c r="I115" s="14">
        <v>-57135235</v>
      </c>
      <c r="J115" s="14">
        <v>61104954</v>
      </c>
      <c r="K115" s="14">
        <v>65982370</v>
      </c>
      <c r="L115" s="14">
        <v>65578949</v>
      </c>
      <c r="M115" s="14">
        <v>74856940</v>
      </c>
      <c r="N115" s="63"/>
      <c r="O115" s="83"/>
    </row>
    <row r="116" spans="1:15" hidden="1" outlineLevel="1" x14ac:dyDescent="0.3">
      <c r="A116" s="36" t="s">
        <v>224</v>
      </c>
      <c r="B116" s="33">
        <v>-172955678</v>
      </c>
      <c r="C116" s="33">
        <v>-173027672</v>
      </c>
      <c r="D116" s="33">
        <v>-173027672</v>
      </c>
      <c r="E116" s="33">
        <v>-347645879</v>
      </c>
      <c r="F116" s="33">
        <v>-347735713</v>
      </c>
      <c r="G116" s="33">
        <v>-347735713</v>
      </c>
      <c r="H116" s="33">
        <v>-523733351</v>
      </c>
      <c r="I116" s="33">
        <v>-523823457</v>
      </c>
      <c r="J116" s="33">
        <v>-523823457</v>
      </c>
      <c r="K116" s="33">
        <v>-708905381</v>
      </c>
      <c r="L116" s="33">
        <v>-708958683</v>
      </c>
      <c r="M116" s="33">
        <v>-708958683</v>
      </c>
      <c r="N116" s="57"/>
      <c r="O116" s="77"/>
    </row>
    <row r="117" spans="1:15" hidden="1" outlineLevel="1" x14ac:dyDescent="0.3">
      <c r="A117" s="36" t="s">
        <v>225</v>
      </c>
      <c r="B117" s="33">
        <v>-1915596858</v>
      </c>
      <c r="C117" s="33">
        <v>-1915596858</v>
      </c>
      <c r="D117" s="33">
        <v>-1915596858</v>
      </c>
      <c r="E117" s="33">
        <v>-1915596858</v>
      </c>
      <c r="F117" s="33">
        <v>-1917880818</v>
      </c>
      <c r="G117" s="33">
        <v>-1917880818</v>
      </c>
      <c r="H117" s="33">
        <v>-1917880818</v>
      </c>
      <c r="I117" s="33">
        <v>-1917880818</v>
      </c>
      <c r="J117" s="33">
        <v>-1917880818</v>
      </c>
      <c r="K117" s="33">
        <v>-1917880818</v>
      </c>
      <c r="L117" s="33">
        <v>-1917880818</v>
      </c>
      <c r="M117" s="33">
        <v>-1918266274</v>
      </c>
      <c r="N117" s="57"/>
      <c r="O117" s="77"/>
    </row>
    <row r="118" spans="1:15" ht="21.6" hidden="1" outlineLevel="1" x14ac:dyDescent="0.3">
      <c r="A118" s="35" t="s">
        <v>226</v>
      </c>
      <c r="B118" s="14">
        <v>3575752</v>
      </c>
      <c r="C118" s="14">
        <v>3575752</v>
      </c>
      <c r="D118" s="14">
        <v>3575752</v>
      </c>
      <c r="E118" s="14">
        <v>3575752</v>
      </c>
      <c r="F118" s="14">
        <v>1291792</v>
      </c>
      <c r="G118" s="14">
        <v>3575752</v>
      </c>
      <c r="H118" s="14">
        <v>3575752</v>
      </c>
      <c r="I118" s="14">
        <v>3575752</v>
      </c>
      <c r="J118" s="14">
        <v>3575752</v>
      </c>
      <c r="K118" s="14">
        <v>3575752</v>
      </c>
      <c r="L118" s="14">
        <v>3575752</v>
      </c>
      <c r="M118" s="14">
        <v>3575752</v>
      </c>
      <c r="N118" s="63"/>
      <c r="O118" s="83"/>
    </row>
    <row r="119" spans="1:15" ht="21.6" hidden="1" outlineLevel="1" x14ac:dyDescent="0.3">
      <c r="A119" s="35" t="s">
        <v>239</v>
      </c>
      <c r="B119" s="20">
        <v>0</v>
      </c>
      <c r="C119" s="20">
        <v>0</v>
      </c>
      <c r="D119" s="20">
        <v>0</v>
      </c>
      <c r="E119" s="18" t="s">
        <v>77</v>
      </c>
      <c r="F119" s="18" t="s">
        <v>77</v>
      </c>
      <c r="G119" s="14">
        <v>-2283960</v>
      </c>
      <c r="H119" s="14">
        <v>-2283960</v>
      </c>
      <c r="I119" s="14">
        <v>-2283960</v>
      </c>
      <c r="J119" s="14">
        <v>-2283960</v>
      </c>
      <c r="K119" s="14">
        <v>-2283960</v>
      </c>
      <c r="L119" s="14">
        <v>-2283960</v>
      </c>
      <c r="M119" s="14">
        <v>-2669416</v>
      </c>
      <c r="N119" s="63"/>
      <c r="O119" s="83"/>
    </row>
    <row r="120" spans="1:15" hidden="1" outlineLevel="1" x14ac:dyDescent="0.3">
      <c r="A120" s="34" t="s">
        <v>227</v>
      </c>
      <c r="B120" s="33">
        <v>-1919172610</v>
      </c>
      <c r="C120" s="33">
        <v>-1919172610</v>
      </c>
      <c r="D120" s="33">
        <v>-1919172610</v>
      </c>
      <c r="E120" s="33">
        <v>-1919172610</v>
      </c>
      <c r="F120" s="33">
        <v>-1919172610</v>
      </c>
      <c r="G120" s="33">
        <v>-1919172610</v>
      </c>
      <c r="H120" s="33">
        <v>-1919172610</v>
      </c>
      <c r="I120" s="33">
        <v>-1919172610</v>
      </c>
      <c r="J120" s="33">
        <v>-1919172610</v>
      </c>
      <c r="K120" s="33">
        <v>-1919172610</v>
      </c>
      <c r="L120" s="33">
        <v>-1919172610</v>
      </c>
      <c r="M120" s="33">
        <v>-1919172610</v>
      </c>
      <c r="N120" s="57"/>
      <c r="O120" s="77"/>
    </row>
    <row r="121" spans="1:15" collapsed="1" x14ac:dyDescent="0.3">
      <c r="A121" s="29" t="s">
        <v>228</v>
      </c>
      <c r="B121" s="32">
        <v>6747406299</v>
      </c>
      <c r="C121" s="32">
        <v>6805695909</v>
      </c>
      <c r="D121" s="32">
        <v>6889111539</v>
      </c>
      <c r="E121" s="32">
        <v>6720048722</v>
      </c>
      <c r="F121" s="32">
        <v>6807467166</v>
      </c>
      <c r="G121" s="32">
        <v>6799916994</v>
      </c>
      <c r="H121" s="32">
        <v>6636660342</v>
      </c>
      <c r="I121" s="32">
        <v>6719281124</v>
      </c>
      <c r="J121" s="32">
        <v>6892533764</v>
      </c>
      <c r="K121" s="32">
        <v>6717274773</v>
      </c>
      <c r="L121" s="32">
        <v>6786304659</v>
      </c>
      <c r="M121" s="32">
        <v>6797718402</v>
      </c>
      <c r="N121" s="58"/>
      <c r="O121" s="78"/>
    </row>
    <row r="122" spans="1:15" x14ac:dyDescent="0.3">
      <c r="A122" s="29" t="s">
        <v>229</v>
      </c>
      <c r="B122" s="32">
        <v>6747406299</v>
      </c>
      <c r="C122" s="32">
        <v>6805695909</v>
      </c>
      <c r="D122" s="32">
        <v>6889111539</v>
      </c>
      <c r="E122" s="32">
        <v>6720048722</v>
      </c>
      <c r="F122" s="32">
        <v>6807467166</v>
      </c>
      <c r="G122" s="32">
        <v>6799916994</v>
      </c>
      <c r="H122" s="32">
        <v>6636660342</v>
      </c>
      <c r="I122" s="32">
        <v>6719281124</v>
      </c>
      <c r="J122" s="32">
        <v>6892533764</v>
      </c>
      <c r="K122" s="32">
        <v>6717274773</v>
      </c>
      <c r="L122" s="32">
        <v>6786304659</v>
      </c>
      <c r="M122" s="32">
        <v>6797718402</v>
      </c>
      <c r="N122" s="58"/>
      <c r="O122" s="78"/>
    </row>
    <row r="123" spans="1:15" x14ac:dyDescent="0.3">
      <c r="A123" s="31"/>
      <c r="B123" s="30"/>
      <c r="C123" s="30"/>
      <c r="D123" s="30"/>
      <c r="E123" s="30"/>
      <c r="F123" s="30"/>
      <c r="G123" s="30"/>
      <c r="H123" s="30"/>
      <c r="I123" s="30"/>
      <c r="J123" s="30"/>
      <c r="K123" s="30"/>
      <c r="L123" s="30"/>
      <c r="M123" s="30"/>
      <c r="N123" s="53"/>
      <c r="O123" s="73"/>
    </row>
    <row r="124" spans="1:15" ht="15" thickBot="1" x14ac:dyDescent="0.35">
      <c r="A124" s="29" t="s">
        <v>231</v>
      </c>
      <c r="B124" s="28">
        <v>10174499928</v>
      </c>
      <c r="C124" s="28">
        <v>10049119731</v>
      </c>
      <c r="D124" s="28">
        <v>10115676464</v>
      </c>
      <c r="E124" s="28">
        <v>10308076217</v>
      </c>
      <c r="F124" s="28">
        <v>10192111440</v>
      </c>
      <c r="G124" s="28">
        <v>10135031132</v>
      </c>
      <c r="H124" s="28">
        <v>10089620054</v>
      </c>
      <c r="I124" s="28">
        <v>10540541430</v>
      </c>
      <c r="J124" s="28">
        <v>10775932749</v>
      </c>
      <c r="K124" s="28">
        <v>10757987104</v>
      </c>
      <c r="L124" s="28">
        <v>10630065787</v>
      </c>
      <c r="M124" s="28">
        <v>10567032401</v>
      </c>
      <c r="N124" s="64"/>
      <c r="O124" s="84"/>
    </row>
    <row r="125" spans="1:15" x14ac:dyDescent="0.3">
      <c r="A125" s="257" t="s">
        <v>112</v>
      </c>
      <c r="B125" s="257"/>
      <c r="C125" s="257"/>
      <c r="D125" s="257"/>
      <c r="E125" s="257"/>
      <c r="F125" s="257"/>
      <c r="G125" s="257"/>
      <c r="H125" s="257"/>
    </row>
  </sheetData>
  <mergeCells count="4">
    <mergeCell ref="A1:H1"/>
    <mergeCell ref="A2:H2"/>
    <mergeCell ref="A3:H3"/>
    <mergeCell ref="A125:H125"/>
  </mergeCells>
  <pageMargins left="0.7" right="0.7" top="0.75" bottom="0.75" header="0.3" footer="0.3"/>
  <pageSetup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87671-1564-4E48-9E12-40531CC67177}">
  <sheetPr>
    <tabColor theme="8" tint="0.79998168889431442"/>
  </sheetPr>
  <dimension ref="A1:Q118"/>
  <sheetViews>
    <sheetView showOutlineSymbols="0" topLeftCell="A4" zoomScale="90" zoomScaleNormal="90" workbookViewId="0">
      <selection activeCell="M97" sqref="M97"/>
    </sheetView>
  </sheetViews>
  <sheetFormatPr defaultColWidth="9.109375" defaultRowHeight="14.4" outlineLevelRow="1" x14ac:dyDescent="0.3"/>
  <cols>
    <col min="1" max="1" width="35.6640625" style="86" customWidth="1"/>
    <col min="2" max="13" width="17.88671875" style="86" customWidth="1"/>
    <col min="14" max="14" width="13.5546875" style="86" bestFit="1" customWidth="1"/>
    <col min="15" max="15" width="14.88671875" style="86" bestFit="1" customWidth="1"/>
    <col min="16" max="16384" width="9.109375" style="86"/>
  </cols>
  <sheetData>
    <row r="1" spans="1:17" x14ac:dyDescent="0.3">
      <c r="A1" s="258" t="s">
        <v>113</v>
      </c>
      <c r="B1" s="258"/>
      <c r="C1" s="258"/>
      <c r="D1" s="258"/>
      <c r="E1" s="258"/>
      <c r="F1" s="258"/>
      <c r="G1" s="258"/>
      <c r="H1" s="258"/>
    </row>
    <row r="2" spans="1:17" x14ac:dyDescent="0.3">
      <c r="A2" s="259" t="s">
        <v>51</v>
      </c>
      <c r="B2" s="259"/>
      <c r="C2" s="259"/>
      <c r="D2" s="259"/>
      <c r="E2" s="259"/>
      <c r="F2" s="259"/>
      <c r="G2" s="259"/>
      <c r="H2" s="259"/>
      <c r="N2" s="157" t="s">
        <v>240</v>
      </c>
    </row>
    <row r="3" spans="1:17" x14ac:dyDescent="0.3">
      <c r="A3" s="259" t="s">
        <v>241</v>
      </c>
      <c r="B3" s="259"/>
      <c r="C3" s="259"/>
      <c r="D3" s="259"/>
      <c r="E3" s="259"/>
      <c r="F3" s="259"/>
      <c r="G3" s="259"/>
      <c r="H3" s="259"/>
      <c r="N3" s="50" t="s">
        <v>114</v>
      </c>
      <c r="O3" s="71"/>
    </row>
    <row r="4" spans="1:17" x14ac:dyDescent="0.3">
      <c r="A4" s="91"/>
      <c r="B4" s="213" t="s">
        <v>53</v>
      </c>
      <c r="C4" s="213" t="s">
        <v>54</v>
      </c>
      <c r="D4" s="213" t="s">
        <v>55</v>
      </c>
      <c r="E4" s="213" t="s">
        <v>56</v>
      </c>
      <c r="F4" s="213" t="s">
        <v>57</v>
      </c>
      <c r="G4" s="213" t="s">
        <v>58</v>
      </c>
      <c r="H4" s="213" t="s">
        <v>59</v>
      </c>
      <c r="I4" s="213" t="s">
        <v>60</v>
      </c>
      <c r="J4" s="213" t="s">
        <v>61</v>
      </c>
      <c r="K4" s="213" t="s">
        <v>62</v>
      </c>
      <c r="L4" s="213" t="s">
        <v>63</v>
      </c>
      <c r="M4" s="213" t="s">
        <v>64</v>
      </c>
      <c r="N4" s="51">
        <v>45261</v>
      </c>
      <c r="O4" s="69" t="s">
        <v>115</v>
      </c>
    </row>
    <row r="5" spans="1:17" x14ac:dyDescent="0.3">
      <c r="A5" s="91"/>
      <c r="B5" s="214" t="s">
        <v>242</v>
      </c>
      <c r="C5" s="214" t="s">
        <v>242</v>
      </c>
      <c r="D5" s="214" t="s">
        <v>242</v>
      </c>
      <c r="E5" s="214" t="s">
        <v>242</v>
      </c>
      <c r="F5" s="214" t="s">
        <v>242</v>
      </c>
      <c r="G5" s="214" t="s">
        <v>242</v>
      </c>
      <c r="H5" s="214" t="s">
        <v>242</v>
      </c>
      <c r="I5" s="214" t="s">
        <v>242</v>
      </c>
      <c r="J5" s="214" t="s">
        <v>242</v>
      </c>
      <c r="K5" s="214" t="s">
        <v>242</v>
      </c>
      <c r="L5" s="214" t="s">
        <v>242</v>
      </c>
      <c r="M5" s="214" t="s">
        <v>242</v>
      </c>
      <c r="N5" s="52" t="str">
        <f>+'Support B. 23 BS'!N5</f>
        <v>Actual</v>
      </c>
      <c r="O5" s="72" t="s">
        <v>117</v>
      </c>
    </row>
    <row r="6" spans="1:17" x14ac:dyDescent="0.3">
      <c r="A6" s="215" t="s">
        <v>118</v>
      </c>
      <c r="B6" s="87"/>
      <c r="C6" s="87"/>
      <c r="D6" s="87"/>
      <c r="E6" s="87"/>
      <c r="F6" s="87"/>
      <c r="G6" s="87"/>
      <c r="H6" s="87"/>
      <c r="I6" s="87"/>
      <c r="J6" s="87"/>
      <c r="K6" s="87"/>
      <c r="L6" s="87"/>
      <c r="M6" s="87"/>
    </row>
    <row r="7" spans="1:17" x14ac:dyDescent="0.3">
      <c r="A7" s="215" t="s">
        <v>119</v>
      </c>
      <c r="B7" s="87"/>
      <c r="C7" s="87"/>
      <c r="D7" s="87"/>
      <c r="E7" s="87"/>
      <c r="F7" s="87"/>
      <c r="G7" s="87"/>
      <c r="H7" s="87"/>
      <c r="I7" s="87"/>
      <c r="J7" s="87"/>
      <c r="K7" s="87"/>
      <c r="L7" s="87"/>
      <c r="M7" s="87"/>
    </row>
    <row r="8" spans="1:17" x14ac:dyDescent="0.3">
      <c r="A8" s="216" t="s">
        <v>120</v>
      </c>
      <c r="B8" s="217">
        <v>-36954386</v>
      </c>
      <c r="C8" s="217">
        <v>-36954386</v>
      </c>
      <c r="D8" s="217">
        <v>-36954386</v>
      </c>
      <c r="E8" s="217">
        <v>-36954386</v>
      </c>
      <c r="F8" s="217">
        <v>-36954386</v>
      </c>
      <c r="G8" s="217">
        <v>-36954386</v>
      </c>
      <c r="H8" s="217">
        <v>-36954386</v>
      </c>
      <c r="I8" s="217">
        <v>-36954386</v>
      </c>
      <c r="J8" s="217">
        <v>-36954386</v>
      </c>
      <c r="K8" s="217">
        <v>-36954386</v>
      </c>
      <c r="L8" s="217">
        <v>-36954386</v>
      </c>
      <c r="M8" s="217">
        <v>-36954386</v>
      </c>
      <c r="N8" s="148"/>
      <c r="O8" s="149"/>
      <c r="P8" s="148"/>
      <c r="Q8" s="149"/>
    </row>
    <row r="9" spans="1:17" x14ac:dyDescent="0.3">
      <c r="A9" s="218" t="s">
        <v>121</v>
      </c>
      <c r="B9" s="219">
        <v>-37359717</v>
      </c>
      <c r="C9" s="219">
        <v>-37359717</v>
      </c>
      <c r="D9" s="219">
        <v>-37359717</v>
      </c>
      <c r="E9" s="219">
        <v>-37359717</v>
      </c>
      <c r="F9" s="219">
        <v>-37359717</v>
      </c>
      <c r="G9" s="219">
        <v>-37359717</v>
      </c>
      <c r="H9" s="219">
        <v>-37359717</v>
      </c>
      <c r="I9" s="219">
        <v>-37359717</v>
      </c>
      <c r="J9" s="219">
        <v>-37359717</v>
      </c>
      <c r="K9" s="219">
        <v>-37359717</v>
      </c>
      <c r="L9" s="219">
        <v>-37359717</v>
      </c>
      <c r="M9" s="219">
        <v>-37359717</v>
      </c>
    </row>
    <row r="10" spans="1:17" x14ac:dyDescent="0.3">
      <c r="A10" s="218" t="s">
        <v>122</v>
      </c>
      <c r="B10" s="219">
        <v>405331</v>
      </c>
      <c r="C10" s="219">
        <v>405331</v>
      </c>
      <c r="D10" s="219">
        <v>405331</v>
      </c>
      <c r="E10" s="219">
        <v>405331</v>
      </c>
      <c r="F10" s="219">
        <v>405331</v>
      </c>
      <c r="G10" s="219">
        <v>405331</v>
      </c>
      <c r="H10" s="219">
        <v>405331</v>
      </c>
      <c r="I10" s="219">
        <v>405331</v>
      </c>
      <c r="J10" s="219">
        <v>405331</v>
      </c>
      <c r="K10" s="219">
        <v>405331</v>
      </c>
      <c r="L10" s="219">
        <v>405331</v>
      </c>
      <c r="M10" s="219">
        <v>405331</v>
      </c>
    </row>
    <row r="11" spans="1:17" hidden="1" outlineLevel="1" x14ac:dyDescent="0.3">
      <c r="A11" s="220" t="s">
        <v>124</v>
      </c>
      <c r="B11" s="219">
        <v>3528224</v>
      </c>
      <c r="C11" s="219">
        <v>3528224</v>
      </c>
      <c r="D11" s="219">
        <v>3528224</v>
      </c>
      <c r="E11" s="219">
        <v>3528224</v>
      </c>
      <c r="F11" s="219">
        <v>3528224</v>
      </c>
      <c r="G11" s="219">
        <v>3528224</v>
      </c>
      <c r="H11" s="219">
        <v>3528224</v>
      </c>
      <c r="I11" s="219">
        <v>3528224</v>
      </c>
      <c r="J11" s="219">
        <v>3528224</v>
      </c>
      <c r="K11" s="219">
        <v>3528224</v>
      </c>
      <c r="L11" s="219">
        <v>3528224</v>
      </c>
      <c r="M11" s="219">
        <v>3528224</v>
      </c>
    </row>
    <row r="12" spans="1:17" hidden="1" outlineLevel="1" x14ac:dyDescent="0.3">
      <c r="A12" s="218" t="s">
        <v>125</v>
      </c>
      <c r="B12" s="219">
        <v>17489</v>
      </c>
      <c r="C12" s="219">
        <v>17489</v>
      </c>
      <c r="D12" s="219">
        <v>17489</v>
      </c>
      <c r="E12" s="219">
        <v>17489</v>
      </c>
      <c r="F12" s="219">
        <v>17489</v>
      </c>
      <c r="G12" s="219">
        <v>17489</v>
      </c>
      <c r="H12" s="219">
        <v>17489</v>
      </c>
      <c r="I12" s="219">
        <v>17489</v>
      </c>
      <c r="J12" s="219">
        <v>17489</v>
      </c>
      <c r="K12" s="219">
        <v>17489</v>
      </c>
      <c r="L12" s="219">
        <v>17489</v>
      </c>
      <c r="M12" s="219">
        <v>17489</v>
      </c>
    </row>
    <row r="13" spans="1:17" hidden="1" outlineLevel="1" x14ac:dyDescent="0.3">
      <c r="A13" s="221" t="s">
        <v>127</v>
      </c>
      <c r="B13" s="219">
        <v>92212</v>
      </c>
      <c r="C13" s="219">
        <v>92212</v>
      </c>
      <c r="D13" s="219">
        <v>92212</v>
      </c>
      <c r="E13" s="219">
        <v>92212</v>
      </c>
      <c r="F13" s="219">
        <v>92212</v>
      </c>
      <c r="G13" s="219">
        <v>92212</v>
      </c>
      <c r="H13" s="219">
        <v>92212</v>
      </c>
      <c r="I13" s="219">
        <v>92212</v>
      </c>
      <c r="J13" s="219">
        <v>92212</v>
      </c>
      <c r="K13" s="219">
        <v>92212</v>
      </c>
      <c r="L13" s="219">
        <v>92212</v>
      </c>
      <c r="M13" s="219">
        <v>92212</v>
      </c>
    </row>
    <row r="14" spans="1:17" hidden="1" outlineLevel="1" x14ac:dyDescent="0.3">
      <c r="A14" s="221" t="s">
        <v>128</v>
      </c>
      <c r="B14" s="219">
        <v>-74723</v>
      </c>
      <c r="C14" s="219">
        <v>-74723</v>
      </c>
      <c r="D14" s="219">
        <v>-74723</v>
      </c>
      <c r="E14" s="219">
        <v>-74723</v>
      </c>
      <c r="F14" s="219">
        <v>-74723</v>
      </c>
      <c r="G14" s="219">
        <v>-74723</v>
      </c>
      <c r="H14" s="219">
        <v>-74723</v>
      </c>
      <c r="I14" s="219">
        <v>-74723</v>
      </c>
      <c r="J14" s="219">
        <v>-74723</v>
      </c>
      <c r="K14" s="219">
        <v>-74723</v>
      </c>
      <c r="L14" s="219">
        <v>-74723</v>
      </c>
      <c r="M14" s="219">
        <v>-74723</v>
      </c>
    </row>
    <row r="15" spans="1:17" hidden="1" outlineLevel="1" x14ac:dyDescent="0.3">
      <c r="A15" s="218" t="s">
        <v>129</v>
      </c>
      <c r="B15" s="219">
        <v>3510735</v>
      </c>
      <c r="C15" s="219">
        <v>3510735</v>
      </c>
      <c r="D15" s="219">
        <v>3510735</v>
      </c>
      <c r="E15" s="219">
        <v>3510735</v>
      </c>
      <c r="F15" s="219">
        <v>3510735</v>
      </c>
      <c r="G15" s="219">
        <v>3510735</v>
      </c>
      <c r="H15" s="219">
        <v>3510735</v>
      </c>
      <c r="I15" s="219">
        <v>3510735</v>
      </c>
      <c r="J15" s="219">
        <v>3510735</v>
      </c>
      <c r="K15" s="219">
        <v>3510735</v>
      </c>
      <c r="L15" s="219">
        <v>3510735</v>
      </c>
      <c r="M15" s="219">
        <v>3510735</v>
      </c>
    </row>
    <row r="16" spans="1:17" hidden="1" outlineLevel="1" x14ac:dyDescent="0.3">
      <c r="A16" s="221" t="s">
        <v>130</v>
      </c>
      <c r="B16" s="219">
        <v>2915666</v>
      </c>
      <c r="C16" s="219">
        <v>2915666</v>
      </c>
      <c r="D16" s="219">
        <v>2915666</v>
      </c>
      <c r="E16" s="219">
        <v>2915666</v>
      </c>
      <c r="F16" s="219">
        <v>2915666</v>
      </c>
      <c r="G16" s="219">
        <v>2915666</v>
      </c>
      <c r="H16" s="219">
        <v>2915666</v>
      </c>
      <c r="I16" s="219">
        <v>2915666</v>
      </c>
      <c r="J16" s="219">
        <v>2915666</v>
      </c>
      <c r="K16" s="219">
        <v>2915666</v>
      </c>
      <c r="L16" s="219">
        <v>2915666</v>
      </c>
      <c r="M16" s="219">
        <v>2915666</v>
      </c>
    </row>
    <row r="17" spans="1:13" hidden="1" outlineLevel="1" x14ac:dyDescent="0.3">
      <c r="A17" s="221" t="s">
        <v>131</v>
      </c>
      <c r="B17" s="219">
        <v>595069</v>
      </c>
      <c r="C17" s="219">
        <v>595069</v>
      </c>
      <c r="D17" s="219">
        <v>595069</v>
      </c>
      <c r="E17" s="219">
        <v>595069</v>
      </c>
      <c r="F17" s="219">
        <v>595069</v>
      </c>
      <c r="G17" s="219">
        <v>595069</v>
      </c>
      <c r="H17" s="219">
        <v>595069</v>
      </c>
      <c r="I17" s="219">
        <v>595069</v>
      </c>
      <c r="J17" s="219">
        <v>595069</v>
      </c>
      <c r="K17" s="219">
        <v>595069</v>
      </c>
      <c r="L17" s="219">
        <v>595069</v>
      </c>
      <c r="M17" s="219">
        <v>595069</v>
      </c>
    </row>
    <row r="18" spans="1:13" hidden="1" outlineLevel="1" x14ac:dyDescent="0.3">
      <c r="A18" s="220" t="s">
        <v>132</v>
      </c>
      <c r="B18" s="219">
        <v>2415610761</v>
      </c>
      <c r="C18" s="219">
        <v>2427826435</v>
      </c>
      <c r="D18" s="219">
        <v>2439578127</v>
      </c>
      <c r="E18" s="219">
        <v>2451066253</v>
      </c>
      <c r="F18" s="219">
        <v>2461885842</v>
      </c>
      <c r="G18" s="219">
        <v>2464832124</v>
      </c>
      <c r="H18" s="219">
        <v>2450180104</v>
      </c>
      <c r="I18" s="219">
        <v>2461850292</v>
      </c>
      <c r="J18" s="219">
        <v>2473451995</v>
      </c>
      <c r="K18" s="219">
        <v>2485119157</v>
      </c>
      <c r="L18" s="219">
        <v>2456541377</v>
      </c>
      <c r="M18" s="219">
        <v>2437747432</v>
      </c>
    </row>
    <row r="19" spans="1:13" hidden="1" outlineLevel="1" x14ac:dyDescent="0.3">
      <c r="A19" s="218" t="s">
        <v>133</v>
      </c>
      <c r="B19" s="219">
        <v>14932668</v>
      </c>
      <c r="C19" s="219">
        <v>23649551</v>
      </c>
      <c r="D19" s="219">
        <v>32844489</v>
      </c>
      <c r="E19" s="219">
        <v>41880055</v>
      </c>
      <c r="F19" s="219">
        <v>51074960</v>
      </c>
      <c r="G19" s="219">
        <v>34578556</v>
      </c>
      <c r="H19" s="219">
        <v>34811397</v>
      </c>
      <c r="I19" s="219">
        <v>44006303</v>
      </c>
      <c r="J19" s="219">
        <v>53041869</v>
      </c>
      <c r="K19" s="219">
        <v>62236775</v>
      </c>
      <c r="L19" s="219">
        <v>31197357</v>
      </c>
      <c r="M19" s="219">
        <v>14860297</v>
      </c>
    </row>
    <row r="20" spans="1:13" ht="21.6" hidden="1" outlineLevel="1" x14ac:dyDescent="0.3">
      <c r="A20" s="222" t="s">
        <v>134</v>
      </c>
      <c r="B20" s="223">
        <v>2253100810</v>
      </c>
      <c r="C20" s="223">
        <v>2253100810</v>
      </c>
      <c r="D20" s="223">
        <v>2253100810</v>
      </c>
      <c r="E20" s="223">
        <v>2253100810</v>
      </c>
      <c r="F20" s="223">
        <v>2253100810</v>
      </c>
      <c r="G20" s="223">
        <v>2253100810</v>
      </c>
      <c r="H20" s="223">
        <v>2253100810</v>
      </c>
      <c r="I20" s="223">
        <v>2253100810</v>
      </c>
      <c r="J20" s="223">
        <v>2253100810</v>
      </c>
      <c r="K20" s="223">
        <v>2253100810</v>
      </c>
      <c r="L20" s="223">
        <v>2253100810</v>
      </c>
      <c r="M20" s="223">
        <v>2253100810</v>
      </c>
    </row>
    <row r="21" spans="1:13" hidden="1" outlineLevel="1" x14ac:dyDescent="0.3">
      <c r="A21" s="218" t="s">
        <v>135</v>
      </c>
      <c r="B21" s="219">
        <v>147577284</v>
      </c>
      <c r="C21" s="219">
        <v>151076075</v>
      </c>
      <c r="D21" s="219">
        <v>153632829</v>
      </c>
      <c r="E21" s="219">
        <v>156085389</v>
      </c>
      <c r="F21" s="219">
        <v>157710073</v>
      </c>
      <c r="G21" s="219">
        <v>177152759</v>
      </c>
      <c r="H21" s="219">
        <v>162267897</v>
      </c>
      <c r="I21" s="219">
        <v>164743179</v>
      </c>
      <c r="J21" s="219">
        <v>167309316</v>
      </c>
      <c r="K21" s="219">
        <v>169781572</v>
      </c>
      <c r="L21" s="219">
        <v>172243210</v>
      </c>
      <c r="M21" s="219">
        <v>169786325</v>
      </c>
    </row>
    <row r="22" spans="1:13" hidden="1" outlineLevel="1" x14ac:dyDescent="0.3">
      <c r="A22" s="220" t="s">
        <v>136</v>
      </c>
      <c r="B22" s="219">
        <v>312957</v>
      </c>
      <c r="C22" s="219">
        <v>312957</v>
      </c>
      <c r="D22" s="219">
        <v>204159</v>
      </c>
      <c r="E22" s="219">
        <v>312957</v>
      </c>
      <c r="F22" s="219">
        <v>312957</v>
      </c>
      <c r="G22" s="219">
        <v>204159</v>
      </c>
      <c r="H22" s="219">
        <v>323269</v>
      </c>
      <c r="I22" s="219">
        <v>323269</v>
      </c>
      <c r="J22" s="219">
        <v>204159</v>
      </c>
      <c r="K22" s="219">
        <v>343894</v>
      </c>
      <c r="L22" s="219">
        <v>343894</v>
      </c>
      <c r="M22" s="219">
        <v>204159</v>
      </c>
    </row>
    <row r="23" spans="1:13" hidden="1" outlineLevel="1" x14ac:dyDescent="0.3">
      <c r="A23" s="218" t="s">
        <v>137</v>
      </c>
      <c r="B23" s="219">
        <v>312957</v>
      </c>
      <c r="C23" s="219">
        <v>312957</v>
      </c>
      <c r="D23" s="219">
        <v>204159</v>
      </c>
      <c r="E23" s="219">
        <v>312957</v>
      </c>
      <c r="F23" s="219">
        <v>312957</v>
      </c>
      <c r="G23" s="219">
        <v>204159</v>
      </c>
      <c r="H23" s="219">
        <v>323269</v>
      </c>
      <c r="I23" s="219">
        <v>323269</v>
      </c>
      <c r="J23" s="219">
        <v>204159</v>
      </c>
      <c r="K23" s="219">
        <v>343894</v>
      </c>
      <c r="L23" s="219">
        <v>343894</v>
      </c>
      <c r="M23" s="219">
        <v>204159</v>
      </c>
    </row>
    <row r="24" spans="1:13" hidden="1" outlineLevel="1" x14ac:dyDescent="0.3">
      <c r="A24" s="220" t="s">
        <v>138</v>
      </c>
      <c r="B24" s="224">
        <v>7836185</v>
      </c>
      <c r="C24" s="224">
        <v>7836185</v>
      </c>
      <c r="D24" s="224">
        <v>10581424</v>
      </c>
      <c r="E24" s="224">
        <v>10581424</v>
      </c>
      <c r="F24" s="224">
        <v>10581424</v>
      </c>
      <c r="G24" s="224">
        <v>13304399</v>
      </c>
      <c r="H24" s="224">
        <v>13304399</v>
      </c>
      <c r="I24" s="224">
        <v>13304399</v>
      </c>
      <c r="J24" s="224">
        <v>16005109</v>
      </c>
      <c r="K24" s="224">
        <v>16005109</v>
      </c>
      <c r="L24" s="224">
        <v>16005109</v>
      </c>
      <c r="M24" s="224">
        <v>7836185</v>
      </c>
    </row>
    <row r="25" spans="1:13" hidden="1" outlineLevel="1" x14ac:dyDescent="0.3">
      <c r="A25" s="218" t="s">
        <v>139</v>
      </c>
      <c r="B25" s="224">
        <v>7836185</v>
      </c>
      <c r="C25" s="224">
        <v>7836185</v>
      </c>
      <c r="D25" s="224">
        <v>7836185</v>
      </c>
      <c r="E25" s="224">
        <v>7836185</v>
      </c>
      <c r="F25" s="224">
        <v>7836185</v>
      </c>
      <c r="G25" s="224">
        <v>7836185</v>
      </c>
      <c r="H25" s="224">
        <v>7836185</v>
      </c>
      <c r="I25" s="224">
        <v>7836185</v>
      </c>
      <c r="J25" s="224">
        <v>7836185</v>
      </c>
      <c r="K25" s="224">
        <v>7836185</v>
      </c>
      <c r="L25" s="224">
        <v>7836185</v>
      </c>
      <c r="M25" s="224">
        <v>7836185</v>
      </c>
    </row>
    <row r="26" spans="1:13" hidden="1" outlineLevel="1" x14ac:dyDescent="0.3">
      <c r="A26" s="218" t="s">
        <v>140</v>
      </c>
      <c r="B26" s="225" t="s">
        <v>77</v>
      </c>
      <c r="C26" s="225" t="s">
        <v>77</v>
      </c>
      <c r="D26" s="224">
        <v>2745239</v>
      </c>
      <c r="E26" s="224">
        <v>2745239</v>
      </c>
      <c r="F26" s="224">
        <v>2745239</v>
      </c>
      <c r="G26" s="224">
        <v>5468214</v>
      </c>
      <c r="H26" s="224">
        <v>5468214</v>
      </c>
      <c r="I26" s="224">
        <v>5468214</v>
      </c>
      <c r="J26" s="224">
        <v>8168925</v>
      </c>
      <c r="K26" s="224">
        <v>8168925</v>
      </c>
      <c r="L26" s="224">
        <v>8168925</v>
      </c>
      <c r="M26" s="225" t="s">
        <v>77</v>
      </c>
    </row>
    <row r="27" spans="1:13" hidden="1" outlineLevel="1" x14ac:dyDescent="0.3">
      <c r="A27" s="220" t="s">
        <v>141</v>
      </c>
      <c r="B27" s="224">
        <v>13443977</v>
      </c>
      <c r="C27" s="224">
        <v>13545678</v>
      </c>
      <c r="D27" s="224">
        <v>13647379</v>
      </c>
      <c r="E27" s="224">
        <v>14220509</v>
      </c>
      <c r="F27" s="224">
        <v>14793638</v>
      </c>
      <c r="G27" s="224">
        <v>15366770</v>
      </c>
      <c r="H27" s="224">
        <v>15939901</v>
      </c>
      <c r="I27" s="224">
        <v>16513030</v>
      </c>
      <c r="J27" s="224">
        <v>17086159</v>
      </c>
      <c r="K27" s="224">
        <v>17659289</v>
      </c>
      <c r="L27" s="224">
        <v>17760990</v>
      </c>
      <c r="M27" s="224">
        <v>17862691</v>
      </c>
    </row>
    <row r="28" spans="1:13" hidden="1" outlineLevel="1" x14ac:dyDescent="0.3">
      <c r="A28" s="220" t="s">
        <v>142</v>
      </c>
      <c r="B28" s="224">
        <v>3827422</v>
      </c>
      <c r="C28" s="224">
        <v>3827422</v>
      </c>
      <c r="D28" s="224">
        <v>3827422</v>
      </c>
      <c r="E28" s="224">
        <v>3470279</v>
      </c>
      <c r="F28" s="224">
        <v>3113136</v>
      </c>
      <c r="G28" s="224">
        <v>2755993</v>
      </c>
      <c r="H28" s="224">
        <v>2398850</v>
      </c>
      <c r="I28" s="224">
        <v>2041707</v>
      </c>
      <c r="J28" s="224">
        <v>4184564</v>
      </c>
      <c r="K28" s="224">
        <v>3827421</v>
      </c>
      <c r="L28" s="224">
        <v>3827421</v>
      </c>
      <c r="M28" s="224">
        <v>3827421</v>
      </c>
    </row>
    <row r="29" spans="1:13" hidden="1" outlineLevel="1" x14ac:dyDescent="0.3">
      <c r="A29" s="218" t="s">
        <v>144</v>
      </c>
      <c r="B29" s="224">
        <v>3827422</v>
      </c>
      <c r="C29" s="224">
        <v>3827422</v>
      </c>
      <c r="D29" s="224">
        <v>3827422</v>
      </c>
      <c r="E29" s="224">
        <v>3470279</v>
      </c>
      <c r="F29" s="224">
        <v>3113136</v>
      </c>
      <c r="G29" s="224">
        <v>2755993</v>
      </c>
      <c r="H29" s="224">
        <v>2398850</v>
      </c>
      <c r="I29" s="224">
        <v>2041707</v>
      </c>
      <c r="J29" s="224">
        <v>4184564</v>
      </c>
      <c r="K29" s="224">
        <v>3827421</v>
      </c>
      <c r="L29" s="224">
        <v>3827421</v>
      </c>
      <c r="M29" s="224">
        <v>3827421</v>
      </c>
    </row>
    <row r="30" spans="1:13" collapsed="1" x14ac:dyDescent="0.3">
      <c r="A30" s="215" t="s">
        <v>145</v>
      </c>
      <c r="B30" s="226">
        <v>2407605140</v>
      </c>
      <c r="C30" s="226">
        <v>2419922515</v>
      </c>
      <c r="D30" s="226">
        <v>2434412350</v>
      </c>
      <c r="E30" s="226">
        <v>2446225261</v>
      </c>
      <c r="F30" s="226">
        <v>2457260836</v>
      </c>
      <c r="G30" s="226">
        <v>2463037283</v>
      </c>
      <c r="H30" s="226">
        <v>2448720361</v>
      </c>
      <c r="I30" s="226">
        <v>2460606536</v>
      </c>
      <c r="J30" s="226">
        <v>2477505825</v>
      </c>
      <c r="K30" s="226">
        <v>2489528709</v>
      </c>
      <c r="L30" s="226">
        <v>2461052630</v>
      </c>
      <c r="M30" s="226">
        <v>2434051726</v>
      </c>
    </row>
    <row r="31" spans="1:13" x14ac:dyDescent="0.3">
      <c r="A31" s="88"/>
      <c r="B31" s="87"/>
      <c r="C31" s="87"/>
      <c r="D31" s="87"/>
      <c r="E31" s="87"/>
      <c r="F31" s="87"/>
      <c r="G31" s="87"/>
      <c r="H31" s="87"/>
      <c r="I31" s="87"/>
      <c r="J31" s="87"/>
      <c r="K31" s="87"/>
      <c r="L31" s="87"/>
      <c r="M31" s="87"/>
    </row>
    <row r="32" spans="1:13" x14ac:dyDescent="0.3">
      <c r="A32" s="215" t="s">
        <v>146</v>
      </c>
      <c r="B32" s="224">
        <v>7789388</v>
      </c>
      <c r="C32" s="224">
        <v>7809904</v>
      </c>
      <c r="D32" s="224">
        <v>7738149</v>
      </c>
      <c r="E32" s="224">
        <v>7666395</v>
      </c>
      <c r="F32" s="224">
        <v>7582545</v>
      </c>
      <c r="G32" s="224">
        <v>7484664</v>
      </c>
      <c r="H32" s="224">
        <v>7386783</v>
      </c>
      <c r="I32" s="224">
        <v>7288902</v>
      </c>
      <c r="J32" s="224">
        <v>7191021</v>
      </c>
      <c r="K32" s="224">
        <v>7093139</v>
      </c>
      <c r="L32" s="224">
        <v>6995258</v>
      </c>
      <c r="M32" s="224">
        <v>6897377</v>
      </c>
    </row>
    <row r="33" spans="1:13" hidden="1" outlineLevel="1" x14ac:dyDescent="0.3">
      <c r="A33" s="218" t="s">
        <v>148</v>
      </c>
      <c r="B33" s="224">
        <v>9040027</v>
      </c>
      <c r="C33" s="224">
        <v>9150495</v>
      </c>
      <c r="D33" s="224">
        <v>9168693</v>
      </c>
      <c r="E33" s="224">
        <v>9186891</v>
      </c>
      <c r="F33" s="224">
        <v>9205090</v>
      </c>
      <c r="G33" s="224">
        <v>9209256</v>
      </c>
      <c r="H33" s="224">
        <v>9213423</v>
      </c>
      <c r="I33" s="224">
        <v>9217590</v>
      </c>
      <c r="J33" s="224">
        <v>9221756</v>
      </c>
      <c r="K33" s="224">
        <v>9225923</v>
      </c>
      <c r="L33" s="224">
        <v>9230090</v>
      </c>
      <c r="M33" s="224">
        <v>9234256</v>
      </c>
    </row>
    <row r="34" spans="1:13" hidden="1" outlineLevel="1" x14ac:dyDescent="0.3">
      <c r="A34" s="218" t="s">
        <v>149</v>
      </c>
      <c r="B34" s="224">
        <v>-4072356</v>
      </c>
      <c r="C34" s="224">
        <v>-4162309</v>
      </c>
      <c r="D34" s="224">
        <v>-4252261</v>
      </c>
      <c r="E34" s="224">
        <v>-4342214</v>
      </c>
      <c r="F34" s="224">
        <v>-4444262</v>
      </c>
      <c r="G34" s="224">
        <v>-4546309</v>
      </c>
      <c r="H34" s="224">
        <v>-4648357</v>
      </c>
      <c r="I34" s="224">
        <v>-4750405</v>
      </c>
      <c r="J34" s="224">
        <v>-4852453</v>
      </c>
      <c r="K34" s="224">
        <v>-4954501</v>
      </c>
      <c r="L34" s="224">
        <v>-5056549</v>
      </c>
      <c r="M34" s="224">
        <v>-5158596</v>
      </c>
    </row>
    <row r="35" spans="1:13" hidden="1" outlineLevel="1" x14ac:dyDescent="0.3">
      <c r="A35" s="218" t="s">
        <v>150</v>
      </c>
      <c r="B35" s="224">
        <v>2821717</v>
      </c>
      <c r="C35" s="224">
        <v>2821717</v>
      </c>
      <c r="D35" s="224">
        <v>2821717</v>
      </c>
      <c r="E35" s="224">
        <v>2821717</v>
      </c>
      <c r="F35" s="224">
        <v>2821717</v>
      </c>
      <c r="G35" s="224">
        <v>2821717</v>
      </c>
      <c r="H35" s="224">
        <v>2821717</v>
      </c>
      <c r="I35" s="224">
        <v>2821717</v>
      </c>
      <c r="J35" s="224">
        <v>2821717</v>
      </c>
      <c r="K35" s="224">
        <v>2821717</v>
      </c>
      <c r="L35" s="224">
        <v>2821717</v>
      </c>
      <c r="M35" s="224">
        <v>2821717</v>
      </c>
    </row>
    <row r="36" spans="1:13" collapsed="1" x14ac:dyDescent="0.3">
      <c r="A36" s="88"/>
      <c r="B36" s="90"/>
      <c r="C36" s="90"/>
      <c r="D36" s="90"/>
      <c r="E36" s="90"/>
      <c r="F36" s="90"/>
      <c r="G36" s="90"/>
      <c r="H36" s="90"/>
      <c r="I36" s="90"/>
      <c r="J36" s="90"/>
      <c r="K36" s="90"/>
      <c r="L36" s="90"/>
      <c r="M36" s="90"/>
    </row>
    <row r="37" spans="1:13" x14ac:dyDescent="0.3">
      <c r="A37" s="215" t="s">
        <v>151</v>
      </c>
      <c r="B37" s="87"/>
      <c r="C37" s="87"/>
      <c r="D37" s="87"/>
      <c r="E37" s="87"/>
      <c r="F37" s="87"/>
      <c r="G37" s="87"/>
      <c r="H37" s="87"/>
      <c r="I37" s="87"/>
      <c r="J37" s="87"/>
      <c r="K37" s="87"/>
      <c r="L37" s="87"/>
      <c r="M37" s="87"/>
    </row>
    <row r="38" spans="1:13" hidden="1" outlineLevel="1" x14ac:dyDescent="0.3">
      <c r="A38" s="220" t="s">
        <v>152</v>
      </c>
      <c r="B38" s="224">
        <v>8108024</v>
      </c>
      <c r="C38" s="224">
        <v>8108024</v>
      </c>
      <c r="D38" s="224">
        <v>8108024</v>
      </c>
      <c r="E38" s="224">
        <v>8108024</v>
      </c>
      <c r="F38" s="224">
        <v>8108024</v>
      </c>
      <c r="G38" s="224">
        <v>8108024</v>
      </c>
      <c r="H38" s="224">
        <v>8108024</v>
      </c>
      <c r="I38" s="224">
        <v>8108024</v>
      </c>
      <c r="J38" s="224">
        <v>8108024</v>
      </c>
      <c r="K38" s="224">
        <v>8108024</v>
      </c>
      <c r="L38" s="224">
        <v>8108024</v>
      </c>
      <c r="M38" s="224">
        <v>8108024</v>
      </c>
    </row>
    <row r="39" spans="1:13" hidden="1" outlineLevel="1" x14ac:dyDescent="0.3">
      <c r="A39" s="218" t="s">
        <v>153</v>
      </c>
      <c r="B39" s="224">
        <v>8108024</v>
      </c>
      <c r="C39" s="224">
        <v>8108024</v>
      </c>
      <c r="D39" s="224">
        <v>8108024</v>
      </c>
      <c r="E39" s="224">
        <v>8108024</v>
      </c>
      <c r="F39" s="224">
        <v>8108024</v>
      </c>
      <c r="G39" s="224">
        <v>8108024</v>
      </c>
      <c r="H39" s="224">
        <v>8108024</v>
      </c>
      <c r="I39" s="224">
        <v>8108024</v>
      </c>
      <c r="J39" s="224">
        <v>8108024</v>
      </c>
      <c r="K39" s="224">
        <v>8108024</v>
      </c>
      <c r="L39" s="224">
        <v>8108024</v>
      </c>
      <c r="M39" s="224">
        <v>8108024</v>
      </c>
    </row>
    <row r="40" spans="1:13" hidden="1" outlineLevel="1" x14ac:dyDescent="0.3">
      <c r="A40" s="220" t="s">
        <v>154</v>
      </c>
      <c r="B40" s="224">
        <v>2959772</v>
      </c>
      <c r="C40" s="224">
        <v>2959772</v>
      </c>
      <c r="D40" s="224">
        <v>2959772</v>
      </c>
      <c r="E40" s="224">
        <v>2959772</v>
      </c>
      <c r="F40" s="224">
        <v>2959772</v>
      </c>
      <c r="G40" s="224">
        <v>2959772</v>
      </c>
      <c r="H40" s="224">
        <v>2959772</v>
      </c>
      <c r="I40" s="224">
        <v>2959772</v>
      </c>
      <c r="J40" s="224">
        <v>2959772</v>
      </c>
      <c r="K40" s="224">
        <v>2959772</v>
      </c>
      <c r="L40" s="224">
        <v>2959772</v>
      </c>
      <c r="M40" s="224">
        <v>2959772</v>
      </c>
    </row>
    <row r="41" spans="1:13" hidden="1" outlineLevel="1" x14ac:dyDescent="0.3">
      <c r="A41" s="218" t="s">
        <v>155</v>
      </c>
      <c r="B41" s="224">
        <v>2959772</v>
      </c>
      <c r="C41" s="224">
        <v>2959772</v>
      </c>
      <c r="D41" s="224">
        <v>2959772</v>
      </c>
      <c r="E41" s="224">
        <v>2959772</v>
      </c>
      <c r="F41" s="224">
        <v>2959772</v>
      </c>
      <c r="G41" s="224">
        <v>2959772</v>
      </c>
      <c r="H41" s="224">
        <v>2959772</v>
      </c>
      <c r="I41" s="224">
        <v>2959772</v>
      </c>
      <c r="J41" s="224">
        <v>2959772</v>
      </c>
      <c r="K41" s="224">
        <v>2959772</v>
      </c>
      <c r="L41" s="224">
        <v>2959772</v>
      </c>
      <c r="M41" s="224">
        <v>2959772</v>
      </c>
    </row>
    <row r="42" spans="1:13" hidden="1" outlineLevel="1" x14ac:dyDescent="0.3">
      <c r="A42" s="220" t="s">
        <v>156</v>
      </c>
      <c r="B42" s="224">
        <v>8190782046</v>
      </c>
      <c r="C42" s="224">
        <v>8190637836</v>
      </c>
      <c r="D42" s="224">
        <v>8422590758</v>
      </c>
      <c r="E42" s="224">
        <v>8423452321</v>
      </c>
      <c r="F42" s="224">
        <v>8414903884</v>
      </c>
      <c r="G42" s="224">
        <v>8412292074</v>
      </c>
      <c r="H42" s="224">
        <v>8412209037</v>
      </c>
      <c r="I42" s="224">
        <v>8412686000</v>
      </c>
      <c r="J42" s="224">
        <v>8406829763</v>
      </c>
      <c r="K42" s="224">
        <v>8406750126</v>
      </c>
      <c r="L42" s="224">
        <v>8443457997</v>
      </c>
      <c r="M42" s="224">
        <v>8470463959</v>
      </c>
    </row>
    <row r="43" spans="1:13" hidden="1" outlineLevel="1" x14ac:dyDescent="0.3">
      <c r="A43" s="218" t="s">
        <v>157</v>
      </c>
      <c r="B43" s="224">
        <v>2500000</v>
      </c>
      <c r="C43" s="224">
        <v>2500000</v>
      </c>
      <c r="D43" s="224">
        <v>2500000</v>
      </c>
      <c r="E43" s="224">
        <v>2500000</v>
      </c>
      <c r="F43" s="224">
        <v>2500000</v>
      </c>
      <c r="G43" s="224">
        <v>2500000</v>
      </c>
      <c r="H43" s="224">
        <v>2500000</v>
      </c>
      <c r="I43" s="224">
        <v>2500000</v>
      </c>
      <c r="J43" s="224">
        <v>0</v>
      </c>
      <c r="K43" s="224">
        <v>0</v>
      </c>
      <c r="L43" s="224">
        <v>0</v>
      </c>
      <c r="M43" s="224">
        <v>0</v>
      </c>
    </row>
    <row r="44" spans="1:13" hidden="1" outlineLevel="1" x14ac:dyDescent="0.3">
      <c r="A44" s="218" t="s">
        <v>158</v>
      </c>
      <c r="B44" s="224">
        <v>8171946650</v>
      </c>
      <c r="C44" s="224">
        <v>8172060005</v>
      </c>
      <c r="D44" s="224">
        <v>8404264719</v>
      </c>
      <c r="E44" s="224">
        <v>8404378074</v>
      </c>
      <c r="F44" s="224">
        <v>8396081429</v>
      </c>
      <c r="G44" s="224">
        <v>8393721410</v>
      </c>
      <c r="H44" s="224">
        <v>8393890165</v>
      </c>
      <c r="I44" s="224">
        <v>8394618920</v>
      </c>
      <c r="J44" s="224">
        <v>8391514475</v>
      </c>
      <c r="K44" s="224">
        <v>8391686630</v>
      </c>
      <c r="L44" s="224">
        <v>8428646293</v>
      </c>
      <c r="M44" s="224">
        <v>8455904047</v>
      </c>
    </row>
    <row r="45" spans="1:13" hidden="1" outlineLevel="1" x14ac:dyDescent="0.3">
      <c r="A45" s="218" t="s">
        <v>159</v>
      </c>
      <c r="B45" s="224">
        <v>35977722</v>
      </c>
      <c r="C45" s="224">
        <v>35977722</v>
      </c>
      <c r="D45" s="224">
        <v>35977722</v>
      </c>
      <c r="E45" s="224">
        <v>36977722</v>
      </c>
      <c r="F45" s="224">
        <v>36977722</v>
      </c>
      <c r="G45" s="224">
        <v>36977722</v>
      </c>
      <c r="H45" s="224">
        <v>36977722</v>
      </c>
      <c r="I45" s="224">
        <v>36977722</v>
      </c>
      <c r="J45" s="224">
        <v>36977722</v>
      </c>
      <c r="K45" s="224">
        <v>36977722</v>
      </c>
      <c r="L45" s="224">
        <v>36977722</v>
      </c>
      <c r="M45" s="224">
        <v>36977722</v>
      </c>
    </row>
    <row r="46" spans="1:13" hidden="1" outlineLevel="1" x14ac:dyDescent="0.3">
      <c r="A46" s="218" t="s">
        <v>160</v>
      </c>
      <c r="B46" s="224">
        <v>-21235518</v>
      </c>
      <c r="C46" s="224">
        <v>-21463193</v>
      </c>
      <c r="D46" s="224">
        <v>-21682535</v>
      </c>
      <c r="E46" s="224">
        <v>-21901878</v>
      </c>
      <c r="F46" s="224">
        <v>-22121220</v>
      </c>
      <c r="G46" s="224">
        <v>-22340562</v>
      </c>
      <c r="H46" s="224">
        <v>-22559904</v>
      </c>
      <c r="I46" s="224">
        <v>-22779247</v>
      </c>
      <c r="J46" s="224">
        <v>-22998589</v>
      </c>
      <c r="K46" s="224">
        <v>-23217931</v>
      </c>
      <c r="L46" s="224">
        <v>-23437273</v>
      </c>
      <c r="M46" s="224">
        <v>-23656615</v>
      </c>
    </row>
    <row r="47" spans="1:13" hidden="1" outlineLevel="1" x14ac:dyDescent="0.3">
      <c r="A47" s="218" t="s">
        <v>161</v>
      </c>
      <c r="B47" s="224">
        <v>1593192</v>
      </c>
      <c r="C47" s="224">
        <v>1563302</v>
      </c>
      <c r="D47" s="224">
        <v>1530852</v>
      </c>
      <c r="E47" s="224">
        <v>1498403</v>
      </c>
      <c r="F47" s="224">
        <v>1465953</v>
      </c>
      <c r="G47" s="224">
        <v>1433503</v>
      </c>
      <c r="H47" s="224">
        <v>1401054</v>
      </c>
      <c r="I47" s="224">
        <v>1368604</v>
      </c>
      <c r="J47" s="224">
        <v>1336154</v>
      </c>
      <c r="K47" s="224">
        <v>1303704</v>
      </c>
      <c r="L47" s="224">
        <v>1271255</v>
      </c>
      <c r="M47" s="224">
        <v>1238805</v>
      </c>
    </row>
    <row r="48" spans="1:13" hidden="1" outlineLevel="1" x14ac:dyDescent="0.3">
      <c r="A48" s="220" t="s">
        <v>162</v>
      </c>
      <c r="B48" s="224">
        <v>186581483</v>
      </c>
      <c r="C48" s="224">
        <v>190715822</v>
      </c>
      <c r="D48" s="224">
        <v>195510964</v>
      </c>
      <c r="E48" s="224">
        <v>199264118</v>
      </c>
      <c r="F48" s="224">
        <v>203213438</v>
      </c>
      <c r="G48" s="224">
        <v>190444048</v>
      </c>
      <c r="H48" s="224">
        <v>193551032</v>
      </c>
      <c r="I48" s="224">
        <v>196964318</v>
      </c>
      <c r="J48" s="224">
        <v>201129180</v>
      </c>
      <c r="K48" s="224">
        <v>204400112</v>
      </c>
      <c r="L48" s="224">
        <v>207758428</v>
      </c>
      <c r="M48" s="224">
        <v>211814141</v>
      </c>
    </row>
    <row r="49" spans="1:16" hidden="1" outlineLevel="1" x14ac:dyDescent="0.3">
      <c r="A49" s="218" t="s">
        <v>163</v>
      </c>
      <c r="B49" s="224">
        <v>186581483</v>
      </c>
      <c r="C49" s="224">
        <v>190715822</v>
      </c>
      <c r="D49" s="224">
        <v>195510964</v>
      </c>
      <c r="E49" s="224">
        <v>199264118</v>
      </c>
      <c r="F49" s="224">
        <v>203213438</v>
      </c>
      <c r="G49" s="224">
        <v>190444048</v>
      </c>
      <c r="H49" s="224">
        <v>193551032</v>
      </c>
      <c r="I49" s="224">
        <v>196964318</v>
      </c>
      <c r="J49" s="224">
        <v>201129180</v>
      </c>
      <c r="K49" s="224">
        <v>204400112</v>
      </c>
      <c r="L49" s="224">
        <v>207758428</v>
      </c>
      <c r="M49" s="224">
        <v>211814141</v>
      </c>
    </row>
    <row r="50" spans="1:16" collapsed="1" x14ac:dyDescent="0.3">
      <c r="A50" s="215" t="s">
        <v>164</v>
      </c>
      <c r="B50" s="226">
        <v>8388431325</v>
      </c>
      <c r="C50" s="226">
        <v>8392421454</v>
      </c>
      <c r="D50" s="226">
        <v>8629169518</v>
      </c>
      <c r="E50" s="226">
        <v>8633784235</v>
      </c>
      <c r="F50" s="226">
        <v>8629185118</v>
      </c>
      <c r="G50" s="226">
        <v>8613803918</v>
      </c>
      <c r="H50" s="226">
        <v>8616827865</v>
      </c>
      <c r="I50" s="226">
        <v>8620718113</v>
      </c>
      <c r="J50" s="226">
        <v>8619026739</v>
      </c>
      <c r="K50" s="226">
        <v>8622218033</v>
      </c>
      <c r="L50" s="226">
        <v>8662284221</v>
      </c>
      <c r="M50" s="226">
        <v>8693345896</v>
      </c>
    </row>
    <row r="51" spans="1:16" x14ac:dyDescent="0.3">
      <c r="A51" s="88"/>
      <c r="B51" s="87"/>
      <c r="C51" s="87"/>
      <c r="D51" s="87"/>
      <c r="E51" s="87"/>
      <c r="F51" s="87"/>
      <c r="G51" s="87"/>
      <c r="H51" s="87"/>
      <c r="I51" s="87"/>
      <c r="J51" s="87"/>
      <c r="K51" s="87"/>
      <c r="L51" s="87"/>
      <c r="M51" s="87"/>
    </row>
    <row r="52" spans="1:16" ht="15" thickBot="1" x14ac:dyDescent="0.35">
      <c r="A52" s="215" t="s">
        <v>165</v>
      </c>
      <c r="B52" s="224">
        <v>10803825853</v>
      </c>
      <c r="C52" s="224">
        <v>10820153872</v>
      </c>
      <c r="D52" s="224">
        <v>11071320017</v>
      </c>
      <c r="E52" s="224">
        <v>11087675891</v>
      </c>
      <c r="F52" s="224">
        <v>11094028500</v>
      </c>
      <c r="G52" s="224">
        <v>11084325865</v>
      </c>
      <c r="H52" s="224">
        <v>11072935009</v>
      </c>
      <c r="I52" s="224">
        <v>11088613551</v>
      </c>
      <c r="J52" s="224">
        <v>11103723584</v>
      </c>
      <c r="K52" s="224">
        <v>11118839881</v>
      </c>
      <c r="L52" s="224">
        <v>11130332109</v>
      </c>
      <c r="M52" s="224">
        <v>11134294999</v>
      </c>
    </row>
    <row r="53" spans="1:16" x14ac:dyDescent="0.3">
      <c r="A53" s="88"/>
      <c r="B53" s="89"/>
      <c r="C53" s="89"/>
      <c r="D53" s="89"/>
      <c r="E53" s="89"/>
      <c r="F53" s="89"/>
      <c r="G53" s="89"/>
      <c r="H53" s="89"/>
      <c r="I53" s="89"/>
      <c r="J53" s="89"/>
      <c r="K53" s="89"/>
      <c r="L53" s="89"/>
      <c r="M53" s="89"/>
    </row>
    <row r="54" spans="1:16" x14ac:dyDescent="0.3">
      <c r="A54" s="215" t="s">
        <v>166</v>
      </c>
      <c r="B54" s="87"/>
      <c r="C54" s="87"/>
      <c r="D54" s="87"/>
      <c r="E54" s="87"/>
      <c r="F54" s="87"/>
      <c r="G54" s="87"/>
      <c r="H54" s="87"/>
      <c r="I54" s="87"/>
      <c r="J54" s="87"/>
      <c r="K54" s="87"/>
      <c r="L54" s="87"/>
      <c r="M54" s="87"/>
    </row>
    <row r="55" spans="1:16" x14ac:dyDescent="0.3">
      <c r="A55" s="215" t="s">
        <v>167</v>
      </c>
      <c r="B55" s="87"/>
      <c r="C55" s="87"/>
      <c r="D55" s="87"/>
      <c r="E55" s="87"/>
      <c r="F55" s="87"/>
      <c r="G55" s="87"/>
      <c r="H55" s="87"/>
      <c r="I55" s="87"/>
      <c r="J55" s="87"/>
      <c r="K55" s="87"/>
      <c r="L55" s="87"/>
      <c r="M55" s="87"/>
    </row>
    <row r="56" spans="1:16" x14ac:dyDescent="0.3">
      <c r="A56" s="227" t="s">
        <v>243</v>
      </c>
      <c r="B56" s="228">
        <f t="shared" ref="B56:M56" si="0">796160055+B118</f>
        <v>1085557795.0043285</v>
      </c>
      <c r="C56" s="228">
        <f t="shared" si="0"/>
        <v>1265088215.1566615</v>
      </c>
      <c r="D56" s="228">
        <f t="shared" si="0"/>
        <v>1212125770.9500523</v>
      </c>
      <c r="E56" s="228">
        <f t="shared" si="0"/>
        <v>1204183356.8287716</v>
      </c>
      <c r="F56" s="228">
        <f t="shared" si="0"/>
        <v>1369552526.8811851</v>
      </c>
      <c r="G56" s="228">
        <f t="shared" si="0"/>
        <v>815789433.06690061</v>
      </c>
      <c r="H56" s="228">
        <f t="shared" si="0"/>
        <v>818493208.34798908</v>
      </c>
      <c r="I56" s="228">
        <f t="shared" si="0"/>
        <v>983570023.09945738</v>
      </c>
      <c r="J56" s="228">
        <f t="shared" si="0"/>
        <v>951764597.29510033</v>
      </c>
      <c r="K56" s="228">
        <f t="shared" si="0"/>
        <v>955019634.92806351</v>
      </c>
      <c r="L56" s="228">
        <f t="shared" si="0"/>
        <v>1138390452.0932231</v>
      </c>
      <c r="M56" s="228">
        <f t="shared" si="0"/>
        <v>883790334.03472281</v>
      </c>
      <c r="N56" s="94">
        <f>+'Support B. 23 BS'!M60+N118</f>
        <v>1040145975</v>
      </c>
      <c r="O56" s="81">
        <f>AVERAGE(B56:N56)</f>
        <v>1055651640.2066506</v>
      </c>
      <c r="P56" s="151" t="s">
        <v>244</v>
      </c>
    </row>
    <row r="57" spans="1:16" x14ac:dyDescent="0.3">
      <c r="A57" s="218" t="s">
        <v>171</v>
      </c>
      <c r="B57" s="224">
        <v>796160055</v>
      </c>
      <c r="C57" s="224">
        <v>796160055</v>
      </c>
      <c r="D57" s="224">
        <v>796160055</v>
      </c>
      <c r="E57" s="224">
        <v>796160055</v>
      </c>
      <c r="F57" s="224">
        <v>796160055</v>
      </c>
      <c r="G57" s="224">
        <v>796160055</v>
      </c>
      <c r="H57" s="224">
        <v>796160055</v>
      </c>
      <c r="I57" s="224">
        <v>796160055</v>
      </c>
      <c r="J57" s="224">
        <v>796160055</v>
      </c>
      <c r="K57" s="224">
        <v>796160055</v>
      </c>
      <c r="L57" s="224">
        <v>796160055</v>
      </c>
      <c r="M57" s="224">
        <v>796160055</v>
      </c>
      <c r="N57" s="95">
        <f>+'Support B. 23 BS'!M62</f>
        <v>796200603</v>
      </c>
      <c r="O57" s="158" t="s">
        <v>92</v>
      </c>
    </row>
    <row r="58" spans="1:16" hidden="1" outlineLevel="1" x14ac:dyDescent="0.3">
      <c r="A58" s="220" t="s">
        <v>173</v>
      </c>
      <c r="B58" s="224">
        <v>71054877</v>
      </c>
      <c r="C58" s="224">
        <v>71393911</v>
      </c>
      <c r="D58" s="224">
        <v>71954255</v>
      </c>
      <c r="E58" s="224">
        <v>72334365</v>
      </c>
      <c r="F58" s="224">
        <v>72710134</v>
      </c>
      <c r="G58" s="224">
        <v>72994104</v>
      </c>
      <c r="H58" s="224">
        <v>73300573</v>
      </c>
      <c r="I58" s="224">
        <v>73697030</v>
      </c>
      <c r="J58" s="224">
        <v>74003499</v>
      </c>
      <c r="K58" s="224">
        <v>74379268</v>
      </c>
      <c r="L58" s="224">
        <v>74638761</v>
      </c>
      <c r="M58" s="224">
        <v>74877830</v>
      </c>
      <c r="N58" s="95"/>
    </row>
    <row r="59" spans="1:16" hidden="1" outlineLevel="1" x14ac:dyDescent="0.3">
      <c r="A59" s="218" t="s">
        <v>174</v>
      </c>
      <c r="B59" s="224">
        <v>10629764</v>
      </c>
      <c r="C59" s="224">
        <v>10629764</v>
      </c>
      <c r="D59" s="224">
        <v>10629764</v>
      </c>
      <c r="E59" s="224">
        <v>10629764</v>
      </c>
      <c r="F59" s="224">
        <v>10629764</v>
      </c>
      <c r="G59" s="224">
        <v>10629764</v>
      </c>
      <c r="H59" s="224">
        <v>10629764</v>
      </c>
      <c r="I59" s="224">
        <v>10629764</v>
      </c>
      <c r="J59" s="224">
        <v>10629764</v>
      </c>
      <c r="K59" s="224">
        <v>10629764</v>
      </c>
      <c r="L59" s="224">
        <v>10629764</v>
      </c>
      <c r="M59" s="224">
        <v>10629764</v>
      </c>
      <c r="N59" s="95"/>
    </row>
    <row r="60" spans="1:16" hidden="1" outlineLevel="1" x14ac:dyDescent="0.3">
      <c r="A60" s="218" t="s">
        <v>176</v>
      </c>
      <c r="B60" s="224">
        <v>-459</v>
      </c>
      <c r="C60" s="224">
        <v>-460</v>
      </c>
      <c r="D60" s="224">
        <v>-462</v>
      </c>
      <c r="E60" s="224">
        <v>-464</v>
      </c>
      <c r="F60" s="224">
        <v>-466</v>
      </c>
      <c r="G60" s="224">
        <v>-468</v>
      </c>
      <c r="H60" s="224">
        <v>-470</v>
      </c>
      <c r="I60" s="224">
        <v>-472</v>
      </c>
      <c r="J60" s="224">
        <v>-473</v>
      </c>
      <c r="K60" s="224">
        <v>-474</v>
      </c>
      <c r="L60" s="224">
        <v>-475</v>
      </c>
      <c r="M60" s="224">
        <v>-476</v>
      </c>
      <c r="N60" s="95"/>
    </row>
    <row r="61" spans="1:16" hidden="1" outlineLevel="1" x14ac:dyDescent="0.3">
      <c r="A61" s="218" t="s">
        <v>177</v>
      </c>
      <c r="B61" s="224">
        <v>57596782</v>
      </c>
      <c r="C61" s="224">
        <v>57935817</v>
      </c>
      <c r="D61" s="224">
        <v>58496163</v>
      </c>
      <c r="E61" s="224">
        <v>58876275</v>
      </c>
      <c r="F61" s="224">
        <v>59252046</v>
      </c>
      <c r="G61" s="224">
        <v>59536018</v>
      </c>
      <c r="H61" s="224">
        <v>59842489</v>
      </c>
      <c r="I61" s="224">
        <v>60238948</v>
      </c>
      <c r="J61" s="224">
        <v>60545418</v>
      </c>
      <c r="K61" s="224">
        <v>60921188</v>
      </c>
      <c r="L61" s="224">
        <v>61180682</v>
      </c>
      <c r="M61" s="224">
        <v>61419752</v>
      </c>
      <c r="N61" s="95"/>
    </row>
    <row r="62" spans="1:16" hidden="1" outlineLevel="1" x14ac:dyDescent="0.3">
      <c r="A62" s="218" t="s">
        <v>178</v>
      </c>
      <c r="B62" s="224">
        <v>2828790</v>
      </c>
      <c r="C62" s="224">
        <v>2828790</v>
      </c>
      <c r="D62" s="224">
        <v>2828790</v>
      </c>
      <c r="E62" s="224">
        <v>2828790</v>
      </c>
      <c r="F62" s="224">
        <v>2828790</v>
      </c>
      <c r="G62" s="224">
        <v>2828790</v>
      </c>
      <c r="H62" s="224">
        <v>2828790</v>
      </c>
      <c r="I62" s="224">
        <v>2828790</v>
      </c>
      <c r="J62" s="224">
        <v>2828790</v>
      </c>
      <c r="K62" s="224">
        <v>2828790</v>
      </c>
      <c r="L62" s="224">
        <v>2828790</v>
      </c>
      <c r="M62" s="224">
        <v>2828790</v>
      </c>
      <c r="N62" s="95"/>
    </row>
    <row r="63" spans="1:16" hidden="1" outlineLevel="1" x14ac:dyDescent="0.3">
      <c r="A63" s="220" t="s">
        <v>179</v>
      </c>
      <c r="B63" s="224">
        <v>98924</v>
      </c>
      <c r="C63" s="224">
        <v>98924</v>
      </c>
      <c r="D63" s="224">
        <v>98924</v>
      </c>
      <c r="E63" s="224">
        <v>98924</v>
      </c>
      <c r="F63" s="224">
        <v>98924</v>
      </c>
      <c r="G63" s="224">
        <v>98924</v>
      </c>
      <c r="H63" s="224">
        <v>98924</v>
      </c>
      <c r="I63" s="224">
        <v>98924</v>
      </c>
      <c r="J63" s="224">
        <v>98924</v>
      </c>
      <c r="K63" s="224">
        <v>98924</v>
      </c>
      <c r="L63" s="224">
        <v>98924</v>
      </c>
      <c r="M63" s="224">
        <v>98924</v>
      </c>
      <c r="N63" s="95"/>
    </row>
    <row r="64" spans="1:16" hidden="1" outlineLevel="1" x14ac:dyDescent="0.3">
      <c r="A64" s="218" t="s">
        <v>180</v>
      </c>
      <c r="B64" s="224">
        <v>98924</v>
      </c>
      <c r="C64" s="224">
        <v>98924</v>
      </c>
      <c r="D64" s="224">
        <v>98924</v>
      </c>
      <c r="E64" s="224">
        <v>98924</v>
      </c>
      <c r="F64" s="224">
        <v>98924</v>
      </c>
      <c r="G64" s="224">
        <v>98924</v>
      </c>
      <c r="H64" s="224">
        <v>98924</v>
      </c>
      <c r="I64" s="224">
        <v>98924</v>
      </c>
      <c r="J64" s="224">
        <v>98924</v>
      </c>
      <c r="K64" s="224">
        <v>98924</v>
      </c>
      <c r="L64" s="224">
        <v>98924</v>
      </c>
      <c r="M64" s="224">
        <v>98924</v>
      </c>
      <c r="N64" s="95"/>
    </row>
    <row r="65" spans="1:16" hidden="1" outlineLevel="1" x14ac:dyDescent="0.3">
      <c r="A65" s="220" t="s">
        <v>181</v>
      </c>
      <c r="B65" s="224">
        <v>6949127</v>
      </c>
      <c r="C65" s="224">
        <v>6949127</v>
      </c>
      <c r="D65" s="224">
        <v>6949127</v>
      </c>
      <c r="E65" s="224">
        <v>6949127</v>
      </c>
      <c r="F65" s="224">
        <v>6949127</v>
      </c>
      <c r="G65" s="224">
        <v>6949127</v>
      </c>
      <c r="H65" s="224">
        <v>6949127</v>
      </c>
      <c r="I65" s="224">
        <v>6949127</v>
      </c>
      <c r="J65" s="224">
        <v>6949127</v>
      </c>
      <c r="K65" s="224">
        <v>6949127</v>
      </c>
      <c r="L65" s="224">
        <v>6949127</v>
      </c>
      <c r="M65" s="224">
        <v>6949127</v>
      </c>
      <c r="N65" s="95"/>
    </row>
    <row r="66" spans="1:16" hidden="1" outlineLevel="1" x14ac:dyDescent="0.3">
      <c r="A66" s="218" t="s">
        <v>182</v>
      </c>
      <c r="B66" s="224">
        <v>6046746</v>
      </c>
      <c r="C66" s="224">
        <v>6046746</v>
      </c>
      <c r="D66" s="224">
        <v>6046746</v>
      </c>
      <c r="E66" s="224">
        <v>6046746</v>
      </c>
      <c r="F66" s="224">
        <v>6046746</v>
      </c>
      <c r="G66" s="224">
        <v>6046746</v>
      </c>
      <c r="H66" s="224">
        <v>6046746</v>
      </c>
      <c r="I66" s="224">
        <v>6046746</v>
      </c>
      <c r="J66" s="224">
        <v>6046746</v>
      </c>
      <c r="K66" s="224">
        <v>6046746</v>
      </c>
      <c r="L66" s="224">
        <v>6046746</v>
      </c>
      <c r="M66" s="224">
        <v>6046746</v>
      </c>
      <c r="N66" s="95"/>
    </row>
    <row r="67" spans="1:16" hidden="1" outlineLevel="1" x14ac:dyDescent="0.3">
      <c r="A67" s="218" t="s">
        <v>183</v>
      </c>
      <c r="B67" s="224">
        <v>902381</v>
      </c>
      <c r="C67" s="224">
        <v>902381</v>
      </c>
      <c r="D67" s="224">
        <v>902381</v>
      </c>
      <c r="E67" s="224">
        <v>902381</v>
      </c>
      <c r="F67" s="224">
        <v>902381</v>
      </c>
      <c r="G67" s="224">
        <v>902381</v>
      </c>
      <c r="H67" s="224">
        <v>902381</v>
      </c>
      <c r="I67" s="224">
        <v>902381</v>
      </c>
      <c r="J67" s="224">
        <v>902381</v>
      </c>
      <c r="K67" s="224">
        <v>902381</v>
      </c>
      <c r="L67" s="224">
        <v>902381</v>
      </c>
      <c r="M67" s="224">
        <v>902381</v>
      </c>
      <c r="N67" s="95"/>
    </row>
    <row r="68" spans="1:16" hidden="1" outlineLevel="1" x14ac:dyDescent="0.3">
      <c r="A68" s="220" t="s">
        <v>184</v>
      </c>
      <c r="B68" s="224">
        <v>323221821</v>
      </c>
      <c r="C68" s="224">
        <v>94736933</v>
      </c>
      <c r="D68" s="224">
        <v>111384165</v>
      </c>
      <c r="E68" s="224">
        <v>347885800</v>
      </c>
      <c r="F68" s="224">
        <v>123123795</v>
      </c>
      <c r="G68" s="224">
        <v>85129777</v>
      </c>
      <c r="H68" s="224">
        <v>327699065</v>
      </c>
      <c r="I68" s="224">
        <v>108964407</v>
      </c>
      <c r="J68" s="224">
        <v>125611639</v>
      </c>
      <c r="K68" s="224">
        <v>381042422</v>
      </c>
      <c r="L68" s="224">
        <v>137351270</v>
      </c>
      <c r="M68" s="224">
        <v>99323502</v>
      </c>
      <c r="N68" s="95"/>
    </row>
    <row r="69" spans="1:16" hidden="1" outlineLevel="1" x14ac:dyDescent="0.3">
      <c r="A69" s="218" t="s">
        <v>185</v>
      </c>
      <c r="B69" s="224">
        <v>4031667</v>
      </c>
      <c r="C69" s="224">
        <v>6047500</v>
      </c>
      <c r="D69" s="224">
        <v>8063333</v>
      </c>
      <c r="E69" s="224">
        <v>10079167</v>
      </c>
      <c r="F69" s="225" t="s">
        <v>77</v>
      </c>
      <c r="G69" s="224">
        <v>2015833</v>
      </c>
      <c r="H69" s="224">
        <v>4031667</v>
      </c>
      <c r="I69" s="224">
        <v>6047500</v>
      </c>
      <c r="J69" s="224">
        <v>8063333</v>
      </c>
      <c r="K69" s="224">
        <v>10079167</v>
      </c>
      <c r="L69" s="225" t="s">
        <v>77</v>
      </c>
      <c r="M69" s="224">
        <v>2015833</v>
      </c>
      <c r="N69" s="95"/>
    </row>
    <row r="70" spans="1:16" hidden="1" outlineLevel="1" x14ac:dyDescent="0.3">
      <c r="A70" s="218" t="s">
        <v>186</v>
      </c>
      <c r="B70" s="224">
        <v>85376328</v>
      </c>
      <c r="C70" s="224">
        <v>65941934</v>
      </c>
      <c r="D70" s="224">
        <v>71460833</v>
      </c>
      <c r="E70" s="224">
        <v>72249815</v>
      </c>
      <c r="F70" s="224">
        <v>73038797</v>
      </c>
      <c r="G70" s="224">
        <v>78557695</v>
      </c>
      <c r="H70" s="224">
        <v>79346677</v>
      </c>
      <c r="I70" s="224">
        <v>80135659</v>
      </c>
      <c r="J70" s="224">
        <v>85654558</v>
      </c>
      <c r="K70" s="224">
        <v>86443540</v>
      </c>
      <c r="L70" s="224">
        <v>87232521</v>
      </c>
      <c r="M70" s="224">
        <v>92751420</v>
      </c>
      <c r="N70" s="95"/>
    </row>
    <row r="71" spans="1:16" hidden="1" outlineLevel="1" x14ac:dyDescent="0.3">
      <c r="A71" s="218" t="s">
        <v>187</v>
      </c>
      <c r="B71" s="224">
        <v>13635000</v>
      </c>
      <c r="C71" s="224">
        <v>22747500</v>
      </c>
      <c r="D71" s="224">
        <v>31860000</v>
      </c>
      <c r="E71" s="224">
        <v>40972500</v>
      </c>
      <c r="F71" s="224">
        <v>50085000</v>
      </c>
      <c r="G71" s="224">
        <v>4556250</v>
      </c>
      <c r="H71" s="224">
        <v>13668750</v>
      </c>
      <c r="I71" s="224">
        <v>22781250</v>
      </c>
      <c r="J71" s="224">
        <v>31893750</v>
      </c>
      <c r="K71" s="224">
        <v>41006250</v>
      </c>
      <c r="L71" s="224">
        <v>50118750</v>
      </c>
      <c r="M71" s="224">
        <v>4556250</v>
      </c>
      <c r="N71" s="95"/>
    </row>
    <row r="72" spans="1:16" hidden="1" outlineLevel="1" x14ac:dyDescent="0.3">
      <c r="A72" s="218" t="s">
        <v>188</v>
      </c>
      <c r="B72" s="224">
        <v>202045788</v>
      </c>
      <c r="C72" s="225" t="s">
        <v>77</v>
      </c>
      <c r="D72" s="225" t="s">
        <v>77</v>
      </c>
      <c r="E72" s="224">
        <v>206451280</v>
      </c>
      <c r="F72" s="225" t="s">
        <v>77</v>
      </c>
      <c r="G72" s="225" t="s">
        <v>77</v>
      </c>
      <c r="H72" s="224">
        <v>210800182</v>
      </c>
      <c r="I72" s="225" t="s">
        <v>77</v>
      </c>
      <c r="J72" s="225" t="s">
        <v>77</v>
      </c>
      <c r="K72" s="224">
        <v>220224177</v>
      </c>
      <c r="L72" s="225" t="s">
        <v>77</v>
      </c>
      <c r="M72" s="225" t="s">
        <v>77</v>
      </c>
      <c r="N72" s="96"/>
    </row>
    <row r="73" spans="1:16" hidden="1" outlineLevel="1" x14ac:dyDescent="0.3">
      <c r="A73" s="218" t="s">
        <v>189</v>
      </c>
      <c r="B73" s="224">
        <v>18133040</v>
      </c>
      <c r="C73" s="225" t="s">
        <v>77</v>
      </c>
      <c r="D73" s="225" t="s">
        <v>77</v>
      </c>
      <c r="E73" s="224">
        <v>18133040</v>
      </c>
      <c r="F73" s="225" t="s">
        <v>77</v>
      </c>
      <c r="G73" s="225" t="s">
        <v>77</v>
      </c>
      <c r="H73" s="224">
        <v>19851790</v>
      </c>
      <c r="I73" s="225" t="s">
        <v>77</v>
      </c>
      <c r="J73" s="225" t="s">
        <v>77</v>
      </c>
      <c r="K73" s="224">
        <v>23289290</v>
      </c>
      <c r="L73" s="225" t="s">
        <v>77</v>
      </c>
      <c r="M73" s="225" t="s">
        <v>77</v>
      </c>
      <c r="N73" s="96"/>
    </row>
    <row r="74" spans="1:16" hidden="1" outlineLevel="1" x14ac:dyDescent="0.3">
      <c r="A74" s="218" t="s">
        <v>190</v>
      </c>
      <c r="B74" s="224">
        <v>-2</v>
      </c>
      <c r="C74" s="224">
        <v>-2</v>
      </c>
      <c r="D74" s="224">
        <v>-2</v>
      </c>
      <c r="E74" s="224">
        <v>-2</v>
      </c>
      <c r="F74" s="224">
        <v>-2</v>
      </c>
      <c r="G74" s="224">
        <v>-2</v>
      </c>
      <c r="H74" s="224">
        <v>-2</v>
      </c>
      <c r="I74" s="224">
        <v>-2</v>
      </c>
      <c r="J74" s="224">
        <v>-2</v>
      </c>
      <c r="K74" s="224">
        <v>-2</v>
      </c>
      <c r="L74" s="224">
        <v>-2</v>
      </c>
      <c r="M74" s="224">
        <v>-2</v>
      </c>
      <c r="N74" s="95"/>
    </row>
    <row r="75" spans="1:16" collapsed="1" x14ac:dyDescent="0.3">
      <c r="A75" s="215" t="s">
        <v>191</v>
      </c>
      <c r="B75" s="226">
        <v>1197484804</v>
      </c>
      <c r="C75" s="226">
        <v>969338949</v>
      </c>
      <c r="D75" s="226">
        <v>986546526</v>
      </c>
      <c r="E75" s="226">
        <v>1223428271</v>
      </c>
      <c r="F75" s="226">
        <v>999042035</v>
      </c>
      <c r="G75" s="226">
        <v>961331987</v>
      </c>
      <c r="H75" s="226">
        <v>1204207744</v>
      </c>
      <c r="I75" s="226">
        <v>985869543</v>
      </c>
      <c r="J75" s="226">
        <v>1002823244</v>
      </c>
      <c r="K75" s="226">
        <v>1258629796</v>
      </c>
      <c r="L75" s="226">
        <v>1015198136</v>
      </c>
      <c r="M75" s="226">
        <v>977409438</v>
      </c>
      <c r="N75" s="97">
        <f>+'Support B. 23 BS'!M82</f>
        <v>1002025878</v>
      </c>
    </row>
    <row r="76" spans="1:16" x14ac:dyDescent="0.3">
      <c r="A76" s="88"/>
      <c r="B76" s="87"/>
      <c r="C76" s="87"/>
      <c r="D76" s="87"/>
      <c r="E76" s="87"/>
      <c r="F76" s="87"/>
      <c r="G76" s="87"/>
      <c r="H76" s="87"/>
      <c r="I76" s="87"/>
      <c r="J76" s="87"/>
      <c r="K76" s="87"/>
      <c r="L76" s="87"/>
      <c r="M76" s="87"/>
      <c r="N76" s="98"/>
    </row>
    <row r="77" spans="1:16" x14ac:dyDescent="0.3">
      <c r="A77" s="227" t="s">
        <v>238</v>
      </c>
      <c r="B77" s="228">
        <f>3101556809-B118</f>
        <v>2812159068.9956713</v>
      </c>
      <c r="C77" s="228">
        <f>3288431275-C118</f>
        <v>2819503114.8433385</v>
      </c>
      <c r="D77" s="228">
        <f>3232969137-D118</f>
        <v>2817003421.0499477</v>
      </c>
      <c r="E77" s="228">
        <f>3231706398-E118</f>
        <v>2823683096.1712284</v>
      </c>
      <c r="F77" s="228">
        <f>3402937829-F118</f>
        <v>2829545357.1188149</v>
      </c>
      <c r="G77" s="228">
        <f>2855814038-G118</f>
        <v>2836184659.9330993</v>
      </c>
      <c r="H77" s="228">
        <f>2831982505-H118</f>
        <v>2809649351.6520109</v>
      </c>
      <c r="I77" s="228">
        <f>3003759967-I118</f>
        <v>2816349998.9005427</v>
      </c>
      <c r="J77" s="228">
        <f>2978597191-J118</f>
        <v>2822992648.7048998</v>
      </c>
      <c r="K77" s="228">
        <f>2975577565-K118</f>
        <v>2816717985.0719366</v>
      </c>
      <c r="L77" s="228">
        <f>3159821558-L118</f>
        <v>2817591160.9067769</v>
      </c>
      <c r="M77" s="228">
        <f>2907000170-M118</f>
        <v>2819369890.9652772</v>
      </c>
      <c r="N77" s="94">
        <f>+'Support B. 23 BS'!M84-N118</f>
        <v>2931739241</v>
      </c>
      <c r="O77" s="81">
        <f>AVERAGE(B77:N77)</f>
        <v>2828652999.6395035</v>
      </c>
      <c r="P77" s="151" t="s">
        <v>245</v>
      </c>
    </row>
    <row r="78" spans="1:16" x14ac:dyDescent="0.3">
      <c r="A78" s="218" t="s">
        <v>194</v>
      </c>
      <c r="B78" s="224">
        <v>2445780661</v>
      </c>
      <c r="C78" s="224">
        <v>2632655127</v>
      </c>
      <c r="D78" s="224">
        <v>2577192989</v>
      </c>
      <c r="E78" s="224">
        <v>2575930250</v>
      </c>
      <c r="F78" s="224">
        <v>2747161681</v>
      </c>
      <c r="G78" s="224">
        <v>2200037890</v>
      </c>
      <c r="H78" s="224">
        <v>2176206357</v>
      </c>
      <c r="I78" s="224">
        <v>2347983819</v>
      </c>
      <c r="J78" s="224">
        <v>2322821043</v>
      </c>
      <c r="K78" s="224">
        <v>2319801417</v>
      </c>
      <c r="L78" s="224">
        <v>2504045410</v>
      </c>
      <c r="M78" s="224">
        <v>2251224022</v>
      </c>
      <c r="N78" s="95">
        <f>+'Support B. 23 BS'!M85</f>
        <v>2469963093</v>
      </c>
      <c r="O78" s="158" t="s">
        <v>92</v>
      </c>
    </row>
    <row r="79" spans="1:16" x14ac:dyDescent="0.3">
      <c r="A79" s="218" t="s">
        <v>195</v>
      </c>
      <c r="B79" s="224">
        <v>655776148</v>
      </c>
      <c r="C79" s="224">
        <v>655776148</v>
      </c>
      <c r="D79" s="224">
        <v>655776148</v>
      </c>
      <c r="E79" s="224">
        <v>655776148</v>
      </c>
      <c r="F79" s="224">
        <v>655776148</v>
      </c>
      <c r="G79" s="224">
        <v>655776148</v>
      </c>
      <c r="H79" s="224">
        <v>655776148</v>
      </c>
      <c r="I79" s="224">
        <v>655776148</v>
      </c>
      <c r="J79" s="224">
        <v>655776148</v>
      </c>
      <c r="K79" s="224">
        <v>655776148</v>
      </c>
      <c r="L79" s="224">
        <v>655776148</v>
      </c>
      <c r="M79" s="224">
        <v>655776148</v>
      </c>
      <c r="N79" s="95">
        <f>+'Support B. 23 BS'!M86</f>
        <v>655776148</v>
      </c>
    </row>
    <row r="80" spans="1:16" hidden="1" outlineLevel="1" x14ac:dyDescent="0.3">
      <c r="A80" s="220" t="s">
        <v>196</v>
      </c>
      <c r="B80" s="224">
        <v>1333130</v>
      </c>
      <c r="C80" s="224">
        <v>1333130</v>
      </c>
      <c r="D80" s="224">
        <v>1333130</v>
      </c>
      <c r="E80" s="224">
        <v>1333130</v>
      </c>
      <c r="F80" s="224">
        <v>1333130</v>
      </c>
      <c r="G80" s="224">
        <v>1333130</v>
      </c>
      <c r="H80" s="224">
        <v>1333130</v>
      </c>
      <c r="I80" s="224">
        <v>1333130</v>
      </c>
      <c r="J80" s="224">
        <v>1333130</v>
      </c>
      <c r="K80" s="224">
        <v>1333130</v>
      </c>
      <c r="L80" s="224">
        <v>1333130</v>
      </c>
      <c r="M80" s="224">
        <v>1333130</v>
      </c>
      <c r="N80" s="95"/>
    </row>
    <row r="81" spans="1:16" hidden="1" outlineLevel="1" x14ac:dyDescent="0.3">
      <c r="A81" s="220" t="s">
        <v>197</v>
      </c>
      <c r="B81" s="224">
        <v>4141538</v>
      </c>
      <c r="C81" s="224">
        <v>4141538</v>
      </c>
      <c r="D81" s="224">
        <v>4141538</v>
      </c>
      <c r="E81" s="224">
        <v>4141538</v>
      </c>
      <c r="F81" s="224">
        <v>4141538</v>
      </c>
      <c r="G81" s="224">
        <v>4141538</v>
      </c>
      <c r="H81" s="224">
        <v>4141538</v>
      </c>
      <c r="I81" s="224">
        <v>4141538</v>
      </c>
      <c r="J81" s="224">
        <v>4141538</v>
      </c>
      <c r="K81" s="224">
        <v>4141538</v>
      </c>
      <c r="L81" s="224">
        <v>4141538</v>
      </c>
      <c r="M81" s="224">
        <v>4141538</v>
      </c>
      <c r="N81" s="95"/>
    </row>
    <row r="82" spans="1:16" hidden="1" outlineLevel="1" x14ac:dyDescent="0.3">
      <c r="A82" s="218" t="s">
        <v>198</v>
      </c>
      <c r="B82" s="224">
        <v>4141538</v>
      </c>
      <c r="C82" s="224">
        <v>4141538</v>
      </c>
      <c r="D82" s="224">
        <v>4141538</v>
      </c>
      <c r="E82" s="224">
        <v>4141538</v>
      </c>
      <c r="F82" s="224">
        <v>4141538</v>
      </c>
      <c r="G82" s="224">
        <v>4141538</v>
      </c>
      <c r="H82" s="224">
        <v>4141538</v>
      </c>
      <c r="I82" s="224">
        <v>4141538</v>
      </c>
      <c r="J82" s="224">
        <v>4141538</v>
      </c>
      <c r="K82" s="224">
        <v>4141538</v>
      </c>
      <c r="L82" s="224">
        <v>4141538</v>
      </c>
      <c r="M82" s="224">
        <v>4141538</v>
      </c>
      <c r="N82" s="95"/>
    </row>
    <row r="83" spans="1:16" hidden="1" outlineLevel="1" x14ac:dyDescent="0.3">
      <c r="A83" s="220" t="s">
        <v>199</v>
      </c>
      <c r="B83" s="224">
        <v>24674433</v>
      </c>
      <c r="C83" s="224">
        <v>24819858</v>
      </c>
      <c r="D83" s="224">
        <v>24967670</v>
      </c>
      <c r="E83" s="224">
        <v>25113095</v>
      </c>
      <c r="F83" s="224">
        <v>25258520</v>
      </c>
      <c r="G83" s="224">
        <v>25406332</v>
      </c>
      <c r="H83" s="224">
        <v>25551757</v>
      </c>
      <c r="I83" s="224">
        <v>25697183</v>
      </c>
      <c r="J83" s="224">
        <v>25844994</v>
      </c>
      <c r="K83" s="224">
        <v>25990420</v>
      </c>
      <c r="L83" s="224">
        <v>26135845</v>
      </c>
      <c r="M83" s="224">
        <v>26283657</v>
      </c>
      <c r="N83" s="95"/>
    </row>
    <row r="84" spans="1:16" ht="21.6" hidden="1" outlineLevel="1" x14ac:dyDescent="0.3">
      <c r="A84" s="222" t="s">
        <v>200</v>
      </c>
      <c r="B84" s="229">
        <v>24674433</v>
      </c>
      <c r="C84" s="229">
        <v>24819858</v>
      </c>
      <c r="D84" s="229">
        <v>24967670</v>
      </c>
      <c r="E84" s="229">
        <v>25113095</v>
      </c>
      <c r="F84" s="229">
        <v>25258520</v>
      </c>
      <c r="G84" s="229">
        <v>25406332</v>
      </c>
      <c r="H84" s="229">
        <v>25551757</v>
      </c>
      <c r="I84" s="229">
        <v>25697183</v>
      </c>
      <c r="J84" s="229">
        <v>25844994</v>
      </c>
      <c r="K84" s="229">
        <v>25990420</v>
      </c>
      <c r="L84" s="229">
        <v>26135845</v>
      </c>
      <c r="M84" s="229">
        <v>26283657</v>
      </c>
      <c r="N84" s="99"/>
    </row>
    <row r="85" spans="1:16" hidden="1" outlineLevel="1" x14ac:dyDescent="0.3">
      <c r="A85" s="220" t="s">
        <v>201</v>
      </c>
      <c r="B85" s="224">
        <v>-15568778</v>
      </c>
      <c r="C85" s="224">
        <v>-15568778</v>
      </c>
      <c r="D85" s="224">
        <v>-15732164</v>
      </c>
      <c r="E85" s="224">
        <v>-15732164</v>
      </c>
      <c r="F85" s="224">
        <v>-15732164</v>
      </c>
      <c r="G85" s="224">
        <v>-15918423</v>
      </c>
      <c r="H85" s="224">
        <v>-15918423</v>
      </c>
      <c r="I85" s="224">
        <v>-15918423</v>
      </c>
      <c r="J85" s="224">
        <v>-16081809</v>
      </c>
      <c r="K85" s="224">
        <v>-16081809</v>
      </c>
      <c r="L85" s="224">
        <v>-16081809</v>
      </c>
      <c r="M85" s="224">
        <v>-16248551</v>
      </c>
      <c r="N85" s="95"/>
    </row>
    <row r="86" spans="1:16" hidden="1" outlineLevel="1" x14ac:dyDescent="0.3">
      <c r="A86" s="218" t="s">
        <v>202</v>
      </c>
      <c r="B86" s="224">
        <v>8694874</v>
      </c>
      <c r="C86" s="224">
        <v>8694874</v>
      </c>
      <c r="D86" s="224">
        <v>8694874</v>
      </c>
      <c r="E86" s="224">
        <v>8694874</v>
      </c>
      <c r="F86" s="224">
        <v>8694874</v>
      </c>
      <c r="G86" s="224">
        <v>8694874</v>
      </c>
      <c r="H86" s="224">
        <v>8694874</v>
      </c>
      <c r="I86" s="224">
        <v>8694874</v>
      </c>
      <c r="J86" s="224">
        <v>8694874</v>
      </c>
      <c r="K86" s="224">
        <v>8694874</v>
      </c>
      <c r="L86" s="224">
        <v>8694874</v>
      </c>
      <c r="M86" s="224">
        <v>8694874</v>
      </c>
      <c r="N86" s="95"/>
    </row>
    <row r="87" spans="1:16" hidden="1" outlineLevel="1" x14ac:dyDescent="0.3">
      <c r="A87" s="218" t="s">
        <v>203</v>
      </c>
      <c r="B87" s="224">
        <v>-24263651</v>
      </c>
      <c r="C87" s="224">
        <v>-24263651</v>
      </c>
      <c r="D87" s="224">
        <v>-24427037</v>
      </c>
      <c r="E87" s="224">
        <v>-24427037</v>
      </c>
      <c r="F87" s="224">
        <v>-24427037</v>
      </c>
      <c r="G87" s="224">
        <v>-24613296</v>
      </c>
      <c r="H87" s="224">
        <v>-24613296</v>
      </c>
      <c r="I87" s="224">
        <v>-24613296</v>
      </c>
      <c r="J87" s="224">
        <v>-24776682</v>
      </c>
      <c r="K87" s="224">
        <v>-24776682</v>
      </c>
      <c r="L87" s="224">
        <v>-24776682</v>
      </c>
      <c r="M87" s="224">
        <v>-24943424</v>
      </c>
      <c r="N87" s="95"/>
    </row>
    <row r="88" spans="1:16" collapsed="1" x14ac:dyDescent="0.3">
      <c r="A88" s="215" t="s">
        <v>204</v>
      </c>
      <c r="B88" s="226">
        <v>3116137132</v>
      </c>
      <c r="C88" s="226">
        <v>3303157024</v>
      </c>
      <c r="D88" s="226">
        <v>3247679311</v>
      </c>
      <c r="E88" s="226">
        <v>3246561997</v>
      </c>
      <c r="F88" s="226">
        <v>3417938853</v>
      </c>
      <c r="G88" s="226">
        <v>2870776615</v>
      </c>
      <c r="H88" s="226">
        <v>2847090507</v>
      </c>
      <c r="I88" s="226">
        <v>3019013394</v>
      </c>
      <c r="J88" s="226">
        <v>2993835045</v>
      </c>
      <c r="K88" s="226">
        <v>2990960844</v>
      </c>
      <c r="L88" s="226">
        <v>3175350262</v>
      </c>
      <c r="M88" s="226">
        <v>2922509944</v>
      </c>
      <c r="N88" s="97">
        <f>+'Support B. 23 BS'!M95</f>
        <v>3145330763</v>
      </c>
    </row>
    <row r="89" spans="1:16" x14ac:dyDescent="0.3">
      <c r="A89" s="88"/>
      <c r="B89" s="87"/>
      <c r="C89" s="87"/>
      <c r="D89" s="87"/>
      <c r="E89" s="87"/>
      <c r="F89" s="87"/>
      <c r="G89" s="87"/>
      <c r="H89" s="87"/>
      <c r="I89" s="87"/>
      <c r="J89" s="87"/>
      <c r="K89" s="87"/>
      <c r="L89" s="87"/>
      <c r="M89" s="87"/>
      <c r="N89" s="98"/>
    </row>
    <row r="90" spans="1:16" x14ac:dyDescent="0.3">
      <c r="A90" s="215" t="s">
        <v>205</v>
      </c>
      <c r="B90" s="87"/>
      <c r="C90" s="87"/>
      <c r="D90" s="87"/>
      <c r="E90" s="87"/>
      <c r="F90" s="87"/>
      <c r="G90" s="87"/>
      <c r="H90" s="87"/>
      <c r="I90" s="87"/>
      <c r="J90" s="87"/>
      <c r="K90" s="87"/>
      <c r="L90" s="87"/>
      <c r="M90" s="87"/>
      <c r="N90" s="98"/>
    </row>
    <row r="91" spans="1:16" x14ac:dyDescent="0.3">
      <c r="A91" s="88"/>
      <c r="B91" s="87"/>
      <c r="C91" s="87"/>
      <c r="D91" s="87"/>
      <c r="E91" s="87"/>
      <c r="F91" s="87"/>
      <c r="G91" s="87"/>
      <c r="H91" s="87"/>
      <c r="I91" s="87"/>
      <c r="J91" s="87"/>
      <c r="K91" s="87"/>
      <c r="L91" s="87"/>
      <c r="M91" s="87"/>
      <c r="N91" s="98"/>
    </row>
    <row r="92" spans="1:16" x14ac:dyDescent="0.3">
      <c r="A92" s="215" t="s">
        <v>206</v>
      </c>
      <c r="B92" s="87"/>
      <c r="C92" s="87"/>
      <c r="D92" s="87"/>
      <c r="E92" s="87"/>
      <c r="F92" s="87"/>
      <c r="G92" s="87"/>
      <c r="H92" s="87"/>
      <c r="I92" s="87"/>
      <c r="J92" s="87"/>
      <c r="K92" s="87"/>
      <c r="L92" s="87"/>
      <c r="M92" s="87"/>
      <c r="N92" s="98"/>
    </row>
    <row r="93" spans="1:16" x14ac:dyDescent="0.3">
      <c r="A93" s="227" t="s">
        <v>207</v>
      </c>
      <c r="B93" s="228">
        <v>8354216341</v>
      </c>
      <c r="C93" s="228">
        <v>8420891451</v>
      </c>
      <c r="D93" s="228">
        <v>8668761451</v>
      </c>
      <c r="E93" s="228">
        <v>8668761451</v>
      </c>
      <c r="F93" s="228">
        <v>8736890373</v>
      </c>
      <c r="G93" s="228">
        <v>8984760373</v>
      </c>
      <c r="H93" s="228">
        <v>8984760373</v>
      </c>
      <c r="I93" s="228">
        <v>9054324433</v>
      </c>
      <c r="J93" s="228">
        <v>9054324433</v>
      </c>
      <c r="K93" s="228">
        <v>9054324433</v>
      </c>
      <c r="L93" s="228">
        <v>9126998412</v>
      </c>
      <c r="M93" s="228">
        <v>9126998412</v>
      </c>
      <c r="N93" s="94">
        <f>+'Support B. 23 BS'!M100</f>
        <v>8461990367</v>
      </c>
      <c r="O93" s="81">
        <f>AVERAGE(B93:N93)</f>
        <v>8822923254.0769234</v>
      </c>
      <c r="P93" s="156" t="s">
        <v>92</v>
      </c>
    </row>
    <row r="94" spans="1:16" x14ac:dyDescent="0.3">
      <c r="A94" s="218" t="s">
        <v>208</v>
      </c>
      <c r="B94" s="224">
        <v>8354216341</v>
      </c>
      <c r="C94" s="224">
        <v>8420891451</v>
      </c>
      <c r="D94" s="224">
        <v>8668761451</v>
      </c>
      <c r="E94" s="224">
        <v>8668761451</v>
      </c>
      <c r="F94" s="224">
        <v>8736890373</v>
      </c>
      <c r="G94" s="224">
        <v>8984760373</v>
      </c>
      <c r="H94" s="224">
        <v>8984760373</v>
      </c>
      <c r="I94" s="224">
        <v>9054324433</v>
      </c>
      <c r="J94" s="224">
        <v>9054324433</v>
      </c>
      <c r="K94" s="224">
        <v>9054324433</v>
      </c>
      <c r="L94" s="224">
        <v>9126998412</v>
      </c>
      <c r="M94" s="224">
        <v>9126998412</v>
      </c>
      <c r="N94" s="95">
        <f>+'Support B. 23 BS'!M101</f>
        <v>8461990367</v>
      </c>
    </row>
    <row r="95" spans="1:16" x14ac:dyDescent="0.3">
      <c r="A95" s="227" t="s">
        <v>210</v>
      </c>
      <c r="B95" s="228">
        <v>1421820675</v>
      </c>
      <c r="C95" s="228">
        <v>1421820675</v>
      </c>
      <c r="D95" s="228">
        <v>1421820675</v>
      </c>
      <c r="E95" s="228">
        <v>1421820675</v>
      </c>
      <c r="F95" s="228">
        <v>1421820675</v>
      </c>
      <c r="G95" s="228">
        <v>1692915675</v>
      </c>
      <c r="H95" s="228">
        <v>1692915675</v>
      </c>
      <c r="I95" s="228">
        <v>1692915675</v>
      </c>
      <c r="J95" s="228">
        <v>1692915675</v>
      </c>
      <c r="K95" s="228">
        <v>1692915675</v>
      </c>
      <c r="L95" s="228">
        <v>1692915675</v>
      </c>
      <c r="M95" s="228">
        <v>1964010675</v>
      </c>
      <c r="N95" s="94">
        <f>+'Support B. 23 BS'!M102</f>
        <v>1421820675</v>
      </c>
      <c r="O95" s="81">
        <f>AVERAGE(B95:N95)</f>
        <v>1588648367.3076923</v>
      </c>
      <c r="P95" s="156" t="s">
        <v>92</v>
      </c>
    </row>
    <row r="96" spans="1:16" x14ac:dyDescent="0.3">
      <c r="A96" s="218" t="s">
        <v>211</v>
      </c>
      <c r="B96" s="224">
        <v>1421820675</v>
      </c>
      <c r="C96" s="224">
        <v>1421820675</v>
      </c>
      <c r="D96" s="224">
        <v>1421820675</v>
      </c>
      <c r="E96" s="224">
        <v>1421820675</v>
      </c>
      <c r="F96" s="224">
        <v>1421820675</v>
      </c>
      <c r="G96" s="224">
        <v>1692915675</v>
      </c>
      <c r="H96" s="224">
        <v>1692915675</v>
      </c>
      <c r="I96" s="224">
        <v>1692915675</v>
      </c>
      <c r="J96" s="224">
        <v>1692915675</v>
      </c>
      <c r="K96" s="224">
        <v>1692915675</v>
      </c>
      <c r="L96" s="224">
        <v>1692915675</v>
      </c>
      <c r="M96" s="224">
        <v>1964010675</v>
      </c>
      <c r="N96" s="95">
        <f>+'Support B. 23 BS'!M103</f>
        <v>1421820675</v>
      </c>
    </row>
    <row r="97" spans="1:16" x14ac:dyDescent="0.3">
      <c r="A97" s="227" t="s">
        <v>212</v>
      </c>
      <c r="B97" s="228">
        <v>50984636</v>
      </c>
      <c r="C97" s="228">
        <v>50984636</v>
      </c>
      <c r="D97" s="228">
        <v>51559537</v>
      </c>
      <c r="E97" s="228">
        <v>51559537</v>
      </c>
      <c r="F97" s="228">
        <v>51559537</v>
      </c>
      <c r="G97" s="228">
        <v>52134437</v>
      </c>
      <c r="H97" s="228">
        <v>52134437</v>
      </c>
      <c r="I97" s="228">
        <v>52134437</v>
      </c>
      <c r="J97" s="228">
        <v>52709338</v>
      </c>
      <c r="K97" s="228">
        <v>52709338</v>
      </c>
      <c r="L97" s="228">
        <v>52709338</v>
      </c>
      <c r="M97" s="228">
        <v>53284238</v>
      </c>
      <c r="N97" s="94">
        <f>+'Support B. 23 BS'!M104</f>
        <v>50862285</v>
      </c>
      <c r="O97" s="81">
        <f>AVERAGE(B97:N97)</f>
        <v>51948133.153846152</v>
      </c>
      <c r="P97" s="156" t="s">
        <v>92</v>
      </c>
    </row>
    <row r="98" spans="1:16" x14ac:dyDescent="0.3">
      <c r="A98" s="218" t="s">
        <v>213</v>
      </c>
      <c r="B98" s="224">
        <v>50984636</v>
      </c>
      <c r="C98" s="224">
        <v>50984636</v>
      </c>
      <c r="D98" s="224">
        <v>51559537</v>
      </c>
      <c r="E98" s="224">
        <v>51559537</v>
      </c>
      <c r="F98" s="224">
        <v>51559537</v>
      </c>
      <c r="G98" s="224">
        <v>52134437</v>
      </c>
      <c r="H98" s="224">
        <v>52134437</v>
      </c>
      <c r="I98" s="224">
        <v>52134437</v>
      </c>
      <c r="J98" s="224">
        <v>52709338</v>
      </c>
      <c r="K98" s="224">
        <v>52709338</v>
      </c>
      <c r="L98" s="224">
        <v>52709338</v>
      </c>
      <c r="M98" s="224">
        <v>53284238</v>
      </c>
      <c r="N98" s="95">
        <f>+'Support B. 23 BS'!M105</f>
        <v>50862285</v>
      </c>
    </row>
    <row r="99" spans="1:16" hidden="1" outlineLevel="1" x14ac:dyDescent="0.3">
      <c r="A99" s="220" t="s">
        <v>214</v>
      </c>
      <c r="B99" s="224">
        <v>118321007</v>
      </c>
      <c r="C99" s="224">
        <v>118321007</v>
      </c>
      <c r="D99" s="224">
        <v>118321007</v>
      </c>
      <c r="E99" s="224">
        <v>118321007</v>
      </c>
      <c r="F99" s="224">
        <v>118321007</v>
      </c>
      <c r="G99" s="224">
        <v>118321007</v>
      </c>
      <c r="H99" s="224">
        <v>118321007</v>
      </c>
      <c r="I99" s="224">
        <v>118321007</v>
      </c>
      <c r="J99" s="224">
        <v>118321007</v>
      </c>
      <c r="K99" s="224">
        <v>118321007</v>
      </c>
      <c r="L99" s="224">
        <v>118321007</v>
      </c>
      <c r="M99" s="224">
        <v>118321007</v>
      </c>
    </row>
    <row r="100" spans="1:16" hidden="1" outlineLevel="1" x14ac:dyDescent="0.3">
      <c r="A100" s="218" t="s">
        <v>215</v>
      </c>
      <c r="B100" s="224">
        <v>1614131</v>
      </c>
      <c r="C100" s="224">
        <v>1614131</v>
      </c>
      <c r="D100" s="224">
        <v>1614131</v>
      </c>
      <c r="E100" s="224">
        <v>1614131</v>
      </c>
      <c r="F100" s="224">
        <v>1614131</v>
      </c>
      <c r="G100" s="224">
        <v>1614131</v>
      </c>
      <c r="H100" s="224">
        <v>1614131</v>
      </c>
      <c r="I100" s="224">
        <v>1614131</v>
      </c>
      <c r="J100" s="224">
        <v>1614131</v>
      </c>
      <c r="K100" s="224">
        <v>1614131</v>
      </c>
      <c r="L100" s="224">
        <v>1614131</v>
      </c>
      <c r="M100" s="224">
        <v>1614131</v>
      </c>
    </row>
    <row r="101" spans="1:16" hidden="1" outlineLevel="1" x14ac:dyDescent="0.3">
      <c r="A101" s="218" t="s">
        <v>216</v>
      </c>
      <c r="B101" s="224">
        <v>1</v>
      </c>
      <c r="C101" s="224">
        <v>1</v>
      </c>
      <c r="D101" s="224">
        <v>1</v>
      </c>
      <c r="E101" s="224">
        <v>1</v>
      </c>
      <c r="F101" s="224">
        <v>1</v>
      </c>
      <c r="G101" s="224">
        <v>1</v>
      </c>
      <c r="H101" s="224">
        <v>1</v>
      </c>
      <c r="I101" s="224">
        <v>1</v>
      </c>
      <c r="J101" s="224">
        <v>1</v>
      </c>
      <c r="K101" s="224">
        <v>1</v>
      </c>
      <c r="L101" s="224">
        <v>1</v>
      </c>
      <c r="M101" s="224">
        <v>1</v>
      </c>
    </row>
    <row r="102" spans="1:16" hidden="1" outlineLevel="1" x14ac:dyDescent="0.3">
      <c r="A102" s="218" t="s">
        <v>217</v>
      </c>
      <c r="B102" s="224">
        <v>-61697910</v>
      </c>
      <c r="C102" s="224">
        <v>-61697910</v>
      </c>
      <c r="D102" s="224">
        <v>-61697910</v>
      </c>
      <c r="E102" s="224">
        <v>-61697910</v>
      </c>
      <c r="F102" s="224">
        <v>-61697910</v>
      </c>
      <c r="G102" s="224">
        <v>-61697910</v>
      </c>
      <c r="H102" s="224">
        <v>-61697910</v>
      </c>
      <c r="I102" s="224">
        <v>-61697910</v>
      </c>
      <c r="J102" s="224">
        <v>-61697910</v>
      </c>
      <c r="K102" s="224">
        <v>-61697910</v>
      </c>
      <c r="L102" s="224">
        <v>-61697910</v>
      </c>
      <c r="M102" s="224">
        <v>-61697910</v>
      </c>
    </row>
    <row r="103" spans="1:16" hidden="1" outlineLevel="1" x14ac:dyDescent="0.3">
      <c r="A103" s="218" t="s">
        <v>219</v>
      </c>
      <c r="B103" s="224">
        <v>2283960</v>
      </c>
      <c r="C103" s="224">
        <v>2283960</v>
      </c>
      <c r="D103" s="224">
        <v>2283960</v>
      </c>
      <c r="E103" s="224">
        <v>2283960</v>
      </c>
      <c r="F103" s="224">
        <v>2283960</v>
      </c>
      <c r="G103" s="224">
        <v>2283960</v>
      </c>
      <c r="H103" s="224">
        <v>2283960</v>
      </c>
      <c r="I103" s="224">
        <v>2283960</v>
      </c>
      <c r="J103" s="224">
        <v>2283960</v>
      </c>
      <c r="K103" s="224">
        <v>2283960</v>
      </c>
      <c r="L103" s="224">
        <v>2283960</v>
      </c>
      <c r="M103" s="224">
        <v>2283960</v>
      </c>
    </row>
    <row r="104" spans="1:16" hidden="1" outlineLevel="1" x14ac:dyDescent="0.3">
      <c r="A104" s="218" t="s">
        <v>220</v>
      </c>
      <c r="B104" s="224">
        <v>176120825</v>
      </c>
      <c r="C104" s="224">
        <v>176120825</v>
      </c>
      <c r="D104" s="224">
        <v>176120825</v>
      </c>
      <c r="E104" s="224">
        <v>176120825</v>
      </c>
      <c r="F104" s="224">
        <v>176120825</v>
      </c>
      <c r="G104" s="224">
        <v>176120825</v>
      </c>
      <c r="H104" s="224">
        <v>176120825</v>
      </c>
      <c r="I104" s="224">
        <v>176120825</v>
      </c>
      <c r="J104" s="224">
        <v>176120825</v>
      </c>
      <c r="K104" s="224">
        <v>176120825</v>
      </c>
      <c r="L104" s="224">
        <v>176120825</v>
      </c>
      <c r="M104" s="224">
        <v>176120825</v>
      </c>
    </row>
    <row r="105" spans="1:16" hidden="1" outlineLevel="1" x14ac:dyDescent="0.3">
      <c r="A105" s="220" t="s">
        <v>221</v>
      </c>
      <c r="B105" s="224">
        <v>-3455138742</v>
      </c>
      <c r="C105" s="224">
        <v>-3464359870</v>
      </c>
      <c r="D105" s="224">
        <v>-3423368490</v>
      </c>
      <c r="E105" s="224">
        <v>-3642777047</v>
      </c>
      <c r="F105" s="224">
        <v>-3651543980</v>
      </c>
      <c r="G105" s="224">
        <v>-3595914230</v>
      </c>
      <c r="H105" s="224">
        <v>-3826494734</v>
      </c>
      <c r="I105" s="224">
        <v>-3833964939</v>
      </c>
      <c r="J105" s="224">
        <v>-3811205158</v>
      </c>
      <c r="K105" s="224">
        <v>-4049021212</v>
      </c>
      <c r="L105" s="224">
        <v>-4051160720</v>
      </c>
      <c r="M105" s="224">
        <v>-4028238714</v>
      </c>
    </row>
    <row r="106" spans="1:16" hidden="1" outlineLevel="1" x14ac:dyDescent="0.3">
      <c r="A106" s="218" t="s">
        <v>222</v>
      </c>
      <c r="B106" s="224">
        <v>-26853206</v>
      </c>
      <c r="C106" s="224">
        <v>-36074334</v>
      </c>
      <c r="D106" s="224">
        <v>4917046</v>
      </c>
      <c r="E106" s="224">
        <v>-8040231</v>
      </c>
      <c r="F106" s="224">
        <v>-16807165</v>
      </c>
      <c r="G106" s="224">
        <v>38822586</v>
      </c>
      <c r="H106" s="224">
        <v>19042264</v>
      </c>
      <c r="I106" s="224">
        <v>11572058</v>
      </c>
      <c r="J106" s="224">
        <v>34331840</v>
      </c>
      <c r="K106" s="224">
        <v>16739963</v>
      </c>
      <c r="L106" s="224">
        <v>14600454</v>
      </c>
      <c r="M106" s="224">
        <v>37522461</v>
      </c>
    </row>
    <row r="107" spans="1:16" ht="21.6" hidden="1" outlineLevel="1" x14ac:dyDescent="0.3">
      <c r="A107" s="230" t="s">
        <v>223</v>
      </c>
      <c r="B107" s="229">
        <v>-26853206</v>
      </c>
      <c r="C107" s="229">
        <v>-36074334</v>
      </c>
      <c r="D107" s="229">
        <v>4917046</v>
      </c>
      <c r="E107" s="229">
        <v>-8040231</v>
      </c>
      <c r="F107" s="229">
        <v>-16807165</v>
      </c>
      <c r="G107" s="229">
        <v>38822586</v>
      </c>
      <c r="H107" s="229">
        <v>19042264</v>
      </c>
      <c r="I107" s="229">
        <v>11572058</v>
      </c>
      <c r="J107" s="229">
        <v>34331840</v>
      </c>
      <c r="K107" s="229">
        <v>16739963</v>
      </c>
      <c r="L107" s="229">
        <v>14600454</v>
      </c>
      <c r="M107" s="229">
        <v>37522461</v>
      </c>
    </row>
    <row r="108" spans="1:16" hidden="1" outlineLevel="1" x14ac:dyDescent="0.3">
      <c r="A108" s="218" t="s">
        <v>224</v>
      </c>
      <c r="B108" s="224">
        <v>-202045788</v>
      </c>
      <c r="C108" s="224">
        <v>-202045788</v>
      </c>
      <c r="D108" s="224">
        <v>-202045788</v>
      </c>
      <c r="E108" s="224">
        <v>-408497068</v>
      </c>
      <c r="F108" s="224">
        <v>-408497068</v>
      </c>
      <c r="G108" s="224">
        <v>-408497068</v>
      </c>
      <c r="H108" s="224">
        <v>-619297250</v>
      </c>
      <c r="I108" s="224">
        <v>-619297250</v>
      </c>
      <c r="J108" s="224">
        <v>-619297250</v>
      </c>
      <c r="K108" s="224">
        <v>-839521427</v>
      </c>
      <c r="L108" s="224">
        <v>-839521427</v>
      </c>
      <c r="M108" s="224">
        <v>-839521427</v>
      </c>
    </row>
    <row r="109" spans="1:16" hidden="1" outlineLevel="1" x14ac:dyDescent="0.3">
      <c r="A109" s="218" t="s">
        <v>225</v>
      </c>
      <c r="B109" s="224">
        <v>-3226239748</v>
      </c>
      <c r="C109" s="224">
        <v>-3226239748</v>
      </c>
      <c r="D109" s="224">
        <v>-3226239748</v>
      </c>
      <c r="E109" s="224">
        <v>-3226239748</v>
      </c>
      <c r="F109" s="224">
        <v>-3226239748</v>
      </c>
      <c r="G109" s="224">
        <v>-3226239748</v>
      </c>
      <c r="H109" s="224">
        <v>-3226239748</v>
      </c>
      <c r="I109" s="224">
        <v>-3226239748</v>
      </c>
      <c r="J109" s="224">
        <v>-3226239748</v>
      </c>
      <c r="K109" s="224">
        <v>-3226239748</v>
      </c>
      <c r="L109" s="224">
        <v>-3226239748</v>
      </c>
      <c r="M109" s="224">
        <v>-3226239748</v>
      </c>
    </row>
    <row r="110" spans="1:16" ht="21.6" hidden="1" outlineLevel="1" x14ac:dyDescent="0.3">
      <c r="A110" s="230" t="s">
        <v>226</v>
      </c>
      <c r="B110" s="229">
        <v>776378</v>
      </c>
      <c r="C110" s="229">
        <v>776378</v>
      </c>
      <c r="D110" s="229">
        <v>776378</v>
      </c>
      <c r="E110" s="229">
        <v>776378</v>
      </c>
      <c r="F110" s="229">
        <v>776378</v>
      </c>
      <c r="G110" s="229">
        <v>776378</v>
      </c>
      <c r="H110" s="229">
        <v>776378</v>
      </c>
      <c r="I110" s="229">
        <v>776378</v>
      </c>
      <c r="J110" s="229">
        <v>776378</v>
      </c>
      <c r="K110" s="229">
        <v>776378</v>
      </c>
      <c r="L110" s="229">
        <v>776378</v>
      </c>
      <c r="M110" s="229">
        <v>776378</v>
      </c>
    </row>
    <row r="111" spans="1:16" hidden="1" outlineLevel="1" x14ac:dyDescent="0.3">
      <c r="A111" s="221" t="s">
        <v>227</v>
      </c>
      <c r="B111" s="224">
        <v>-3227016126</v>
      </c>
      <c r="C111" s="224">
        <v>-3227016126</v>
      </c>
      <c r="D111" s="224">
        <v>-3227016126</v>
      </c>
      <c r="E111" s="224">
        <v>-3227016126</v>
      </c>
      <c r="F111" s="224">
        <v>-3227016126</v>
      </c>
      <c r="G111" s="224">
        <v>-3227016126</v>
      </c>
      <c r="H111" s="224">
        <v>-3227016126</v>
      </c>
      <c r="I111" s="224">
        <v>-3227016126</v>
      </c>
      <c r="J111" s="224">
        <v>-3227016126</v>
      </c>
      <c r="K111" s="224">
        <v>-3227016126</v>
      </c>
      <c r="L111" s="224">
        <v>-3227016126</v>
      </c>
      <c r="M111" s="224">
        <v>-3227016126</v>
      </c>
    </row>
    <row r="112" spans="1:16" collapsed="1" x14ac:dyDescent="0.3">
      <c r="A112" s="215" t="s">
        <v>228</v>
      </c>
      <c r="B112" s="226">
        <v>6490203917</v>
      </c>
      <c r="C112" s="226">
        <v>6547657899</v>
      </c>
      <c r="D112" s="226">
        <v>6837094180</v>
      </c>
      <c r="E112" s="226">
        <v>6617685623</v>
      </c>
      <c r="F112" s="226">
        <v>6677047612</v>
      </c>
      <c r="G112" s="226">
        <v>7252217262</v>
      </c>
      <c r="H112" s="226">
        <v>7021636758</v>
      </c>
      <c r="I112" s="226">
        <v>7083730613</v>
      </c>
      <c r="J112" s="226">
        <v>7107065295</v>
      </c>
      <c r="K112" s="226">
        <v>6869249241</v>
      </c>
      <c r="L112" s="226">
        <v>6939783711</v>
      </c>
      <c r="M112" s="226">
        <v>7234375618</v>
      </c>
    </row>
    <row r="113" spans="1:16" x14ac:dyDescent="0.3">
      <c r="A113" s="215" t="s">
        <v>229</v>
      </c>
      <c r="B113" s="226">
        <v>6490203917</v>
      </c>
      <c r="C113" s="226">
        <v>6547657899</v>
      </c>
      <c r="D113" s="226">
        <v>6837094180</v>
      </c>
      <c r="E113" s="226">
        <v>6617685623</v>
      </c>
      <c r="F113" s="226">
        <v>6677047612</v>
      </c>
      <c r="G113" s="226">
        <v>7252217262</v>
      </c>
      <c r="H113" s="226">
        <v>7021636758</v>
      </c>
      <c r="I113" s="226">
        <v>7083730613</v>
      </c>
      <c r="J113" s="226">
        <v>7107065295</v>
      </c>
      <c r="K113" s="226">
        <v>6869249241</v>
      </c>
      <c r="L113" s="226">
        <v>6939783711</v>
      </c>
      <c r="M113" s="226">
        <v>7234375618</v>
      </c>
    </row>
    <row r="114" spans="1:16" x14ac:dyDescent="0.3">
      <c r="A114" s="88"/>
      <c r="B114" s="87"/>
      <c r="C114" s="87"/>
      <c r="D114" s="87"/>
      <c r="E114" s="87"/>
      <c r="F114" s="87"/>
      <c r="G114" s="87"/>
      <c r="H114" s="87"/>
      <c r="I114" s="87"/>
      <c r="J114" s="87"/>
      <c r="K114" s="87"/>
      <c r="L114" s="87"/>
      <c r="M114" s="87"/>
    </row>
    <row r="115" spans="1:16" ht="15" thickBot="1" x14ac:dyDescent="0.35">
      <c r="A115" s="215" t="s">
        <v>231</v>
      </c>
      <c r="B115" s="231">
        <v>10803825853</v>
      </c>
      <c r="C115" s="231">
        <v>10820153872</v>
      </c>
      <c r="D115" s="231">
        <v>11071320017</v>
      </c>
      <c r="E115" s="231">
        <v>11087675891</v>
      </c>
      <c r="F115" s="231">
        <v>11094028500</v>
      </c>
      <c r="G115" s="231">
        <v>11084325865</v>
      </c>
      <c r="H115" s="231">
        <v>11072935009</v>
      </c>
      <c r="I115" s="231">
        <v>11088613551</v>
      </c>
      <c r="J115" s="231">
        <v>11103723584</v>
      </c>
      <c r="K115" s="231">
        <v>11118839881</v>
      </c>
      <c r="L115" s="231">
        <v>11130332109</v>
      </c>
      <c r="M115" s="231">
        <v>11134294999</v>
      </c>
    </row>
    <row r="116" spans="1:16" x14ac:dyDescent="0.3">
      <c r="A116" s="260" t="s">
        <v>112</v>
      </c>
      <c r="B116" s="260"/>
      <c r="C116" s="260"/>
      <c r="D116" s="260"/>
      <c r="E116" s="260"/>
      <c r="F116" s="260"/>
      <c r="G116" s="260"/>
      <c r="H116" s="260"/>
    </row>
    <row r="118" spans="1:16" s="154" customFormat="1" ht="12" x14ac:dyDescent="0.25">
      <c r="A118" s="152" t="s">
        <v>232</v>
      </c>
      <c r="B118" s="153">
        <f>+'[4]CAD Balances (Emera Inc)'!$B$67*1000000</f>
        <v>289397740.00432855</v>
      </c>
      <c r="C118" s="153">
        <f>+'[4]CAD Balances (Emera Inc)'!$C$67*1000000</f>
        <v>468928160.15666139</v>
      </c>
      <c r="D118" s="153">
        <f>+'[4]CAD Balances (Emera Inc)'!$D$67*1000000</f>
        <v>415965715.95005214</v>
      </c>
      <c r="E118" s="153">
        <f>+'[4]CAD Balances (Emera Inc)'!$E$67*1000000</f>
        <v>408023301.82877153</v>
      </c>
      <c r="F118" s="153">
        <f>+'[4]CAD Balances (Emera Inc)'!$F$67*1000000</f>
        <v>573392471.88118505</v>
      </c>
      <c r="G118" s="153">
        <f>+'[4]CAD Balances (Emera Inc)'!$G$67*1000000</f>
        <v>19629378.066900585</v>
      </c>
      <c r="H118" s="153">
        <f>+'[4]CAD Balances (Emera Inc)'!$H$67*1000000</f>
        <v>22333153.34798903</v>
      </c>
      <c r="I118" s="153">
        <f>+'[4]CAD Balances (Emera Inc)'!$I$67*1000000</f>
        <v>187409968.09945741</v>
      </c>
      <c r="J118" s="153">
        <f>+'[4]CAD Balances (Emera Inc)'!$J$67*1000000</f>
        <v>155604542.2951003</v>
      </c>
      <c r="K118" s="153">
        <f>+'[4]CAD Balances (Emera Inc)'!$K$67*1000000</f>
        <v>158859579.92806354</v>
      </c>
      <c r="L118" s="153">
        <f>+'[4]CAD Balances (Emera Inc)'!$L$67*1000000</f>
        <v>342230397.09322321</v>
      </c>
      <c r="M118" s="153">
        <f>+'[4]CAD Balances (Emera Inc)'!$M$67*1000000</f>
        <v>87630279.034722805</v>
      </c>
      <c r="N118" s="168"/>
      <c r="O118" s="155"/>
      <c r="P118" s="154" t="s">
        <v>246</v>
      </c>
    </row>
  </sheetData>
  <mergeCells count="4">
    <mergeCell ref="A1:H1"/>
    <mergeCell ref="A2:H2"/>
    <mergeCell ref="A3:H3"/>
    <mergeCell ref="A116:H116"/>
  </mergeCells>
  <pageMargins left="0.7" right="0.7" top="0.75" bottom="0.75" header="0.3" footer="0.3"/>
  <customProperties>
    <customPr name="EpmWorksheetKeyString_GUID" r:id="rId1"/>
  </customPropertie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910C4-E4C8-4D8F-9ADF-8948D521C8D7}">
  <sheetPr>
    <tabColor theme="0" tint="-0.249977111117893"/>
  </sheetPr>
  <dimension ref="A1:M124"/>
  <sheetViews>
    <sheetView showOutlineSymbols="0" workbookViewId="0"/>
  </sheetViews>
  <sheetFormatPr defaultColWidth="9.109375" defaultRowHeight="14.4" outlineLevelRow="1" x14ac:dyDescent="0.3"/>
  <cols>
    <col min="1" max="1" width="35.6640625" style="86" customWidth="1"/>
    <col min="2" max="13" width="17.88671875" style="86" customWidth="1"/>
    <col min="14" max="16384" width="9.109375" style="86"/>
  </cols>
  <sheetData>
    <row r="1" spans="1:13" x14ac:dyDescent="0.3">
      <c r="A1" s="258" t="s">
        <v>113</v>
      </c>
      <c r="B1" s="258"/>
      <c r="C1" s="258"/>
      <c r="D1" s="258"/>
      <c r="E1" s="258"/>
      <c r="F1" s="258"/>
      <c r="G1" s="258"/>
      <c r="H1" s="258"/>
    </row>
    <row r="2" spans="1:13" x14ac:dyDescent="0.3">
      <c r="A2" s="259" t="s">
        <v>51</v>
      </c>
      <c r="B2" s="259"/>
      <c r="C2" s="259"/>
      <c r="D2" s="259"/>
      <c r="E2" s="259"/>
      <c r="F2" s="259"/>
      <c r="G2" s="259"/>
      <c r="H2" s="259"/>
    </row>
    <row r="3" spans="1:13" x14ac:dyDescent="0.3">
      <c r="A3" s="259" t="s">
        <v>247</v>
      </c>
      <c r="B3" s="259"/>
      <c r="C3" s="259"/>
      <c r="D3" s="259"/>
      <c r="E3" s="259"/>
      <c r="F3" s="259"/>
      <c r="G3" s="259"/>
      <c r="H3" s="259"/>
    </row>
    <row r="4" spans="1:13" x14ac:dyDescent="0.3">
      <c r="A4" s="91"/>
      <c r="B4" s="213" t="s">
        <v>53</v>
      </c>
      <c r="C4" s="213" t="s">
        <v>54</v>
      </c>
      <c r="D4" s="213" t="s">
        <v>55</v>
      </c>
      <c r="E4" s="213" t="s">
        <v>56</v>
      </c>
      <c r="F4" s="213" t="s">
        <v>57</v>
      </c>
      <c r="G4" s="213" t="s">
        <v>58</v>
      </c>
      <c r="H4" s="213" t="s">
        <v>59</v>
      </c>
      <c r="I4" s="213" t="s">
        <v>60</v>
      </c>
      <c r="J4" s="213" t="s">
        <v>61</v>
      </c>
      <c r="K4" s="213" t="s">
        <v>62</v>
      </c>
      <c r="L4" s="213" t="s">
        <v>63</v>
      </c>
      <c r="M4" s="213" t="s">
        <v>64</v>
      </c>
    </row>
    <row r="5" spans="1:13" x14ac:dyDescent="0.3">
      <c r="A5" s="91"/>
      <c r="B5" s="214" t="s">
        <v>248</v>
      </c>
      <c r="C5" s="214" t="s">
        <v>248</v>
      </c>
      <c r="D5" s="214" t="s">
        <v>248</v>
      </c>
      <c r="E5" s="214" t="s">
        <v>248</v>
      </c>
      <c r="F5" s="214" t="s">
        <v>248</v>
      </c>
      <c r="G5" s="214" t="s">
        <v>248</v>
      </c>
      <c r="H5" s="214" t="s">
        <v>248</v>
      </c>
      <c r="I5" s="214" t="s">
        <v>248</v>
      </c>
      <c r="J5" s="214" t="s">
        <v>248</v>
      </c>
      <c r="K5" s="214" t="s">
        <v>248</v>
      </c>
      <c r="L5" s="214" t="s">
        <v>248</v>
      </c>
      <c r="M5" s="214" t="s">
        <v>248</v>
      </c>
    </row>
    <row r="6" spans="1:13" x14ac:dyDescent="0.3">
      <c r="A6" s="215" t="s">
        <v>118</v>
      </c>
      <c r="B6" s="87"/>
      <c r="C6" s="87"/>
      <c r="D6" s="87"/>
      <c r="E6" s="87"/>
      <c r="F6" s="87"/>
      <c r="G6" s="87"/>
      <c r="H6" s="87"/>
      <c r="I6" s="87"/>
      <c r="J6" s="87"/>
      <c r="K6" s="87"/>
      <c r="L6" s="87"/>
      <c r="M6" s="87"/>
    </row>
    <row r="7" spans="1:13" x14ac:dyDescent="0.3">
      <c r="A7" s="215" t="s">
        <v>119</v>
      </c>
      <c r="B7" s="87"/>
      <c r="C7" s="87"/>
      <c r="D7" s="87"/>
      <c r="E7" s="87"/>
      <c r="F7" s="87"/>
      <c r="G7" s="87"/>
      <c r="H7" s="87"/>
      <c r="I7" s="87"/>
      <c r="J7" s="87"/>
      <c r="K7" s="87"/>
      <c r="L7" s="87"/>
      <c r="M7" s="87"/>
    </row>
    <row r="8" spans="1:13" s="147" customFormat="1" x14ac:dyDescent="0.3">
      <c r="A8" s="227" t="s">
        <v>120</v>
      </c>
      <c r="B8" s="232">
        <v>-76624596</v>
      </c>
      <c r="C8" s="232">
        <v>-128124549</v>
      </c>
      <c r="D8" s="232">
        <v>-164271071</v>
      </c>
      <c r="E8" s="232">
        <v>-201420068</v>
      </c>
      <c r="F8" s="232">
        <v>5301104</v>
      </c>
      <c r="G8" s="232">
        <v>499935</v>
      </c>
      <c r="H8" s="232">
        <v>454276</v>
      </c>
      <c r="I8" s="232">
        <v>-36954386</v>
      </c>
      <c r="J8" s="232">
        <v>-36954386</v>
      </c>
      <c r="K8" s="232">
        <v>405331</v>
      </c>
      <c r="L8" s="232">
        <v>-36954386</v>
      </c>
      <c r="M8" s="232">
        <v>-36954386</v>
      </c>
    </row>
    <row r="9" spans="1:13" s="147" customFormat="1" x14ac:dyDescent="0.3">
      <c r="A9" s="233" t="s">
        <v>121</v>
      </c>
      <c r="B9" s="232">
        <v>-77024922</v>
      </c>
      <c r="C9" s="232">
        <v>-128485993</v>
      </c>
      <c r="D9" s="232">
        <v>-165606323</v>
      </c>
      <c r="E9" s="232">
        <v>-202056316</v>
      </c>
      <c r="F9" s="232">
        <v>-195253458</v>
      </c>
      <c r="G9" s="234" t="s">
        <v>77</v>
      </c>
      <c r="H9" s="234" t="s">
        <v>77</v>
      </c>
      <c r="I9" s="232">
        <v>-37359717</v>
      </c>
      <c r="J9" s="232">
        <v>-37359717</v>
      </c>
      <c r="K9" s="234" t="s">
        <v>77</v>
      </c>
      <c r="L9" s="232">
        <v>-37359717</v>
      </c>
      <c r="M9" s="232">
        <v>-37359717</v>
      </c>
    </row>
    <row r="10" spans="1:13" s="147" customFormat="1" x14ac:dyDescent="0.3">
      <c r="A10" s="233" t="s">
        <v>122</v>
      </c>
      <c r="B10" s="232">
        <v>400325</v>
      </c>
      <c r="C10" s="232">
        <v>361443</v>
      </c>
      <c r="D10" s="232">
        <v>1335252</v>
      </c>
      <c r="E10" s="232">
        <v>636247</v>
      </c>
      <c r="F10" s="232">
        <v>554562</v>
      </c>
      <c r="G10" s="232">
        <v>499935</v>
      </c>
      <c r="H10" s="232">
        <v>454276</v>
      </c>
      <c r="I10" s="232">
        <v>405331</v>
      </c>
      <c r="J10" s="232">
        <v>405331</v>
      </c>
      <c r="K10" s="232">
        <v>405331</v>
      </c>
      <c r="L10" s="232">
        <v>405331</v>
      </c>
      <c r="M10" s="232">
        <v>405331</v>
      </c>
    </row>
    <row r="11" spans="1:13" s="147" customFormat="1" x14ac:dyDescent="0.3">
      <c r="A11" s="233" t="s">
        <v>123</v>
      </c>
      <c r="B11" s="235">
        <v>0</v>
      </c>
      <c r="C11" s="235">
        <v>0</v>
      </c>
      <c r="D11" s="235">
        <v>0</v>
      </c>
      <c r="E11" s="235">
        <v>0</v>
      </c>
      <c r="F11" s="232">
        <v>200000000</v>
      </c>
      <c r="G11" s="234" t="s">
        <v>77</v>
      </c>
      <c r="H11" s="234" t="s">
        <v>77</v>
      </c>
      <c r="I11" s="234" t="s">
        <v>77</v>
      </c>
      <c r="J11" s="234" t="s">
        <v>77</v>
      </c>
      <c r="K11" s="234" t="s">
        <v>77</v>
      </c>
      <c r="L11" s="234" t="s">
        <v>77</v>
      </c>
      <c r="M11" s="234" t="s">
        <v>77</v>
      </c>
    </row>
    <row r="12" spans="1:13" hidden="1" outlineLevel="1" x14ac:dyDescent="0.3">
      <c r="A12" s="220" t="s">
        <v>124</v>
      </c>
      <c r="B12" s="219">
        <v>4450417</v>
      </c>
      <c r="C12" s="219">
        <v>4350309</v>
      </c>
      <c r="D12" s="219">
        <v>3747687</v>
      </c>
      <c r="E12" s="219">
        <v>4460595</v>
      </c>
      <c r="F12" s="219">
        <v>3356604</v>
      </c>
      <c r="G12" s="219">
        <v>5851743</v>
      </c>
      <c r="H12" s="219">
        <v>6425691</v>
      </c>
      <c r="I12" s="219">
        <v>5108539</v>
      </c>
      <c r="J12" s="219">
        <v>5108539</v>
      </c>
      <c r="K12" s="219">
        <v>5108539</v>
      </c>
      <c r="L12" s="219">
        <v>5108539</v>
      </c>
      <c r="M12" s="219">
        <v>3528224</v>
      </c>
    </row>
    <row r="13" spans="1:13" hidden="1" outlineLevel="1" x14ac:dyDescent="0.3">
      <c r="A13" s="218" t="s">
        <v>125</v>
      </c>
      <c r="B13" s="219">
        <v>17489</v>
      </c>
      <c r="C13" s="219">
        <v>17489</v>
      </c>
      <c r="D13" s="219">
        <v>17489</v>
      </c>
      <c r="E13" s="219">
        <v>17489</v>
      </c>
      <c r="F13" s="219">
        <v>-804429</v>
      </c>
      <c r="G13" s="219">
        <v>17489</v>
      </c>
      <c r="H13" s="219">
        <v>17489</v>
      </c>
      <c r="I13" s="219">
        <v>17489</v>
      </c>
      <c r="J13" s="219">
        <v>17489</v>
      </c>
      <c r="K13" s="219">
        <v>17489</v>
      </c>
      <c r="L13" s="219">
        <v>17489</v>
      </c>
      <c r="M13" s="219">
        <v>17489</v>
      </c>
    </row>
    <row r="14" spans="1:13" hidden="1" outlineLevel="1" x14ac:dyDescent="0.3">
      <c r="A14" s="221" t="s">
        <v>126</v>
      </c>
      <c r="B14" s="236">
        <v>0</v>
      </c>
      <c r="C14" s="236">
        <v>0</v>
      </c>
      <c r="D14" s="236">
        <v>0</v>
      </c>
      <c r="E14" s="236">
        <v>0</v>
      </c>
      <c r="F14" s="219">
        <v>-821918</v>
      </c>
      <c r="G14" s="237" t="s">
        <v>77</v>
      </c>
      <c r="H14" s="237" t="s">
        <v>77</v>
      </c>
      <c r="I14" s="237" t="s">
        <v>77</v>
      </c>
      <c r="J14" s="237" t="s">
        <v>77</v>
      </c>
      <c r="K14" s="237" t="s">
        <v>77</v>
      </c>
      <c r="L14" s="237" t="s">
        <v>77</v>
      </c>
      <c r="M14" s="237" t="s">
        <v>77</v>
      </c>
    </row>
    <row r="15" spans="1:13" hidden="1" outlineLevel="1" x14ac:dyDescent="0.3">
      <c r="A15" s="221" t="s">
        <v>127</v>
      </c>
      <c r="B15" s="219">
        <v>92212</v>
      </c>
      <c r="C15" s="219">
        <v>92212</v>
      </c>
      <c r="D15" s="219">
        <v>92212</v>
      </c>
      <c r="E15" s="219">
        <v>92212</v>
      </c>
      <c r="F15" s="219">
        <v>92212</v>
      </c>
      <c r="G15" s="219">
        <v>92212</v>
      </c>
      <c r="H15" s="219">
        <v>92212</v>
      </c>
      <c r="I15" s="219">
        <v>92212</v>
      </c>
      <c r="J15" s="219">
        <v>92212</v>
      </c>
      <c r="K15" s="219">
        <v>92212</v>
      </c>
      <c r="L15" s="219">
        <v>92212</v>
      </c>
      <c r="M15" s="219">
        <v>92212</v>
      </c>
    </row>
    <row r="16" spans="1:13" hidden="1" outlineLevel="1" x14ac:dyDescent="0.3">
      <c r="A16" s="221" t="s">
        <v>128</v>
      </c>
      <c r="B16" s="219">
        <v>-74723</v>
      </c>
      <c r="C16" s="219">
        <v>-74723</v>
      </c>
      <c r="D16" s="219">
        <v>-74723</v>
      </c>
      <c r="E16" s="219">
        <v>-74723</v>
      </c>
      <c r="F16" s="219">
        <v>-74723</v>
      </c>
      <c r="G16" s="219">
        <v>-74723</v>
      </c>
      <c r="H16" s="219">
        <v>-74723</v>
      </c>
      <c r="I16" s="219">
        <v>-74723</v>
      </c>
      <c r="J16" s="219">
        <v>-74723</v>
      </c>
      <c r="K16" s="219">
        <v>-74723</v>
      </c>
      <c r="L16" s="219">
        <v>-74723</v>
      </c>
      <c r="M16" s="219">
        <v>-74723</v>
      </c>
    </row>
    <row r="17" spans="1:13" hidden="1" outlineLevel="1" x14ac:dyDescent="0.3">
      <c r="A17" s="218" t="s">
        <v>129</v>
      </c>
      <c r="B17" s="219">
        <v>4432928</v>
      </c>
      <c r="C17" s="219">
        <v>4332820</v>
      </c>
      <c r="D17" s="219">
        <v>3730198</v>
      </c>
      <c r="E17" s="219">
        <v>4443106</v>
      </c>
      <c r="F17" s="219">
        <v>4161032</v>
      </c>
      <c r="G17" s="219">
        <v>5834254</v>
      </c>
      <c r="H17" s="219">
        <v>6408202</v>
      </c>
      <c r="I17" s="219">
        <v>5091050</v>
      </c>
      <c r="J17" s="219">
        <v>5091050</v>
      </c>
      <c r="K17" s="219">
        <v>5091050</v>
      </c>
      <c r="L17" s="219">
        <v>5091050</v>
      </c>
      <c r="M17" s="219">
        <v>3510735</v>
      </c>
    </row>
    <row r="18" spans="1:13" hidden="1" outlineLevel="1" x14ac:dyDescent="0.3">
      <c r="A18" s="221" t="s">
        <v>130</v>
      </c>
      <c r="B18" s="219">
        <v>3982091</v>
      </c>
      <c r="C18" s="219">
        <v>3888779</v>
      </c>
      <c r="D18" s="219">
        <v>3206542</v>
      </c>
      <c r="E18" s="219">
        <v>3833247</v>
      </c>
      <c r="F18" s="219">
        <v>3693708</v>
      </c>
      <c r="G18" s="219">
        <v>5213743</v>
      </c>
      <c r="H18" s="219">
        <v>5670872</v>
      </c>
      <c r="I18" s="219">
        <v>4495981</v>
      </c>
      <c r="J18" s="219">
        <v>4495981</v>
      </c>
      <c r="K18" s="219">
        <v>4495981</v>
      </c>
      <c r="L18" s="219">
        <v>4495981</v>
      </c>
      <c r="M18" s="219">
        <v>2915666</v>
      </c>
    </row>
    <row r="19" spans="1:13" hidden="1" outlineLevel="1" x14ac:dyDescent="0.3">
      <c r="A19" s="221" t="s">
        <v>131</v>
      </c>
      <c r="B19" s="219">
        <v>450837</v>
      </c>
      <c r="C19" s="219">
        <v>444041</v>
      </c>
      <c r="D19" s="219">
        <v>523656</v>
      </c>
      <c r="E19" s="219">
        <v>609859</v>
      </c>
      <c r="F19" s="219">
        <v>467325</v>
      </c>
      <c r="G19" s="219">
        <v>620511</v>
      </c>
      <c r="H19" s="219">
        <v>737329</v>
      </c>
      <c r="I19" s="219">
        <v>595069</v>
      </c>
      <c r="J19" s="219">
        <v>595069</v>
      </c>
      <c r="K19" s="219">
        <v>595069</v>
      </c>
      <c r="L19" s="219">
        <v>595069</v>
      </c>
      <c r="M19" s="219">
        <v>595069</v>
      </c>
    </row>
    <row r="20" spans="1:13" hidden="1" outlineLevel="1" x14ac:dyDescent="0.3">
      <c r="A20" s="220" t="s">
        <v>132</v>
      </c>
      <c r="B20" s="219">
        <v>2374852219</v>
      </c>
      <c r="C20" s="219">
        <v>2409312538</v>
      </c>
      <c r="D20" s="219">
        <v>2416179693</v>
      </c>
      <c r="E20" s="219">
        <v>2429383448</v>
      </c>
      <c r="F20" s="219">
        <v>2447335462</v>
      </c>
      <c r="G20" s="219">
        <v>2436156068</v>
      </c>
      <c r="H20" s="219">
        <v>2399890951</v>
      </c>
      <c r="I20" s="219">
        <v>2436484529</v>
      </c>
      <c r="J20" s="219">
        <v>2436451561</v>
      </c>
      <c r="K20" s="219">
        <v>2448033046</v>
      </c>
      <c r="L20" s="219">
        <v>2418499256</v>
      </c>
      <c r="M20" s="219">
        <v>2405012099</v>
      </c>
    </row>
    <row r="21" spans="1:13" hidden="1" outlineLevel="1" x14ac:dyDescent="0.3">
      <c r="A21" s="218" t="s">
        <v>133</v>
      </c>
      <c r="B21" s="219">
        <v>14383460</v>
      </c>
      <c r="C21" s="219">
        <v>22872267</v>
      </c>
      <c r="D21" s="219">
        <v>31587742</v>
      </c>
      <c r="E21" s="219">
        <v>40282711</v>
      </c>
      <c r="F21" s="219">
        <v>49116664</v>
      </c>
      <c r="G21" s="219">
        <v>31981601</v>
      </c>
      <c r="H21" s="219">
        <v>34593844</v>
      </c>
      <c r="I21" s="219">
        <v>43969618</v>
      </c>
      <c r="J21" s="219">
        <v>52869053</v>
      </c>
      <c r="K21" s="219">
        <v>62032438</v>
      </c>
      <c r="L21" s="219">
        <v>30961500</v>
      </c>
      <c r="M21" s="219">
        <v>14782044</v>
      </c>
    </row>
    <row r="22" spans="1:13" ht="21.6" hidden="1" outlineLevel="1" x14ac:dyDescent="0.3">
      <c r="A22" s="222" t="s">
        <v>134</v>
      </c>
      <c r="B22" s="223">
        <v>2240166540</v>
      </c>
      <c r="C22" s="223">
        <v>2261745200</v>
      </c>
      <c r="D22" s="223">
        <v>2255413238</v>
      </c>
      <c r="E22" s="223">
        <v>2259162426</v>
      </c>
      <c r="F22" s="223">
        <v>2261245308</v>
      </c>
      <c r="G22" s="223">
        <v>2231001859</v>
      </c>
      <c r="H22" s="223">
        <v>2225752996</v>
      </c>
      <c r="I22" s="223">
        <v>2255246608</v>
      </c>
      <c r="J22" s="223">
        <v>2244332305</v>
      </c>
      <c r="K22" s="223">
        <v>2244332305</v>
      </c>
      <c r="L22" s="223">
        <v>2244332305</v>
      </c>
      <c r="M22" s="223">
        <v>2244332305</v>
      </c>
    </row>
    <row r="23" spans="1:13" hidden="1" outlineLevel="1" x14ac:dyDescent="0.3">
      <c r="A23" s="218" t="s">
        <v>135</v>
      </c>
      <c r="B23" s="219">
        <v>120302219</v>
      </c>
      <c r="C23" s="219">
        <v>124695072</v>
      </c>
      <c r="D23" s="219">
        <v>129178713</v>
      </c>
      <c r="E23" s="219">
        <v>129938311</v>
      </c>
      <c r="F23" s="219">
        <v>136973490</v>
      </c>
      <c r="G23" s="219">
        <v>173172609</v>
      </c>
      <c r="H23" s="219">
        <v>139544111</v>
      </c>
      <c r="I23" s="219">
        <v>137268304</v>
      </c>
      <c r="J23" s="219">
        <v>139250203</v>
      </c>
      <c r="K23" s="219">
        <v>141668303</v>
      </c>
      <c r="L23" s="219">
        <v>143205451</v>
      </c>
      <c r="M23" s="219">
        <v>145897750</v>
      </c>
    </row>
    <row r="24" spans="1:13" hidden="1" outlineLevel="1" x14ac:dyDescent="0.3">
      <c r="A24" s="220" t="s">
        <v>136</v>
      </c>
      <c r="B24" s="219">
        <v>204159</v>
      </c>
      <c r="C24" s="219">
        <v>204159</v>
      </c>
      <c r="D24" s="219">
        <v>204159</v>
      </c>
      <c r="E24" s="219">
        <v>204159</v>
      </c>
      <c r="F24" s="219">
        <v>204159</v>
      </c>
      <c r="G24" s="219">
        <v>204159</v>
      </c>
      <c r="H24" s="219">
        <v>204159</v>
      </c>
      <c r="I24" s="219">
        <v>299903</v>
      </c>
      <c r="J24" s="219">
        <v>204159</v>
      </c>
      <c r="K24" s="219">
        <v>309621</v>
      </c>
      <c r="L24" s="219">
        <v>309621</v>
      </c>
      <c r="M24" s="219">
        <v>204159</v>
      </c>
    </row>
    <row r="25" spans="1:13" hidden="1" outlineLevel="1" x14ac:dyDescent="0.3">
      <c r="A25" s="218" t="s">
        <v>137</v>
      </c>
      <c r="B25" s="219">
        <v>204159</v>
      </c>
      <c r="C25" s="219">
        <v>204159</v>
      </c>
      <c r="D25" s="219">
        <v>204159</v>
      </c>
      <c r="E25" s="219">
        <v>204159</v>
      </c>
      <c r="F25" s="219">
        <v>204159</v>
      </c>
      <c r="G25" s="219">
        <v>204159</v>
      </c>
      <c r="H25" s="219">
        <v>204159</v>
      </c>
      <c r="I25" s="219">
        <v>299903</v>
      </c>
      <c r="J25" s="219">
        <v>204159</v>
      </c>
      <c r="K25" s="219">
        <v>309621</v>
      </c>
      <c r="L25" s="219">
        <v>309621</v>
      </c>
      <c r="M25" s="219">
        <v>204159</v>
      </c>
    </row>
    <row r="26" spans="1:13" hidden="1" outlineLevel="1" x14ac:dyDescent="0.3">
      <c r="A26" s="220" t="s">
        <v>138</v>
      </c>
      <c r="B26" s="224">
        <v>2132731</v>
      </c>
      <c r="C26" s="224">
        <v>2132731</v>
      </c>
      <c r="D26" s="224">
        <v>11033947</v>
      </c>
      <c r="E26" s="224">
        <v>11033947</v>
      </c>
      <c r="F26" s="224">
        <v>11033947</v>
      </c>
      <c r="G26" s="224">
        <v>11429264</v>
      </c>
      <c r="H26" s="224">
        <v>12098565</v>
      </c>
      <c r="I26" s="224">
        <v>12098565</v>
      </c>
      <c r="J26" s="224">
        <v>6967815</v>
      </c>
      <c r="K26" s="224">
        <v>6556142</v>
      </c>
      <c r="L26" s="224">
        <v>6144469</v>
      </c>
      <c r="M26" s="224">
        <v>7836185</v>
      </c>
    </row>
    <row r="27" spans="1:13" hidden="1" outlineLevel="1" x14ac:dyDescent="0.3">
      <c r="A27" s="218" t="s">
        <v>139</v>
      </c>
      <c r="B27" s="224">
        <v>1905984</v>
      </c>
      <c r="C27" s="224">
        <v>1905984</v>
      </c>
      <c r="D27" s="224">
        <v>4752867</v>
      </c>
      <c r="E27" s="224">
        <v>4752867</v>
      </c>
      <c r="F27" s="224">
        <v>4752867</v>
      </c>
      <c r="G27" s="224">
        <v>7836185</v>
      </c>
      <c r="H27" s="224">
        <v>7836185</v>
      </c>
      <c r="I27" s="224">
        <v>7836185</v>
      </c>
      <c r="J27" s="224">
        <v>7836185</v>
      </c>
      <c r="K27" s="224">
        <v>7836185</v>
      </c>
      <c r="L27" s="224">
        <v>7836185</v>
      </c>
      <c r="M27" s="224">
        <v>7836185</v>
      </c>
    </row>
    <row r="28" spans="1:13" hidden="1" outlineLevel="1" x14ac:dyDescent="0.3">
      <c r="A28" s="218" t="s">
        <v>140</v>
      </c>
      <c r="B28" s="224">
        <v>226747</v>
      </c>
      <c r="C28" s="224">
        <v>226747</v>
      </c>
      <c r="D28" s="224">
        <v>6281080</v>
      </c>
      <c r="E28" s="224">
        <v>6281080</v>
      </c>
      <c r="F28" s="224">
        <v>6281080</v>
      </c>
      <c r="G28" s="224">
        <v>3593080</v>
      </c>
      <c r="H28" s="224">
        <v>4262381</v>
      </c>
      <c r="I28" s="224">
        <v>4262381</v>
      </c>
      <c r="J28" s="224">
        <v>-868370</v>
      </c>
      <c r="K28" s="224">
        <v>-1280043</v>
      </c>
      <c r="L28" s="224">
        <v>-1691715</v>
      </c>
      <c r="M28" s="225" t="s">
        <v>77</v>
      </c>
    </row>
    <row r="29" spans="1:13" hidden="1" outlineLevel="1" x14ac:dyDescent="0.3">
      <c r="A29" s="220" t="s">
        <v>141</v>
      </c>
      <c r="B29" s="224">
        <v>8839524</v>
      </c>
      <c r="C29" s="224">
        <v>9716692</v>
      </c>
      <c r="D29" s="224">
        <v>10085396</v>
      </c>
      <c r="E29" s="224">
        <v>9588177</v>
      </c>
      <c r="F29" s="224">
        <v>14057025</v>
      </c>
      <c r="G29" s="224">
        <v>10762501</v>
      </c>
      <c r="H29" s="224">
        <v>11526844</v>
      </c>
      <c r="I29" s="224">
        <v>11998294</v>
      </c>
      <c r="J29" s="224">
        <v>12568004</v>
      </c>
      <c r="K29" s="224">
        <v>13140380</v>
      </c>
      <c r="L29" s="224">
        <v>13241327</v>
      </c>
      <c r="M29" s="224">
        <v>13342275</v>
      </c>
    </row>
    <row r="30" spans="1:13" hidden="1" outlineLevel="1" x14ac:dyDescent="0.3">
      <c r="A30" s="220" t="s">
        <v>142</v>
      </c>
      <c r="B30" s="224">
        <v>3223422</v>
      </c>
      <c r="C30" s="224">
        <v>3420531</v>
      </c>
      <c r="D30" s="224">
        <v>3716367</v>
      </c>
      <c r="E30" s="224">
        <v>3974088</v>
      </c>
      <c r="F30" s="224">
        <v>3176574</v>
      </c>
      <c r="G30" s="224">
        <v>3088074</v>
      </c>
      <c r="H30" s="224">
        <v>2221724</v>
      </c>
      <c r="I30" s="224">
        <v>2041708</v>
      </c>
      <c r="J30" s="224">
        <v>4184565</v>
      </c>
      <c r="K30" s="224">
        <v>3827422</v>
      </c>
      <c r="L30" s="224">
        <v>3827422</v>
      </c>
      <c r="M30" s="224">
        <v>3827422</v>
      </c>
    </row>
    <row r="31" spans="1:13" hidden="1" outlineLevel="1" x14ac:dyDescent="0.3">
      <c r="A31" s="218" t="s">
        <v>143</v>
      </c>
      <c r="B31" s="224">
        <v>0</v>
      </c>
      <c r="C31" s="224">
        <v>0</v>
      </c>
      <c r="D31" s="224">
        <v>0</v>
      </c>
      <c r="E31" s="224">
        <v>0</v>
      </c>
      <c r="F31" s="224">
        <v>0</v>
      </c>
      <c r="G31" s="224">
        <v>0</v>
      </c>
      <c r="H31" s="224">
        <v>0</v>
      </c>
      <c r="I31" s="224">
        <v>0</v>
      </c>
      <c r="J31" s="225" t="s">
        <v>77</v>
      </c>
      <c r="K31" s="225" t="s">
        <v>77</v>
      </c>
      <c r="L31" s="225" t="s">
        <v>77</v>
      </c>
      <c r="M31" s="225" t="s">
        <v>77</v>
      </c>
    </row>
    <row r="32" spans="1:13" hidden="1" outlineLevel="1" x14ac:dyDescent="0.3">
      <c r="A32" s="218" t="s">
        <v>144</v>
      </c>
      <c r="B32" s="224">
        <v>3223422</v>
      </c>
      <c r="C32" s="224">
        <v>3420531</v>
      </c>
      <c r="D32" s="224">
        <v>3716367</v>
      </c>
      <c r="E32" s="224">
        <v>3974088</v>
      </c>
      <c r="F32" s="224">
        <v>3176574</v>
      </c>
      <c r="G32" s="224">
        <v>3088074</v>
      </c>
      <c r="H32" s="224">
        <v>2221724</v>
      </c>
      <c r="I32" s="224">
        <v>2041708</v>
      </c>
      <c r="J32" s="224">
        <v>4184565</v>
      </c>
      <c r="K32" s="224">
        <v>3827422</v>
      </c>
      <c r="L32" s="224">
        <v>3827422</v>
      </c>
      <c r="M32" s="224">
        <v>3827422</v>
      </c>
    </row>
    <row r="33" spans="1:13" collapsed="1" x14ac:dyDescent="0.3">
      <c r="A33" s="215" t="s">
        <v>145</v>
      </c>
      <c r="B33" s="226">
        <v>2317077876</v>
      </c>
      <c r="C33" s="226">
        <v>2301012411</v>
      </c>
      <c r="D33" s="226">
        <v>2280696178</v>
      </c>
      <c r="E33" s="226">
        <v>2257224346</v>
      </c>
      <c r="F33" s="226">
        <v>2484464874</v>
      </c>
      <c r="G33" s="226">
        <v>2467991744</v>
      </c>
      <c r="H33" s="226">
        <v>2432822210</v>
      </c>
      <c r="I33" s="226">
        <v>2431077153</v>
      </c>
      <c r="J33" s="226">
        <v>2428530256</v>
      </c>
      <c r="K33" s="226">
        <v>2477380480</v>
      </c>
      <c r="L33" s="226">
        <v>2410176248</v>
      </c>
      <c r="M33" s="226">
        <v>2396795978</v>
      </c>
    </row>
    <row r="34" spans="1:13" x14ac:dyDescent="0.3">
      <c r="A34" s="88"/>
      <c r="B34" s="87"/>
      <c r="C34" s="87"/>
      <c r="D34" s="87"/>
      <c r="E34" s="87"/>
      <c r="F34" s="87"/>
      <c r="G34" s="87"/>
      <c r="H34" s="87"/>
      <c r="I34" s="87"/>
      <c r="J34" s="87"/>
      <c r="K34" s="87"/>
      <c r="L34" s="87"/>
      <c r="M34" s="87"/>
    </row>
    <row r="35" spans="1:13" x14ac:dyDescent="0.3">
      <c r="A35" s="215" t="s">
        <v>146</v>
      </c>
      <c r="B35" s="224">
        <v>1427180</v>
      </c>
      <c r="C35" s="224">
        <v>1575935</v>
      </c>
      <c r="D35" s="224">
        <v>2187982</v>
      </c>
      <c r="E35" s="224">
        <v>2193481</v>
      </c>
      <c r="F35" s="224">
        <v>2713139</v>
      </c>
      <c r="G35" s="224">
        <v>2811680</v>
      </c>
      <c r="H35" s="224">
        <v>2737287</v>
      </c>
      <c r="I35" s="224">
        <v>3322975</v>
      </c>
      <c r="J35" s="224">
        <v>4515970</v>
      </c>
      <c r="K35" s="224">
        <v>5638131</v>
      </c>
      <c r="L35" s="224">
        <v>6711854</v>
      </c>
      <c r="M35" s="224">
        <v>7775888</v>
      </c>
    </row>
    <row r="36" spans="1:13" hidden="1" outlineLevel="1" x14ac:dyDescent="0.3">
      <c r="A36" s="218" t="s">
        <v>147</v>
      </c>
      <c r="B36" s="224">
        <v>111247</v>
      </c>
      <c r="C36" s="225" t="s">
        <v>77</v>
      </c>
      <c r="D36" s="224">
        <v>27611</v>
      </c>
      <c r="E36" s="225" t="s">
        <v>77</v>
      </c>
      <c r="F36" s="225" t="s">
        <v>77</v>
      </c>
      <c r="G36" s="225" t="s">
        <v>77</v>
      </c>
      <c r="H36" s="225" t="s">
        <v>77</v>
      </c>
      <c r="I36" s="225" t="s">
        <v>77</v>
      </c>
      <c r="J36" s="225" t="s">
        <v>77</v>
      </c>
      <c r="K36" s="225" t="s">
        <v>77</v>
      </c>
      <c r="L36" s="225" t="s">
        <v>77</v>
      </c>
      <c r="M36" s="225" t="s">
        <v>77</v>
      </c>
    </row>
    <row r="37" spans="1:13" hidden="1" outlineLevel="1" x14ac:dyDescent="0.3">
      <c r="A37" s="218" t="s">
        <v>148</v>
      </c>
      <c r="B37" s="224">
        <v>4188018</v>
      </c>
      <c r="C37" s="224">
        <v>4188018</v>
      </c>
      <c r="D37" s="224">
        <v>4188018</v>
      </c>
      <c r="E37" s="224">
        <v>4188018</v>
      </c>
      <c r="F37" s="224">
        <v>4188018</v>
      </c>
      <c r="G37" s="224">
        <v>4188018</v>
      </c>
      <c r="H37" s="224">
        <v>4188018</v>
      </c>
      <c r="I37" s="224">
        <v>4188018</v>
      </c>
      <c r="J37" s="224">
        <v>5401798</v>
      </c>
      <c r="K37" s="224">
        <v>6615579</v>
      </c>
      <c r="L37" s="224">
        <v>7780921</v>
      </c>
      <c r="M37" s="224">
        <v>8936575</v>
      </c>
    </row>
    <row r="38" spans="1:13" hidden="1" outlineLevel="1" x14ac:dyDescent="0.3">
      <c r="A38" s="218" t="s">
        <v>149</v>
      </c>
      <c r="B38" s="224">
        <v>-3496475</v>
      </c>
      <c r="C38" s="224">
        <v>-3523658</v>
      </c>
      <c r="D38" s="224">
        <v>-3550842</v>
      </c>
      <c r="E38" s="224">
        <v>-3578026</v>
      </c>
      <c r="F38" s="224">
        <v>-3605209</v>
      </c>
      <c r="G38" s="224">
        <v>-3632393</v>
      </c>
      <c r="H38" s="224">
        <v>-3659577</v>
      </c>
      <c r="I38" s="224">
        <v>-3686760</v>
      </c>
      <c r="J38" s="224">
        <v>-3707546</v>
      </c>
      <c r="K38" s="224">
        <v>-3799165</v>
      </c>
      <c r="L38" s="224">
        <v>-3890784</v>
      </c>
      <c r="M38" s="224">
        <v>-3982403</v>
      </c>
    </row>
    <row r="39" spans="1:13" hidden="1" outlineLevel="1" x14ac:dyDescent="0.3">
      <c r="A39" s="218" t="s">
        <v>150</v>
      </c>
      <c r="B39" s="224">
        <v>624390</v>
      </c>
      <c r="C39" s="224">
        <v>911576</v>
      </c>
      <c r="D39" s="224">
        <v>1523195</v>
      </c>
      <c r="E39" s="224">
        <v>1583489</v>
      </c>
      <c r="F39" s="224">
        <v>2130330</v>
      </c>
      <c r="G39" s="224">
        <v>2256055</v>
      </c>
      <c r="H39" s="224">
        <v>2208846</v>
      </c>
      <c r="I39" s="224">
        <v>2821717</v>
      </c>
      <c r="J39" s="224">
        <v>2821717</v>
      </c>
      <c r="K39" s="224">
        <v>2821717</v>
      </c>
      <c r="L39" s="224">
        <v>2821717</v>
      </c>
      <c r="M39" s="224">
        <v>2821717</v>
      </c>
    </row>
    <row r="40" spans="1:13" collapsed="1" x14ac:dyDescent="0.3">
      <c r="A40" s="88"/>
      <c r="B40" s="90"/>
      <c r="C40" s="90"/>
      <c r="D40" s="90"/>
      <c r="E40" s="90"/>
      <c r="F40" s="90"/>
      <c r="G40" s="90"/>
      <c r="H40" s="90"/>
      <c r="I40" s="90"/>
      <c r="J40" s="90"/>
      <c r="K40" s="90"/>
      <c r="L40" s="90"/>
      <c r="M40" s="90"/>
    </row>
    <row r="41" spans="1:13" x14ac:dyDescent="0.3">
      <c r="A41" s="215" t="s">
        <v>151</v>
      </c>
      <c r="B41" s="87"/>
      <c r="C41" s="87"/>
      <c r="D41" s="87"/>
      <c r="E41" s="87"/>
      <c r="F41" s="87"/>
      <c r="G41" s="87"/>
      <c r="H41" s="87"/>
      <c r="I41" s="87"/>
      <c r="J41" s="87"/>
      <c r="K41" s="87"/>
      <c r="L41" s="87"/>
      <c r="M41" s="87"/>
    </row>
    <row r="42" spans="1:13" hidden="1" outlineLevel="1" x14ac:dyDescent="0.3">
      <c r="A42" s="220" t="s">
        <v>152</v>
      </c>
      <c r="B42" s="224">
        <v>3285192</v>
      </c>
      <c r="C42" s="224">
        <v>3285192</v>
      </c>
      <c r="D42" s="224">
        <v>7681409</v>
      </c>
      <c r="E42" s="224">
        <v>7681409</v>
      </c>
      <c r="F42" s="224">
        <v>7681409</v>
      </c>
      <c r="G42" s="224">
        <v>8108024</v>
      </c>
      <c r="H42" s="224">
        <v>8108024</v>
      </c>
      <c r="I42" s="224">
        <v>8108024</v>
      </c>
      <c r="J42" s="224">
        <v>8108024</v>
      </c>
      <c r="K42" s="224">
        <v>8108024</v>
      </c>
      <c r="L42" s="224">
        <v>8108024</v>
      </c>
      <c r="M42" s="224">
        <v>8108024</v>
      </c>
    </row>
    <row r="43" spans="1:13" hidden="1" outlineLevel="1" x14ac:dyDescent="0.3">
      <c r="A43" s="218" t="s">
        <v>153</v>
      </c>
      <c r="B43" s="224">
        <v>3285192</v>
      </c>
      <c r="C43" s="224">
        <v>3285192</v>
      </c>
      <c r="D43" s="224">
        <v>7681409</v>
      </c>
      <c r="E43" s="224">
        <v>7681409</v>
      </c>
      <c r="F43" s="224">
        <v>7681409</v>
      </c>
      <c r="G43" s="224">
        <v>8108024</v>
      </c>
      <c r="H43" s="224">
        <v>8108024</v>
      </c>
      <c r="I43" s="224">
        <v>8108024</v>
      </c>
      <c r="J43" s="224">
        <v>8108024</v>
      </c>
      <c r="K43" s="224">
        <v>8108024</v>
      </c>
      <c r="L43" s="224">
        <v>8108024</v>
      </c>
      <c r="M43" s="224">
        <v>8108024</v>
      </c>
    </row>
    <row r="44" spans="1:13" hidden="1" outlineLevel="1" x14ac:dyDescent="0.3">
      <c r="A44" s="220" t="s">
        <v>154</v>
      </c>
      <c r="B44" s="224">
        <v>2959772</v>
      </c>
      <c r="C44" s="224">
        <v>2959772</v>
      </c>
      <c r="D44" s="224">
        <v>2959772</v>
      </c>
      <c r="E44" s="224">
        <v>2959772</v>
      </c>
      <c r="F44" s="224">
        <v>2959772</v>
      </c>
      <c r="G44" s="224">
        <v>2959772</v>
      </c>
      <c r="H44" s="224">
        <v>2959772</v>
      </c>
      <c r="I44" s="224">
        <v>2959772</v>
      </c>
      <c r="J44" s="224">
        <v>2959772</v>
      </c>
      <c r="K44" s="224">
        <v>2959772</v>
      </c>
      <c r="L44" s="224">
        <v>2959772</v>
      </c>
      <c r="M44" s="224">
        <v>2959772</v>
      </c>
    </row>
    <row r="45" spans="1:13" hidden="1" outlineLevel="1" x14ac:dyDescent="0.3">
      <c r="A45" s="218" t="s">
        <v>155</v>
      </c>
      <c r="B45" s="224">
        <v>2959772</v>
      </c>
      <c r="C45" s="224">
        <v>2959772</v>
      </c>
      <c r="D45" s="224">
        <v>2959772</v>
      </c>
      <c r="E45" s="224">
        <v>2959772</v>
      </c>
      <c r="F45" s="224">
        <v>2959772</v>
      </c>
      <c r="G45" s="224">
        <v>2959772</v>
      </c>
      <c r="H45" s="224">
        <v>2959772</v>
      </c>
      <c r="I45" s="224">
        <v>2959772</v>
      </c>
      <c r="J45" s="224">
        <v>2959772</v>
      </c>
      <c r="K45" s="224">
        <v>2959772</v>
      </c>
      <c r="L45" s="224">
        <v>2959772</v>
      </c>
      <c r="M45" s="224">
        <v>2959772</v>
      </c>
    </row>
    <row r="46" spans="1:13" hidden="1" outlineLevel="1" x14ac:dyDescent="0.3">
      <c r="A46" s="220" t="s">
        <v>156</v>
      </c>
      <c r="B46" s="224">
        <v>8040248189</v>
      </c>
      <c r="C46" s="224">
        <v>8164988064</v>
      </c>
      <c r="D46" s="224">
        <v>8164759465</v>
      </c>
      <c r="E46" s="224">
        <v>8165507674</v>
      </c>
      <c r="F46" s="224">
        <v>8165255882</v>
      </c>
      <c r="G46" s="224">
        <v>8157012459</v>
      </c>
      <c r="H46" s="224">
        <v>8156743829</v>
      </c>
      <c r="I46" s="224">
        <v>8156475200</v>
      </c>
      <c r="J46" s="224">
        <v>8153778713</v>
      </c>
      <c r="K46" s="224">
        <v>8153582134</v>
      </c>
      <c r="L46" s="224">
        <v>8198635029</v>
      </c>
      <c r="M46" s="224">
        <v>8189867150</v>
      </c>
    </row>
    <row r="47" spans="1:13" hidden="1" outlineLevel="1" x14ac:dyDescent="0.3">
      <c r="A47" s="218" t="s">
        <v>157</v>
      </c>
      <c r="B47" s="224">
        <v>5000000</v>
      </c>
      <c r="C47" s="224">
        <v>5000000</v>
      </c>
      <c r="D47" s="224">
        <v>5000000</v>
      </c>
      <c r="E47" s="224">
        <v>5000000</v>
      </c>
      <c r="F47" s="224">
        <v>5000000</v>
      </c>
      <c r="G47" s="224">
        <v>5000000</v>
      </c>
      <c r="H47" s="224">
        <v>5000000</v>
      </c>
      <c r="I47" s="224">
        <v>5000000</v>
      </c>
      <c r="J47" s="224">
        <v>2500000</v>
      </c>
      <c r="K47" s="224">
        <v>2500000</v>
      </c>
      <c r="L47" s="224">
        <v>2500000</v>
      </c>
      <c r="M47" s="224">
        <v>2500000</v>
      </c>
    </row>
    <row r="48" spans="1:13" hidden="1" outlineLevel="1" x14ac:dyDescent="0.3">
      <c r="A48" s="218" t="s">
        <v>158</v>
      </c>
      <c r="B48" s="224">
        <v>8017009719</v>
      </c>
      <c r="C48" s="224">
        <v>8142009719</v>
      </c>
      <c r="D48" s="224">
        <v>8142009719</v>
      </c>
      <c r="E48" s="224">
        <v>8142009719</v>
      </c>
      <c r="F48" s="224">
        <v>8142009719</v>
      </c>
      <c r="G48" s="224">
        <v>8133815219</v>
      </c>
      <c r="H48" s="224">
        <v>8133815219</v>
      </c>
      <c r="I48" s="224">
        <v>8133815219</v>
      </c>
      <c r="J48" s="224">
        <v>8133914014</v>
      </c>
      <c r="K48" s="224">
        <v>8134012716</v>
      </c>
      <c r="L48" s="224">
        <v>8179360893</v>
      </c>
      <c r="M48" s="224">
        <v>8170888295</v>
      </c>
    </row>
    <row r="49" spans="1:13" hidden="1" outlineLevel="1" x14ac:dyDescent="0.3">
      <c r="A49" s="218" t="s">
        <v>159</v>
      </c>
      <c r="B49" s="224">
        <v>34877723</v>
      </c>
      <c r="C49" s="224">
        <v>34877723</v>
      </c>
      <c r="D49" s="224">
        <v>34877723</v>
      </c>
      <c r="E49" s="224">
        <v>35877723</v>
      </c>
      <c r="F49" s="224">
        <v>35877723</v>
      </c>
      <c r="G49" s="224">
        <v>35877723</v>
      </c>
      <c r="H49" s="224">
        <v>35877723</v>
      </c>
      <c r="I49" s="224">
        <v>35877723</v>
      </c>
      <c r="J49" s="224">
        <v>35877722</v>
      </c>
      <c r="K49" s="224">
        <v>35877722</v>
      </c>
      <c r="L49" s="224">
        <v>35877722</v>
      </c>
      <c r="M49" s="224">
        <v>35877722</v>
      </c>
    </row>
    <row r="50" spans="1:13" hidden="1" outlineLevel="1" x14ac:dyDescent="0.3">
      <c r="A50" s="218" t="s">
        <v>160</v>
      </c>
      <c r="B50" s="224">
        <v>-18603412</v>
      </c>
      <c r="C50" s="224">
        <v>-18831088</v>
      </c>
      <c r="D50" s="224">
        <v>-19050430</v>
      </c>
      <c r="E50" s="224">
        <v>-19269772</v>
      </c>
      <c r="F50" s="224">
        <v>-19489114</v>
      </c>
      <c r="G50" s="224">
        <v>-19708457</v>
      </c>
      <c r="H50" s="224">
        <v>-19927799</v>
      </c>
      <c r="I50" s="224">
        <v>-20147141</v>
      </c>
      <c r="J50" s="224">
        <v>-20366482</v>
      </c>
      <c r="K50" s="224">
        <v>-20585824</v>
      </c>
      <c r="L50" s="224">
        <v>-20805167</v>
      </c>
      <c r="M50" s="224">
        <v>-21024509</v>
      </c>
    </row>
    <row r="51" spans="1:13" hidden="1" outlineLevel="1" x14ac:dyDescent="0.3">
      <c r="A51" s="218" t="s">
        <v>161</v>
      </c>
      <c r="B51" s="224">
        <v>1964160</v>
      </c>
      <c r="C51" s="224">
        <v>1931710</v>
      </c>
      <c r="D51" s="224">
        <v>1922453</v>
      </c>
      <c r="E51" s="224">
        <v>1890004</v>
      </c>
      <c r="F51" s="224">
        <v>1857554</v>
      </c>
      <c r="G51" s="224">
        <v>2027974</v>
      </c>
      <c r="H51" s="224">
        <v>1978686</v>
      </c>
      <c r="I51" s="224">
        <v>1929399</v>
      </c>
      <c r="J51" s="224">
        <v>1853459</v>
      </c>
      <c r="K51" s="224">
        <v>1777520</v>
      </c>
      <c r="L51" s="224">
        <v>1701581</v>
      </c>
      <c r="M51" s="224">
        <v>1625642</v>
      </c>
    </row>
    <row r="52" spans="1:13" hidden="1" outlineLevel="1" x14ac:dyDescent="0.3">
      <c r="A52" s="220" t="s">
        <v>162</v>
      </c>
      <c r="B52" s="224">
        <v>183301717</v>
      </c>
      <c r="C52" s="224">
        <v>183363236</v>
      </c>
      <c r="D52" s="224">
        <v>184217415</v>
      </c>
      <c r="E52" s="224">
        <v>187171695</v>
      </c>
      <c r="F52" s="224">
        <v>191280594</v>
      </c>
      <c r="G52" s="224">
        <v>159565691</v>
      </c>
      <c r="H52" s="224">
        <v>162894737</v>
      </c>
      <c r="I52" s="224">
        <v>164578244</v>
      </c>
      <c r="J52" s="224">
        <v>169866531</v>
      </c>
      <c r="K52" s="224">
        <v>173787893</v>
      </c>
      <c r="L52" s="224">
        <v>177685190</v>
      </c>
      <c r="M52" s="224">
        <v>182737522</v>
      </c>
    </row>
    <row r="53" spans="1:13" hidden="1" outlineLevel="1" x14ac:dyDescent="0.3">
      <c r="A53" s="218" t="s">
        <v>163</v>
      </c>
      <c r="B53" s="224">
        <v>183301717</v>
      </c>
      <c r="C53" s="224">
        <v>183363236</v>
      </c>
      <c r="D53" s="224">
        <v>184217415</v>
      </c>
      <c r="E53" s="224">
        <v>187171695</v>
      </c>
      <c r="F53" s="224">
        <v>191280594</v>
      </c>
      <c r="G53" s="224">
        <v>159565691</v>
      </c>
      <c r="H53" s="224">
        <v>162894737</v>
      </c>
      <c r="I53" s="224">
        <v>164578244</v>
      </c>
      <c r="J53" s="224">
        <v>169866531</v>
      </c>
      <c r="K53" s="224">
        <v>173787893</v>
      </c>
      <c r="L53" s="224">
        <v>177685190</v>
      </c>
      <c r="M53" s="224">
        <v>182737522</v>
      </c>
    </row>
    <row r="54" spans="1:13" collapsed="1" x14ac:dyDescent="0.3">
      <c r="A54" s="215" t="s">
        <v>164</v>
      </c>
      <c r="B54" s="226">
        <v>8229794871</v>
      </c>
      <c r="C54" s="226">
        <v>8354596264</v>
      </c>
      <c r="D54" s="226">
        <v>8359618061</v>
      </c>
      <c r="E54" s="226">
        <v>8363320550</v>
      </c>
      <c r="F54" s="226">
        <v>8367177657</v>
      </c>
      <c r="G54" s="226">
        <v>8327645946</v>
      </c>
      <c r="H54" s="226">
        <v>8330706362</v>
      </c>
      <c r="I54" s="226">
        <v>8332121239</v>
      </c>
      <c r="J54" s="226">
        <v>8334713040</v>
      </c>
      <c r="K54" s="226">
        <v>8338437823</v>
      </c>
      <c r="L54" s="226">
        <v>8387388015</v>
      </c>
      <c r="M54" s="226">
        <v>8383672468</v>
      </c>
    </row>
    <row r="55" spans="1:13" x14ac:dyDescent="0.3">
      <c r="A55" s="88"/>
      <c r="B55" s="87"/>
      <c r="C55" s="87"/>
      <c r="D55" s="87"/>
      <c r="E55" s="87"/>
      <c r="F55" s="87"/>
      <c r="G55" s="87"/>
      <c r="H55" s="87"/>
      <c r="I55" s="87"/>
      <c r="J55" s="87"/>
      <c r="K55" s="87"/>
      <c r="L55" s="87"/>
      <c r="M55" s="87"/>
    </row>
    <row r="56" spans="1:13" ht="15" thickBot="1" x14ac:dyDescent="0.35">
      <c r="A56" s="215" t="s">
        <v>165</v>
      </c>
      <c r="B56" s="224">
        <v>10548299927</v>
      </c>
      <c r="C56" s="224">
        <v>10657184611</v>
      </c>
      <c r="D56" s="224">
        <v>10642502221</v>
      </c>
      <c r="E56" s="224">
        <v>10622738377</v>
      </c>
      <c r="F56" s="224">
        <v>10854355669</v>
      </c>
      <c r="G56" s="224">
        <v>10798449370</v>
      </c>
      <c r="H56" s="224">
        <v>10766265860</v>
      </c>
      <c r="I56" s="224">
        <v>10766521367</v>
      </c>
      <c r="J56" s="224">
        <v>10767759266</v>
      </c>
      <c r="K56" s="224">
        <v>10821456434</v>
      </c>
      <c r="L56" s="224">
        <v>10804276117</v>
      </c>
      <c r="M56" s="224">
        <v>10788244334</v>
      </c>
    </row>
    <row r="57" spans="1:13" x14ac:dyDescent="0.3">
      <c r="A57" s="88"/>
      <c r="B57" s="89"/>
      <c r="C57" s="89"/>
      <c r="D57" s="89"/>
      <c r="E57" s="89"/>
      <c r="F57" s="89"/>
      <c r="G57" s="89"/>
      <c r="H57" s="89"/>
      <c r="I57" s="89"/>
      <c r="J57" s="89"/>
      <c r="K57" s="89"/>
      <c r="L57" s="89"/>
      <c r="M57" s="89"/>
    </row>
    <row r="58" spans="1:13" x14ac:dyDescent="0.3">
      <c r="A58" s="215" t="s">
        <v>166</v>
      </c>
      <c r="B58" s="87"/>
      <c r="C58" s="87"/>
      <c r="D58" s="87"/>
      <c r="E58" s="87"/>
      <c r="F58" s="87"/>
      <c r="G58" s="87"/>
      <c r="H58" s="87"/>
      <c r="I58" s="87"/>
      <c r="J58" s="87"/>
      <c r="K58" s="87"/>
      <c r="L58" s="87"/>
      <c r="M58" s="87"/>
    </row>
    <row r="59" spans="1:13" x14ac:dyDescent="0.3">
      <c r="A59" s="215" t="s">
        <v>167</v>
      </c>
      <c r="B59" s="87"/>
      <c r="C59" s="87"/>
      <c r="D59" s="87"/>
      <c r="E59" s="87"/>
      <c r="F59" s="87"/>
      <c r="G59" s="87"/>
      <c r="H59" s="87"/>
      <c r="I59" s="87"/>
      <c r="J59" s="87"/>
      <c r="K59" s="87"/>
      <c r="L59" s="87"/>
      <c r="M59" s="87"/>
    </row>
    <row r="60" spans="1:13" x14ac:dyDescent="0.3">
      <c r="A60" s="227" t="s">
        <v>236</v>
      </c>
      <c r="B60" s="228">
        <v>796313370</v>
      </c>
      <c r="C60" s="228">
        <v>796313370</v>
      </c>
      <c r="D60" s="228">
        <v>795941699</v>
      </c>
      <c r="E60" s="228">
        <v>795941699</v>
      </c>
      <c r="F60" s="228">
        <v>795941699</v>
      </c>
      <c r="G60" s="228">
        <v>883549899</v>
      </c>
      <c r="H60" s="228">
        <v>831266570</v>
      </c>
      <c r="I60" s="228">
        <v>796160055</v>
      </c>
      <c r="J60" s="228">
        <v>796160055</v>
      </c>
      <c r="K60" s="228">
        <v>833519772</v>
      </c>
      <c r="L60" s="228">
        <v>796160055</v>
      </c>
      <c r="M60" s="228">
        <v>796160055</v>
      </c>
    </row>
    <row r="61" spans="1:13" x14ac:dyDescent="0.3">
      <c r="A61" s="218" t="s">
        <v>170</v>
      </c>
      <c r="B61" s="238">
        <v>0</v>
      </c>
      <c r="C61" s="238">
        <v>0</v>
      </c>
      <c r="D61" s="238">
        <v>0</v>
      </c>
      <c r="E61" s="238">
        <v>0</v>
      </c>
      <c r="F61" s="238">
        <v>0</v>
      </c>
      <c r="G61" s="224">
        <v>87389844</v>
      </c>
      <c r="H61" s="224">
        <v>35106515</v>
      </c>
      <c r="I61" s="225" t="s">
        <v>77</v>
      </c>
      <c r="J61" s="225" t="s">
        <v>77</v>
      </c>
      <c r="K61" s="224">
        <v>37359717</v>
      </c>
      <c r="L61" s="225" t="s">
        <v>77</v>
      </c>
      <c r="M61" s="225" t="s">
        <v>77</v>
      </c>
    </row>
    <row r="62" spans="1:13" x14ac:dyDescent="0.3">
      <c r="A62" s="218" t="s">
        <v>171</v>
      </c>
      <c r="B62" s="224">
        <v>796313370</v>
      </c>
      <c r="C62" s="224">
        <v>796313370</v>
      </c>
      <c r="D62" s="224">
        <v>795941699</v>
      </c>
      <c r="E62" s="224">
        <v>795941699</v>
      </c>
      <c r="F62" s="224">
        <v>795941699</v>
      </c>
      <c r="G62" s="224">
        <v>796160055</v>
      </c>
      <c r="H62" s="224">
        <v>796160055</v>
      </c>
      <c r="I62" s="224">
        <v>796160055</v>
      </c>
      <c r="J62" s="224">
        <v>796160055</v>
      </c>
      <c r="K62" s="224">
        <v>796160055</v>
      </c>
      <c r="L62" s="224">
        <v>796160055</v>
      </c>
      <c r="M62" s="224">
        <v>796160055</v>
      </c>
    </row>
    <row r="63" spans="1:13" x14ac:dyDescent="0.3">
      <c r="A63" s="227" t="s">
        <v>172</v>
      </c>
      <c r="B63" s="228">
        <v>500000000</v>
      </c>
      <c r="C63" s="228">
        <v>500000000</v>
      </c>
      <c r="D63" s="228">
        <v>500000000</v>
      </c>
      <c r="E63" s="228">
        <v>500000000</v>
      </c>
      <c r="F63" s="228">
        <v>500000000</v>
      </c>
      <c r="G63" s="239" t="s">
        <v>77</v>
      </c>
      <c r="H63" s="239" t="s">
        <v>77</v>
      </c>
      <c r="I63" s="239" t="s">
        <v>77</v>
      </c>
      <c r="J63" s="239" t="s">
        <v>77</v>
      </c>
      <c r="K63" s="239" t="s">
        <v>77</v>
      </c>
      <c r="L63" s="239" t="s">
        <v>77</v>
      </c>
      <c r="M63" s="239" t="s">
        <v>77</v>
      </c>
    </row>
    <row r="64" spans="1:13" hidden="1" outlineLevel="1" x14ac:dyDescent="0.3">
      <c r="A64" s="220" t="s">
        <v>173</v>
      </c>
      <c r="B64" s="224">
        <v>62671405</v>
      </c>
      <c r="C64" s="224">
        <v>78814148</v>
      </c>
      <c r="D64" s="224">
        <v>68784372</v>
      </c>
      <c r="E64" s="224">
        <v>63999416</v>
      </c>
      <c r="F64" s="224">
        <v>65154989</v>
      </c>
      <c r="G64" s="224">
        <v>68575870</v>
      </c>
      <c r="H64" s="224">
        <v>62966393</v>
      </c>
      <c r="I64" s="224">
        <v>65303784</v>
      </c>
      <c r="J64" s="224">
        <v>65387619</v>
      </c>
      <c r="K64" s="224">
        <v>65676950</v>
      </c>
      <c r="L64" s="224">
        <v>65915180</v>
      </c>
      <c r="M64" s="224">
        <v>71588331</v>
      </c>
    </row>
    <row r="65" spans="1:13" hidden="1" outlineLevel="1" x14ac:dyDescent="0.3">
      <c r="A65" s="218" t="s">
        <v>174</v>
      </c>
      <c r="B65" s="224">
        <v>6333999</v>
      </c>
      <c r="C65" s="224">
        <v>21891989</v>
      </c>
      <c r="D65" s="224">
        <v>10929658</v>
      </c>
      <c r="E65" s="224">
        <v>6472448</v>
      </c>
      <c r="F65" s="224">
        <v>6023045</v>
      </c>
      <c r="G65" s="224">
        <v>7591099</v>
      </c>
      <c r="H65" s="224">
        <v>4487712</v>
      </c>
      <c r="I65" s="224">
        <v>5179464</v>
      </c>
      <c r="J65" s="224">
        <v>5179464</v>
      </c>
      <c r="K65" s="224">
        <v>5179464</v>
      </c>
      <c r="L65" s="224">
        <v>5179464</v>
      </c>
      <c r="M65" s="224">
        <v>10629764</v>
      </c>
    </row>
    <row r="66" spans="1:13" hidden="1" outlineLevel="1" x14ac:dyDescent="0.3">
      <c r="A66" s="218" t="s">
        <v>175</v>
      </c>
      <c r="B66" s="224">
        <v>0</v>
      </c>
      <c r="C66" s="224">
        <v>0</v>
      </c>
      <c r="D66" s="224">
        <v>0</v>
      </c>
      <c r="E66" s="224">
        <v>0</v>
      </c>
      <c r="F66" s="224">
        <v>0</v>
      </c>
      <c r="G66" s="224">
        <v>0</v>
      </c>
      <c r="H66" s="224">
        <v>0</v>
      </c>
      <c r="I66" s="224">
        <v>0</v>
      </c>
      <c r="J66" s="225" t="s">
        <v>77</v>
      </c>
      <c r="K66" s="225" t="s">
        <v>77</v>
      </c>
      <c r="L66" s="225" t="s">
        <v>77</v>
      </c>
      <c r="M66" s="225" t="s">
        <v>77</v>
      </c>
    </row>
    <row r="67" spans="1:13" hidden="1" outlineLevel="1" x14ac:dyDescent="0.3">
      <c r="A67" s="218" t="s">
        <v>176</v>
      </c>
      <c r="B67" s="224">
        <v>0</v>
      </c>
      <c r="C67" s="224">
        <v>0</v>
      </c>
      <c r="D67" s="224">
        <v>0</v>
      </c>
      <c r="E67" s="224">
        <v>0</v>
      </c>
      <c r="F67" s="224">
        <v>0</v>
      </c>
      <c r="G67" s="224">
        <v>0</v>
      </c>
      <c r="H67" s="224">
        <v>0</v>
      </c>
      <c r="I67" s="224">
        <v>0</v>
      </c>
      <c r="J67" s="224">
        <v>-974</v>
      </c>
      <c r="K67" s="224">
        <v>-972</v>
      </c>
      <c r="L67" s="224">
        <v>-970</v>
      </c>
      <c r="M67" s="224">
        <v>-448</v>
      </c>
    </row>
    <row r="68" spans="1:13" hidden="1" outlineLevel="1" x14ac:dyDescent="0.3">
      <c r="A68" s="218" t="s">
        <v>177</v>
      </c>
      <c r="B68" s="224">
        <v>53508616</v>
      </c>
      <c r="C68" s="224">
        <v>54093370</v>
      </c>
      <c r="D68" s="224">
        <v>55025925</v>
      </c>
      <c r="E68" s="224">
        <v>54698179</v>
      </c>
      <c r="F68" s="224">
        <v>56303154</v>
      </c>
      <c r="G68" s="224">
        <v>58155981</v>
      </c>
      <c r="H68" s="224">
        <v>55649891</v>
      </c>
      <c r="I68" s="224">
        <v>57295530</v>
      </c>
      <c r="J68" s="224">
        <v>57380338</v>
      </c>
      <c r="K68" s="224">
        <v>57669667</v>
      </c>
      <c r="L68" s="224">
        <v>57907896</v>
      </c>
      <c r="M68" s="224">
        <v>58130225</v>
      </c>
    </row>
    <row r="69" spans="1:13" hidden="1" outlineLevel="1" x14ac:dyDescent="0.3">
      <c r="A69" s="218" t="s">
        <v>178</v>
      </c>
      <c r="B69" s="224">
        <v>2828790</v>
      </c>
      <c r="C69" s="224">
        <v>2828790</v>
      </c>
      <c r="D69" s="224">
        <v>2828790</v>
      </c>
      <c r="E69" s="224">
        <v>2828790</v>
      </c>
      <c r="F69" s="224">
        <v>2828790</v>
      </c>
      <c r="G69" s="224">
        <v>2828790</v>
      </c>
      <c r="H69" s="224">
        <v>2828790</v>
      </c>
      <c r="I69" s="224">
        <v>2828790</v>
      </c>
      <c r="J69" s="224">
        <v>2828790</v>
      </c>
      <c r="K69" s="224">
        <v>2828790</v>
      </c>
      <c r="L69" s="224">
        <v>2828790</v>
      </c>
      <c r="M69" s="224">
        <v>2828790</v>
      </c>
    </row>
    <row r="70" spans="1:13" hidden="1" outlineLevel="1" x14ac:dyDescent="0.3">
      <c r="A70" s="220" t="s">
        <v>179</v>
      </c>
      <c r="B70" s="224">
        <v>25470</v>
      </c>
      <c r="C70" s="224">
        <v>25372</v>
      </c>
      <c r="D70" s="224">
        <v>103055</v>
      </c>
      <c r="E70" s="224">
        <v>95346</v>
      </c>
      <c r="F70" s="224">
        <v>95346</v>
      </c>
      <c r="G70" s="224">
        <v>99934</v>
      </c>
      <c r="H70" s="224">
        <v>98924</v>
      </c>
      <c r="I70" s="224">
        <v>98924</v>
      </c>
      <c r="J70" s="224">
        <v>98924</v>
      </c>
      <c r="K70" s="224">
        <v>98924</v>
      </c>
      <c r="L70" s="224">
        <v>98924</v>
      </c>
      <c r="M70" s="224">
        <v>98924</v>
      </c>
    </row>
    <row r="71" spans="1:13" hidden="1" outlineLevel="1" x14ac:dyDescent="0.3">
      <c r="A71" s="218" t="s">
        <v>180</v>
      </c>
      <c r="B71" s="224">
        <v>25470</v>
      </c>
      <c r="C71" s="224">
        <v>25372</v>
      </c>
      <c r="D71" s="224">
        <v>103055</v>
      </c>
      <c r="E71" s="224">
        <v>95346</v>
      </c>
      <c r="F71" s="224">
        <v>95346</v>
      </c>
      <c r="G71" s="224">
        <v>99934</v>
      </c>
      <c r="H71" s="224">
        <v>98924</v>
      </c>
      <c r="I71" s="224">
        <v>98924</v>
      </c>
      <c r="J71" s="224">
        <v>98924</v>
      </c>
      <c r="K71" s="224">
        <v>98924</v>
      </c>
      <c r="L71" s="224">
        <v>98924</v>
      </c>
      <c r="M71" s="224">
        <v>98924</v>
      </c>
    </row>
    <row r="72" spans="1:13" hidden="1" outlineLevel="1" x14ac:dyDescent="0.3">
      <c r="A72" s="220" t="s">
        <v>181</v>
      </c>
      <c r="B72" s="224">
        <v>18827106</v>
      </c>
      <c r="C72" s="224">
        <v>18827106</v>
      </c>
      <c r="D72" s="224">
        <v>13898250</v>
      </c>
      <c r="E72" s="224">
        <v>13898250</v>
      </c>
      <c r="F72" s="224">
        <v>13898250</v>
      </c>
      <c r="G72" s="224">
        <v>6279826</v>
      </c>
      <c r="H72" s="224">
        <v>6949127</v>
      </c>
      <c r="I72" s="224">
        <v>6949127</v>
      </c>
      <c r="J72" s="224">
        <v>6949127</v>
      </c>
      <c r="K72" s="224">
        <v>6949127</v>
      </c>
      <c r="L72" s="224">
        <v>6949127</v>
      </c>
      <c r="M72" s="224">
        <v>6949127</v>
      </c>
    </row>
    <row r="73" spans="1:13" hidden="1" outlineLevel="1" x14ac:dyDescent="0.3">
      <c r="A73" s="218" t="s">
        <v>182</v>
      </c>
      <c r="B73" s="224">
        <v>14092359</v>
      </c>
      <c r="C73" s="224">
        <v>14092359</v>
      </c>
      <c r="D73" s="224">
        <v>13665171</v>
      </c>
      <c r="E73" s="224">
        <v>13665171</v>
      </c>
      <c r="F73" s="224">
        <v>13665171</v>
      </c>
      <c r="G73" s="224">
        <v>6046746</v>
      </c>
      <c r="H73" s="224">
        <v>6046746</v>
      </c>
      <c r="I73" s="224">
        <v>6046746</v>
      </c>
      <c r="J73" s="224">
        <v>6046746</v>
      </c>
      <c r="K73" s="224">
        <v>6046746</v>
      </c>
      <c r="L73" s="224">
        <v>6046746</v>
      </c>
      <c r="M73" s="224">
        <v>6046746</v>
      </c>
    </row>
    <row r="74" spans="1:13" hidden="1" outlineLevel="1" x14ac:dyDescent="0.3">
      <c r="A74" s="218" t="s">
        <v>183</v>
      </c>
      <c r="B74" s="224">
        <v>4734747</v>
      </c>
      <c r="C74" s="224">
        <v>4734747</v>
      </c>
      <c r="D74" s="224">
        <v>233080</v>
      </c>
      <c r="E74" s="224">
        <v>233080</v>
      </c>
      <c r="F74" s="224">
        <v>233080</v>
      </c>
      <c r="G74" s="224">
        <v>233080</v>
      </c>
      <c r="H74" s="224">
        <v>902381</v>
      </c>
      <c r="I74" s="224">
        <v>902381</v>
      </c>
      <c r="J74" s="224">
        <v>902381</v>
      </c>
      <c r="K74" s="224">
        <v>902381</v>
      </c>
      <c r="L74" s="224">
        <v>902381</v>
      </c>
      <c r="M74" s="224">
        <v>902381</v>
      </c>
    </row>
    <row r="75" spans="1:13" hidden="1" outlineLevel="1" x14ac:dyDescent="0.3">
      <c r="A75" s="220" t="s">
        <v>184</v>
      </c>
      <c r="B75" s="224">
        <v>295668744</v>
      </c>
      <c r="C75" s="224">
        <v>85076457</v>
      </c>
      <c r="D75" s="224">
        <v>108558483</v>
      </c>
      <c r="E75" s="224">
        <v>321963557</v>
      </c>
      <c r="F75" s="224">
        <v>131652379</v>
      </c>
      <c r="G75" s="224">
        <v>84388414</v>
      </c>
      <c r="H75" s="224">
        <v>300030361</v>
      </c>
      <c r="I75" s="224">
        <v>108076794</v>
      </c>
      <c r="J75" s="224">
        <v>121538904</v>
      </c>
      <c r="K75" s="224">
        <v>347771148</v>
      </c>
      <c r="L75" s="224">
        <v>145177843</v>
      </c>
      <c r="M75" s="224">
        <v>90922345</v>
      </c>
    </row>
    <row r="76" spans="1:13" hidden="1" outlineLevel="1" x14ac:dyDescent="0.3">
      <c r="A76" s="218" t="s">
        <v>185</v>
      </c>
      <c r="B76" s="224">
        <v>1812500</v>
      </c>
      <c r="C76" s="224">
        <v>3020833</v>
      </c>
      <c r="D76" s="224">
        <v>4229167</v>
      </c>
      <c r="E76" s="224">
        <v>5437500</v>
      </c>
      <c r="F76" s="224">
        <v>8594472</v>
      </c>
      <c r="G76" s="224">
        <v>3964472</v>
      </c>
      <c r="H76" s="224">
        <v>5980306</v>
      </c>
      <c r="I76" s="224">
        <v>7996139</v>
      </c>
      <c r="J76" s="224">
        <v>7860000</v>
      </c>
      <c r="K76" s="224">
        <v>9875833</v>
      </c>
      <c r="L76" s="224">
        <v>11891667</v>
      </c>
      <c r="M76" s="224">
        <v>1812500</v>
      </c>
    </row>
    <row r="77" spans="1:13" hidden="1" outlineLevel="1" x14ac:dyDescent="0.3">
      <c r="A77" s="218" t="s">
        <v>186</v>
      </c>
      <c r="B77" s="224">
        <v>77863652</v>
      </c>
      <c r="C77" s="224">
        <v>58784235</v>
      </c>
      <c r="D77" s="224">
        <v>72053113</v>
      </c>
      <c r="E77" s="224">
        <v>71751716</v>
      </c>
      <c r="F77" s="224">
        <v>72250703</v>
      </c>
      <c r="G77" s="224">
        <v>79828144</v>
      </c>
      <c r="H77" s="224">
        <v>80273606</v>
      </c>
      <c r="I77" s="224">
        <v>81204937</v>
      </c>
      <c r="J77" s="224">
        <v>82137505</v>
      </c>
      <c r="K77" s="224">
        <v>82896142</v>
      </c>
      <c r="L77" s="224">
        <v>83654778</v>
      </c>
      <c r="M77" s="224">
        <v>84587346</v>
      </c>
    </row>
    <row r="78" spans="1:13" hidden="1" outlineLevel="1" x14ac:dyDescent="0.3">
      <c r="A78" s="218" t="s">
        <v>187</v>
      </c>
      <c r="B78" s="224">
        <v>13817250</v>
      </c>
      <c r="C78" s="224">
        <v>23271390</v>
      </c>
      <c r="D78" s="224">
        <v>32276205</v>
      </c>
      <c r="E78" s="224">
        <v>41548680</v>
      </c>
      <c r="F78" s="224">
        <v>50807205</v>
      </c>
      <c r="G78" s="224">
        <v>595800</v>
      </c>
      <c r="H78" s="224">
        <v>9513090</v>
      </c>
      <c r="I78" s="224">
        <v>18875745</v>
      </c>
      <c r="J78" s="224">
        <v>31541400</v>
      </c>
      <c r="K78" s="224">
        <v>40586400</v>
      </c>
      <c r="L78" s="224">
        <v>49631400</v>
      </c>
      <c r="M78" s="224">
        <v>4522500</v>
      </c>
    </row>
    <row r="79" spans="1:13" hidden="1" outlineLevel="1" x14ac:dyDescent="0.3">
      <c r="A79" s="218" t="s">
        <v>188</v>
      </c>
      <c r="B79" s="224">
        <v>186261573</v>
      </c>
      <c r="C79" s="225" t="s">
        <v>77</v>
      </c>
      <c r="D79" s="225" t="s">
        <v>77</v>
      </c>
      <c r="E79" s="224">
        <v>187288435</v>
      </c>
      <c r="F79" s="225" t="s">
        <v>77</v>
      </c>
      <c r="G79" s="225" t="s">
        <v>77</v>
      </c>
      <c r="H79" s="224">
        <v>188305963</v>
      </c>
      <c r="I79" s="225" t="s">
        <v>77</v>
      </c>
      <c r="J79" s="225" t="s">
        <v>77</v>
      </c>
      <c r="K79" s="224">
        <v>196835806</v>
      </c>
      <c r="L79" s="225" t="s">
        <v>77</v>
      </c>
      <c r="M79" s="225" t="s">
        <v>77</v>
      </c>
    </row>
    <row r="80" spans="1:13" hidden="1" outlineLevel="1" x14ac:dyDescent="0.3">
      <c r="A80" s="218" t="s">
        <v>189</v>
      </c>
      <c r="B80" s="224">
        <v>15913771</v>
      </c>
      <c r="C80" s="225" t="s">
        <v>77</v>
      </c>
      <c r="D80" s="225" t="s">
        <v>77</v>
      </c>
      <c r="E80" s="224">
        <v>15937228</v>
      </c>
      <c r="F80" s="225" t="s">
        <v>77</v>
      </c>
      <c r="G80" s="225" t="s">
        <v>77</v>
      </c>
      <c r="H80" s="224">
        <v>15957398</v>
      </c>
      <c r="I80" s="224">
        <v>-25</v>
      </c>
      <c r="J80" s="225" t="s">
        <v>77</v>
      </c>
      <c r="K80" s="224">
        <v>17576969</v>
      </c>
      <c r="L80" s="225" t="s">
        <v>77</v>
      </c>
      <c r="M80" s="225" t="s">
        <v>77</v>
      </c>
    </row>
    <row r="81" spans="1:13" hidden="1" outlineLevel="1" x14ac:dyDescent="0.3">
      <c r="A81" s="218" t="s">
        <v>190</v>
      </c>
      <c r="B81" s="224">
        <v>-2</v>
      </c>
      <c r="C81" s="224">
        <v>-2</v>
      </c>
      <c r="D81" s="224">
        <v>-2</v>
      </c>
      <c r="E81" s="224">
        <v>-2</v>
      </c>
      <c r="F81" s="224">
        <v>-2</v>
      </c>
      <c r="G81" s="224">
        <v>-2</v>
      </c>
      <c r="H81" s="224">
        <v>-2</v>
      </c>
      <c r="I81" s="224">
        <v>-2</v>
      </c>
      <c r="J81" s="224">
        <v>-2</v>
      </c>
      <c r="K81" s="224">
        <v>-2</v>
      </c>
      <c r="L81" s="224">
        <v>-2</v>
      </c>
      <c r="M81" s="224">
        <v>-2</v>
      </c>
    </row>
    <row r="82" spans="1:13" collapsed="1" x14ac:dyDescent="0.3">
      <c r="A82" s="215" t="s">
        <v>191</v>
      </c>
      <c r="B82" s="226">
        <v>1673506094</v>
      </c>
      <c r="C82" s="226">
        <v>1479056452</v>
      </c>
      <c r="D82" s="226">
        <v>1487285859</v>
      </c>
      <c r="E82" s="226">
        <v>1695898268</v>
      </c>
      <c r="F82" s="226">
        <v>1506742662</v>
      </c>
      <c r="G82" s="226">
        <v>1042893943</v>
      </c>
      <c r="H82" s="226">
        <v>1201311375</v>
      </c>
      <c r="I82" s="226">
        <v>976588684</v>
      </c>
      <c r="J82" s="226">
        <v>990134628</v>
      </c>
      <c r="K82" s="226">
        <v>1254015921</v>
      </c>
      <c r="L82" s="226">
        <v>1014301129</v>
      </c>
      <c r="M82" s="226">
        <v>965718782</v>
      </c>
    </row>
    <row r="83" spans="1:13" x14ac:dyDescent="0.3">
      <c r="A83" s="88"/>
      <c r="B83" s="87"/>
      <c r="C83" s="87"/>
      <c r="D83" s="87"/>
      <c r="E83" s="87"/>
      <c r="F83" s="87"/>
      <c r="G83" s="87"/>
      <c r="H83" s="87"/>
      <c r="I83" s="87"/>
      <c r="J83" s="87"/>
      <c r="K83" s="87"/>
      <c r="L83" s="87"/>
      <c r="M83" s="87"/>
    </row>
    <row r="84" spans="1:13" x14ac:dyDescent="0.3">
      <c r="A84" s="227" t="s">
        <v>238</v>
      </c>
      <c r="B84" s="228">
        <v>2247320801</v>
      </c>
      <c r="C84" s="228">
        <v>2502886011</v>
      </c>
      <c r="D84" s="228">
        <v>2454878555</v>
      </c>
      <c r="E84" s="228">
        <v>2415144827</v>
      </c>
      <c r="F84" s="228">
        <v>2776383475</v>
      </c>
      <c r="G84" s="228">
        <v>3056071434</v>
      </c>
      <c r="H84" s="228">
        <v>3058420036</v>
      </c>
      <c r="I84" s="228">
        <v>3239038145</v>
      </c>
      <c r="J84" s="228">
        <v>3229770908</v>
      </c>
      <c r="K84" s="228">
        <v>3227769347</v>
      </c>
      <c r="L84" s="228">
        <v>3091226083</v>
      </c>
      <c r="M84" s="228">
        <v>3088987764</v>
      </c>
    </row>
    <row r="85" spans="1:13" x14ac:dyDescent="0.3">
      <c r="A85" s="218" t="s">
        <v>194</v>
      </c>
      <c r="B85" s="224">
        <v>1591544653</v>
      </c>
      <c r="C85" s="224">
        <v>1847109863</v>
      </c>
      <c r="D85" s="224">
        <v>1799102407</v>
      </c>
      <c r="E85" s="224">
        <v>1759368679</v>
      </c>
      <c r="F85" s="224">
        <v>2120607327</v>
      </c>
      <c r="G85" s="224">
        <v>2400295286</v>
      </c>
      <c r="H85" s="224">
        <v>2402643888</v>
      </c>
      <c r="I85" s="224">
        <v>2583261997</v>
      </c>
      <c r="J85" s="224">
        <v>2573994760</v>
      </c>
      <c r="K85" s="224">
        <v>2571993199</v>
      </c>
      <c r="L85" s="224">
        <v>2435449934</v>
      </c>
      <c r="M85" s="224">
        <v>2433211616</v>
      </c>
    </row>
    <row r="86" spans="1:13" x14ac:dyDescent="0.3">
      <c r="A86" s="218" t="s">
        <v>195</v>
      </c>
      <c r="B86" s="224">
        <v>655776148</v>
      </c>
      <c r="C86" s="224">
        <v>655776148</v>
      </c>
      <c r="D86" s="224">
        <v>655776148</v>
      </c>
      <c r="E86" s="224">
        <v>655776148</v>
      </c>
      <c r="F86" s="224">
        <v>655776148</v>
      </c>
      <c r="G86" s="224">
        <v>655776148</v>
      </c>
      <c r="H86" s="224">
        <v>655776148</v>
      </c>
      <c r="I86" s="224">
        <v>655776148</v>
      </c>
      <c r="J86" s="224">
        <v>655776148</v>
      </c>
      <c r="K86" s="224">
        <v>655776148</v>
      </c>
      <c r="L86" s="224">
        <v>655776148</v>
      </c>
      <c r="M86" s="224">
        <v>655776148</v>
      </c>
    </row>
    <row r="87" spans="1:13" x14ac:dyDescent="0.3">
      <c r="A87" s="220" t="s">
        <v>196</v>
      </c>
      <c r="B87" s="224">
        <v>1333130</v>
      </c>
      <c r="C87" s="224">
        <v>1333130</v>
      </c>
      <c r="D87" s="224">
        <v>1333130</v>
      </c>
      <c r="E87" s="224">
        <v>1333130</v>
      </c>
      <c r="F87" s="224">
        <v>1333130</v>
      </c>
      <c r="G87" s="224">
        <v>1333130</v>
      </c>
      <c r="H87" s="224">
        <v>1333130</v>
      </c>
      <c r="I87" s="224">
        <v>1333130</v>
      </c>
      <c r="J87" s="224">
        <v>1333130</v>
      </c>
      <c r="K87" s="224">
        <v>1333130</v>
      </c>
      <c r="L87" s="224">
        <v>1333130</v>
      </c>
      <c r="M87" s="224">
        <v>1333130</v>
      </c>
    </row>
    <row r="88" spans="1:13" x14ac:dyDescent="0.3">
      <c r="A88" s="220" t="s">
        <v>197</v>
      </c>
      <c r="B88" s="224">
        <v>8513823</v>
      </c>
      <c r="C88" s="224">
        <v>8513823</v>
      </c>
      <c r="D88" s="224">
        <v>9763621</v>
      </c>
      <c r="E88" s="224">
        <v>9763621</v>
      </c>
      <c r="F88" s="224">
        <v>9763621</v>
      </c>
      <c r="G88" s="224">
        <v>4141538</v>
      </c>
      <c r="H88" s="224">
        <v>4141538</v>
      </c>
      <c r="I88" s="224">
        <v>4141538</v>
      </c>
      <c r="J88" s="224">
        <v>4141538</v>
      </c>
      <c r="K88" s="224">
        <v>4141538</v>
      </c>
      <c r="L88" s="224">
        <v>4141538</v>
      </c>
      <c r="M88" s="224">
        <v>4141538</v>
      </c>
    </row>
    <row r="89" spans="1:13" x14ac:dyDescent="0.3">
      <c r="A89" s="218" t="s">
        <v>198</v>
      </c>
      <c r="B89" s="224">
        <v>8513823</v>
      </c>
      <c r="C89" s="224">
        <v>8513823</v>
      </c>
      <c r="D89" s="224">
        <v>9763621</v>
      </c>
      <c r="E89" s="224">
        <v>9763621</v>
      </c>
      <c r="F89" s="224">
        <v>9763621</v>
      </c>
      <c r="G89" s="224">
        <v>4141538</v>
      </c>
      <c r="H89" s="224">
        <v>4141538</v>
      </c>
      <c r="I89" s="224">
        <v>4141538</v>
      </c>
      <c r="J89" s="224">
        <v>4141538</v>
      </c>
      <c r="K89" s="224">
        <v>4141538</v>
      </c>
      <c r="L89" s="224">
        <v>4141538</v>
      </c>
      <c r="M89" s="224">
        <v>4141538</v>
      </c>
    </row>
    <row r="90" spans="1:13" x14ac:dyDescent="0.3">
      <c r="A90" s="220" t="s">
        <v>199</v>
      </c>
      <c r="B90" s="224">
        <v>24838013</v>
      </c>
      <c r="C90" s="224">
        <v>24771593</v>
      </c>
      <c r="D90" s="224">
        <v>24585533</v>
      </c>
      <c r="E90" s="224">
        <v>24696030</v>
      </c>
      <c r="F90" s="224">
        <v>24816781</v>
      </c>
      <c r="G90" s="224">
        <v>24096391</v>
      </c>
      <c r="H90" s="224">
        <v>24108673</v>
      </c>
      <c r="I90" s="224">
        <v>24015488</v>
      </c>
      <c r="J90" s="224">
        <v>24141338</v>
      </c>
      <c r="K90" s="224">
        <v>24267189</v>
      </c>
      <c r="L90" s="224">
        <v>24393039</v>
      </c>
      <c r="M90" s="224">
        <v>24529008</v>
      </c>
    </row>
    <row r="91" spans="1:13" ht="21.6" x14ac:dyDescent="0.3">
      <c r="A91" s="222" t="s">
        <v>200</v>
      </c>
      <c r="B91" s="229">
        <v>24838013</v>
      </c>
      <c r="C91" s="229">
        <v>24771593</v>
      </c>
      <c r="D91" s="229">
        <v>24585533</v>
      </c>
      <c r="E91" s="229">
        <v>24696030</v>
      </c>
      <c r="F91" s="229">
        <v>24816781</v>
      </c>
      <c r="G91" s="229">
        <v>24096391</v>
      </c>
      <c r="H91" s="229">
        <v>24108673</v>
      </c>
      <c r="I91" s="229">
        <v>24015488</v>
      </c>
      <c r="J91" s="229">
        <v>24141338</v>
      </c>
      <c r="K91" s="229">
        <v>24267189</v>
      </c>
      <c r="L91" s="229">
        <v>24393039</v>
      </c>
      <c r="M91" s="229">
        <v>24529008</v>
      </c>
    </row>
    <row r="92" spans="1:13" x14ac:dyDescent="0.3">
      <c r="A92" s="220" t="s">
        <v>201</v>
      </c>
      <c r="B92" s="224">
        <v>-11384457</v>
      </c>
      <c r="C92" s="224">
        <v>-11384457</v>
      </c>
      <c r="D92" s="224">
        <v>-17588114</v>
      </c>
      <c r="E92" s="224">
        <v>-17588114</v>
      </c>
      <c r="F92" s="224">
        <v>-17588114</v>
      </c>
      <c r="G92" s="224">
        <v>-15202135</v>
      </c>
      <c r="H92" s="224">
        <v>-15238650</v>
      </c>
      <c r="I92" s="224">
        <v>-15238650</v>
      </c>
      <c r="J92" s="224">
        <v>-15402036</v>
      </c>
      <c r="K92" s="224">
        <v>-15402036</v>
      </c>
      <c r="L92" s="224">
        <v>-15402036</v>
      </c>
      <c r="M92" s="224">
        <v>-15568778</v>
      </c>
    </row>
    <row r="93" spans="1:13" x14ac:dyDescent="0.3">
      <c r="A93" s="218" t="s">
        <v>202</v>
      </c>
      <c r="B93" s="224">
        <v>12114400</v>
      </c>
      <c r="C93" s="224">
        <v>12114400</v>
      </c>
      <c r="D93" s="224">
        <v>6122636</v>
      </c>
      <c r="E93" s="224">
        <v>6122636</v>
      </c>
      <c r="F93" s="224">
        <v>6122636</v>
      </c>
      <c r="G93" s="224">
        <v>8694874</v>
      </c>
      <c r="H93" s="224">
        <v>8694874</v>
      </c>
      <c r="I93" s="224">
        <v>8694874</v>
      </c>
      <c r="J93" s="224">
        <v>8694874</v>
      </c>
      <c r="K93" s="224">
        <v>8694874</v>
      </c>
      <c r="L93" s="224">
        <v>8694874</v>
      </c>
      <c r="M93" s="224">
        <v>8694874</v>
      </c>
    </row>
    <row r="94" spans="1:13" x14ac:dyDescent="0.3">
      <c r="A94" s="218" t="s">
        <v>203</v>
      </c>
      <c r="B94" s="224">
        <v>-23498858</v>
      </c>
      <c r="C94" s="224">
        <v>-23498858</v>
      </c>
      <c r="D94" s="224">
        <v>-23710750</v>
      </c>
      <c r="E94" s="224">
        <v>-23710750</v>
      </c>
      <c r="F94" s="224">
        <v>-23710750</v>
      </c>
      <c r="G94" s="224">
        <v>-23897009</v>
      </c>
      <c r="H94" s="224">
        <v>-23933523</v>
      </c>
      <c r="I94" s="224">
        <v>-23933523</v>
      </c>
      <c r="J94" s="224">
        <v>-24096909</v>
      </c>
      <c r="K94" s="224">
        <v>-24096909</v>
      </c>
      <c r="L94" s="224">
        <v>-24096909</v>
      </c>
      <c r="M94" s="224">
        <v>-24263651</v>
      </c>
    </row>
    <row r="95" spans="1:13" x14ac:dyDescent="0.3">
      <c r="A95" s="215" t="s">
        <v>204</v>
      </c>
      <c r="B95" s="226">
        <v>2270621310</v>
      </c>
      <c r="C95" s="226">
        <v>2526120099</v>
      </c>
      <c r="D95" s="226">
        <v>2472972725</v>
      </c>
      <c r="E95" s="226">
        <v>2433349494</v>
      </c>
      <c r="F95" s="226">
        <v>2794708894</v>
      </c>
      <c r="G95" s="226">
        <v>3070440358</v>
      </c>
      <c r="H95" s="226">
        <v>3072764728</v>
      </c>
      <c r="I95" s="226">
        <v>3253289651</v>
      </c>
      <c r="J95" s="226">
        <v>3243984878</v>
      </c>
      <c r="K95" s="226">
        <v>3242109168</v>
      </c>
      <c r="L95" s="226">
        <v>3105691754</v>
      </c>
      <c r="M95" s="226">
        <v>3103422662</v>
      </c>
    </row>
    <row r="96" spans="1:13" x14ac:dyDescent="0.3">
      <c r="A96" s="88"/>
      <c r="B96" s="87"/>
      <c r="C96" s="87"/>
      <c r="D96" s="87"/>
      <c r="E96" s="87"/>
      <c r="F96" s="87"/>
      <c r="G96" s="87"/>
      <c r="H96" s="87"/>
      <c r="I96" s="87"/>
      <c r="J96" s="87"/>
      <c r="K96" s="87"/>
      <c r="L96" s="87"/>
      <c r="M96" s="87"/>
    </row>
    <row r="97" spans="1:13" x14ac:dyDescent="0.3">
      <c r="A97" s="215" t="s">
        <v>205</v>
      </c>
      <c r="B97" s="87"/>
      <c r="C97" s="87"/>
      <c r="D97" s="87"/>
      <c r="E97" s="87"/>
      <c r="F97" s="87"/>
      <c r="G97" s="87"/>
      <c r="H97" s="87"/>
      <c r="I97" s="87"/>
      <c r="J97" s="87"/>
      <c r="K97" s="87"/>
      <c r="L97" s="87"/>
      <c r="M97" s="87"/>
    </row>
    <row r="98" spans="1:13" x14ac:dyDescent="0.3">
      <c r="A98" s="88"/>
      <c r="B98" s="87"/>
      <c r="C98" s="87"/>
      <c r="D98" s="87"/>
      <c r="E98" s="87"/>
      <c r="F98" s="87"/>
      <c r="G98" s="87"/>
      <c r="H98" s="87"/>
      <c r="I98" s="87"/>
      <c r="J98" s="87"/>
      <c r="K98" s="87"/>
      <c r="L98" s="87"/>
      <c r="M98" s="87"/>
    </row>
    <row r="99" spans="1:13" x14ac:dyDescent="0.3">
      <c r="A99" s="215" t="s">
        <v>206</v>
      </c>
      <c r="B99" s="87"/>
      <c r="C99" s="87"/>
      <c r="D99" s="87"/>
      <c r="E99" s="87"/>
      <c r="F99" s="87"/>
      <c r="G99" s="87"/>
      <c r="H99" s="87"/>
      <c r="I99" s="87"/>
      <c r="J99" s="87"/>
      <c r="K99" s="87"/>
      <c r="L99" s="87"/>
      <c r="M99" s="87"/>
    </row>
    <row r="100" spans="1:13" x14ac:dyDescent="0.3">
      <c r="A100" s="227" t="s">
        <v>207</v>
      </c>
      <c r="B100" s="228">
        <v>7766679996</v>
      </c>
      <c r="C100" s="228">
        <v>7835973594</v>
      </c>
      <c r="D100" s="228">
        <v>7838547677</v>
      </c>
      <c r="E100" s="228">
        <v>7850275890</v>
      </c>
      <c r="F100" s="228">
        <v>7921241183</v>
      </c>
      <c r="G100" s="228">
        <v>7921924808</v>
      </c>
      <c r="H100" s="228">
        <v>7925221344</v>
      </c>
      <c r="I100" s="228">
        <v>7991816525</v>
      </c>
      <c r="J100" s="228">
        <v>7991816525</v>
      </c>
      <c r="K100" s="228">
        <v>7991816525</v>
      </c>
      <c r="L100" s="228">
        <v>8354216341</v>
      </c>
      <c r="M100" s="228">
        <v>8354216341</v>
      </c>
    </row>
    <row r="101" spans="1:13" x14ac:dyDescent="0.3">
      <c r="A101" s="218" t="s">
        <v>208</v>
      </c>
      <c r="B101" s="224">
        <v>7766679996</v>
      </c>
      <c r="C101" s="224">
        <v>7835973594</v>
      </c>
      <c r="D101" s="224">
        <v>7838547677</v>
      </c>
      <c r="E101" s="224">
        <v>7850275890</v>
      </c>
      <c r="F101" s="224">
        <v>7921241183</v>
      </c>
      <c r="G101" s="224">
        <v>7921924808</v>
      </c>
      <c r="H101" s="224">
        <v>7925221344</v>
      </c>
      <c r="I101" s="224">
        <v>7991816525</v>
      </c>
      <c r="J101" s="224">
        <v>7991816525</v>
      </c>
      <c r="K101" s="224">
        <v>7991816525</v>
      </c>
      <c r="L101" s="224">
        <v>8354216341</v>
      </c>
      <c r="M101" s="224">
        <v>8354216341</v>
      </c>
    </row>
    <row r="102" spans="1:13" x14ac:dyDescent="0.3">
      <c r="A102" s="227" t="s">
        <v>210</v>
      </c>
      <c r="B102" s="228">
        <v>1421836628</v>
      </c>
      <c r="C102" s="228">
        <v>1421836628</v>
      </c>
      <c r="D102" s="228">
        <v>1421836628</v>
      </c>
      <c r="E102" s="228">
        <v>1421836628</v>
      </c>
      <c r="F102" s="228">
        <v>1421836628</v>
      </c>
      <c r="G102" s="228">
        <v>1421820675</v>
      </c>
      <c r="H102" s="228">
        <v>1421820675</v>
      </c>
      <c r="I102" s="228">
        <v>1421820675</v>
      </c>
      <c r="J102" s="228">
        <v>1421820675</v>
      </c>
      <c r="K102" s="228">
        <v>1421820675</v>
      </c>
      <c r="L102" s="228">
        <v>1421820675</v>
      </c>
      <c r="M102" s="228">
        <v>1421820675</v>
      </c>
    </row>
    <row r="103" spans="1:13" x14ac:dyDescent="0.3">
      <c r="A103" s="218" t="s">
        <v>211</v>
      </c>
      <c r="B103" s="224">
        <v>1421836628</v>
      </c>
      <c r="C103" s="224">
        <v>1421836628</v>
      </c>
      <c r="D103" s="224">
        <v>1421836628</v>
      </c>
      <c r="E103" s="224">
        <v>1421836628</v>
      </c>
      <c r="F103" s="224">
        <v>1421836628</v>
      </c>
      <c r="G103" s="224">
        <v>1421820675</v>
      </c>
      <c r="H103" s="224">
        <v>1421820675</v>
      </c>
      <c r="I103" s="224">
        <v>1421820675</v>
      </c>
      <c r="J103" s="224">
        <v>1421820675</v>
      </c>
      <c r="K103" s="224">
        <v>1421820675</v>
      </c>
      <c r="L103" s="224">
        <v>1421820675</v>
      </c>
      <c r="M103" s="224">
        <v>1421820675</v>
      </c>
    </row>
    <row r="104" spans="1:13" x14ac:dyDescent="0.3">
      <c r="A104" s="227" t="s">
        <v>212</v>
      </c>
      <c r="B104" s="228">
        <v>49183390</v>
      </c>
      <c r="C104" s="228">
        <v>49183390</v>
      </c>
      <c r="D104" s="228">
        <v>49589376</v>
      </c>
      <c r="E104" s="228">
        <v>49589376</v>
      </c>
      <c r="F104" s="228">
        <v>49589376</v>
      </c>
      <c r="G104" s="228">
        <v>49893425</v>
      </c>
      <c r="H104" s="228">
        <v>49893425</v>
      </c>
      <c r="I104" s="228">
        <v>49893425</v>
      </c>
      <c r="J104" s="228">
        <v>50439031</v>
      </c>
      <c r="K104" s="228">
        <v>50439031</v>
      </c>
      <c r="L104" s="228">
        <v>50439031</v>
      </c>
      <c r="M104" s="228">
        <v>50984636</v>
      </c>
    </row>
    <row r="105" spans="1:13" x14ac:dyDescent="0.3">
      <c r="A105" s="218" t="s">
        <v>213</v>
      </c>
      <c r="B105" s="224">
        <v>49183390</v>
      </c>
      <c r="C105" s="224">
        <v>49183390</v>
      </c>
      <c r="D105" s="224">
        <v>49589376</v>
      </c>
      <c r="E105" s="224">
        <v>49589376</v>
      </c>
      <c r="F105" s="224">
        <v>49589376</v>
      </c>
      <c r="G105" s="224">
        <v>49893425</v>
      </c>
      <c r="H105" s="224">
        <v>49893425</v>
      </c>
      <c r="I105" s="224">
        <v>49893425</v>
      </c>
      <c r="J105" s="224">
        <v>50439031</v>
      </c>
      <c r="K105" s="224">
        <v>50439031</v>
      </c>
      <c r="L105" s="224">
        <v>50439031</v>
      </c>
      <c r="M105" s="224">
        <v>50984636</v>
      </c>
    </row>
    <row r="106" spans="1:13" hidden="1" outlineLevel="1" x14ac:dyDescent="0.3">
      <c r="A106" s="220" t="s">
        <v>214</v>
      </c>
      <c r="B106" s="224">
        <v>127021880</v>
      </c>
      <c r="C106" s="224">
        <v>114583261</v>
      </c>
      <c r="D106" s="224">
        <v>118236165</v>
      </c>
      <c r="E106" s="224">
        <v>116072435</v>
      </c>
      <c r="F106" s="224">
        <v>114870805</v>
      </c>
      <c r="G106" s="224">
        <v>131695735</v>
      </c>
      <c r="H106" s="224">
        <v>133965522</v>
      </c>
      <c r="I106" s="224">
        <v>118320986</v>
      </c>
      <c r="J106" s="224">
        <v>118320986</v>
      </c>
      <c r="K106" s="224">
        <v>118320986</v>
      </c>
      <c r="L106" s="224">
        <v>118320986</v>
      </c>
      <c r="M106" s="224">
        <v>118320986</v>
      </c>
    </row>
    <row r="107" spans="1:13" hidden="1" outlineLevel="1" x14ac:dyDescent="0.3">
      <c r="A107" s="218" t="s">
        <v>215</v>
      </c>
      <c r="B107" s="224">
        <v>1614131</v>
      </c>
      <c r="C107" s="224">
        <v>1614131</v>
      </c>
      <c r="D107" s="224">
        <v>1614131</v>
      </c>
      <c r="E107" s="224">
        <v>1614131</v>
      </c>
      <c r="F107" s="224">
        <v>1614131</v>
      </c>
      <c r="G107" s="224">
        <v>1614131</v>
      </c>
      <c r="H107" s="224">
        <v>1614131</v>
      </c>
      <c r="I107" s="224">
        <v>1614131</v>
      </c>
      <c r="J107" s="224">
        <v>1614131</v>
      </c>
      <c r="K107" s="224">
        <v>1614131</v>
      </c>
      <c r="L107" s="224">
        <v>1614131</v>
      </c>
      <c r="M107" s="224">
        <v>1614131</v>
      </c>
    </row>
    <row r="108" spans="1:13" hidden="1" outlineLevel="1" x14ac:dyDescent="0.3">
      <c r="A108" s="218" t="s">
        <v>216</v>
      </c>
      <c r="B108" s="224">
        <v>1</v>
      </c>
      <c r="C108" s="224">
        <v>1</v>
      </c>
      <c r="D108" s="224">
        <v>1</v>
      </c>
      <c r="E108" s="224">
        <v>1</v>
      </c>
      <c r="F108" s="224">
        <v>1</v>
      </c>
      <c r="G108" s="224">
        <v>1</v>
      </c>
      <c r="H108" s="224">
        <v>1</v>
      </c>
      <c r="I108" s="224">
        <v>1</v>
      </c>
      <c r="J108" s="224">
        <v>1</v>
      </c>
      <c r="K108" s="224">
        <v>1</v>
      </c>
      <c r="L108" s="224">
        <v>1</v>
      </c>
      <c r="M108" s="224">
        <v>1</v>
      </c>
    </row>
    <row r="109" spans="1:13" hidden="1" outlineLevel="1" x14ac:dyDescent="0.3">
      <c r="A109" s="218" t="s">
        <v>217</v>
      </c>
      <c r="B109" s="224">
        <v>-40103559</v>
      </c>
      <c r="C109" s="224">
        <v>-70991932</v>
      </c>
      <c r="D109" s="224">
        <v>-61925200</v>
      </c>
      <c r="E109" s="224">
        <v>-67294487</v>
      </c>
      <c r="F109" s="224">
        <v>-70276981</v>
      </c>
      <c r="G109" s="224">
        <v>-26965704</v>
      </c>
      <c r="H109" s="224">
        <v>-19447054</v>
      </c>
      <c r="I109" s="224">
        <v>-61697910</v>
      </c>
      <c r="J109" s="224">
        <v>-61697910</v>
      </c>
      <c r="K109" s="224">
        <v>-61697910</v>
      </c>
      <c r="L109" s="224">
        <v>-61697910</v>
      </c>
      <c r="M109" s="224">
        <v>-61697910</v>
      </c>
    </row>
    <row r="110" spans="1:13" hidden="1" outlineLevel="1" x14ac:dyDescent="0.3">
      <c r="A110" s="218" t="s">
        <v>218</v>
      </c>
      <c r="B110" s="224">
        <v>-21</v>
      </c>
      <c r="C110" s="224">
        <v>-21</v>
      </c>
      <c r="D110" s="224">
        <v>-21</v>
      </c>
      <c r="E110" s="224">
        <v>-21</v>
      </c>
      <c r="F110" s="224">
        <v>-21</v>
      </c>
      <c r="G110" s="224">
        <v>-21</v>
      </c>
      <c r="H110" s="224">
        <v>-21</v>
      </c>
      <c r="I110" s="224">
        <v>-21</v>
      </c>
      <c r="J110" s="224">
        <v>-21</v>
      </c>
      <c r="K110" s="224">
        <v>-21</v>
      </c>
      <c r="L110" s="224">
        <v>-21</v>
      </c>
      <c r="M110" s="224">
        <v>-21</v>
      </c>
    </row>
    <row r="111" spans="1:13" hidden="1" outlineLevel="1" x14ac:dyDescent="0.3">
      <c r="A111" s="218" t="s">
        <v>219</v>
      </c>
      <c r="B111" s="224">
        <v>2283960</v>
      </c>
      <c r="C111" s="224">
        <v>2283960</v>
      </c>
      <c r="D111" s="224">
        <v>2283960</v>
      </c>
      <c r="E111" s="224">
        <v>2283960</v>
      </c>
      <c r="F111" s="224">
        <v>2283960</v>
      </c>
      <c r="G111" s="224">
        <v>2283960</v>
      </c>
      <c r="H111" s="224">
        <v>2283960</v>
      </c>
      <c r="I111" s="224">
        <v>2283960</v>
      </c>
      <c r="J111" s="224">
        <v>2283960</v>
      </c>
      <c r="K111" s="224">
        <v>2283960</v>
      </c>
      <c r="L111" s="224">
        <v>2283960</v>
      </c>
      <c r="M111" s="224">
        <v>2283960</v>
      </c>
    </row>
    <row r="112" spans="1:13" hidden="1" outlineLevel="1" x14ac:dyDescent="0.3">
      <c r="A112" s="218" t="s">
        <v>220</v>
      </c>
      <c r="B112" s="224">
        <v>163227367</v>
      </c>
      <c r="C112" s="224">
        <v>181677121</v>
      </c>
      <c r="D112" s="224">
        <v>176263293</v>
      </c>
      <c r="E112" s="224">
        <v>179468850</v>
      </c>
      <c r="F112" s="224">
        <v>181249714</v>
      </c>
      <c r="G112" s="224">
        <v>154763367</v>
      </c>
      <c r="H112" s="224">
        <v>149514504</v>
      </c>
      <c r="I112" s="224">
        <v>176120825</v>
      </c>
      <c r="J112" s="224">
        <v>176120825</v>
      </c>
      <c r="K112" s="224">
        <v>176120825</v>
      </c>
      <c r="L112" s="224">
        <v>176120825</v>
      </c>
      <c r="M112" s="224">
        <v>176120825</v>
      </c>
    </row>
    <row r="113" spans="1:13" hidden="1" outlineLevel="1" x14ac:dyDescent="0.3">
      <c r="A113" s="220" t="s">
        <v>221</v>
      </c>
      <c r="B113" s="224">
        <v>-2760549370</v>
      </c>
      <c r="C113" s="224">
        <v>-2769568814</v>
      </c>
      <c r="D113" s="224">
        <v>-2745966209</v>
      </c>
      <c r="E113" s="224">
        <v>-2944283714</v>
      </c>
      <c r="F113" s="224">
        <v>-2954633878</v>
      </c>
      <c r="G113" s="224">
        <v>-2840219575</v>
      </c>
      <c r="H113" s="224">
        <v>-3038711209</v>
      </c>
      <c r="I113" s="224">
        <v>-3045208579</v>
      </c>
      <c r="J113" s="224">
        <v>-3048757457</v>
      </c>
      <c r="K113" s="224">
        <v>-3257065872</v>
      </c>
      <c r="L113" s="224">
        <v>-3260513799</v>
      </c>
      <c r="M113" s="224">
        <v>-3226239748</v>
      </c>
    </row>
    <row r="114" spans="1:13" hidden="1" outlineLevel="1" x14ac:dyDescent="0.3">
      <c r="A114" s="218" t="s">
        <v>222</v>
      </c>
      <c r="B114" s="224">
        <v>-21919780</v>
      </c>
      <c r="C114" s="224">
        <v>-30856150</v>
      </c>
      <c r="D114" s="224">
        <v>-7253545</v>
      </c>
      <c r="E114" s="224">
        <v>-18282615</v>
      </c>
      <c r="F114" s="224">
        <v>-28466335</v>
      </c>
      <c r="G114" s="224">
        <v>85947968</v>
      </c>
      <c r="H114" s="224">
        <v>75762297</v>
      </c>
      <c r="I114" s="224">
        <v>69313165</v>
      </c>
      <c r="J114" s="224">
        <v>65764287</v>
      </c>
      <c r="K114" s="224">
        <v>54291678</v>
      </c>
      <c r="L114" s="224">
        <v>50843751</v>
      </c>
      <c r="M114" s="224">
        <v>85117802</v>
      </c>
    </row>
    <row r="115" spans="1:13" ht="21.6" hidden="1" outlineLevel="1" x14ac:dyDescent="0.3">
      <c r="A115" s="230" t="s">
        <v>223</v>
      </c>
      <c r="B115" s="229">
        <v>-21919780</v>
      </c>
      <c r="C115" s="229">
        <v>-30856150</v>
      </c>
      <c r="D115" s="229">
        <v>-7253545</v>
      </c>
      <c r="E115" s="229">
        <v>-18282615</v>
      </c>
      <c r="F115" s="229">
        <v>-28466335</v>
      </c>
      <c r="G115" s="229">
        <v>85947968</v>
      </c>
      <c r="H115" s="229">
        <v>75762297</v>
      </c>
      <c r="I115" s="229">
        <v>69313165</v>
      </c>
      <c r="J115" s="229">
        <v>65764287</v>
      </c>
      <c r="K115" s="229">
        <v>54291678</v>
      </c>
      <c r="L115" s="229">
        <v>50843751</v>
      </c>
      <c r="M115" s="229">
        <v>85117802</v>
      </c>
    </row>
    <row r="116" spans="1:13" hidden="1" outlineLevel="1" x14ac:dyDescent="0.3">
      <c r="A116" s="218" t="s">
        <v>224</v>
      </c>
      <c r="B116" s="224">
        <v>-186261573</v>
      </c>
      <c r="C116" s="224">
        <v>-186344646</v>
      </c>
      <c r="D116" s="224">
        <v>-186344646</v>
      </c>
      <c r="E116" s="224">
        <v>-373633081</v>
      </c>
      <c r="F116" s="224">
        <v>-373799525</v>
      </c>
      <c r="G116" s="224">
        <v>-373799525</v>
      </c>
      <c r="H116" s="224">
        <v>-562105488</v>
      </c>
      <c r="I116" s="224">
        <v>-562153726</v>
      </c>
      <c r="J116" s="224">
        <v>-562153726</v>
      </c>
      <c r="K116" s="224">
        <v>-758989533</v>
      </c>
      <c r="L116" s="224">
        <v>-758989533</v>
      </c>
      <c r="M116" s="224">
        <v>-758989533</v>
      </c>
    </row>
    <row r="117" spans="1:13" hidden="1" outlineLevel="1" x14ac:dyDescent="0.3">
      <c r="A117" s="218" t="s">
        <v>225</v>
      </c>
      <c r="B117" s="224">
        <v>-2552368018</v>
      </c>
      <c r="C117" s="224">
        <v>-2552368018</v>
      </c>
      <c r="D117" s="224">
        <v>-2552368018</v>
      </c>
      <c r="E117" s="224">
        <v>-2552368018</v>
      </c>
      <c r="F117" s="224">
        <v>-2552368018</v>
      </c>
      <c r="G117" s="224">
        <v>-2552368018</v>
      </c>
      <c r="H117" s="224">
        <v>-2552368018</v>
      </c>
      <c r="I117" s="224">
        <v>-2552368018</v>
      </c>
      <c r="J117" s="224">
        <v>-2552368018</v>
      </c>
      <c r="K117" s="224">
        <v>-2552368018</v>
      </c>
      <c r="L117" s="224">
        <v>-2552368018</v>
      </c>
      <c r="M117" s="224">
        <v>-2552368018</v>
      </c>
    </row>
    <row r="118" spans="1:13" ht="21.6" hidden="1" outlineLevel="1" x14ac:dyDescent="0.3">
      <c r="A118" s="230" t="s">
        <v>226</v>
      </c>
      <c r="B118" s="229">
        <v>-2426698</v>
      </c>
      <c r="C118" s="229">
        <v>-2426698</v>
      </c>
      <c r="D118" s="229">
        <v>-2426698</v>
      </c>
      <c r="E118" s="229">
        <v>-2426698</v>
      </c>
      <c r="F118" s="229">
        <v>-2426698</v>
      </c>
      <c r="G118" s="229">
        <v>-2426698</v>
      </c>
      <c r="H118" s="229">
        <v>-2426698</v>
      </c>
      <c r="I118" s="229">
        <v>-2426698</v>
      </c>
      <c r="J118" s="229">
        <v>-2426698</v>
      </c>
      <c r="K118" s="229">
        <v>-2426698</v>
      </c>
      <c r="L118" s="229">
        <v>-2426698</v>
      </c>
      <c r="M118" s="229">
        <v>-2426698</v>
      </c>
    </row>
    <row r="119" spans="1:13" hidden="1" outlineLevel="1" x14ac:dyDescent="0.3">
      <c r="A119" s="221" t="s">
        <v>227</v>
      </c>
      <c r="B119" s="224">
        <v>-2549941319</v>
      </c>
      <c r="C119" s="224">
        <v>-2549941319</v>
      </c>
      <c r="D119" s="224">
        <v>-2549941319</v>
      </c>
      <c r="E119" s="224">
        <v>-2549941319</v>
      </c>
      <c r="F119" s="224">
        <v>-2549941319</v>
      </c>
      <c r="G119" s="224">
        <v>-2549941319</v>
      </c>
      <c r="H119" s="224">
        <v>-2549941319</v>
      </c>
      <c r="I119" s="224">
        <v>-2549941319</v>
      </c>
      <c r="J119" s="224">
        <v>-2549941319</v>
      </c>
      <c r="K119" s="224">
        <v>-2549941319</v>
      </c>
      <c r="L119" s="224">
        <v>-2549941319</v>
      </c>
      <c r="M119" s="224">
        <v>-2549941319</v>
      </c>
    </row>
    <row r="120" spans="1:13" collapsed="1" x14ac:dyDescent="0.3">
      <c r="A120" s="215" t="s">
        <v>228</v>
      </c>
      <c r="B120" s="226">
        <v>6604172523</v>
      </c>
      <c r="C120" s="226">
        <v>6652008059</v>
      </c>
      <c r="D120" s="226">
        <v>6682243637</v>
      </c>
      <c r="E120" s="226">
        <v>6493490614</v>
      </c>
      <c r="F120" s="226">
        <v>6552904113</v>
      </c>
      <c r="G120" s="226">
        <v>6685115069</v>
      </c>
      <c r="H120" s="226">
        <v>6492189757</v>
      </c>
      <c r="I120" s="226">
        <v>6536643032</v>
      </c>
      <c r="J120" s="226">
        <v>6533639760</v>
      </c>
      <c r="K120" s="226">
        <v>6325331345</v>
      </c>
      <c r="L120" s="226">
        <v>6684283233</v>
      </c>
      <c r="M120" s="226">
        <v>6719102890</v>
      </c>
    </row>
    <row r="121" spans="1:13" x14ac:dyDescent="0.3">
      <c r="A121" s="215" t="s">
        <v>229</v>
      </c>
      <c r="B121" s="226">
        <v>6604172523</v>
      </c>
      <c r="C121" s="226">
        <v>6652008059</v>
      </c>
      <c r="D121" s="226">
        <v>6682243637</v>
      </c>
      <c r="E121" s="226">
        <v>6493490614</v>
      </c>
      <c r="F121" s="226">
        <v>6552904113</v>
      </c>
      <c r="G121" s="226">
        <v>6685115069</v>
      </c>
      <c r="H121" s="226">
        <v>6492189757</v>
      </c>
      <c r="I121" s="226">
        <v>6536643032</v>
      </c>
      <c r="J121" s="226">
        <v>6533639760</v>
      </c>
      <c r="K121" s="226">
        <v>6325331345</v>
      </c>
      <c r="L121" s="226">
        <v>6684283233</v>
      </c>
      <c r="M121" s="226">
        <v>6719102890</v>
      </c>
    </row>
    <row r="122" spans="1:13" x14ac:dyDescent="0.3">
      <c r="A122" s="88"/>
      <c r="B122" s="87"/>
      <c r="C122" s="87"/>
      <c r="D122" s="87"/>
      <c r="E122" s="87"/>
      <c r="F122" s="87"/>
      <c r="G122" s="87"/>
      <c r="H122" s="87"/>
      <c r="I122" s="87"/>
      <c r="J122" s="87"/>
      <c r="K122" s="87"/>
      <c r="L122" s="87"/>
      <c r="M122" s="87"/>
    </row>
    <row r="123" spans="1:13" ht="15" thickBot="1" x14ac:dyDescent="0.35">
      <c r="A123" s="215" t="s">
        <v>231</v>
      </c>
      <c r="B123" s="231">
        <v>10548299927</v>
      </c>
      <c r="C123" s="231">
        <v>10657184611</v>
      </c>
      <c r="D123" s="231">
        <v>10642502221</v>
      </c>
      <c r="E123" s="231">
        <v>10622738377</v>
      </c>
      <c r="F123" s="231">
        <v>10854355669</v>
      </c>
      <c r="G123" s="231">
        <v>10798449370</v>
      </c>
      <c r="H123" s="231">
        <v>10766265860</v>
      </c>
      <c r="I123" s="231">
        <v>10766521367</v>
      </c>
      <c r="J123" s="231">
        <v>10767759266</v>
      </c>
      <c r="K123" s="231">
        <v>10821456434</v>
      </c>
      <c r="L123" s="231">
        <v>10804276117</v>
      </c>
      <c r="M123" s="231">
        <v>10788244334</v>
      </c>
    </row>
    <row r="124" spans="1:13" x14ac:dyDescent="0.3">
      <c r="A124" s="260" t="s">
        <v>112</v>
      </c>
      <c r="B124" s="260"/>
      <c r="C124" s="260"/>
      <c r="D124" s="260"/>
      <c r="E124" s="260"/>
      <c r="F124" s="260"/>
      <c r="G124" s="260"/>
      <c r="H124" s="260"/>
    </row>
  </sheetData>
  <mergeCells count="4">
    <mergeCell ref="A1:H1"/>
    <mergeCell ref="A2:H2"/>
    <mergeCell ref="A3:H3"/>
    <mergeCell ref="A124:H124"/>
  </mergeCells>
  <pageMargins left="0.7" right="0.7" top="0.75" bottom="0.75" header="0.3" footer="0.3"/>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FD0BD-B9CC-461C-901E-FD2D32EAFBE1}">
  <sheetPr>
    <tabColor theme="8" tint="0.79998168889431442"/>
  </sheetPr>
  <dimension ref="A1:P54"/>
  <sheetViews>
    <sheetView showOutlineSymbols="0" zoomScale="90" zoomScaleNormal="90" workbookViewId="0">
      <selection activeCell="B36" sqref="B36:M36"/>
    </sheetView>
  </sheetViews>
  <sheetFormatPr defaultColWidth="9.109375" defaultRowHeight="14.4" x14ac:dyDescent="0.3"/>
  <cols>
    <col min="1" max="1" width="35.6640625" style="86" customWidth="1"/>
    <col min="2" max="14" width="17.88671875" style="86" customWidth="1"/>
    <col min="15" max="16384" width="9.109375" style="86"/>
  </cols>
  <sheetData>
    <row r="1" spans="1:14" x14ac:dyDescent="0.3">
      <c r="A1" s="258" t="s">
        <v>50</v>
      </c>
      <c r="B1" s="258"/>
      <c r="C1" s="258"/>
      <c r="D1" s="258"/>
      <c r="E1" s="258"/>
      <c r="F1" s="258"/>
      <c r="G1" s="258"/>
      <c r="H1" s="258"/>
    </row>
    <row r="2" spans="1:14" x14ac:dyDescent="0.3">
      <c r="A2" s="259" t="s">
        <v>51</v>
      </c>
      <c r="B2" s="259"/>
      <c r="C2" s="259"/>
      <c r="D2" s="259"/>
      <c r="E2" s="259"/>
      <c r="F2" s="259"/>
      <c r="G2" s="259"/>
      <c r="H2" s="259"/>
    </row>
    <row r="3" spans="1:14" x14ac:dyDescent="0.3">
      <c r="A3" s="259" t="s">
        <v>241</v>
      </c>
      <c r="B3" s="259"/>
      <c r="C3" s="259"/>
      <c r="D3" s="259"/>
      <c r="E3" s="259"/>
      <c r="F3" s="259"/>
      <c r="G3" s="259"/>
      <c r="H3" s="259"/>
    </row>
    <row r="4" spans="1:14" x14ac:dyDescent="0.3">
      <c r="A4" s="91"/>
      <c r="B4" s="213" t="s">
        <v>53</v>
      </c>
      <c r="C4" s="213" t="s">
        <v>54</v>
      </c>
      <c r="D4" s="213" t="s">
        <v>55</v>
      </c>
      <c r="E4" s="213" t="s">
        <v>56</v>
      </c>
      <c r="F4" s="213" t="s">
        <v>57</v>
      </c>
      <c r="G4" s="213" t="s">
        <v>58</v>
      </c>
      <c r="H4" s="213" t="s">
        <v>59</v>
      </c>
      <c r="I4" s="213" t="s">
        <v>60</v>
      </c>
      <c r="J4" s="213" t="s">
        <v>61</v>
      </c>
      <c r="K4" s="213" t="s">
        <v>62</v>
      </c>
      <c r="L4" s="213" t="s">
        <v>63</v>
      </c>
      <c r="M4" s="213" t="s">
        <v>64</v>
      </c>
      <c r="N4" s="213" t="s">
        <v>64</v>
      </c>
    </row>
    <row r="5" spans="1:14" x14ac:dyDescent="0.3">
      <c r="A5" s="240" t="s">
        <v>65</v>
      </c>
      <c r="B5" s="92"/>
      <c r="C5" s="92"/>
      <c r="D5" s="92"/>
      <c r="E5" s="92"/>
      <c r="F5" s="92"/>
      <c r="G5" s="92"/>
      <c r="H5" s="92"/>
      <c r="I5" s="92"/>
      <c r="J5" s="92"/>
      <c r="K5" s="92"/>
      <c r="L5" s="92"/>
      <c r="M5" s="92"/>
      <c r="N5" s="92"/>
    </row>
    <row r="6" spans="1:14" x14ac:dyDescent="0.3">
      <c r="A6" s="240" t="s">
        <v>66</v>
      </c>
      <c r="B6" s="229">
        <v>0</v>
      </c>
      <c r="C6" s="229">
        <v>0</v>
      </c>
      <c r="D6" s="229">
        <v>0</v>
      </c>
      <c r="E6" s="229">
        <v>0</v>
      </c>
      <c r="F6" s="229">
        <v>0</v>
      </c>
      <c r="G6" s="229">
        <v>0</v>
      </c>
      <c r="H6" s="229">
        <v>0</v>
      </c>
      <c r="I6" s="229">
        <v>0</v>
      </c>
      <c r="J6" s="229">
        <v>0</v>
      </c>
      <c r="K6" s="229">
        <v>0</v>
      </c>
      <c r="L6" s="229">
        <v>0</v>
      </c>
      <c r="M6" s="229">
        <v>0</v>
      </c>
      <c r="N6" s="229">
        <v>0</v>
      </c>
    </row>
    <row r="7" spans="1:14" x14ac:dyDescent="0.3">
      <c r="A7" s="241" t="s">
        <v>67</v>
      </c>
      <c r="B7" s="229">
        <v>0</v>
      </c>
      <c r="C7" s="229">
        <v>0</v>
      </c>
      <c r="D7" s="229">
        <v>0</v>
      </c>
      <c r="E7" s="229">
        <v>0</v>
      </c>
      <c r="F7" s="229">
        <v>0</v>
      </c>
      <c r="G7" s="229">
        <v>0</v>
      </c>
      <c r="H7" s="229">
        <v>0</v>
      </c>
      <c r="I7" s="229">
        <v>0</v>
      </c>
      <c r="J7" s="229">
        <v>0</v>
      </c>
      <c r="K7" s="229">
        <v>0</v>
      </c>
      <c r="L7" s="229">
        <v>0</v>
      </c>
      <c r="M7" s="229">
        <v>0</v>
      </c>
      <c r="N7" s="229">
        <v>0</v>
      </c>
    </row>
    <row r="8" spans="1:14" ht="19.649999999999999" customHeight="1" x14ac:dyDescent="0.3">
      <c r="A8" s="240" t="s">
        <v>68</v>
      </c>
      <c r="B8" s="242">
        <v>0</v>
      </c>
      <c r="C8" s="242">
        <v>0</v>
      </c>
      <c r="D8" s="242">
        <v>0</v>
      </c>
      <c r="E8" s="242">
        <v>0</v>
      </c>
      <c r="F8" s="242">
        <v>0</v>
      </c>
      <c r="G8" s="242">
        <v>0</v>
      </c>
      <c r="H8" s="242">
        <v>0</v>
      </c>
      <c r="I8" s="242">
        <v>0</v>
      </c>
      <c r="J8" s="242">
        <v>0</v>
      </c>
      <c r="K8" s="242">
        <v>0</v>
      </c>
      <c r="L8" s="242">
        <v>0</v>
      </c>
      <c r="M8" s="242">
        <v>0</v>
      </c>
      <c r="N8" s="242">
        <v>0</v>
      </c>
    </row>
    <row r="9" spans="1:14" x14ac:dyDescent="0.3">
      <c r="A9" s="93"/>
      <c r="B9" s="92"/>
      <c r="C9" s="92"/>
      <c r="D9" s="92"/>
      <c r="E9" s="92"/>
      <c r="F9" s="92"/>
      <c r="G9" s="92"/>
      <c r="H9" s="92"/>
      <c r="I9" s="92"/>
      <c r="J9" s="92"/>
      <c r="K9" s="92"/>
      <c r="L9" s="92"/>
      <c r="M9" s="92"/>
      <c r="N9" s="92"/>
    </row>
    <row r="10" spans="1:14" x14ac:dyDescent="0.3">
      <c r="A10" s="240" t="s">
        <v>69</v>
      </c>
      <c r="B10" s="92"/>
      <c r="C10" s="92"/>
      <c r="D10" s="92"/>
      <c r="E10" s="92"/>
      <c r="F10" s="92"/>
      <c r="G10" s="92"/>
      <c r="H10" s="92"/>
      <c r="I10" s="92"/>
      <c r="J10" s="92"/>
      <c r="K10" s="92"/>
      <c r="L10" s="92"/>
      <c r="M10" s="92"/>
      <c r="N10" s="92"/>
    </row>
    <row r="11" spans="1:14" x14ac:dyDescent="0.3">
      <c r="A11" s="240" t="s">
        <v>70</v>
      </c>
      <c r="B11" s="229">
        <v>3331623</v>
      </c>
      <c r="C11" s="229">
        <v>4033636</v>
      </c>
      <c r="D11" s="229">
        <v>6727849</v>
      </c>
      <c r="E11" s="229">
        <v>2790795</v>
      </c>
      <c r="F11" s="229">
        <v>3221296</v>
      </c>
      <c r="G11" s="229">
        <v>6517285</v>
      </c>
      <c r="H11" s="229">
        <v>3120004</v>
      </c>
      <c r="I11" s="229">
        <v>3706360</v>
      </c>
      <c r="J11" s="229">
        <v>6527057</v>
      </c>
      <c r="K11" s="229">
        <v>3184664</v>
      </c>
      <c r="L11" s="229">
        <v>3158807</v>
      </c>
      <c r="M11" s="229">
        <v>6394375</v>
      </c>
      <c r="N11" s="229">
        <v>52713751</v>
      </c>
    </row>
    <row r="12" spans="1:14" x14ac:dyDescent="0.3">
      <c r="A12" s="240" t="s">
        <v>71</v>
      </c>
      <c r="B12" s="229">
        <v>300961</v>
      </c>
      <c r="C12" s="229">
        <v>317628</v>
      </c>
      <c r="D12" s="229">
        <v>309295</v>
      </c>
      <c r="E12" s="229">
        <v>309295</v>
      </c>
      <c r="F12" s="229">
        <v>321390</v>
      </c>
      <c r="G12" s="229">
        <v>321390</v>
      </c>
      <c r="H12" s="229">
        <v>321390</v>
      </c>
      <c r="I12" s="229">
        <v>321390</v>
      </c>
      <c r="J12" s="229">
        <v>321390</v>
      </c>
      <c r="K12" s="229">
        <v>321390</v>
      </c>
      <c r="L12" s="229">
        <v>321390</v>
      </c>
      <c r="M12" s="229">
        <v>321390</v>
      </c>
      <c r="N12" s="229">
        <v>3808300</v>
      </c>
    </row>
    <row r="13" spans="1:14" x14ac:dyDescent="0.3">
      <c r="A13" s="241" t="s">
        <v>72</v>
      </c>
      <c r="B13" s="229">
        <v>300961</v>
      </c>
      <c r="C13" s="229">
        <v>317628</v>
      </c>
      <c r="D13" s="229">
        <v>309295</v>
      </c>
      <c r="E13" s="229">
        <v>309295</v>
      </c>
      <c r="F13" s="229">
        <v>321390</v>
      </c>
      <c r="G13" s="229">
        <v>321390</v>
      </c>
      <c r="H13" s="229">
        <v>321390</v>
      </c>
      <c r="I13" s="229">
        <v>321390</v>
      </c>
      <c r="J13" s="229">
        <v>321390</v>
      </c>
      <c r="K13" s="229">
        <v>321390</v>
      </c>
      <c r="L13" s="229">
        <v>321390</v>
      </c>
      <c r="M13" s="229">
        <v>321390</v>
      </c>
      <c r="N13" s="229">
        <v>3808300</v>
      </c>
    </row>
    <row r="14" spans="1:14" x14ac:dyDescent="0.3">
      <c r="A14" s="222" t="s">
        <v>73</v>
      </c>
      <c r="B14" s="243">
        <v>3632584</v>
      </c>
      <c r="C14" s="243">
        <v>4351264</v>
      </c>
      <c r="D14" s="243">
        <v>7037144</v>
      </c>
      <c r="E14" s="243">
        <v>3100090</v>
      </c>
      <c r="F14" s="243">
        <v>3542686</v>
      </c>
      <c r="G14" s="243">
        <v>6838675</v>
      </c>
      <c r="H14" s="243">
        <v>3441394</v>
      </c>
      <c r="I14" s="243">
        <v>4027750</v>
      </c>
      <c r="J14" s="243">
        <v>6848447</v>
      </c>
      <c r="K14" s="243">
        <v>3506054</v>
      </c>
      <c r="L14" s="243">
        <v>3480198</v>
      </c>
      <c r="M14" s="243">
        <v>6715765</v>
      </c>
      <c r="N14" s="243">
        <v>56522051</v>
      </c>
    </row>
    <row r="15" spans="1:14" x14ac:dyDescent="0.3">
      <c r="A15" s="93"/>
      <c r="B15" s="92"/>
      <c r="C15" s="92"/>
      <c r="D15" s="92"/>
      <c r="E15" s="92"/>
      <c r="F15" s="92"/>
      <c r="G15" s="92"/>
      <c r="H15" s="92"/>
      <c r="I15" s="92"/>
      <c r="J15" s="92"/>
      <c r="K15" s="92"/>
      <c r="L15" s="92"/>
      <c r="M15" s="92"/>
      <c r="N15" s="92"/>
    </row>
    <row r="16" spans="1:14" x14ac:dyDescent="0.3">
      <c r="A16" s="222" t="s">
        <v>74</v>
      </c>
      <c r="B16" s="229">
        <v>-3632584</v>
      </c>
      <c r="C16" s="229">
        <v>-4351264</v>
      </c>
      <c r="D16" s="229">
        <v>-7037144</v>
      </c>
      <c r="E16" s="229">
        <v>-3100090</v>
      </c>
      <c r="F16" s="229">
        <v>-3542686</v>
      </c>
      <c r="G16" s="229">
        <v>-6838675</v>
      </c>
      <c r="H16" s="229">
        <v>-3441394</v>
      </c>
      <c r="I16" s="229">
        <v>-4027750</v>
      </c>
      <c r="J16" s="229">
        <v>-6848447</v>
      </c>
      <c r="K16" s="229">
        <v>-3506054</v>
      </c>
      <c r="L16" s="229">
        <v>-3480198</v>
      </c>
      <c r="M16" s="229">
        <v>-6715765</v>
      </c>
      <c r="N16" s="229">
        <v>-56522051</v>
      </c>
    </row>
    <row r="17" spans="1:16" x14ac:dyDescent="0.3">
      <c r="A17" s="93"/>
      <c r="B17" s="92"/>
      <c r="C17" s="92"/>
      <c r="D17" s="92"/>
      <c r="E17" s="92"/>
      <c r="F17" s="92"/>
      <c r="G17" s="92"/>
      <c r="H17" s="92"/>
      <c r="I17" s="92"/>
      <c r="J17" s="92"/>
      <c r="K17" s="92"/>
      <c r="L17" s="92"/>
      <c r="M17" s="92"/>
      <c r="N17" s="92"/>
    </row>
    <row r="18" spans="1:16" x14ac:dyDescent="0.3">
      <c r="A18" s="240" t="s">
        <v>75</v>
      </c>
      <c r="B18" s="92"/>
      <c r="C18" s="92"/>
      <c r="D18" s="92"/>
      <c r="E18" s="92"/>
      <c r="F18" s="92"/>
      <c r="G18" s="92"/>
      <c r="H18" s="92"/>
      <c r="I18" s="92"/>
      <c r="J18" s="92"/>
      <c r="K18" s="92"/>
      <c r="L18" s="92"/>
      <c r="M18" s="92"/>
      <c r="N18" s="92"/>
    </row>
    <row r="19" spans="1:16" x14ac:dyDescent="0.3">
      <c r="A19" s="241" t="s">
        <v>76</v>
      </c>
      <c r="B19" s="244" t="s">
        <v>77</v>
      </c>
      <c r="C19" s="244" t="s">
        <v>77</v>
      </c>
      <c r="D19" s="229">
        <v>163386</v>
      </c>
      <c r="E19" s="244" t="s">
        <v>77</v>
      </c>
      <c r="F19" s="244" t="s">
        <v>77</v>
      </c>
      <c r="G19" s="229">
        <v>186259</v>
      </c>
      <c r="H19" s="244" t="s">
        <v>77</v>
      </c>
      <c r="I19" s="244" t="s">
        <v>77</v>
      </c>
      <c r="J19" s="229">
        <v>163386</v>
      </c>
      <c r="K19" s="244" t="s">
        <v>77</v>
      </c>
      <c r="L19" s="244" t="s">
        <v>77</v>
      </c>
      <c r="M19" s="229">
        <v>166742</v>
      </c>
      <c r="N19" s="229">
        <v>679773</v>
      </c>
    </row>
    <row r="20" spans="1:16" x14ac:dyDescent="0.3">
      <c r="A20" s="222" t="s">
        <v>78</v>
      </c>
      <c r="B20" s="244" t="s">
        <v>77</v>
      </c>
      <c r="C20" s="244" t="s">
        <v>77</v>
      </c>
      <c r="D20" s="229">
        <v>163386</v>
      </c>
      <c r="E20" s="244" t="s">
        <v>77</v>
      </c>
      <c r="F20" s="244" t="s">
        <v>77</v>
      </c>
      <c r="G20" s="229">
        <v>186259</v>
      </c>
      <c r="H20" s="244" t="s">
        <v>77</v>
      </c>
      <c r="I20" s="244" t="s">
        <v>77</v>
      </c>
      <c r="J20" s="229">
        <v>163386</v>
      </c>
      <c r="K20" s="244" t="s">
        <v>77</v>
      </c>
      <c r="L20" s="244" t="s">
        <v>77</v>
      </c>
      <c r="M20" s="229">
        <v>166742</v>
      </c>
      <c r="N20" s="229">
        <v>679773</v>
      </c>
    </row>
    <row r="21" spans="1:16" x14ac:dyDescent="0.3">
      <c r="A21" s="241" t="s">
        <v>79</v>
      </c>
      <c r="B21" s="229">
        <v>8718025</v>
      </c>
      <c r="C21" s="229">
        <v>9048786</v>
      </c>
      <c r="D21" s="229">
        <v>61474069</v>
      </c>
      <c r="E21" s="229">
        <v>22450286</v>
      </c>
      <c r="F21" s="229">
        <v>9137151</v>
      </c>
      <c r="G21" s="229">
        <v>75469914</v>
      </c>
      <c r="H21" s="229">
        <v>15888608</v>
      </c>
      <c r="I21" s="229">
        <v>9165945</v>
      </c>
      <c r="J21" s="229">
        <v>41652037</v>
      </c>
      <c r="K21" s="229">
        <v>21795289</v>
      </c>
      <c r="L21" s="229">
        <v>14420009</v>
      </c>
      <c r="M21" s="229">
        <v>41691351</v>
      </c>
      <c r="N21" s="229">
        <v>330911466</v>
      </c>
    </row>
    <row r="22" spans="1:16" x14ac:dyDescent="0.3">
      <c r="A22" s="222" t="s">
        <v>80</v>
      </c>
      <c r="B22" s="229">
        <v>354800</v>
      </c>
      <c r="C22" s="229">
        <v>354800</v>
      </c>
      <c r="D22" s="229">
        <v>434600</v>
      </c>
      <c r="E22" s="229">
        <v>434600</v>
      </c>
      <c r="F22" s="229">
        <v>444600</v>
      </c>
      <c r="G22" s="229">
        <v>424600</v>
      </c>
      <c r="H22" s="229">
        <v>424600</v>
      </c>
      <c r="I22" s="229">
        <v>424600</v>
      </c>
      <c r="J22" s="229">
        <v>409600</v>
      </c>
      <c r="K22" s="229">
        <v>469400</v>
      </c>
      <c r="L22" s="229">
        <v>389800</v>
      </c>
      <c r="M22" s="229">
        <v>389800</v>
      </c>
      <c r="N22" s="229">
        <v>4955800</v>
      </c>
    </row>
    <row r="23" spans="1:16" x14ac:dyDescent="0.3">
      <c r="A23" s="245" t="s">
        <v>81</v>
      </c>
      <c r="B23" s="229">
        <v>354800</v>
      </c>
      <c r="C23" s="229">
        <v>354800</v>
      </c>
      <c r="D23" s="229">
        <v>434600</v>
      </c>
      <c r="E23" s="229">
        <v>434600</v>
      </c>
      <c r="F23" s="229">
        <v>444600</v>
      </c>
      <c r="G23" s="229">
        <v>424600</v>
      </c>
      <c r="H23" s="229">
        <v>424600</v>
      </c>
      <c r="I23" s="229">
        <v>424600</v>
      </c>
      <c r="J23" s="229">
        <v>409600</v>
      </c>
      <c r="K23" s="229">
        <v>469400</v>
      </c>
      <c r="L23" s="229">
        <v>389800</v>
      </c>
      <c r="M23" s="229">
        <v>389800</v>
      </c>
      <c r="N23" s="229">
        <v>4955800</v>
      </c>
    </row>
    <row r="24" spans="1:16" x14ac:dyDescent="0.3">
      <c r="A24" s="240" t="s">
        <v>83</v>
      </c>
      <c r="B24" s="229">
        <v>9072825</v>
      </c>
      <c r="C24" s="229">
        <v>9403586</v>
      </c>
      <c r="D24" s="229">
        <v>61908669</v>
      </c>
      <c r="E24" s="229">
        <v>22884886</v>
      </c>
      <c r="F24" s="229">
        <v>9581751</v>
      </c>
      <c r="G24" s="229">
        <v>75894514</v>
      </c>
      <c r="H24" s="229">
        <v>16313208</v>
      </c>
      <c r="I24" s="229">
        <v>9590545</v>
      </c>
      <c r="J24" s="229">
        <v>42061637</v>
      </c>
      <c r="K24" s="229">
        <v>22264689</v>
      </c>
      <c r="L24" s="229">
        <v>14809809</v>
      </c>
      <c r="M24" s="229">
        <v>42081151</v>
      </c>
      <c r="N24" s="229">
        <v>335867266</v>
      </c>
    </row>
    <row r="25" spans="1:16" x14ac:dyDescent="0.3">
      <c r="A25" s="245" t="s">
        <v>85</v>
      </c>
      <c r="B25" s="229">
        <v>9098658</v>
      </c>
      <c r="C25" s="229">
        <v>9102638</v>
      </c>
      <c r="D25" s="229">
        <v>9287977</v>
      </c>
      <c r="E25" s="229">
        <v>9223879</v>
      </c>
      <c r="F25" s="229">
        <v>9280803</v>
      </c>
      <c r="G25" s="229">
        <v>9225071</v>
      </c>
      <c r="H25" s="229">
        <v>9339041</v>
      </c>
      <c r="I25" s="229">
        <v>9289597</v>
      </c>
      <c r="J25" s="229">
        <v>9226123</v>
      </c>
      <c r="K25" s="229">
        <v>9290522</v>
      </c>
      <c r="L25" s="229">
        <v>9326336</v>
      </c>
      <c r="M25" s="229">
        <v>9345928</v>
      </c>
      <c r="N25" s="229">
        <v>111036573</v>
      </c>
    </row>
    <row r="26" spans="1:16" ht="19.350000000000001" customHeight="1" x14ac:dyDescent="0.3">
      <c r="A26" s="245" t="s">
        <v>86</v>
      </c>
      <c r="B26" s="246">
        <v>0</v>
      </c>
      <c r="C26" s="229">
        <v>326781</v>
      </c>
      <c r="D26" s="229">
        <v>52646525</v>
      </c>
      <c r="E26" s="229">
        <v>13686840</v>
      </c>
      <c r="F26" s="229">
        <v>326781</v>
      </c>
      <c r="G26" s="229">
        <v>66695276</v>
      </c>
      <c r="H26" s="229">
        <v>7000000</v>
      </c>
      <c r="I26" s="229">
        <v>326781</v>
      </c>
      <c r="J26" s="229">
        <v>32861347</v>
      </c>
      <c r="K26" s="229">
        <v>13000000</v>
      </c>
      <c r="L26" s="229">
        <v>5509306</v>
      </c>
      <c r="M26" s="229">
        <v>32761056</v>
      </c>
      <c r="N26" s="229">
        <v>225140693</v>
      </c>
    </row>
    <row r="27" spans="1:16" x14ac:dyDescent="0.3">
      <c r="A27" s="245" t="s">
        <v>88</v>
      </c>
      <c r="B27" s="229">
        <v>25833</v>
      </c>
      <c r="C27" s="229">
        <v>25833</v>
      </c>
      <c r="D27" s="229">
        <v>25833</v>
      </c>
      <c r="E27" s="229">
        <v>25833</v>
      </c>
      <c r="F27" s="229">
        <v>25833</v>
      </c>
      <c r="G27" s="229">
        <v>25833</v>
      </c>
      <c r="H27" s="229">
        <v>25833</v>
      </c>
      <c r="I27" s="229">
        <v>25833</v>
      </c>
      <c r="J27" s="229">
        <v>25833</v>
      </c>
      <c r="K27" s="229">
        <v>25833</v>
      </c>
      <c r="L27" s="229">
        <v>25833</v>
      </c>
      <c r="M27" s="229">
        <v>25833</v>
      </c>
      <c r="N27" s="229">
        <v>310000</v>
      </c>
    </row>
    <row r="28" spans="1:16" x14ac:dyDescent="0.3">
      <c r="A28" s="240" t="s">
        <v>89</v>
      </c>
      <c r="B28" s="243">
        <v>8718025</v>
      </c>
      <c r="C28" s="243">
        <v>9048786</v>
      </c>
      <c r="D28" s="243">
        <v>61637455</v>
      </c>
      <c r="E28" s="243">
        <v>22450286</v>
      </c>
      <c r="F28" s="243">
        <v>9137151</v>
      </c>
      <c r="G28" s="243">
        <v>75656173</v>
      </c>
      <c r="H28" s="243">
        <v>15888608</v>
      </c>
      <c r="I28" s="243">
        <v>9165945</v>
      </c>
      <c r="J28" s="243">
        <v>41815423</v>
      </c>
      <c r="K28" s="243">
        <v>21795289</v>
      </c>
      <c r="L28" s="243">
        <v>14420009</v>
      </c>
      <c r="M28" s="243">
        <v>41858093</v>
      </c>
      <c r="N28" s="243">
        <v>331591239</v>
      </c>
    </row>
    <row r="29" spans="1:16" x14ac:dyDescent="0.3">
      <c r="A29" s="91"/>
      <c r="B29" s="92"/>
      <c r="C29" s="92"/>
      <c r="D29" s="92"/>
      <c r="E29" s="92"/>
      <c r="F29" s="92"/>
      <c r="G29" s="92"/>
      <c r="H29" s="92"/>
      <c r="I29" s="92"/>
      <c r="J29" s="92"/>
      <c r="K29" s="92"/>
      <c r="L29" s="92"/>
      <c r="M29" s="92"/>
      <c r="N29" s="92"/>
    </row>
    <row r="30" spans="1:16" x14ac:dyDescent="0.3">
      <c r="A30" s="241" t="s">
        <v>90</v>
      </c>
      <c r="B30" s="92"/>
      <c r="C30" s="92"/>
      <c r="D30" s="92"/>
      <c r="E30" s="92"/>
      <c r="F30" s="92"/>
      <c r="G30" s="92"/>
      <c r="H30" s="92"/>
      <c r="I30" s="92"/>
      <c r="J30" s="92"/>
      <c r="K30" s="92"/>
      <c r="L30" s="92"/>
      <c r="M30" s="92"/>
      <c r="N30" s="92"/>
    </row>
    <row r="31" spans="1:16" x14ac:dyDescent="0.3">
      <c r="A31" s="247" t="s">
        <v>91</v>
      </c>
      <c r="B31" s="248">
        <v>11629288</v>
      </c>
      <c r="C31" s="248">
        <v>11410587</v>
      </c>
      <c r="D31" s="248">
        <v>11411336</v>
      </c>
      <c r="E31" s="248">
        <v>11410206</v>
      </c>
      <c r="F31" s="248">
        <v>11404846</v>
      </c>
      <c r="G31" s="248">
        <v>11409764</v>
      </c>
      <c r="H31" s="248">
        <v>11418054</v>
      </c>
      <c r="I31" s="248">
        <v>11422116</v>
      </c>
      <c r="J31" s="248">
        <v>11422116</v>
      </c>
      <c r="K31" s="248">
        <v>11422116</v>
      </c>
      <c r="L31" s="248">
        <v>11422116</v>
      </c>
      <c r="M31" s="248">
        <v>11425954</v>
      </c>
      <c r="N31" s="248">
        <v>137208499</v>
      </c>
      <c r="O31" s="156" t="s">
        <v>92</v>
      </c>
    </row>
    <row r="32" spans="1:16" x14ac:dyDescent="0.3">
      <c r="A32" s="222" t="s">
        <v>93</v>
      </c>
      <c r="B32" s="229">
        <v>2219167</v>
      </c>
      <c r="C32" s="229">
        <v>2015833</v>
      </c>
      <c r="D32" s="229">
        <v>2015833</v>
      </c>
      <c r="E32" s="229">
        <v>2015833</v>
      </c>
      <c r="F32" s="229">
        <v>2015833</v>
      </c>
      <c r="G32" s="229">
        <v>2015833</v>
      </c>
      <c r="H32" s="229">
        <v>2015833</v>
      </c>
      <c r="I32" s="229">
        <v>2015833</v>
      </c>
      <c r="J32" s="229">
        <v>2015833</v>
      </c>
      <c r="K32" s="229">
        <v>2015833</v>
      </c>
      <c r="L32" s="229">
        <v>2015833</v>
      </c>
      <c r="M32" s="229">
        <v>2015833</v>
      </c>
      <c r="N32" s="229">
        <v>24393333</v>
      </c>
      <c r="P32" s="86" t="s">
        <v>249</v>
      </c>
    </row>
    <row r="33" spans="1:16" x14ac:dyDescent="0.3">
      <c r="A33" s="222" t="s">
        <v>94</v>
      </c>
      <c r="B33" s="229">
        <v>32450</v>
      </c>
      <c r="C33" s="229">
        <v>29890</v>
      </c>
      <c r="D33" s="229">
        <v>32450</v>
      </c>
      <c r="E33" s="229">
        <v>32450</v>
      </c>
      <c r="F33" s="229">
        <v>32450</v>
      </c>
      <c r="G33" s="229">
        <v>32450</v>
      </c>
      <c r="H33" s="229">
        <v>32450</v>
      </c>
      <c r="I33" s="229">
        <v>32450</v>
      </c>
      <c r="J33" s="229">
        <v>32450</v>
      </c>
      <c r="K33" s="229">
        <v>32450</v>
      </c>
      <c r="L33" s="229">
        <v>32450</v>
      </c>
      <c r="M33" s="229">
        <v>32450</v>
      </c>
      <c r="N33" s="229">
        <v>386836</v>
      </c>
    </row>
    <row r="34" spans="1:16" ht="19.350000000000001" customHeight="1" x14ac:dyDescent="0.3">
      <c r="A34" s="222" t="s">
        <v>95</v>
      </c>
      <c r="B34" s="229">
        <v>265171</v>
      </c>
      <c r="C34" s="229">
        <v>252364</v>
      </c>
      <c r="D34" s="229">
        <v>250553</v>
      </c>
      <c r="E34" s="229">
        <v>249423</v>
      </c>
      <c r="F34" s="229">
        <v>244062</v>
      </c>
      <c r="G34" s="229">
        <v>248981</v>
      </c>
      <c r="H34" s="229">
        <v>257271</v>
      </c>
      <c r="I34" s="229">
        <v>261333</v>
      </c>
      <c r="J34" s="229">
        <v>261333</v>
      </c>
      <c r="K34" s="229">
        <v>261333</v>
      </c>
      <c r="L34" s="229">
        <v>261333</v>
      </c>
      <c r="M34" s="229">
        <v>265171</v>
      </c>
      <c r="N34" s="229">
        <v>3078329</v>
      </c>
    </row>
    <row r="35" spans="1:16" x14ac:dyDescent="0.3">
      <c r="A35" s="222" t="s">
        <v>96</v>
      </c>
      <c r="B35" s="229">
        <v>9112500</v>
      </c>
      <c r="C35" s="229">
        <v>9112500</v>
      </c>
      <c r="D35" s="229">
        <v>9112500</v>
      </c>
      <c r="E35" s="229">
        <v>9112500</v>
      </c>
      <c r="F35" s="229">
        <v>9112500</v>
      </c>
      <c r="G35" s="229">
        <v>9112500</v>
      </c>
      <c r="H35" s="229">
        <v>9112500</v>
      </c>
      <c r="I35" s="229">
        <v>9112500</v>
      </c>
      <c r="J35" s="229">
        <v>9112500</v>
      </c>
      <c r="K35" s="229">
        <v>9112500</v>
      </c>
      <c r="L35" s="229">
        <v>9112500</v>
      </c>
      <c r="M35" s="229">
        <v>9112500</v>
      </c>
      <c r="N35" s="229">
        <v>109350000</v>
      </c>
      <c r="P35" s="86" t="s">
        <v>250</v>
      </c>
    </row>
    <row r="36" spans="1:16" x14ac:dyDescent="0.3">
      <c r="A36" s="247" t="s">
        <v>97</v>
      </c>
      <c r="B36" s="248">
        <v>6011378</v>
      </c>
      <c r="C36" s="248">
        <v>6524702</v>
      </c>
      <c r="D36" s="248">
        <v>6875037</v>
      </c>
      <c r="E36" s="248">
        <v>6373679</v>
      </c>
      <c r="F36" s="248">
        <v>6788173</v>
      </c>
      <c r="G36" s="248">
        <v>5767613</v>
      </c>
      <c r="H36" s="248">
        <v>4066087</v>
      </c>
      <c r="I36" s="248">
        <v>4481869</v>
      </c>
      <c r="J36" s="248">
        <v>4812241</v>
      </c>
      <c r="K36" s="248">
        <v>4462672</v>
      </c>
      <c r="L36" s="248">
        <v>4897820</v>
      </c>
      <c r="M36" s="248">
        <v>4732380</v>
      </c>
      <c r="N36" s="248">
        <v>65793650</v>
      </c>
      <c r="O36" s="156" t="s">
        <v>92</v>
      </c>
    </row>
    <row r="37" spans="1:16" x14ac:dyDescent="0.3">
      <c r="A37" s="241" t="s">
        <v>99</v>
      </c>
      <c r="B37" s="229">
        <v>117700</v>
      </c>
      <c r="C37" s="229">
        <v>117700</v>
      </c>
      <c r="D37" s="229">
        <v>117700</v>
      </c>
      <c r="E37" s="229">
        <v>252500</v>
      </c>
      <c r="F37" s="229">
        <v>117700</v>
      </c>
      <c r="G37" s="229">
        <v>579200</v>
      </c>
      <c r="H37" s="229">
        <v>117700</v>
      </c>
      <c r="I37" s="229">
        <v>117700</v>
      </c>
      <c r="J37" s="229">
        <v>137700</v>
      </c>
      <c r="K37" s="229">
        <v>117700</v>
      </c>
      <c r="L37" s="229">
        <v>117700</v>
      </c>
      <c r="M37" s="229">
        <v>117700</v>
      </c>
      <c r="N37" s="229">
        <v>2028700</v>
      </c>
    </row>
    <row r="38" spans="1:16" x14ac:dyDescent="0.3">
      <c r="A38" s="240" t="s">
        <v>100</v>
      </c>
      <c r="B38" s="229">
        <v>117700</v>
      </c>
      <c r="C38" s="229">
        <v>117700</v>
      </c>
      <c r="D38" s="229">
        <v>117700</v>
      </c>
      <c r="E38" s="229">
        <v>252500</v>
      </c>
      <c r="F38" s="229">
        <v>117700</v>
      </c>
      <c r="G38" s="229">
        <v>579200</v>
      </c>
      <c r="H38" s="229">
        <v>117700</v>
      </c>
      <c r="I38" s="229">
        <v>117700</v>
      </c>
      <c r="J38" s="229">
        <v>137700</v>
      </c>
      <c r="K38" s="229">
        <v>117700</v>
      </c>
      <c r="L38" s="229">
        <v>117700</v>
      </c>
      <c r="M38" s="229">
        <v>117700</v>
      </c>
      <c r="N38" s="229">
        <v>2028700</v>
      </c>
    </row>
    <row r="39" spans="1:16" x14ac:dyDescent="0.3">
      <c r="A39" s="240" t="s">
        <v>102</v>
      </c>
      <c r="B39" s="243">
        <v>17758365</v>
      </c>
      <c r="C39" s="243">
        <v>18052988</v>
      </c>
      <c r="D39" s="243">
        <v>18404073</v>
      </c>
      <c r="E39" s="243">
        <v>18036385</v>
      </c>
      <c r="F39" s="243">
        <v>18310718</v>
      </c>
      <c r="G39" s="243">
        <v>17756578</v>
      </c>
      <c r="H39" s="243">
        <v>15601840</v>
      </c>
      <c r="I39" s="243">
        <v>16021685</v>
      </c>
      <c r="J39" s="243">
        <v>16372057</v>
      </c>
      <c r="K39" s="243">
        <v>16002489</v>
      </c>
      <c r="L39" s="243">
        <v>16437637</v>
      </c>
      <c r="M39" s="243">
        <v>16276035</v>
      </c>
      <c r="N39" s="243">
        <v>205030849</v>
      </c>
    </row>
    <row r="40" spans="1:16" x14ac:dyDescent="0.3">
      <c r="A40" s="91"/>
      <c r="B40" s="92"/>
      <c r="C40" s="92"/>
      <c r="D40" s="92"/>
      <c r="E40" s="92"/>
      <c r="F40" s="92"/>
      <c r="G40" s="92"/>
      <c r="H40" s="92"/>
      <c r="I40" s="92"/>
      <c r="J40" s="92"/>
      <c r="K40" s="92"/>
      <c r="L40" s="92"/>
      <c r="M40" s="92"/>
      <c r="N40" s="92"/>
    </row>
    <row r="41" spans="1:16" x14ac:dyDescent="0.3">
      <c r="A41" s="240" t="s">
        <v>103</v>
      </c>
      <c r="B41" s="229">
        <v>-12672925</v>
      </c>
      <c r="C41" s="229">
        <v>-13355467</v>
      </c>
      <c r="D41" s="229">
        <v>36196238</v>
      </c>
      <c r="E41" s="229">
        <v>1313811</v>
      </c>
      <c r="F41" s="229">
        <v>-12716254</v>
      </c>
      <c r="G41" s="229">
        <v>51060920</v>
      </c>
      <c r="H41" s="229">
        <v>-3154627</v>
      </c>
      <c r="I41" s="229">
        <v>-10883491</v>
      </c>
      <c r="J41" s="229">
        <v>18594919</v>
      </c>
      <c r="K41" s="229">
        <v>2286746</v>
      </c>
      <c r="L41" s="229">
        <v>-5497825</v>
      </c>
      <c r="M41" s="229">
        <v>18866293</v>
      </c>
      <c r="N41" s="229">
        <v>70038339</v>
      </c>
    </row>
    <row r="42" spans="1:16" x14ac:dyDescent="0.3">
      <c r="A42" s="91"/>
      <c r="B42" s="92"/>
      <c r="C42" s="92"/>
      <c r="D42" s="92"/>
      <c r="E42" s="92"/>
      <c r="F42" s="92"/>
      <c r="G42" s="92"/>
      <c r="H42" s="92"/>
      <c r="I42" s="92"/>
      <c r="J42" s="92"/>
      <c r="K42" s="92"/>
      <c r="L42" s="92"/>
      <c r="M42" s="92"/>
      <c r="N42" s="92"/>
    </row>
    <row r="43" spans="1:16" x14ac:dyDescent="0.3">
      <c r="A43" s="241" t="s">
        <v>104</v>
      </c>
      <c r="B43" s="92"/>
      <c r="C43" s="92"/>
      <c r="D43" s="92"/>
      <c r="E43" s="92"/>
      <c r="F43" s="92"/>
      <c r="G43" s="92"/>
      <c r="H43" s="92"/>
      <c r="I43" s="92"/>
      <c r="J43" s="92"/>
      <c r="K43" s="92"/>
      <c r="L43" s="92"/>
      <c r="M43" s="92"/>
      <c r="N43" s="92"/>
    </row>
    <row r="44" spans="1:16" x14ac:dyDescent="0.3">
      <c r="A44" s="222" t="s">
        <v>105</v>
      </c>
      <c r="B44" s="229">
        <v>-108798</v>
      </c>
      <c r="C44" s="244" t="s">
        <v>77</v>
      </c>
      <c r="D44" s="229">
        <v>7362014</v>
      </c>
      <c r="E44" s="229">
        <v>-108798</v>
      </c>
      <c r="F44" s="244" t="s">
        <v>77</v>
      </c>
      <c r="G44" s="229">
        <v>7362014</v>
      </c>
      <c r="H44" s="229">
        <v>-119111</v>
      </c>
      <c r="I44" s="244" t="s">
        <v>77</v>
      </c>
      <c r="J44" s="229">
        <v>8059827</v>
      </c>
      <c r="K44" s="229">
        <v>-139736</v>
      </c>
      <c r="L44" s="244" t="s">
        <v>77</v>
      </c>
      <c r="M44" s="229">
        <v>9455452</v>
      </c>
      <c r="N44" s="229">
        <v>31762864</v>
      </c>
    </row>
    <row r="45" spans="1:16" x14ac:dyDescent="0.3">
      <c r="A45" s="222" t="s">
        <v>106</v>
      </c>
      <c r="B45" s="229">
        <v>-3843961</v>
      </c>
      <c r="C45" s="229">
        <v>-4134339</v>
      </c>
      <c r="D45" s="229">
        <v>-12157157</v>
      </c>
      <c r="E45" s="229">
        <v>-3753153</v>
      </c>
      <c r="F45" s="229">
        <v>-3949321</v>
      </c>
      <c r="G45" s="229">
        <v>-11930845</v>
      </c>
      <c r="H45" s="229">
        <v>-3106984</v>
      </c>
      <c r="I45" s="229">
        <v>-3413285</v>
      </c>
      <c r="J45" s="229">
        <v>-12224689</v>
      </c>
      <c r="K45" s="229">
        <v>-3270931</v>
      </c>
      <c r="L45" s="229">
        <v>-3358317</v>
      </c>
      <c r="M45" s="229">
        <v>-13511165</v>
      </c>
      <c r="N45" s="229">
        <v>-78654147</v>
      </c>
    </row>
    <row r="46" spans="1:16" x14ac:dyDescent="0.3">
      <c r="A46" s="240" t="s">
        <v>108</v>
      </c>
      <c r="B46" s="243">
        <v>-3952759</v>
      </c>
      <c r="C46" s="243">
        <v>-4134339</v>
      </c>
      <c r="D46" s="243">
        <v>-4795142</v>
      </c>
      <c r="E46" s="243">
        <v>-3861952</v>
      </c>
      <c r="F46" s="243">
        <v>-3949321</v>
      </c>
      <c r="G46" s="243">
        <v>-4568830</v>
      </c>
      <c r="H46" s="243">
        <v>-3226095</v>
      </c>
      <c r="I46" s="243">
        <v>-3413285</v>
      </c>
      <c r="J46" s="243">
        <v>-4164862</v>
      </c>
      <c r="K46" s="243">
        <v>-3410667</v>
      </c>
      <c r="L46" s="243">
        <v>-3358317</v>
      </c>
      <c r="M46" s="243">
        <v>-4055713</v>
      </c>
      <c r="N46" s="243">
        <v>-46891283</v>
      </c>
    </row>
    <row r="47" spans="1:16" x14ac:dyDescent="0.3">
      <c r="A47" s="91"/>
      <c r="B47" s="92"/>
      <c r="C47" s="92"/>
      <c r="D47" s="92"/>
      <c r="E47" s="92"/>
      <c r="F47" s="92"/>
      <c r="G47" s="92"/>
      <c r="H47" s="92"/>
      <c r="I47" s="92"/>
      <c r="J47" s="92"/>
      <c r="K47" s="92"/>
      <c r="L47" s="92"/>
      <c r="M47" s="92"/>
      <c r="N47" s="92"/>
    </row>
    <row r="48" spans="1:16" x14ac:dyDescent="0.3">
      <c r="A48" s="91"/>
      <c r="B48" s="92"/>
      <c r="C48" s="92"/>
      <c r="D48" s="92"/>
      <c r="E48" s="92"/>
      <c r="F48" s="92"/>
      <c r="G48" s="92"/>
      <c r="H48" s="92"/>
      <c r="I48" s="92"/>
      <c r="J48" s="92"/>
      <c r="K48" s="92"/>
      <c r="L48" s="92"/>
      <c r="M48" s="92"/>
      <c r="N48" s="92"/>
    </row>
    <row r="49" spans="1:14" x14ac:dyDescent="0.3">
      <c r="A49" s="240" t="s">
        <v>109</v>
      </c>
      <c r="B49" s="229">
        <v>-8720166</v>
      </c>
      <c r="C49" s="229">
        <v>-9221128</v>
      </c>
      <c r="D49" s="229">
        <v>40991380</v>
      </c>
      <c r="E49" s="229">
        <v>5175763</v>
      </c>
      <c r="F49" s="229">
        <v>-8766933</v>
      </c>
      <c r="G49" s="229">
        <v>55629750</v>
      </c>
      <c r="H49" s="229">
        <v>71468</v>
      </c>
      <c r="I49" s="229">
        <v>-7470205</v>
      </c>
      <c r="J49" s="229">
        <v>22759782</v>
      </c>
      <c r="K49" s="229">
        <v>5697413</v>
      </c>
      <c r="L49" s="229">
        <v>-2139509</v>
      </c>
      <c r="M49" s="229">
        <v>22922007</v>
      </c>
      <c r="N49" s="229">
        <v>116929622</v>
      </c>
    </row>
    <row r="50" spans="1:14" x14ac:dyDescent="0.3">
      <c r="A50" s="91"/>
      <c r="B50" s="92"/>
      <c r="C50" s="92"/>
      <c r="D50" s="92"/>
      <c r="E50" s="92"/>
      <c r="F50" s="92"/>
      <c r="G50" s="92"/>
      <c r="H50" s="92"/>
      <c r="I50" s="92"/>
      <c r="J50" s="92"/>
      <c r="K50" s="92"/>
      <c r="L50" s="92"/>
      <c r="M50" s="92"/>
      <c r="N50" s="92"/>
    </row>
    <row r="51" spans="1:14" x14ac:dyDescent="0.3">
      <c r="A51" s="240" t="s">
        <v>110</v>
      </c>
      <c r="B51" s="229">
        <v>18133040</v>
      </c>
      <c r="C51" s="244" t="s">
        <v>77</v>
      </c>
      <c r="D51" s="244" t="s">
        <v>77</v>
      </c>
      <c r="E51" s="229">
        <v>18133040</v>
      </c>
      <c r="F51" s="244" t="s">
        <v>77</v>
      </c>
      <c r="G51" s="244" t="s">
        <v>77</v>
      </c>
      <c r="H51" s="229">
        <v>19851790</v>
      </c>
      <c r="I51" s="244" t="s">
        <v>77</v>
      </c>
      <c r="J51" s="244" t="s">
        <v>77</v>
      </c>
      <c r="K51" s="229">
        <v>23289290</v>
      </c>
      <c r="L51" s="244" t="s">
        <v>77</v>
      </c>
      <c r="M51" s="244" t="s">
        <v>77</v>
      </c>
      <c r="N51" s="229">
        <v>79407161</v>
      </c>
    </row>
    <row r="52" spans="1:14" x14ac:dyDescent="0.3">
      <c r="A52" s="91"/>
      <c r="B52" s="92"/>
      <c r="C52" s="92"/>
      <c r="D52" s="92"/>
      <c r="E52" s="92"/>
      <c r="F52" s="92"/>
      <c r="G52" s="92"/>
      <c r="H52" s="92"/>
      <c r="I52" s="92"/>
      <c r="J52" s="92"/>
      <c r="K52" s="92"/>
      <c r="L52" s="92"/>
      <c r="M52" s="92"/>
      <c r="N52" s="92"/>
    </row>
    <row r="53" spans="1:14" x14ac:dyDescent="0.3">
      <c r="A53" s="240" t="s">
        <v>111</v>
      </c>
      <c r="B53" s="229">
        <v>-26853206</v>
      </c>
      <c r="C53" s="229">
        <v>-9221128</v>
      </c>
      <c r="D53" s="229">
        <v>40991380</v>
      </c>
      <c r="E53" s="229">
        <v>-12957277</v>
      </c>
      <c r="F53" s="229">
        <v>-8766933</v>
      </c>
      <c r="G53" s="229">
        <v>55629750</v>
      </c>
      <c r="H53" s="229">
        <v>-19780322</v>
      </c>
      <c r="I53" s="229">
        <v>-7470205</v>
      </c>
      <c r="J53" s="229">
        <v>22759782</v>
      </c>
      <c r="K53" s="229">
        <v>-17591877</v>
      </c>
      <c r="L53" s="229">
        <v>-2139509</v>
      </c>
      <c r="M53" s="229">
        <v>22922007</v>
      </c>
      <c r="N53" s="229">
        <v>37522461</v>
      </c>
    </row>
    <row r="54" spans="1:14" x14ac:dyDescent="0.3">
      <c r="A54" s="261" t="s">
        <v>112</v>
      </c>
      <c r="B54" s="261"/>
      <c r="C54" s="261"/>
      <c r="D54" s="261"/>
      <c r="E54" s="261"/>
      <c r="F54" s="261"/>
      <c r="G54" s="261"/>
      <c r="H54" s="261"/>
    </row>
  </sheetData>
  <mergeCells count="4">
    <mergeCell ref="A1:H1"/>
    <mergeCell ref="A2:H2"/>
    <mergeCell ref="A3:H3"/>
    <mergeCell ref="A54:H54"/>
  </mergeCells>
  <pageMargins left="0.7" right="0.7" top="0.75" bottom="0.75" header="0.3" footer="0.3"/>
  <customProperties>
    <customPr name="EpmWorksheetKeyString_GU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746E9-7EA5-4EF0-8900-5F541DEE5A0A}">
  <sheetPr>
    <tabColor theme="5" tint="0.79998168889431442"/>
  </sheetPr>
  <dimension ref="A1:N357"/>
  <sheetViews>
    <sheetView showOutlineSymbols="0" topLeftCell="A319" workbookViewId="0">
      <selection activeCell="D339" activeCellId="1" sqref="H339 D339"/>
    </sheetView>
  </sheetViews>
  <sheetFormatPr defaultRowHeight="13.2" outlineLevelRow="2" outlineLevelCol="1" x14ac:dyDescent="0.25"/>
  <cols>
    <col min="1" max="1" width="77.109375" bestFit="1" customWidth="1"/>
    <col min="3" max="3" width="16.33203125" customWidth="1"/>
    <col min="4" max="4" width="19.5546875" customWidth="1"/>
    <col min="5" max="7" width="16.33203125" customWidth="1" outlineLevel="1"/>
    <col min="8" max="8" width="11.44140625" style="141" customWidth="1" outlineLevel="1" collapsed="1"/>
    <col min="9" max="9" width="11.6640625" style="141" bestFit="1" customWidth="1"/>
    <col min="10" max="10" width="8.6640625" style="160"/>
    <col min="11" max="11" width="16.5546875" bestFit="1" customWidth="1"/>
  </cols>
  <sheetData>
    <row r="1" spans="1:11" ht="19.8" x14ac:dyDescent="0.4">
      <c r="A1" s="100" t="s">
        <v>251</v>
      </c>
      <c r="B1" s="127"/>
      <c r="C1" s="262" t="s">
        <v>252</v>
      </c>
      <c r="D1" s="262"/>
      <c r="E1" s="262"/>
      <c r="F1" s="262"/>
      <c r="G1" s="262"/>
      <c r="H1" s="51" t="s">
        <v>242</v>
      </c>
      <c r="I1" s="51"/>
    </row>
    <row r="2" spans="1:11" ht="19.8" x14ac:dyDescent="0.4">
      <c r="A2" s="100" t="s">
        <v>253</v>
      </c>
      <c r="B2" s="127"/>
      <c r="C2" s="107"/>
      <c r="D2" s="107"/>
      <c r="E2" s="107"/>
      <c r="F2" s="107"/>
      <c r="G2" s="107"/>
      <c r="H2" s="51"/>
      <c r="I2" s="51"/>
      <c r="K2" s="161"/>
    </row>
    <row r="3" spans="1:11" ht="20.399999999999999" thickBot="1" x14ac:dyDescent="0.45">
      <c r="A3" s="101" t="s">
        <v>254</v>
      </c>
      <c r="B3" s="128"/>
      <c r="C3" s="108">
        <v>2024</v>
      </c>
      <c r="D3" s="108">
        <v>2025</v>
      </c>
      <c r="E3" s="108">
        <v>2026</v>
      </c>
      <c r="F3" s="108">
        <v>2027</v>
      </c>
      <c r="G3" s="108">
        <v>2028</v>
      </c>
      <c r="H3" s="51">
        <v>45650</v>
      </c>
      <c r="I3" s="51" t="s">
        <v>117</v>
      </c>
    </row>
    <row r="4" spans="1:11" x14ac:dyDescent="0.25">
      <c r="B4" s="123"/>
      <c r="H4" s="51"/>
      <c r="I4" s="51"/>
    </row>
    <row r="5" spans="1:11" ht="14.4" x14ac:dyDescent="0.3">
      <c r="A5" s="102" t="s">
        <v>118</v>
      </c>
      <c r="B5" s="123"/>
      <c r="H5" s="51"/>
      <c r="I5" s="51"/>
    </row>
    <row r="6" spans="1:11" ht="14.4" x14ac:dyDescent="0.3">
      <c r="A6" s="102" t="s">
        <v>119</v>
      </c>
      <c r="B6" s="123"/>
      <c r="H6" s="51"/>
      <c r="I6" s="51"/>
    </row>
    <row r="7" spans="1:11" outlineLevel="1" x14ac:dyDescent="0.25">
      <c r="A7" t="s">
        <v>120</v>
      </c>
      <c r="B7" s="123"/>
      <c r="C7" s="112">
        <v>-128124549.24000001</v>
      </c>
      <c r="D7" s="112">
        <v>-128124549.24000001</v>
      </c>
      <c r="E7" s="112">
        <v>-128124549.24000001</v>
      </c>
      <c r="F7" s="112">
        <v>-128124549.24000001</v>
      </c>
      <c r="G7" s="112">
        <v>-128124549.24000001</v>
      </c>
      <c r="H7" s="51"/>
      <c r="I7" s="51"/>
    </row>
    <row r="8" spans="1:11" outlineLevel="1" x14ac:dyDescent="0.25">
      <c r="A8" s="103" t="s">
        <v>121</v>
      </c>
      <c r="B8" s="123">
        <v>10000</v>
      </c>
      <c r="C8" s="110">
        <v>-128485992.73</v>
      </c>
      <c r="D8" s="110">
        <v>-128485992.73</v>
      </c>
      <c r="E8" s="110">
        <v>-128485992.73</v>
      </c>
      <c r="F8" s="110">
        <v>-128485992.73</v>
      </c>
      <c r="G8" s="110">
        <v>-128485992.73</v>
      </c>
      <c r="H8" s="51"/>
      <c r="I8" s="51"/>
    </row>
    <row r="9" spans="1:11" outlineLevel="1" x14ac:dyDescent="0.25">
      <c r="A9" s="103" t="s">
        <v>122</v>
      </c>
      <c r="B9" s="123">
        <v>10005</v>
      </c>
      <c r="C9" s="110">
        <v>361443.49</v>
      </c>
      <c r="D9" s="110">
        <v>361443.49</v>
      </c>
      <c r="E9" s="110">
        <v>361443.49</v>
      </c>
      <c r="F9" s="110">
        <v>361443.49</v>
      </c>
      <c r="G9" s="110">
        <v>361443.49</v>
      </c>
      <c r="H9" s="51"/>
      <c r="I9" s="51"/>
    </row>
    <row r="10" spans="1:11" outlineLevel="1" x14ac:dyDescent="0.25">
      <c r="A10" s="103" t="s">
        <v>123</v>
      </c>
      <c r="B10" s="123">
        <v>10010</v>
      </c>
      <c r="C10" s="110" t="s">
        <v>255</v>
      </c>
      <c r="D10" s="110" t="s">
        <v>255</v>
      </c>
      <c r="E10" s="110" t="s">
        <v>255</v>
      </c>
      <c r="F10" s="110" t="s">
        <v>255</v>
      </c>
      <c r="G10" s="110" t="s">
        <v>255</v>
      </c>
      <c r="H10" s="51"/>
      <c r="I10" s="51"/>
    </row>
    <row r="11" spans="1:11" outlineLevel="1" x14ac:dyDescent="0.25">
      <c r="A11" t="s">
        <v>124</v>
      </c>
      <c r="B11" s="123"/>
      <c r="C11" s="112">
        <v>3377196.28</v>
      </c>
      <c r="D11" s="112">
        <v>3377196.28</v>
      </c>
      <c r="E11" s="112">
        <v>3377196.28</v>
      </c>
      <c r="F11" s="112">
        <v>3377196.28</v>
      </c>
      <c r="G11" s="112">
        <v>3377196.28</v>
      </c>
      <c r="H11" s="51"/>
      <c r="I11" s="51"/>
    </row>
    <row r="12" spans="1:11" outlineLevel="1" x14ac:dyDescent="0.25">
      <c r="A12" s="103" t="s">
        <v>128</v>
      </c>
      <c r="B12" s="123">
        <v>11015</v>
      </c>
      <c r="C12" s="110">
        <v>-74723</v>
      </c>
      <c r="D12" s="110">
        <v>-74723</v>
      </c>
      <c r="E12" s="110">
        <v>-74723</v>
      </c>
      <c r="F12" s="110">
        <v>-74723</v>
      </c>
      <c r="G12" s="110">
        <v>-74723</v>
      </c>
      <c r="H12" s="51"/>
      <c r="I12" s="51"/>
    </row>
    <row r="13" spans="1:11" outlineLevel="1" x14ac:dyDescent="0.25">
      <c r="A13" s="103" t="s">
        <v>129</v>
      </c>
      <c r="B13" s="123"/>
      <c r="C13" s="112">
        <v>3451919.28</v>
      </c>
      <c r="D13" s="112">
        <v>3451919.28</v>
      </c>
      <c r="E13" s="112">
        <v>3451919.28</v>
      </c>
      <c r="F13" s="112">
        <v>3451919.28</v>
      </c>
      <c r="G13" s="112">
        <v>3451919.28</v>
      </c>
      <c r="H13" s="51"/>
      <c r="I13" s="51"/>
    </row>
    <row r="14" spans="1:11" outlineLevel="1" x14ac:dyDescent="0.25">
      <c r="A14" s="106" t="s">
        <v>126</v>
      </c>
      <c r="B14" s="123">
        <v>11000</v>
      </c>
      <c r="C14" s="110" t="s">
        <v>255</v>
      </c>
      <c r="D14" s="110" t="s">
        <v>255</v>
      </c>
      <c r="E14" s="110" t="s">
        <v>255</v>
      </c>
      <c r="F14" s="110" t="s">
        <v>255</v>
      </c>
      <c r="G14" s="110" t="s">
        <v>255</v>
      </c>
      <c r="H14" s="51"/>
      <c r="I14" s="51"/>
    </row>
    <row r="15" spans="1:11" outlineLevel="1" x14ac:dyDescent="0.25">
      <c r="A15" s="106" t="s">
        <v>130</v>
      </c>
      <c r="B15" s="123">
        <v>11017</v>
      </c>
      <c r="C15" s="109">
        <v>2915666.3</v>
      </c>
      <c r="D15" s="109">
        <v>2915666.3</v>
      </c>
      <c r="E15" s="109">
        <v>2915666.3</v>
      </c>
      <c r="F15" s="109">
        <v>2915666.3</v>
      </c>
      <c r="G15" s="109">
        <v>2915666.3</v>
      </c>
      <c r="H15" s="51"/>
      <c r="I15" s="51"/>
    </row>
    <row r="16" spans="1:11" outlineLevel="1" x14ac:dyDescent="0.25">
      <c r="A16" s="106" t="s">
        <v>131</v>
      </c>
      <c r="B16" s="123">
        <v>11018</v>
      </c>
      <c r="C16" s="110">
        <v>444040.98</v>
      </c>
      <c r="D16" s="110">
        <v>444040.98</v>
      </c>
      <c r="E16" s="110">
        <v>444040.98</v>
      </c>
      <c r="F16" s="110">
        <v>444040.98</v>
      </c>
      <c r="G16" s="110">
        <v>444040.98</v>
      </c>
      <c r="H16" s="51"/>
      <c r="I16" s="51"/>
    </row>
    <row r="17" spans="1:9" outlineLevel="1" x14ac:dyDescent="0.25">
      <c r="A17" s="106" t="s">
        <v>256</v>
      </c>
      <c r="B17" s="123">
        <v>11019</v>
      </c>
      <c r="C17" s="110">
        <v>92212</v>
      </c>
      <c r="D17" s="110">
        <v>92212</v>
      </c>
      <c r="E17" s="110">
        <v>92212</v>
      </c>
      <c r="F17" s="110">
        <v>92212</v>
      </c>
      <c r="G17" s="110">
        <v>92212</v>
      </c>
      <c r="H17" s="51"/>
      <c r="I17" s="51"/>
    </row>
    <row r="18" spans="1:9" outlineLevel="1" x14ac:dyDescent="0.25">
      <c r="A18" t="s">
        <v>132</v>
      </c>
      <c r="B18" s="123"/>
      <c r="C18" s="112">
        <v>2388413282.4724612</v>
      </c>
      <c r="D18" s="112">
        <v>2418349727.6124616</v>
      </c>
      <c r="E18" s="112">
        <v>2450891163.7624612</v>
      </c>
      <c r="F18" s="112">
        <v>2485895099.9124613</v>
      </c>
      <c r="G18" s="112">
        <v>2510786536.0624609</v>
      </c>
      <c r="H18" s="51"/>
      <c r="I18" s="51"/>
    </row>
    <row r="19" spans="1:9" outlineLevel="1" x14ac:dyDescent="0.25">
      <c r="A19" s="103" t="s">
        <v>133</v>
      </c>
      <c r="B19" s="123">
        <v>11020</v>
      </c>
      <c r="C19" s="117">
        <v>14941122.806782221</v>
      </c>
      <c r="D19" s="117">
        <v>14903152.746782223</v>
      </c>
      <c r="E19" s="117">
        <v>14865150.096782222</v>
      </c>
      <c r="F19" s="117">
        <v>14827147.446782222</v>
      </c>
      <c r="G19" s="117">
        <v>14789144.796782222</v>
      </c>
      <c r="H19" s="51"/>
      <c r="I19" s="51"/>
    </row>
    <row r="20" spans="1:9" hidden="1" outlineLevel="2" x14ac:dyDescent="0.25">
      <c r="B20" s="123"/>
      <c r="C20" s="117"/>
      <c r="D20" s="117"/>
      <c r="E20" s="117"/>
      <c r="F20" s="117"/>
      <c r="G20" s="117"/>
      <c r="H20" s="51"/>
      <c r="I20" s="51"/>
    </row>
    <row r="21" spans="1:9" hidden="1" outlineLevel="2" x14ac:dyDescent="0.25">
      <c r="A21" s="106" t="s">
        <v>257</v>
      </c>
      <c r="B21" s="123" t="s">
        <v>258</v>
      </c>
      <c r="C21" s="117" t="s">
        <v>255</v>
      </c>
      <c r="D21" s="117" t="s">
        <v>255</v>
      </c>
      <c r="E21" s="117" t="s">
        <v>255</v>
      </c>
      <c r="F21" s="117" t="s">
        <v>255</v>
      </c>
      <c r="G21" s="117" t="s">
        <v>255</v>
      </c>
      <c r="H21" s="51"/>
      <c r="I21" s="51"/>
    </row>
    <row r="22" spans="1:9" hidden="1" outlineLevel="2" x14ac:dyDescent="0.25">
      <c r="A22" s="106" t="s">
        <v>259</v>
      </c>
      <c r="B22" s="123" t="s">
        <v>260</v>
      </c>
      <c r="C22" s="117" t="s">
        <v>255</v>
      </c>
      <c r="D22" s="117" t="s">
        <v>255</v>
      </c>
      <c r="E22" s="117" t="s">
        <v>255</v>
      </c>
      <c r="F22" s="117" t="s">
        <v>255</v>
      </c>
      <c r="G22" s="117" t="s">
        <v>255</v>
      </c>
      <c r="H22" s="51"/>
      <c r="I22" s="51"/>
    </row>
    <row r="23" spans="1:9" hidden="1" outlineLevel="2" x14ac:dyDescent="0.25">
      <c r="A23" s="106" t="s">
        <v>261</v>
      </c>
      <c r="B23" s="123" t="s">
        <v>262</v>
      </c>
      <c r="C23" s="117" t="s">
        <v>255</v>
      </c>
      <c r="D23" s="117" t="s">
        <v>255</v>
      </c>
      <c r="E23" s="117" t="s">
        <v>255</v>
      </c>
      <c r="F23" s="117" t="s">
        <v>255</v>
      </c>
      <c r="G23" s="117" t="s">
        <v>255</v>
      </c>
      <c r="H23" s="51"/>
      <c r="I23" s="51"/>
    </row>
    <row r="24" spans="1:9" hidden="1" outlineLevel="2" x14ac:dyDescent="0.25">
      <c r="A24" s="106" t="s">
        <v>263</v>
      </c>
      <c r="B24" s="123" t="s">
        <v>264</v>
      </c>
      <c r="C24" s="117">
        <v>508887</v>
      </c>
      <c r="D24" s="117">
        <v>508887</v>
      </c>
      <c r="E24" s="117">
        <v>508887</v>
      </c>
      <c r="F24" s="117">
        <v>508887</v>
      </c>
      <c r="G24" s="117">
        <v>508887</v>
      </c>
      <c r="H24" s="51"/>
      <c r="I24" s="51"/>
    </row>
    <row r="25" spans="1:9" hidden="1" outlineLevel="2" x14ac:dyDescent="0.25">
      <c r="A25" s="106" t="s">
        <v>265</v>
      </c>
      <c r="B25" s="123" t="s">
        <v>266</v>
      </c>
      <c r="C25" s="117">
        <v>60600.439999999988</v>
      </c>
      <c r="D25" s="117">
        <v>72528.37999999999</v>
      </c>
      <c r="E25" s="117">
        <v>84423.73</v>
      </c>
      <c r="F25" s="117">
        <v>96319.08</v>
      </c>
      <c r="G25" s="117">
        <v>108214.43000000001</v>
      </c>
      <c r="H25" s="51"/>
      <c r="I25" s="51"/>
    </row>
    <row r="26" spans="1:9" hidden="1" outlineLevel="2" x14ac:dyDescent="0.25">
      <c r="A26" s="106" t="s">
        <v>267</v>
      </c>
      <c r="B26" s="123" t="s">
        <v>268</v>
      </c>
      <c r="C26" s="117" t="s">
        <v>255</v>
      </c>
      <c r="D26" s="117" t="s">
        <v>255</v>
      </c>
      <c r="E26" s="117" t="s">
        <v>255</v>
      </c>
      <c r="F26" s="117" t="s">
        <v>255</v>
      </c>
      <c r="G26" s="117" t="s">
        <v>255</v>
      </c>
      <c r="H26" s="51"/>
      <c r="I26" s="51"/>
    </row>
    <row r="27" spans="1:9" hidden="1" outlineLevel="2" x14ac:dyDescent="0.25">
      <c r="A27" s="106" t="s">
        <v>269</v>
      </c>
      <c r="B27" s="123" t="s">
        <v>270</v>
      </c>
      <c r="C27" s="117" t="s">
        <v>255</v>
      </c>
      <c r="D27" s="117" t="s">
        <v>255</v>
      </c>
      <c r="E27" s="117" t="s">
        <v>255</v>
      </c>
      <c r="F27" s="117" t="s">
        <v>255</v>
      </c>
      <c r="G27" s="117" t="s">
        <v>255</v>
      </c>
      <c r="H27" s="51"/>
      <c r="I27" s="51"/>
    </row>
    <row r="28" spans="1:9" hidden="1" outlineLevel="2" x14ac:dyDescent="0.25">
      <c r="A28" s="106" t="s">
        <v>271</v>
      </c>
      <c r="B28" s="123" t="s">
        <v>272</v>
      </c>
      <c r="C28" s="117" t="s">
        <v>255</v>
      </c>
      <c r="D28" s="117" t="s">
        <v>255</v>
      </c>
      <c r="E28" s="117" t="s">
        <v>255</v>
      </c>
      <c r="F28" s="117" t="s">
        <v>255</v>
      </c>
      <c r="G28" s="117" t="s">
        <v>255</v>
      </c>
      <c r="H28" s="51"/>
      <c r="I28" s="51"/>
    </row>
    <row r="29" spans="1:9" hidden="1" outlineLevel="2" x14ac:dyDescent="0.25">
      <c r="A29" s="106" t="s">
        <v>273</v>
      </c>
      <c r="B29" s="123" t="s">
        <v>274</v>
      </c>
      <c r="C29" s="117" t="s">
        <v>255</v>
      </c>
      <c r="D29" s="117" t="s">
        <v>255</v>
      </c>
      <c r="E29" s="117" t="s">
        <v>255</v>
      </c>
      <c r="F29" s="117" t="s">
        <v>255</v>
      </c>
      <c r="G29" s="117" t="s">
        <v>255</v>
      </c>
      <c r="H29" s="51"/>
      <c r="I29" s="51"/>
    </row>
    <row r="30" spans="1:9" hidden="1" outlineLevel="2" x14ac:dyDescent="0.25">
      <c r="A30" s="106" t="s">
        <v>275</v>
      </c>
      <c r="B30" s="123" t="s">
        <v>276</v>
      </c>
      <c r="C30" s="117" t="s">
        <v>255</v>
      </c>
      <c r="D30" s="117" t="s">
        <v>255</v>
      </c>
      <c r="E30" s="117" t="s">
        <v>255</v>
      </c>
      <c r="F30" s="117" t="s">
        <v>255</v>
      </c>
      <c r="G30" s="117" t="s">
        <v>255</v>
      </c>
      <c r="H30" s="51"/>
      <c r="I30" s="51"/>
    </row>
    <row r="31" spans="1:9" hidden="1" outlineLevel="2" x14ac:dyDescent="0.25">
      <c r="A31" s="106" t="s">
        <v>277</v>
      </c>
      <c r="B31" s="123" t="s">
        <v>278</v>
      </c>
      <c r="C31" s="117" t="s">
        <v>255</v>
      </c>
      <c r="D31" s="117" t="s">
        <v>255</v>
      </c>
      <c r="E31" s="117" t="s">
        <v>255</v>
      </c>
      <c r="F31" s="117" t="s">
        <v>255</v>
      </c>
      <c r="G31" s="117" t="s">
        <v>255</v>
      </c>
      <c r="H31" s="51"/>
      <c r="I31" s="51"/>
    </row>
    <row r="32" spans="1:9" hidden="1" outlineLevel="2" x14ac:dyDescent="0.25">
      <c r="A32" s="106" t="s">
        <v>279</v>
      </c>
      <c r="B32" s="123" t="s">
        <v>280</v>
      </c>
      <c r="C32" s="117" t="s">
        <v>255</v>
      </c>
      <c r="D32" s="117" t="s">
        <v>255</v>
      </c>
      <c r="E32" s="117" t="s">
        <v>255</v>
      </c>
      <c r="F32" s="117" t="s">
        <v>255</v>
      </c>
      <c r="G32" s="117" t="s">
        <v>255</v>
      </c>
      <c r="H32" s="51"/>
      <c r="I32" s="51"/>
    </row>
    <row r="33" spans="1:9" hidden="1" outlineLevel="2" x14ac:dyDescent="0.25">
      <c r="A33" s="106" t="s">
        <v>281</v>
      </c>
      <c r="B33" s="123" t="s">
        <v>282</v>
      </c>
      <c r="C33" s="117" t="s">
        <v>255</v>
      </c>
      <c r="D33" s="117" t="s">
        <v>255</v>
      </c>
      <c r="E33" s="117" t="s">
        <v>255</v>
      </c>
      <c r="F33" s="117" t="s">
        <v>255</v>
      </c>
      <c r="G33" s="117" t="s">
        <v>255</v>
      </c>
      <c r="H33" s="51"/>
      <c r="I33" s="51"/>
    </row>
    <row r="34" spans="1:9" hidden="1" outlineLevel="2" x14ac:dyDescent="0.25">
      <c r="A34" s="106" t="s">
        <v>283</v>
      </c>
      <c r="B34" s="123" t="s">
        <v>284</v>
      </c>
      <c r="C34" s="117" t="s">
        <v>255</v>
      </c>
      <c r="D34" s="117" t="s">
        <v>255</v>
      </c>
      <c r="E34" s="117" t="s">
        <v>255</v>
      </c>
      <c r="F34" s="117" t="s">
        <v>255</v>
      </c>
      <c r="G34" s="117" t="s">
        <v>255</v>
      </c>
      <c r="H34" s="51"/>
      <c r="I34" s="51"/>
    </row>
    <row r="35" spans="1:9" hidden="1" outlineLevel="2" x14ac:dyDescent="0.25">
      <c r="A35" s="106" t="s">
        <v>285</v>
      </c>
      <c r="B35" s="123" t="s">
        <v>286</v>
      </c>
      <c r="C35" s="117" t="s">
        <v>255</v>
      </c>
      <c r="D35" s="117" t="s">
        <v>255</v>
      </c>
      <c r="E35" s="117" t="s">
        <v>255</v>
      </c>
      <c r="F35" s="117" t="s">
        <v>255</v>
      </c>
      <c r="G35" s="117" t="s">
        <v>255</v>
      </c>
      <c r="H35" s="51"/>
      <c r="I35" s="51"/>
    </row>
    <row r="36" spans="1:9" hidden="1" outlineLevel="2" x14ac:dyDescent="0.25">
      <c r="A36" s="106" t="s">
        <v>287</v>
      </c>
      <c r="B36" s="123" t="s">
        <v>288</v>
      </c>
      <c r="C36" s="117" t="s">
        <v>255</v>
      </c>
      <c r="D36" s="117" t="s">
        <v>255</v>
      </c>
      <c r="E36" s="117" t="s">
        <v>255</v>
      </c>
      <c r="F36" s="117" t="s">
        <v>255</v>
      </c>
      <c r="G36" s="117" t="s">
        <v>255</v>
      </c>
      <c r="H36" s="51"/>
      <c r="I36" s="51"/>
    </row>
    <row r="37" spans="1:9" hidden="1" outlineLevel="2" x14ac:dyDescent="0.25">
      <c r="A37" s="106" t="s">
        <v>289</v>
      </c>
      <c r="B37" s="123" t="s">
        <v>290</v>
      </c>
      <c r="C37" s="117" t="s">
        <v>255</v>
      </c>
      <c r="D37" s="117" t="s">
        <v>255</v>
      </c>
      <c r="E37" s="117" t="s">
        <v>255</v>
      </c>
      <c r="F37" s="117" t="s">
        <v>255</v>
      </c>
      <c r="G37" s="117" t="s">
        <v>255</v>
      </c>
      <c r="H37" s="51"/>
      <c r="I37" s="51"/>
    </row>
    <row r="38" spans="1:9" hidden="1" outlineLevel="2" x14ac:dyDescent="0.25">
      <c r="A38" s="106" t="s">
        <v>291</v>
      </c>
      <c r="B38" s="123" t="s">
        <v>292</v>
      </c>
      <c r="C38" s="117">
        <v>12186219.93</v>
      </c>
      <c r="D38" s="117">
        <v>12136321.93</v>
      </c>
      <c r="E38" s="117">
        <v>12086423.93</v>
      </c>
      <c r="F38" s="117">
        <v>12036525.93</v>
      </c>
      <c r="G38" s="117">
        <v>11986627.93</v>
      </c>
      <c r="H38" s="51"/>
      <c r="I38" s="51"/>
    </row>
    <row r="39" spans="1:9" hidden="1" outlineLevel="2" x14ac:dyDescent="0.25">
      <c r="A39" s="106" t="s">
        <v>293</v>
      </c>
      <c r="B39" s="123" t="s">
        <v>294</v>
      </c>
      <c r="C39" s="117">
        <v>0</v>
      </c>
      <c r="D39" s="117">
        <v>0</v>
      </c>
      <c r="E39" s="117">
        <v>0</v>
      </c>
      <c r="F39" s="117">
        <v>0</v>
      </c>
      <c r="G39" s="117">
        <v>0</v>
      </c>
      <c r="H39" s="51"/>
      <c r="I39" s="51"/>
    </row>
    <row r="40" spans="1:9" hidden="1" outlineLevel="2" x14ac:dyDescent="0.25">
      <c r="A40" s="106" t="s">
        <v>295</v>
      </c>
      <c r="B40" s="123" t="s">
        <v>296</v>
      </c>
      <c r="C40" s="117" t="s">
        <v>255</v>
      </c>
      <c r="D40" s="117" t="s">
        <v>255</v>
      </c>
      <c r="E40" s="117" t="s">
        <v>255</v>
      </c>
      <c r="F40" s="117" t="s">
        <v>255</v>
      </c>
      <c r="G40" s="117" t="s">
        <v>255</v>
      </c>
      <c r="H40" s="51"/>
      <c r="I40" s="51"/>
    </row>
    <row r="41" spans="1:9" hidden="1" outlineLevel="2" x14ac:dyDescent="0.25">
      <c r="A41" s="106" t="s">
        <v>297</v>
      </c>
      <c r="B41" s="123" t="s">
        <v>298</v>
      </c>
      <c r="C41" s="117">
        <v>13.86</v>
      </c>
      <c r="D41" s="117">
        <v>13.86</v>
      </c>
      <c r="E41" s="117">
        <v>13.86</v>
      </c>
      <c r="F41" s="117">
        <v>13.86</v>
      </c>
      <c r="G41" s="117">
        <v>13.86</v>
      </c>
      <c r="H41" s="51"/>
      <c r="I41" s="51"/>
    </row>
    <row r="42" spans="1:9" hidden="1" outlineLevel="2" x14ac:dyDescent="0.25">
      <c r="A42" s="106" t="s">
        <v>299</v>
      </c>
      <c r="B42" s="123" t="s">
        <v>300</v>
      </c>
      <c r="C42" s="117" t="s">
        <v>255</v>
      </c>
      <c r="D42" s="117" t="s">
        <v>255</v>
      </c>
      <c r="E42" s="117" t="s">
        <v>255</v>
      </c>
      <c r="F42" s="117" t="s">
        <v>255</v>
      </c>
      <c r="G42" s="117" t="s">
        <v>255</v>
      </c>
      <c r="H42" s="51"/>
      <c r="I42" s="51"/>
    </row>
    <row r="43" spans="1:9" hidden="1" outlineLevel="2" x14ac:dyDescent="0.25">
      <c r="A43" s="106" t="s">
        <v>301</v>
      </c>
      <c r="B43" s="123" t="s">
        <v>302</v>
      </c>
      <c r="C43" s="117">
        <v>2185452.5767822228</v>
      </c>
      <c r="D43" s="117">
        <v>2185452.5767822228</v>
      </c>
      <c r="E43" s="117">
        <v>2185452.5767822228</v>
      </c>
      <c r="F43" s="117">
        <v>2185452.5767822228</v>
      </c>
      <c r="G43" s="117">
        <v>2185452.5767822228</v>
      </c>
      <c r="H43" s="51"/>
      <c r="I43" s="51"/>
    </row>
    <row r="44" spans="1:9" hidden="1" outlineLevel="2" x14ac:dyDescent="0.25">
      <c r="A44" s="106" t="s">
        <v>303</v>
      </c>
      <c r="B44" s="123" t="s">
        <v>304</v>
      </c>
      <c r="C44" s="117" t="s">
        <v>255</v>
      </c>
      <c r="D44" s="117" t="s">
        <v>255</v>
      </c>
      <c r="E44" s="117" t="s">
        <v>255</v>
      </c>
      <c r="F44" s="117" t="s">
        <v>255</v>
      </c>
      <c r="G44" s="117" t="s">
        <v>255</v>
      </c>
      <c r="H44" s="51"/>
      <c r="I44" s="51"/>
    </row>
    <row r="45" spans="1:9" hidden="1" outlineLevel="2" x14ac:dyDescent="0.25">
      <c r="A45" s="106" t="s">
        <v>305</v>
      </c>
      <c r="B45" s="123" t="s">
        <v>306</v>
      </c>
      <c r="C45" s="117" t="s">
        <v>255</v>
      </c>
      <c r="D45" s="117" t="s">
        <v>255</v>
      </c>
      <c r="E45" s="117" t="s">
        <v>255</v>
      </c>
      <c r="F45" s="117" t="s">
        <v>255</v>
      </c>
      <c r="G45" s="117" t="s">
        <v>255</v>
      </c>
      <c r="H45" s="51"/>
      <c r="I45" s="51"/>
    </row>
    <row r="46" spans="1:9" hidden="1" outlineLevel="2" x14ac:dyDescent="0.25">
      <c r="A46" s="106" t="s">
        <v>307</v>
      </c>
      <c r="B46" s="123" t="s">
        <v>308</v>
      </c>
      <c r="C46" s="117">
        <v>-51</v>
      </c>
      <c r="D46" s="117">
        <v>-51</v>
      </c>
      <c r="E46" s="117">
        <v>-51</v>
      </c>
      <c r="F46" s="117">
        <v>-51</v>
      </c>
      <c r="G46" s="117">
        <v>-51</v>
      </c>
      <c r="H46" s="51"/>
      <c r="I46" s="51"/>
    </row>
    <row r="47" spans="1:9" hidden="1" outlineLevel="2" x14ac:dyDescent="0.25">
      <c r="A47" s="106" t="s">
        <v>309</v>
      </c>
      <c r="B47" s="123" t="s">
        <v>310</v>
      </c>
      <c r="C47" s="117" t="s">
        <v>255</v>
      </c>
      <c r="D47" s="117" t="s">
        <v>255</v>
      </c>
      <c r="E47" s="117" t="s">
        <v>255</v>
      </c>
      <c r="F47" s="117" t="s">
        <v>255</v>
      </c>
      <c r="G47" s="117" t="s">
        <v>255</v>
      </c>
      <c r="H47" s="51"/>
      <c r="I47" s="51"/>
    </row>
    <row r="48" spans="1:9" hidden="1" outlineLevel="2" x14ac:dyDescent="0.25">
      <c r="A48" t="s">
        <v>311</v>
      </c>
      <c r="B48" s="123"/>
      <c r="C48" s="117">
        <v>0</v>
      </c>
      <c r="D48" s="117">
        <v>0</v>
      </c>
      <c r="E48" s="117">
        <v>0</v>
      </c>
      <c r="F48" s="117">
        <v>0</v>
      </c>
      <c r="G48" s="117">
        <v>0</v>
      </c>
      <c r="H48" s="51"/>
      <c r="I48" s="51"/>
    </row>
    <row r="49" spans="1:9" hidden="1" outlineLevel="2" x14ac:dyDescent="0.25">
      <c r="B49" s="123"/>
      <c r="C49" s="117"/>
      <c r="D49" s="117"/>
      <c r="E49" s="117"/>
      <c r="F49" s="117"/>
      <c r="G49" s="117"/>
      <c r="H49" s="51"/>
      <c r="I49" s="51"/>
    </row>
    <row r="50" spans="1:9" outlineLevel="1" collapsed="1" x14ac:dyDescent="0.25">
      <c r="A50" s="103" t="s">
        <v>134</v>
      </c>
      <c r="B50" s="123">
        <v>11030</v>
      </c>
      <c r="C50" s="110">
        <v>2210836641.5020003</v>
      </c>
      <c r="D50" s="110">
        <v>2210836641.5020003</v>
      </c>
      <c r="E50" s="110">
        <v>2210836641.5020003</v>
      </c>
      <c r="F50" s="110">
        <v>2210836641.5020003</v>
      </c>
      <c r="G50" s="110">
        <v>2210836641.5020003</v>
      </c>
      <c r="H50" s="51"/>
      <c r="I50" s="51"/>
    </row>
    <row r="51" spans="1:9" hidden="1" outlineLevel="2" x14ac:dyDescent="0.25">
      <c r="B51" s="123"/>
      <c r="C51" s="110"/>
      <c r="D51" s="110"/>
      <c r="E51" s="110"/>
      <c r="F51" s="110"/>
      <c r="G51" s="110"/>
      <c r="H51" s="51"/>
      <c r="I51" s="51"/>
    </row>
    <row r="52" spans="1:9" hidden="1" outlineLevel="2" x14ac:dyDescent="0.25">
      <c r="A52" s="106" t="s">
        <v>257</v>
      </c>
      <c r="B52" s="123" t="s">
        <v>258</v>
      </c>
      <c r="C52" s="110" t="s">
        <v>255</v>
      </c>
      <c r="D52" s="110" t="s">
        <v>255</v>
      </c>
      <c r="E52" s="110" t="s">
        <v>255</v>
      </c>
      <c r="F52" s="110" t="s">
        <v>255</v>
      </c>
      <c r="G52" s="110" t="s">
        <v>255</v>
      </c>
      <c r="H52" s="51"/>
      <c r="I52" s="51"/>
    </row>
    <row r="53" spans="1:9" hidden="1" outlineLevel="2" x14ac:dyDescent="0.25">
      <c r="A53" s="106" t="s">
        <v>312</v>
      </c>
      <c r="B53" s="123" t="s">
        <v>313</v>
      </c>
      <c r="C53" s="110" t="s">
        <v>255</v>
      </c>
      <c r="D53" s="110" t="s">
        <v>255</v>
      </c>
      <c r="E53" s="110" t="s">
        <v>255</v>
      </c>
      <c r="F53" s="110" t="s">
        <v>255</v>
      </c>
      <c r="G53" s="110" t="s">
        <v>255</v>
      </c>
      <c r="H53" s="51"/>
      <c r="I53" s="51"/>
    </row>
    <row r="54" spans="1:9" hidden="1" outlineLevel="2" x14ac:dyDescent="0.25">
      <c r="A54" s="106" t="s">
        <v>263</v>
      </c>
      <c r="B54" s="123" t="s">
        <v>264</v>
      </c>
      <c r="C54" s="117">
        <v>180824999.34999999</v>
      </c>
      <c r="D54" s="117">
        <v>180824999.34999999</v>
      </c>
      <c r="E54" s="117">
        <v>180824999.34999999</v>
      </c>
      <c r="F54" s="117">
        <v>180824999.34999999</v>
      </c>
      <c r="G54" s="117">
        <v>180824999.34999999</v>
      </c>
      <c r="H54" s="51"/>
      <c r="I54" s="51"/>
    </row>
    <row r="55" spans="1:9" hidden="1" outlineLevel="2" x14ac:dyDescent="0.25">
      <c r="A55" s="106" t="s">
        <v>314</v>
      </c>
      <c r="B55" s="123" t="s">
        <v>266</v>
      </c>
      <c r="C55" s="117">
        <v>266679.40000000002</v>
      </c>
      <c r="D55" s="117">
        <v>266679.40000000002</v>
      </c>
      <c r="E55" s="117">
        <v>266679.40000000002</v>
      </c>
      <c r="F55" s="117">
        <v>266679.40000000002</v>
      </c>
      <c r="G55" s="117">
        <v>266679.40000000002</v>
      </c>
      <c r="H55" s="51"/>
      <c r="I55" s="51"/>
    </row>
    <row r="56" spans="1:9" hidden="1" outlineLevel="2" x14ac:dyDescent="0.25">
      <c r="A56" s="106" t="s">
        <v>267</v>
      </c>
      <c r="B56" s="123" t="s">
        <v>268</v>
      </c>
      <c r="C56" s="130" t="s">
        <v>255</v>
      </c>
      <c r="D56" s="130" t="s">
        <v>255</v>
      </c>
      <c r="E56" s="130" t="s">
        <v>255</v>
      </c>
      <c r="F56" s="130" t="s">
        <v>255</v>
      </c>
      <c r="G56" s="130" t="s">
        <v>255</v>
      </c>
      <c r="H56" s="51"/>
      <c r="I56" s="51"/>
    </row>
    <row r="57" spans="1:9" hidden="1" outlineLevel="2" x14ac:dyDescent="0.25">
      <c r="A57" s="106" t="s">
        <v>315</v>
      </c>
      <c r="B57" s="123" t="s">
        <v>316</v>
      </c>
      <c r="C57" s="130" t="s">
        <v>255</v>
      </c>
      <c r="D57" s="130" t="s">
        <v>255</v>
      </c>
      <c r="E57" s="130" t="s">
        <v>255</v>
      </c>
      <c r="F57" s="130" t="s">
        <v>255</v>
      </c>
      <c r="G57" s="130" t="s">
        <v>255</v>
      </c>
      <c r="H57" s="51"/>
      <c r="I57" s="51"/>
    </row>
    <row r="58" spans="1:9" hidden="1" outlineLevel="2" x14ac:dyDescent="0.25">
      <c r="A58" s="106" t="s">
        <v>273</v>
      </c>
      <c r="B58" s="123" t="s">
        <v>274</v>
      </c>
      <c r="C58" s="117">
        <v>63050000</v>
      </c>
      <c r="D58" s="117">
        <v>63050000</v>
      </c>
      <c r="E58" s="117">
        <v>63050000</v>
      </c>
      <c r="F58" s="117">
        <v>63050000</v>
      </c>
      <c r="G58" s="117">
        <v>63050000</v>
      </c>
      <c r="H58" s="51"/>
      <c r="I58" s="51"/>
    </row>
    <row r="59" spans="1:9" hidden="1" outlineLevel="2" x14ac:dyDescent="0.25">
      <c r="A59" s="106" t="s">
        <v>277</v>
      </c>
      <c r="B59" s="123" t="s">
        <v>278</v>
      </c>
      <c r="C59" s="110">
        <v>0</v>
      </c>
      <c r="D59" s="110">
        <v>0</v>
      </c>
      <c r="E59" s="110">
        <v>0</v>
      </c>
      <c r="F59" s="110">
        <v>0</v>
      </c>
      <c r="G59" s="110">
        <v>0</v>
      </c>
      <c r="H59" s="51"/>
      <c r="I59" s="51"/>
    </row>
    <row r="60" spans="1:9" hidden="1" outlineLevel="2" x14ac:dyDescent="0.25">
      <c r="A60" s="106" t="s">
        <v>279</v>
      </c>
      <c r="B60" s="123" t="s">
        <v>280</v>
      </c>
      <c r="C60" s="130" t="s">
        <v>255</v>
      </c>
      <c r="D60" s="130" t="s">
        <v>255</v>
      </c>
      <c r="E60" s="130" t="s">
        <v>255</v>
      </c>
      <c r="F60" s="130" t="s">
        <v>255</v>
      </c>
      <c r="G60" s="130" t="s">
        <v>255</v>
      </c>
      <c r="H60" s="51"/>
      <c r="I60" s="51"/>
    </row>
    <row r="61" spans="1:9" hidden="1" outlineLevel="2" x14ac:dyDescent="0.25">
      <c r="A61" s="106" t="s">
        <v>289</v>
      </c>
      <c r="B61" s="123" t="s">
        <v>290</v>
      </c>
      <c r="C61" s="130" t="s">
        <v>255</v>
      </c>
      <c r="D61" s="130" t="s">
        <v>255</v>
      </c>
      <c r="E61" s="130" t="s">
        <v>255</v>
      </c>
      <c r="F61" s="130" t="s">
        <v>255</v>
      </c>
      <c r="G61" s="130" t="s">
        <v>255</v>
      </c>
      <c r="H61" s="51"/>
      <c r="I61" s="51"/>
    </row>
    <row r="62" spans="1:9" hidden="1" outlineLevel="2" x14ac:dyDescent="0.25">
      <c r="A62" s="106" t="s">
        <v>291</v>
      </c>
      <c r="B62" s="123" t="s">
        <v>292</v>
      </c>
      <c r="C62" s="117">
        <v>858115233</v>
      </c>
      <c r="D62" s="117">
        <v>858115233</v>
      </c>
      <c r="E62" s="117">
        <v>858115233</v>
      </c>
      <c r="F62" s="117">
        <v>858115233</v>
      </c>
      <c r="G62" s="117">
        <v>858115233</v>
      </c>
      <c r="H62" s="51"/>
      <c r="I62" s="51"/>
    </row>
    <row r="63" spans="1:9" hidden="1" outlineLevel="2" x14ac:dyDescent="0.25">
      <c r="A63" s="106" t="s">
        <v>295</v>
      </c>
      <c r="B63" s="123" t="s">
        <v>296</v>
      </c>
      <c r="C63" s="130" t="s">
        <v>255</v>
      </c>
      <c r="D63" s="130" t="s">
        <v>255</v>
      </c>
      <c r="E63" s="130" t="s">
        <v>255</v>
      </c>
      <c r="F63" s="130" t="s">
        <v>255</v>
      </c>
      <c r="G63" s="130" t="s">
        <v>255</v>
      </c>
      <c r="H63" s="51"/>
      <c r="I63" s="51"/>
    </row>
    <row r="64" spans="1:9" hidden="1" outlineLevel="2" x14ac:dyDescent="0.25">
      <c r="A64" s="106" t="s">
        <v>317</v>
      </c>
      <c r="B64" s="123" t="s">
        <v>298</v>
      </c>
      <c r="C64" s="110" t="s">
        <v>255</v>
      </c>
      <c r="D64" s="110" t="s">
        <v>255</v>
      </c>
      <c r="E64" s="110" t="s">
        <v>255</v>
      </c>
      <c r="F64" s="110" t="s">
        <v>255</v>
      </c>
      <c r="G64" s="110" t="s">
        <v>255</v>
      </c>
      <c r="H64" s="51"/>
      <c r="I64" s="51"/>
    </row>
    <row r="65" spans="1:9" hidden="1" outlineLevel="2" x14ac:dyDescent="0.25">
      <c r="A65" s="106" t="s">
        <v>318</v>
      </c>
      <c r="B65" s="123" t="s">
        <v>319</v>
      </c>
      <c r="C65" s="130" t="s">
        <v>255</v>
      </c>
      <c r="D65" s="130" t="s">
        <v>255</v>
      </c>
      <c r="E65" s="130" t="s">
        <v>255</v>
      </c>
      <c r="F65" s="130" t="s">
        <v>255</v>
      </c>
      <c r="G65" s="130" t="s">
        <v>255</v>
      </c>
      <c r="H65" s="51"/>
      <c r="I65" s="51"/>
    </row>
    <row r="66" spans="1:9" hidden="1" outlineLevel="2" x14ac:dyDescent="0.25">
      <c r="A66" s="106" t="s">
        <v>299</v>
      </c>
      <c r="B66" s="123" t="s">
        <v>300</v>
      </c>
      <c r="C66" s="130" t="s">
        <v>255</v>
      </c>
      <c r="D66" s="130" t="s">
        <v>255</v>
      </c>
      <c r="E66" s="130" t="s">
        <v>255</v>
      </c>
      <c r="F66" s="130" t="s">
        <v>255</v>
      </c>
      <c r="G66" s="130" t="s">
        <v>255</v>
      </c>
      <c r="H66" s="51"/>
      <c r="I66" s="51"/>
    </row>
    <row r="67" spans="1:9" hidden="1" outlineLevel="2" x14ac:dyDescent="0.25">
      <c r="A67" s="106" t="s">
        <v>301</v>
      </c>
      <c r="B67" s="123" t="s">
        <v>302</v>
      </c>
      <c r="C67" s="117">
        <v>1083089104.352</v>
      </c>
      <c r="D67" s="117">
        <v>1083089104.352</v>
      </c>
      <c r="E67" s="117">
        <v>1083089104.352</v>
      </c>
      <c r="F67" s="117">
        <v>1083089104.352</v>
      </c>
      <c r="G67" s="117">
        <v>1083089104.352</v>
      </c>
      <c r="H67" s="51"/>
      <c r="I67" s="51"/>
    </row>
    <row r="68" spans="1:9" hidden="1" outlineLevel="2" x14ac:dyDescent="0.25">
      <c r="A68" s="106" t="s">
        <v>303</v>
      </c>
      <c r="B68" s="123" t="s">
        <v>304</v>
      </c>
      <c r="C68" s="110" t="s">
        <v>255</v>
      </c>
      <c r="D68" s="110" t="s">
        <v>255</v>
      </c>
      <c r="E68" s="110" t="s">
        <v>255</v>
      </c>
      <c r="F68" s="110" t="s">
        <v>255</v>
      </c>
      <c r="G68" s="110" t="s">
        <v>255</v>
      </c>
      <c r="H68" s="51"/>
      <c r="I68" s="51"/>
    </row>
    <row r="69" spans="1:9" hidden="1" outlineLevel="2" x14ac:dyDescent="0.25">
      <c r="A69" s="106" t="s">
        <v>320</v>
      </c>
      <c r="B69" s="123" t="s">
        <v>321</v>
      </c>
      <c r="C69" s="117">
        <v>25490625.399999999</v>
      </c>
      <c r="D69" s="117">
        <v>25490625.399999999</v>
      </c>
      <c r="E69" s="117">
        <v>25490625.399999999</v>
      </c>
      <c r="F69" s="117">
        <v>25490625.399999999</v>
      </c>
      <c r="G69" s="117">
        <v>25490625.399999999</v>
      </c>
      <c r="H69" s="51"/>
      <c r="I69" s="51"/>
    </row>
    <row r="70" spans="1:9" hidden="1" outlineLevel="2" x14ac:dyDescent="0.25">
      <c r="A70" s="106" t="s">
        <v>307</v>
      </c>
      <c r="B70" s="123" t="s">
        <v>308</v>
      </c>
      <c r="C70" s="110" t="s">
        <v>255</v>
      </c>
      <c r="D70" s="110" t="s">
        <v>255</v>
      </c>
      <c r="E70" s="110" t="s">
        <v>255</v>
      </c>
      <c r="F70" s="110" t="s">
        <v>255</v>
      </c>
      <c r="G70" s="110" t="s">
        <v>255</v>
      </c>
      <c r="H70" s="51"/>
      <c r="I70" s="51"/>
    </row>
    <row r="71" spans="1:9" hidden="1" outlineLevel="2" x14ac:dyDescent="0.25">
      <c r="A71" s="106" t="s">
        <v>322</v>
      </c>
      <c r="B71" s="123" t="s">
        <v>310</v>
      </c>
      <c r="C71" s="110" t="s">
        <v>255</v>
      </c>
      <c r="D71" s="110" t="s">
        <v>255</v>
      </c>
      <c r="E71" s="110" t="s">
        <v>255</v>
      </c>
      <c r="F71" s="110" t="s">
        <v>255</v>
      </c>
      <c r="G71" s="110" t="s">
        <v>255</v>
      </c>
      <c r="H71" s="51"/>
      <c r="I71" s="51"/>
    </row>
    <row r="72" spans="1:9" hidden="1" outlineLevel="2" x14ac:dyDescent="0.25">
      <c r="A72" s="106" t="s">
        <v>323</v>
      </c>
      <c r="B72" s="123" t="s">
        <v>324</v>
      </c>
      <c r="C72" s="110" t="s">
        <v>255</v>
      </c>
      <c r="D72" s="110" t="s">
        <v>255</v>
      </c>
      <c r="E72" s="110" t="s">
        <v>255</v>
      </c>
      <c r="F72" s="110" t="s">
        <v>255</v>
      </c>
      <c r="G72" s="110" t="s">
        <v>255</v>
      </c>
      <c r="H72" s="51"/>
      <c r="I72" s="51"/>
    </row>
    <row r="73" spans="1:9" hidden="1" outlineLevel="2" x14ac:dyDescent="0.25">
      <c r="A73" t="s">
        <v>311</v>
      </c>
      <c r="B73" s="123"/>
      <c r="C73" s="118">
        <v>0</v>
      </c>
      <c r="D73" s="118">
        <v>0</v>
      </c>
      <c r="E73" s="118">
        <v>0</v>
      </c>
      <c r="F73" s="118">
        <v>0</v>
      </c>
      <c r="G73" s="118">
        <v>0</v>
      </c>
      <c r="H73" s="51"/>
      <c r="I73" s="51"/>
    </row>
    <row r="74" spans="1:9" hidden="1" outlineLevel="2" x14ac:dyDescent="0.25">
      <c r="B74" s="123"/>
      <c r="C74" s="118"/>
      <c r="D74" s="118"/>
      <c r="E74" s="118"/>
      <c r="F74" s="118"/>
      <c r="G74" s="118"/>
      <c r="H74" s="51"/>
      <c r="I74" s="51"/>
    </row>
    <row r="75" spans="1:9" outlineLevel="1" collapsed="1" x14ac:dyDescent="0.25">
      <c r="A75" s="103" t="s">
        <v>135</v>
      </c>
      <c r="B75" s="123">
        <v>11050</v>
      </c>
      <c r="C75" s="117">
        <v>162635518.16367865</v>
      </c>
      <c r="D75" s="117">
        <v>192609933.36367875</v>
      </c>
      <c r="E75" s="117">
        <v>225189372.16367865</v>
      </c>
      <c r="F75" s="117">
        <v>260231310.96367863</v>
      </c>
      <c r="G75" s="117">
        <v>285160749.76367867</v>
      </c>
      <c r="H75" s="51"/>
      <c r="I75" s="51"/>
    </row>
    <row r="76" spans="1:9" hidden="1" outlineLevel="2" x14ac:dyDescent="0.25">
      <c r="B76" s="123"/>
      <c r="C76" s="118"/>
      <c r="D76" s="118"/>
      <c r="E76" s="118"/>
      <c r="F76" s="118"/>
      <c r="G76" s="118"/>
      <c r="H76" s="51"/>
      <c r="I76" s="51"/>
    </row>
    <row r="77" spans="1:9" hidden="1" outlineLevel="2" x14ac:dyDescent="0.25">
      <c r="A77" s="106" t="s">
        <v>257</v>
      </c>
      <c r="B77" s="123" t="s">
        <v>258</v>
      </c>
      <c r="C77" s="119">
        <v>135705786.23308381</v>
      </c>
      <c r="D77" s="119">
        <v>165680201.43308392</v>
      </c>
      <c r="E77" s="119">
        <v>198259640.23308381</v>
      </c>
      <c r="F77" s="119">
        <v>233301579.0330838</v>
      </c>
      <c r="G77" s="119">
        <v>258231017.83308381</v>
      </c>
      <c r="H77" s="51"/>
      <c r="I77" s="51"/>
    </row>
    <row r="78" spans="1:9" hidden="1" outlineLevel="2" x14ac:dyDescent="0.25">
      <c r="A78" s="106" t="s">
        <v>325</v>
      </c>
      <c r="B78" s="123" t="s">
        <v>326</v>
      </c>
      <c r="C78" s="130" t="s">
        <v>255</v>
      </c>
      <c r="D78" s="130" t="s">
        <v>255</v>
      </c>
      <c r="E78" s="130" t="s">
        <v>255</v>
      </c>
      <c r="F78" s="130" t="s">
        <v>255</v>
      </c>
      <c r="G78" s="130" t="s">
        <v>255</v>
      </c>
      <c r="H78" s="51"/>
      <c r="I78" s="51"/>
    </row>
    <row r="79" spans="1:9" hidden="1" outlineLevel="2" x14ac:dyDescent="0.25">
      <c r="A79" s="106" t="s">
        <v>259</v>
      </c>
      <c r="B79" s="123" t="s">
        <v>260</v>
      </c>
      <c r="C79" s="109">
        <v>0</v>
      </c>
      <c r="D79" s="109">
        <v>0</v>
      </c>
      <c r="E79" s="109">
        <v>0</v>
      </c>
      <c r="F79" s="109">
        <v>0</v>
      </c>
      <c r="G79" s="109">
        <v>0</v>
      </c>
      <c r="H79" s="51"/>
      <c r="I79" s="51"/>
    </row>
    <row r="80" spans="1:9" hidden="1" outlineLevel="2" x14ac:dyDescent="0.25">
      <c r="A80" s="106" t="s">
        <v>261</v>
      </c>
      <c r="B80" s="123" t="s">
        <v>327</v>
      </c>
      <c r="C80" s="130" t="s">
        <v>255</v>
      </c>
      <c r="D80" s="130" t="s">
        <v>255</v>
      </c>
      <c r="E80" s="130" t="s">
        <v>255</v>
      </c>
      <c r="F80" s="130" t="s">
        <v>255</v>
      </c>
      <c r="G80" s="130" t="s">
        <v>255</v>
      </c>
      <c r="H80" s="51"/>
      <c r="I80" s="51"/>
    </row>
    <row r="81" spans="1:9" hidden="1" outlineLevel="2" x14ac:dyDescent="0.25">
      <c r="A81" s="106" t="s">
        <v>328</v>
      </c>
      <c r="B81" s="123" t="s">
        <v>329</v>
      </c>
      <c r="C81" s="117">
        <v>49599.082000000002</v>
      </c>
      <c r="D81" s="117">
        <v>49599.082000000002</v>
      </c>
      <c r="E81" s="117">
        <v>49599.082000000002</v>
      </c>
      <c r="F81" s="117">
        <v>49599.082000000002</v>
      </c>
      <c r="G81" s="117">
        <v>49599.082000000002</v>
      </c>
      <c r="H81" s="51"/>
      <c r="I81" s="51"/>
    </row>
    <row r="82" spans="1:9" hidden="1" outlineLevel="2" x14ac:dyDescent="0.25">
      <c r="A82" s="106" t="s">
        <v>330</v>
      </c>
      <c r="B82" s="123" t="s">
        <v>331</v>
      </c>
      <c r="C82" s="110" t="s">
        <v>255</v>
      </c>
      <c r="D82" s="110" t="s">
        <v>255</v>
      </c>
      <c r="E82" s="110" t="s">
        <v>255</v>
      </c>
      <c r="F82" s="110" t="s">
        <v>255</v>
      </c>
      <c r="G82" s="110" t="s">
        <v>255</v>
      </c>
      <c r="H82" s="51"/>
      <c r="I82" s="51"/>
    </row>
    <row r="83" spans="1:9" hidden="1" outlineLevel="2" x14ac:dyDescent="0.25">
      <c r="A83" s="106" t="s">
        <v>263</v>
      </c>
      <c r="B83" s="123" t="s">
        <v>264</v>
      </c>
      <c r="C83" s="109">
        <v>-18924.919999999998</v>
      </c>
      <c r="D83" s="109">
        <v>-18924.919999999998</v>
      </c>
      <c r="E83" s="109">
        <v>-18924.919999999998</v>
      </c>
      <c r="F83" s="109">
        <v>-18924.919999999998</v>
      </c>
      <c r="G83" s="109">
        <v>-18924.919999999998</v>
      </c>
      <c r="H83" s="51"/>
      <c r="I83" s="51"/>
    </row>
    <row r="84" spans="1:9" hidden="1" outlineLevel="2" x14ac:dyDescent="0.25">
      <c r="A84" s="106" t="s">
        <v>332</v>
      </c>
      <c r="B84" s="123" t="s">
        <v>333</v>
      </c>
      <c r="C84" s="131">
        <v>7341.78</v>
      </c>
      <c r="D84" s="131">
        <v>7341.78</v>
      </c>
      <c r="E84" s="131">
        <v>7341.78</v>
      </c>
      <c r="F84" s="131">
        <v>7341.78</v>
      </c>
      <c r="G84" s="131">
        <v>7341.78</v>
      </c>
      <c r="H84" s="51"/>
      <c r="I84" s="51"/>
    </row>
    <row r="85" spans="1:9" hidden="1" outlineLevel="2" x14ac:dyDescent="0.25">
      <c r="A85" s="106" t="s">
        <v>267</v>
      </c>
      <c r="B85" s="123" t="s">
        <v>268</v>
      </c>
      <c r="C85" s="110" t="s">
        <v>255</v>
      </c>
      <c r="D85" s="110" t="s">
        <v>255</v>
      </c>
      <c r="E85" s="110" t="s">
        <v>255</v>
      </c>
      <c r="F85" s="110" t="s">
        <v>255</v>
      </c>
      <c r="G85" s="110" t="s">
        <v>255</v>
      </c>
      <c r="H85" s="51"/>
      <c r="I85" s="51"/>
    </row>
    <row r="86" spans="1:9" hidden="1" outlineLevel="2" x14ac:dyDescent="0.25">
      <c r="A86" s="106" t="s">
        <v>315</v>
      </c>
      <c r="B86" s="123" t="s">
        <v>316</v>
      </c>
      <c r="C86" s="117">
        <v>3493528.2669340852</v>
      </c>
      <c r="D86" s="117">
        <v>3493528.2669340852</v>
      </c>
      <c r="E86" s="117">
        <v>3493528.2669340852</v>
      </c>
      <c r="F86" s="117">
        <v>3493528.2669340852</v>
      </c>
      <c r="G86" s="117">
        <v>3493528.2669340852</v>
      </c>
      <c r="H86" s="51"/>
      <c r="I86" s="51"/>
    </row>
    <row r="87" spans="1:9" hidden="1" outlineLevel="2" x14ac:dyDescent="0.25">
      <c r="A87" s="106" t="s">
        <v>334</v>
      </c>
      <c r="B87" s="123" t="s">
        <v>335</v>
      </c>
      <c r="C87" s="117">
        <v>1168448.216</v>
      </c>
      <c r="D87" s="117">
        <v>1168448.216</v>
      </c>
      <c r="E87" s="117">
        <v>1168448.216</v>
      </c>
      <c r="F87" s="117">
        <v>1168448.216</v>
      </c>
      <c r="G87" s="117">
        <v>1168448.216</v>
      </c>
      <c r="H87" s="51"/>
      <c r="I87" s="51"/>
    </row>
    <row r="88" spans="1:9" hidden="1" outlineLevel="2" x14ac:dyDescent="0.25">
      <c r="A88" s="106" t="s">
        <v>336</v>
      </c>
      <c r="B88" s="123" t="s">
        <v>337</v>
      </c>
      <c r="C88" s="110" t="s">
        <v>255</v>
      </c>
      <c r="D88" s="110" t="s">
        <v>255</v>
      </c>
      <c r="E88" s="110" t="s">
        <v>255</v>
      </c>
      <c r="F88" s="110" t="s">
        <v>255</v>
      </c>
      <c r="G88" s="110" t="s">
        <v>255</v>
      </c>
      <c r="H88" s="51"/>
      <c r="I88" s="51"/>
    </row>
    <row r="89" spans="1:9" hidden="1" outlineLevel="2" x14ac:dyDescent="0.25">
      <c r="A89" s="106" t="s">
        <v>269</v>
      </c>
      <c r="B89" s="123" t="s">
        <v>270</v>
      </c>
      <c r="C89" s="110">
        <v>0</v>
      </c>
      <c r="D89" s="110">
        <v>0</v>
      </c>
      <c r="E89" s="110">
        <v>0</v>
      </c>
      <c r="F89" s="110">
        <v>0</v>
      </c>
      <c r="G89" s="110">
        <v>0</v>
      </c>
      <c r="H89" s="51"/>
      <c r="I89" s="51"/>
    </row>
    <row r="90" spans="1:9" hidden="1" outlineLevel="2" x14ac:dyDescent="0.25">
      <c r="A90" s="106" t="s">
        <v>338</v>
      </c>
      <c r="B90" s="123" t="s">
        <v>339</v>
      </c>
      <c r="C90" s="110" t="s">
        <v>255</v>
      </c>
      <c r="D90" s="110" t="s">
        <v>255</v>
      </c>
      <c r="E90" s="110" t="s">
        <v>255</v>
      </c>
      <c r="F90" s="110" t="s">
        <v>255</v>
      </c>
      <c r="G90" s="110" t="s">
        <v>255</v>
      </c>
      <c r="H90" s="51"/>
      <c r="I90" s="51"/>
    </row>
    <row r="91" spans="1:9" hidden="1" outlineLevel="2" x14ac:dyDescent="0.25">
      <c r="A91" s="106" t="s">
        <v>340</v>
      </c>
      <c r="B91" s="123" t="s">
        <v>341</v>
      </c>
      <c r="C91" s="130" t="s">
        <v>255</v>
      </c>
      <c r="D91" s="130" t="s">
        <v>255</v>
      </c>
      <c r="E91" s="130" t="s">
        <v>255</v>
      </c>
      <c r="F91" s="130" t="s">
        <v>255</v>
      </c>
      <c r="G91" s="130" t="s">
        <v>255</v>
      </c>
      <c r="H91" s="51"/>
      <c r="I91" s="51"/>
    </row>
    <row r="92" spans="1:9" hidden="1" outlineLevel="2" x14ac:dyDescent="0.25">
      <c r="A92" s="106" t="s">
        <v>342</v>
      </c>
      <c r="B92" s="123" t="s">
        <v>343</v>
      </c>
      <c r="C92" s="130" t="s">
        <v>255</v>
      </c>
      <c r="D92" s="130" t="s">
        <v>255</v>
      </c>
      <c r="E92" s="130" t="s">
        <v>255</v>
      </c>
      <c r="F92" s="130" t="s">
        <v>255</v>
      </c>
      <c r="G92" s="130" t="s">
        <v>255</v>
      </c>
      <c r="H92" s="51"/>
      <c r="I92" s="51"/>
    </row>
    <row r="93" spans="1:9" hidden="1" outlineLevel="2" x14ac:dyDescent="0.25">
      <c r="A93" s="106" t="s">
        <v>344</v>
      </c>
      <c r="B93" s="123" t="s">
        <v>345</v>
      </c>
      <c r="C93" s="130" t="s">
        <v>255</v>
      </c>
      <c r="D93" s="130" t="s">
        <v>255</v>
      </c>
      <c r="E93" s="130" t="s">
        <v>255</v>
      </c>
      <c r="F93" s="130" t="s">
        <v>255</v>
      </c>
      <c r="G93" s="130" t="s">
        <v>255</v>
      </c>
      <c r="H93" s="51"/>
      <c r="I93" s="51"/>
    </row>
    <row r="94" spans="1:9" hidden="1" outlineLevel="2" x14ac:dyDescent="0.25">
      <c r="A94" s="106" t="s">
        <v>271</v>
      </c>
      <c r="B94" s="123" t="s">
        <v>272</v>
      </c>
      <c r="C94" s="130" t="s">
        <v>255</v>
      </c>
      <c r="D94" s="130" t="s">
        <v>255</v>
      </c>
      <c r="E94" s="130" t="s">
        <v>255</v>
      </c>
      <c r="F94" s="130" t="s">
        <v>255</v>
      </c>
      <c r="G94" s="130" t="s">
        <v>255</v>
      </c>
      <c r="H94" s="51"/>
      <c r="I94" s="51"/>
    </row>
    <row r="95" spans="1:9" hidden="1" outlineLevel="2" x14ac:dyDescent="0.25">
      <c r="A95" s="106" t="s">
        <v>273</v>
      </c>
      <c r="B95" s="123" t="s">
        <v>274</v>
      </c>
      <c r="C95" s="117">
        <v>872457</v>
      </c>
      <c r="D95" s="117">
        <v>872457</v>
      </c>
      <c r="E95" s="117">
        <v>872457</v>
      </c>
      <c r="F95" s="117">
        <v>872457</v>
      </c>
      <c r="G95" s="117">
        <v>872457</v>
      </c>
      <c r="H95" s="51"/>
      <c r="I95" s="51"/>
    </row>
    <row r="96" spans="1:9" hidden="1" outlineLevel="2" x14ac:dyDescent="0.25">
      <c r="A96" s="106" t="s">
        <v>346</v>
      </c>
      <c r="B96" s="123" t="s">
        <v>347</v>
      </c>
      <c r="C96" s="130" t="s">
        <v>255</v>
      </c>
      <c r="D96" s="130" t="s">
        <v>255</v>
      </c>
      <c r="E96" s="130" t="s">
        <v>255</v>
      </c>
      <c r="F96" s="130" t="s">
        <v>255</v>
      </c>
      <c r="G96" s="130" t="s">
        <v>255</v>
      </c>
      <c r="H96" s="51"/>
      <c r="I96" s="51"/>
    </row>
    <row r="97" spans="1:9" hidden="1" outlineLevel="2" x14ac:dyDescent="0.25">
      <c r="A97" s="106" t="s">
        <v>348</v>
      </c>
      <c r="B97" s="123" t="s">
        <v>349</v>
      </c>
      <c r="C97" s="130" t="s">
        <v>255</v>
      </c>
      <c r="D97" s="130" t="s">
        <v>255</v>
      </c>
      <c r="E97" s="130" t="s">
        <v>255</v>
      </c>
      <c r="F97" s="130" t="s">
        <v>255</v>
      </c>
      <c r="G97" s="130" t="s">
        <v>255</v>
      </c>
      <c r="H97" s="51"/>
      <c r="I97" s="51"/>
    </row>
    <row r="98" spans="1:9" hidden="1" outlineLevel="2" x14ac:dyDescent="0.25">
      <c r="A98" s="106" t="s">
        <v>350</v>
      </c>
      <c r="B98" s="123" t="s">
        <v>351</v>
      </c>
      <c r="C98" s="130" t="s">
        <v>255</v>
      </c>
      <c r="D98" s="130" t="s">
        <v>255</v>
      </c>
      <c r="E98" s="130" t="s">
        <v>255</v>
      </c>
      <c r="F98" s="130" t="s">
        <v>255</v>
      </c>
      <c r="G98" s="130" t="s">
        <v>255</v>
      </c>
      <c r="H98" s="51"/>
      <c r="I98" s="51"/>
    </row>
    <row r="99" spans="1:9" hidden="1" outlineLevel="2" x14ac:dyDescent="0.25">
      <c r="A99" s="106" t="s">
        <v>352</v>
      </c>
      <c r="B99" s="123" t="s">
        <v>276</v>
      </c>
      <c r="C99" s="117">
        <v>460075.82752201892</v>
      </c>
      <c r="D99" s="117">
        <v>460075.82752201892</v>
      </c>
      <c r="E99" s="117">
        <v>460075.82752201892</v>
      </c>
      <c r="F99" s="117">
        <v>460075.82752201892</v>
      </c>
      <c r="G99" s="117">
        <v>460075.82752201892</v>
      </c>
      <c r="H99" s="51"/>
      <c r="I99" s="51"/>
    </row>
    <row r="100" spans="1:9" hidden="1" outlineLevel="2" x14ac:dyDescent="0.25">
      <c r="A100" s="106" t="s">
        <v>353</v>
      </c>
      <c r="B100" s="123" t="s">
        <v>354</v>
      </c>
      <c r="C100" s="110" t="s">
        <v>255</v>
      </c>
      <c r="D100" s="110" t="s">
        <v>255</v>
      </c>
      <c r="E100" s="110" t="s">
        <v>255</v>
      </c>
      <c r="F100" s="110" t="s">
        <v>255</v>
      </c>
      <c r="G100" s="110" t="s">
        <v>255</v>
      </c>
      <c r="H100" s="51"/>
      <c r="I100" s="51"/>
    </row>
    <row r="101" spans="1:9" hidden="1" outlineLevel="2" x14ac:dyDescent="0.25">
      <c r="A101" s="106" t="s">
        <v>277</v>
      </c>
      <c r="B101" s="123" t="s">
        <v>278</v>
      </c>
      <c r="C101" s="117">
        <v>594230</v>
      </c>
      <c r="D101" s="117">
        <v>594230</v>
      </c>
      <c r="E101" s="117">
        <v>594230</v>
      </c>
      <c r="F101" s="117">
        <v>594230</v>
      </c>
      <c r="G101" s="117">
        <v>594230</v>
      </c>
      <c r="H101" s="51"/>
      <c r="I101" s="51"/>
    </row>
    <row r="102" spans="1:9" hidden="1" outlineLevel="2" x14ac:dyDescent="0.25">
      <c r="A102" s="106" t="s">
        <v>355</v>
      </c>
      <c r="B102" s="123" t="s">
        <v>356</v>
      </c>
      <c r="C102" s="110" t="s">
        <v>255</v>
      </c>
      <c r="D102" s="110" t="s">
        <v>255</v>
      </c>
      <c r="E102" s="110" t="s">
        <v>255</v>
      </c>
      <c r="F102" s="110" t="s">
        <v>255</v>
      </c>
      <c r="G102" s="110" t="s">
        <v>255</v>
      </c>
      <c r="H102" s="51"/>
      <c r="I102" s="51"/>
    </row>
    <row r="103" spans="1:9" hidden="1" outlineLevel="2" x14ac:dyDescent="0.25">
      <c r="A103" s="106" t="s">
        <v>357</v>
      </c>
      <c r="B103" s="123" t="s">
        <v>358</v>
      </c>
      <c r="C103" s="130" t="s">
        <v>255</v>
      </c>
      <c r="D103" s="130" t="s">
        <v>255</v>
      </c>
      <c r="E103" s="130" t="s">
        <v>255</v>
      </c>
      <c r="F103" s="130" t="s">
        <v>255</v>
      </c>
      <c r="G103" s="130" t="s">
        <v>255</v>
      </c>
      <c r="H103" s="51"/>
      <c r="I103" s="51"/>
    </row>
    <row r="104" spans="1:9" hidden="1" outlineLevel="2" x14ac:dyDescent="0.25">
      <c r="A104" s="106" t="s">
        <v>359</v>
      </c>
      <c r="B104" s="123" t="s">
        <v>282</v>
      </c>
      <c r="C104" s="117">
        <v>3896.13</v>
      </c>
      <c r="D104" s="117">
        <v>3896.13</v>
      </c>
      <c r="E104" s="117">
        <v>3896.13</v>
      </c>
      <c r="F104" s="117">
        <v>3896.13</v>
      </c>
      <c r="G104" s="117">
        <v>3896.13</v>
      </c>
      <c r="H104" s="51"/>
      <c r="I104" s="51"/>
    </row>
    <row r="105" spans="1:9" hidden="1" outlineLevel="2" x14ac:dyDescent="0.25">
      <c r="A105" s="106" t="s">
        <v>360</v>
      </c>
      <c r="B105" s="123" t="s">
        <v>284</v>
      </c>
      <c r="C105" s="117">
        <v>121958.304</v>
      </c>
      <c r="D105" s="117">
        <v>121958.304</v>
      </c>
      <c r="E105" s="117">
        <v>121958.304</v>
      </c>
      <c r="F105" s="117">
        <v>121958.304</v>
      </c>
      <c r="G105" s="117">
        <v>121958.304</v>
      </c>
      <c r="H105" s="51"/>
      <c r="I105" s="51"/>
    </row>
    <row r="106" spans="1:9" hidden="1" outlineLevel="2" x14ac:dyDescent="0.25">
      <c r="A106" s="106" t="s">
        <v>361</v>
      </c>
      <c r="B106" s="123" t="s">
        <v>286</v>
      </c>
      <c r="C106" s="117">
        <v>2127454.2159000002</v>
      </c>
      <c r="D106" s="117">
        <v>2127454.2159000002</v>
      </c>
      <c r="E106" s="117">
        <v>2127454.2159000002</v>
      </c>
      <c r="F106" s="117">
        <v>2127454.2159000002</v>
      </c>
      <c r="G106" s="117">
        <v>2127454.2159000002</v>
      </c>
      <c r="H106" s="51"/>
      <c r="I106" s="51"/>
    </row>
    <row r="107" spans="1:9" hidden="1" outlineLevel="2" x14ac:dyDescent="0.25">
      <c r="A107" s="106" t="s">
        <v>362</v>
      </c>
      <c r="B107" s="123" t="s">
        <v>288</v>
      </c>
      <c r="C107" s="109">
        <v>0</v>
      </c>
      <c r="D107" s="109">
        <v>0</v>
      </c>
      <c r="E107" s="109">
        <v>0</v>
      </c>
      <c r="F107" s="109">
        <v>0</v>
      </c>
      <c r="G107" s="109">
        <v>0</v>
      </c>
      <c r="H107" s="51"/>
      <c r="I107" s="51"/>
    </row>
    <row r="108" spans="1:9" hidden="1" outlineLevel="2" x14ac:dyDescent="0.25">
      <c r="A108" s="106" t="s">
        <v>363</v>
      </c>
      <c r="B108" s="123" t="s">
        <v>364</v>
      </c>
      <c r="C108" s="110">
        <v>0</v>
      </c>
      <c r="D108" s="110">
        <v>0</v>
      </c>
      <c r="E108" s="110">
        <v>0</v>
      </c>
      <c r="F108" s="110">
        <v>0</v>
      </c>
      <c r="G108" s="110">
        <v>0</v>
      </c>
      <c r="H108" s="51"/>
      <c r="I108" s="51"/>
    </row>
    <row r="109" spans="1:9" hidden="1" outlineLevel="2" x14ac:dyDescent="0.25">
      <c r="A109" s="106" t="s">
        <v>365</v>
      </c>
      <c r="B109" s="123" t="s">
        <v>366</v>
      </c>
      <c r="C109" s="110">
        <v>281</v>
      </c>
      <c r="D109" s="110">
        <v>281</v>
      </c>
      <c r="E109" s="110">
        <v>281</v>
      </c>
      <c r="F109" s="110">
        <v>281</v>
      </c>
      <c r="G109" s="110">
        <v>281</v>
      </c>
      <c r="H109" s="51"/>
      <c r="I109" s="51"/>
    </row>
    <row r="110" spans="1:9" hidden="1" outlineLevel="2" x14ac:dyDescent="0.25">
      <c r="A110" s="106" t="s">
        <v>367</v>
      </c>
      <c r="B110" s="123" t="s">
        <v>368</v>
      </c>
      <c r="C110" s="110">
        <v>0</v>
      </c>
      <c r="D110" s="110">
        <v>0</v>
      </c>
      <c r="E110" s="110">
        <v>0</v>
      </c>
      <c r="F110" s="110">
        <v>0</v>
      </c>
      <c r="G110" s="110">
        <v>0</v>
      </c>
      <c r="H110" s="51"/>
      <c r="I110" s="51"/>
    </row>
    <row r="111" spans="1:9" hidden="1" outlineLevel="2" x14ac:dyDescent="0.25">
      <c r="A111" s="106" t="s">
        <v>289</v>
      </c>
      <c r="B111" s="123" t="s">
        <v>290</v>
      </c>
      <c r="C111" s="110" t="s">
        <v>255</v>
      </c>
      <c r="D111" s="110" t="s">
        <v>255</v>
      </c>
      <c r="E111" s="110" t="s">
        <v>255</v>
      </c>
      <c r="F111" s="110" t="s">
        <v>255</v>
      </c>
      <c r="G111" s="110" t="s">
        <v>255</v>
      </c>
      <c r="H111" s="51"/>
      <c r="I111" s="51"/>
    </row>
    <row r="112" spans="1:9" hidden="1" outlineLevel="2" x14ac:dyDescent="0.25">
      <c r="A112" s="106" t="s">
        <v>291</v>
      </c>
      <c r="B112" s="123" t="s">
        <v>292</v>
      </c>
      <c r="C112" s="117">
        <v>502958.97</v>
      </c>
      <c r="D112" s="117">
        <v>502958.97</v>
      </c>
      <c r="E112" s="117">
        <v>502958.97</v>
      </c>
      <c r="F112" s="117">
        <v>502958.97</v>
      </c>
      <c r="G112" s="117">
        <v>502958.97</v>
      </c>
      <c r="H112" s="51"/>
      <c r="I112" s="51"/>
    </row>
    <row r="113" spans="1:9" hidden="1" outlineLevel="2" x14ac:dyDescent="0.25">
      <c r="A113" s="106" t="s">
        <v>293</v>
      </c>
      <c r="B113" s="123" t="s">
        <v>294</v>
      </c>
      <c r="C113" s="130" t="s">
        <v>255</v>
      </c>
      <c r="D113" s="130" t="s">
        <v>255</v>
      </c>
      <c r="E113" s="130" t="s">
        <v>255</v>
      </c>
      <c r="F113" s="130" t="s">
        <v>255</v>
      </c>
      <c r="G113" s="130" t="s">
        <v>255</v>
      </c>
      <c r="H113" s="51"/>
      <c r="I113" s="51"/>
    </row>
    <row r="114" spans="1:9" hidden="1" outlineLevel="2" x14ac:dyDescent="0.25">
      <c r="A114" s="106" t="s">
        <v>369</v>
      </c>
      <c r="B114" s="123" t="s">
        <v>370</v>
      </c>
      <c r="C114" s="130" t="s">
        <v>255</v>
      </c>
      <c r="D114" s="130" t="s">
        <v>255</v>
      </c>
      <c r="E114" s="130" t="s">
        <v>255</v>
      </c>
      <c r="F114" s="130" t="s">
        <v>255</v>
      </c>
      <c r="G114" s="130" t="s">
        <v>255</v>
      </c>
      <c r="H114" s="51"/>
      <c r="I114" s="51"/>
    </row>
    <row r="115" spans="1:9" hidden="1" outlineLevel="2" x14ac:dyDescent="0.25">
      <c r="A115" s="106" t="s">
        <v>295</v>
      </c>
      <c r="B115" s="123" t="s">
        <v>296</v>
      </c>
      <c r="C115" s="109">
        <v>1596.78</v>
      </c>
      <c r="D115" s="109">
        <v>1596.78</v>
      </c>
      <c r="E115" s="109">
        <v>1596.78</v>
      </c>
      <c r="F115" s="109">
        <v>1596.78</v>
      </c>
      <c r="G115" s="109">
        <v>1596.78</v>
      </c>
      <c r="H115" s="51"/>
      <c r="I115" s="51"/>
    </row>
    <row r="116" spans="1:9" hidden="1" outlineLevel="2" x14ac:dyDescent="0.25">
      <c r="A116" s="106" t="s">
        <v>371</v>
      </c>
      <c r="B116" s="123" t="s">
        <v>298</v>
      </c>
      <c r="C116" s="109">
        <v>0</v>
      </c>
      <c r="D116" s="109">
        <v>0</v>
      </c>
      <c r="E116" s="109">
        <v>0</v>
      </c>
      <c r="F116" s="109">
        <v>0</v>
      </c>
      <c r="G116" s="109">
        <v>0</v>
      </c>
      <c r="H116" s="51"/>
      <c r="I116" s="51"/>
    </row>
    <row r="117" spans="1:9" hidden="1" outlineLevel="2" x14ac:dyDescent="0.25">
      <c r="A117" s="106" t="s">
        <v>372</v>
      </c>
      <c r="B117" s="123" t="s">
        <v>373</v>
      </c>
      <c r="C117" s="130" t="s">
        <v>255</v>
      </c>
      <c r="D117" s="130" t="s">
        <v>255</v>
      </c>
      <c r="E117" s="130" t="s">
        <v>255</v>
      </c>
      <c r="F117" s="130" t="s">
        <v>255</v>
      </c>
      <c r="G117" s="130" t="s">
        <v>255</v>
      </c>
      <c r="H117" s="51"/>
      <c r="I117" s="51"/>
    </row>
    <row r="118" spans="1:9" hidden="1" outlineLevel="2" x14ac:dyDescent="0.25">
      <c r="A118" s="106" t="s">
        <v>374</v>
      </c>
      <c r="B118" s="123" t="s">
        <v>375</v>
      </c>
      <c r="C118" s="130" t="s">
        <v>255</v>
      </c>
      <c r="D118" s="130" t="s">
        <v>255</v>
      </c>
      <c r="E118" s="130" t="s">
        <v>255</v>
      </c>
      <c r="F118" s="130" t="s">
        <v>255</v>
      </c>
      <c r="G118" s="130" t="s">
        <v>255</v>
      </c>
      <c r="H118" s="51"/>
      <c r="I118" s="51"/>
    </row>
    <row r="119" spans="1:9" hidden="1" outlineLevel="2" x14ac:dyDescent="0.25">
      <c r="A119" s="106" t="s">
        <v>376</v>
      </c>
      <c r="B119" s="123" t="s">
        <v>377</v>
      </c>
      <c r="C119" s="109">
        <v>1932.33</v>
      </c>
      <c r="D119" s="109">
        <v>1932.33</v>
      </c>
      <c r="E119" s="109">
        <v>1932.33</v>
      </c>
      <c r="F119" s="109">
        <v>1932.33</v>
      </c>
      <c r="G119" s="109">
        <v>1932.33</v>
      </c>
      <c r="H119" s="51"/>
      <c r="I119" s="51"/>
    </row>
    <row r="120" spans="1:9" hidden="1" outlineLevel="2" x14ac:dyDescent="0.25">
      <c r="A120" s="106" t="s">
        <v>378</v>
      </c>
      <c r="B120" s="123" t="s">
        <v>379</v>
      </c>
      <c r="C120" s="110" t="s">
        <v>255</v>
      </c>
      <c r="D120" s="110" t="s">
        <v>255</v>
      </c>
      <c r="E120" s="110" t="s">
        <v>255</v>
      </c>
      <c r="F120" s="110" t="s">
        <v>255</v>
      </c>
      <c r="G120" s="110" t="s">
        <v>255</v>
      </c>
      <c r="H120" s="51"/>
      <c r="I120" s="51"/>
    </row>
    <row r="121" spans="1:9" hidden="1" outlineLevel="2" x14ac:dyDescent="0.25">
      <c r="A121" s="106" t="s">
        <v>380</v>
      </c>
      <c r="B121" s="123" t="s">
        <v>381</v>
      </c>
      <c r="C121" s="117">
        <v>182843.7</v>
      </c>
      <c r="D121" s="117">
        <v>182843.7</v>
      </c>
      <c r="E121" s="117">
        <v>182843.7</v>
      </c>
      <c r="F121" s="117">
        <v>182843.7</v>
      </c>
      <c r="G121" s="117">
        <v>182843.7</v>
      </c>
      <c r="H121" s="51"/>
      <c r="I121" s="51"/>
    </row>
    <row r="122" spans="1:9" hidden="1" outlineLevel="2" x14ac:dyDescent="0.25">
      <c r="A122" s="106" t="s">
        <v>299</v>
      </c>
      <c r="B122" s="123" t="s">
        <v>300</v>
      </c>
      <c r="C122" s="130" t="s">
        <v>255</v>
      </c>
      <c r="D122" s="130" t="s">
        <v>255</v>
      </c>
      <c r="E122" s="130" t="s">
        <v>255</v>
      </c>
      <c r="F122" s="130" t="s">
        <v>255</v>
      </c>
      <c r="G122" s="130" t="s">
        <v>255</v>
      </c>
      <c r="H122" s="51"/>
      <c r="I122" s="51"/>
    </row>
    <row r="123" spans="1:9" hidden="1" outlineLevel="2" x14ac:dyDescent="0.25">
      <c r="A123" s="106" t="s">
        <v>382</v>
      </c>
      <c r="B123" s="123" t="s">
        <v>383</v>
      </c>
      <c r="C123" s="130" t="s">
        <v>255</v>
      </c>
      <c r="D123" s="130" t="s">
        <v>255</v>
      </c>
      <c r="E123" s="130" t="s">
        <v>255</v>
      </c>
      <c r="F123" s="130" t="s">
        <v>255</v>
      </c>
      <c r="G123" s="130" t="s">
        <v>255</v>
      </c>
      <c r="H123" s="51"/>
      <c r="I123" s="51"/>
    </row>
    <row r="124" spans="1:9" hidden="1" outlineLevel="2" x14ac:dyDescent="0.25">
      <c r="A124" s="106" t="s">
        <v>301</v>
      </c>
      <c r="B124" s="123" t="s">
        <v>302</v>
      </c>
      <c r="C124" s="117">
        <v>322928</v>
      </c>
      <c r="D124" s="117">
        <v>322928</v>
      </c>
      <c r="E124" s="117">
        <v>322928</v>
      </c>
      <c r="F124" s="117">
        <v>322928</v>
      </c>
      <c r="G124" s="117">
        <v>322928</v>
      </c>
      <c r="H124" s="51"/>
      <c r="I124" s="51"/>
    </row>
    <row r="125" spans="1:9" hidden="1" outlineLevel="2" x14ac:dyDescent="0.25">
      <c r="A125" s="106" t="s">
        <v>303</v>
      </c>
      <c r="B125" s="123" t="s">
        <v>304</v>
      </c>
      <c r="C125" s="130" t="s">
        <v>255</v>
      </c>
      <c r="D125" s="130" t="s">
        <v>255</v>
      </c>
      <c r="E125" s="130" t="s">
        <v>255</v>
      </c>
      <c r="F125" s="130" t="s">
        <v>255</v>
      </c>
      <c r="G125" s="130" t="s">
        <v>255</v>
      </c>
      <c r="H125" s="51"/>
      <c r="I125" s="51"/>
    </row>
    <row r="126" spans="1:9" hidden="1" outlineLevel="2" x14ac:dyDescent="0.25">
      <c r="A126" s="106" t="s">
        <v>384</v>
      </c>
      <c r="B126" s="123" t="s">
        <v>385</v>
      </c>
      <c r="C126" s="130" t="s">
        <v>255</v>
      </c>
      <c r="D126" s="130" t="s">
        <v>255</v>
      </c>
      <c r="E126" s="130" t="s">
        <v>255</v>
      </c>
      <c r="F126" s="130" t="s">
        <v>255</v>
      </c>
      <c r="G126" s="130" t="s">
        <v>255</v>
      </c>
      <c r="H126" s="51"/>
      <c r="I126" s="51"/>
    </row>
    <row r="127" spans="1:9" hidden="1" outlineLevel="2" x14ac:dyDescent="0.25">
      <c r="A127" s="106" t="s">
        <v>386</v>
      </c>
      <c r="B127" s="123" t="s">
        <v>387</v>
      </c>
      <c r="C127" s="130" t="s">
        <v>255</v>
      </c>
      <c r="D127" s="130" t="s">
        <v>255</v>
      </c>
      <c r="E127" s="130" t="s">
        <v>255</v>
      </c>
      <c r="F127" s="130" t="s">
        <v>255</v>
      </c>
      <c r="G127" s="130" t="s">
        <v>255</v>
      </c>
      <c r="H127" s="51"/>
      <c r="I127" s="51"/>
    </row>
    <row r="128" spans="1:9" hidden="1" outlineLevel="2" x14ac:dyDescent="0.25">
      <c r="A128" s="106" t="s">
        <v>305</v>
      </c>
      <c r="B128" s="123" t="s">
        <v>306</v>
      </c>
      <c r="C128" s="117">
        <v>103858.3</v>
      </c>
      <c r="D128" s="117">
        <v>103858.3</v>
      </c>
      <c r="E128" s="117">
        <v>103858.3</v>
      </c>
      <c r="F128" s="117">
        <v>103858.3</v>
      </c>
      <c r="G128" s="117">
        <v>103858.3</v>
      </c>
      <c r="H128" s="51"/>
      <c r="I128" s="51"/>
    </row>
    <row r="129" spans="1:9" hidden="1" outlineLevel="2" x14ac:dyDescent="0.25">
      <c r="A129" s="106" t="s">
        <v>321</v>
      </c>
      <c r="B129" s="123" t="s">
        <v>321</v>
      </c>
      <c r="C129" s="117">
        <v>4126667</v>
      </c>
      <c r="D129" s="117">
        <v>4126667</v>
      </c>
      <c r="E129" s="117">
        <v>4126667</v>
      </c>
      <c r="F129" s="117">
        <v>4126667</v>
      </c>
      <c r="G129" s="117">
        <v>4126667</v>
      </c>
      <c r="H129" s="51"/>
      <c r="I129" s="51"/>
    </row>
    <row r="130" spans="1:9" hidden="1" outlineLevel="2" x14ac:dyDescent="0.25">
      <c r="A130" s="106" t="s">
        <v>307</v>
      </c>
      <c r="B130" s="123" t="s">
        <v>308</v>
      </c>
      <c r="C130" s="117">
        <v>30069.49</v>
      </c>
      <c r="D130" s="117">
        <v>30069.49</v>
      </c>
      <c r="E130" s="117">
        <v>30069.49</v>
      </c>
      <c r="F130" s="117">
        <v>30069.49</v>
      </c>
      <c r="G130" s="117">
        <v>30069.49</v>
      </c>
      <c r="H130" s="51"/>
      <c r="I130" s="51"/>
    </row>
    <row r="131" spans="1:9" hidden="1" outlineLevel="2" x14ac:dyDescent="0.25">
      <c r="A131" s="106" t="s">
        <v>388</v>
      </c>
      <c r="B131" s="123" t="s">
        <v>389</v>
      </c>
      <c r="C131" s="117">
        <v>371892</v>
      </c>
      <c r="D131" s="117">
        <v>371892</v>
      </c>
      <c r="E131" s="117">
        <v>371892</v>
      </c>
      <c r="F131" s="117">
        <v>371892</v>
      </c>
      <c r="G131" s="117">
        <v>371892</v>
      </c>
      <c r="H131" s="51"/>
      <c r="I131" s="51"/>
    </row>
    <row r="132" spans="1:9" hidden="1" outlineLevel="2" x14ac:dyDescent="0.25">
      <c r="A132" s="106" t="s">
        <v>322</v>
      </c>
      <c r="B132" s="123" t="s">
        <v>310</v>
      </c>
      <c r="C132" s="109">
        <v>9612</v>
      </c>
      <c r="D132" s="109">
        <v>9612</v>
      </c>
      <c r="E132" s="109">
        <v>9612</v>
      </c>
      <c r="F132" s="109">
        <v>9612</v>
      </c>
      <c r="G132" s="109">
        <v>9612</v>
      </c>
      <c r="H132" s="51"/>
      <c r="I132" s="51"/>
    </row>
    <row r="133" spans="1:9" hidden="1" outlineLevel="2" x14ac:dyDescent="0.25">
      <c r="A133" s="106" t="s">
        <v>390</v>
      </c>
      <c r="B133" s="123" t="s">
        <v>391</v>
      </c>
      <c r="C133" s="110">
        <v>0</v>
      </c>
      <c r="D133" s="110">
        <v>0</v>
      </c>
      <c r="E133" s="110">
        <v>0</v>
      </c>
      <c r="F133" s="110">
        <v>0</v>
      </c>
      <c r="G133" s="110">
        <v>0</v>
      </c>
      <c r="H133" s="51"/>
      <c r="I133" s="51"/>
    </row>
    <row r="134" spans="1:9" hidden="1" outlineLevel="2" x14ac:dyDescent="0.25">
      <c r="A134" s="106" t="s">
        <v>392</v>
      </c>
      <c r="B134" s="123" t="s">
        <v>393</v>
      </c>
      <c r="C134" s="117">
        <v>7258466.230372305</v>
      </c>
      <c r="D134" s="117">
        <v>7258466.230372305</v>
      </c>
      <c r="E134" s="117">
        <v>7258466.230372305</v>
      </c>
      <c r="F134" s="117">
        <v>7258466.230372305</v>
      </c>
      <c r="G134" s="117">
        <v>7258466.230372305</v>
      </c>
      <c r="H134" s="51"/>
      <c r="I134" s="51"/>
    </row>
    <row r="135" spans="1:9" hidden="1" outlineLevel="2" x14ac:dyDescent="0.25">
      <c r="A135" s="106" t="s">
        <v>323</v>
      </c>
      <c r="B135" s="123" t="s">
        <v>324</v>
      </c>
      <c r="C135" s="117">
        <v>5104732.2848664094</v>
      </c>
      <c r="D135" s="117">
        <v>5104732.2848664094</v>
      </c>
      <c r="E135" s="117">
        <v>5104732.2848664094</v>
      </c>
      <c r="F135" s="117">
        <v>5104732.2848664094</v>
      </c>
      <c r="G135" s="117">
        <v>5104732.2848664094</v>
      </c>
      <c r="H135" s="51"/>
      <c r="I135" s="51"/>
    </row>
    <row r="136" spans="1:9" hidden="1" outlineLevel="2" x14ac:dyDescent="0.25">
      <c r="A136" s="106" t="s">
        <v>394</v>
      </c>
      <c r="B136" s="123" t="s">
        <v>395</v>
      </c>
      <c r="C136" s="109">
        <v>22237.943000000003</v>
      </c>
      <c r="D136" s="109">
        <v>22237.943000000003</v>
      </c>
      <c r="E136" s="109">
        <v>22237.943000000003</v>
      </c>
      <c r="F136" s="109">
        <v>22237.943000000003</v>
      </c>
      <c r="G136" s="109">
        <v>22237.943000000003</v>
      </c>
      <c r="H136" s="51"/>
      <c r="I136" s="51"/>
    </row>
    <row r="137" spans="1:9" hidden="1" outlineLevel="2" x14ac:dyDescent="0.25">
      <c r="A137" s="106" t="s">
        <v>396</v>
      </c>
      <c r="B137" s="123" t="s">
        <v>397</v>
      </c>
      <c r="C137" s="110" t="s">
        <v>255</v>
      </c>
      <c r="D137" s="110" t="s">
        <v>255</v>
      </c>
      <c r="E137" s="110" t="s">
        <v>255</v>
      </c>
      <c r="F137" s="110" t="s">
        <v>255</v>
      </c>
      <c r="G137" s="110" t="s">
        <v>255</v>
      </c>
      <c r="H137" s="51"/>
      <c r="I137" s="51"/>
    </row>
    <row r="138" spans="1:9" hidden="1" outlineLevel="2" x14ac:dyDescent="0.25">
      <c r="A138" s="106" t="s">
        <v>398</v>
      </c>
      <c r="B138" s="123" t="s">
        <v>399</v>
      </c>
      <c r="C138" s="130" t="s">
        <v>255</v>
      </c>
      <c r="D138" s="130" t="s">
        <v>255</v>
      </c>
      <c r="E138" s="130" t="s">
        <v>255</v>
      </c>
      <c r="F138" s="130" t="s">
        <v>255</v>
      </c>
      <c r="G138" s="130" t="s">
        <v>255</v>
      </c>
      <c r="H138" s="51"/>
      <c r="I138" s="51"/>
    </row>
    <row r="139" spans="1:9" hidden="1" outlineLevel="2" x14ac:dyDescent="0.25">
      <c r="A139" s="106" t="s">
        <v>400</v>
      </c>
      <c r="B139" s="123" t="s">
        <v>401</v>
      </c>
      <c r="C139" s="130" t="s">
        <v>255</v>
      </c>
      <c r="D139" s="130" t="s">
        <v>255</v>
      </c>
      <c r="E139" s="130" t="s">
        <v>255</v>
      </c>
      <c r="F139" s="130" t="s">
        <v>255</v>
      </c>
      <c r="G139" s="130" t="s">
        <v>255</v>
      </c>
      <c r="H139" s="51"/>
      <c r="I139" s="51"/>
    </row>
    <row r="140" spans="1:9" hidden="1" outlineLevel="2" x14ac:dyDescent="0.25">
      <c r="A140" s="106" t="s">
        <v>402</v>
      </c>
      <c r="B140" s="123" t="s">
        <v>403</v>
      </c>
      <c r="C140" s="132">
        <v>9592</v>
      </c>
      <c r="D140" s="132">
        <v>9592</v>
      </c>
      <c r="E140" s="132">
        <v>9592</v>
      </c>
      <c r="F140" s="132">
        <v>9592</v>
      </c>
      <c r="G140" s="132">
        <v>9592</v>
      </c>
      <c r="H140" s="51"/>
      <c r="I140" s="51"/>
    </row>
    <row r="141" spans="1:9" hidden="1" outlineLevel="2" x14ac:dyDescent="0.25">
      <c r="A141" t="s">
        <v>311</v>
      </c>
      <c r="B141" s="123"/>
      <c r="C141" s="110">
        <v>0</v>
      </c>
      <c r="D141" s="110">
        <v>0</v>
      </c>
      <c r="E141" s="110">
        <v>0</v>
      </c>
      <c r="F141" s="110">
        <v>0</v>
      </c>
      <c r="G141" s="110">
        <v>0</v>
      </c>
      <c r="H141" s="51"/>
      <c r="I141" s="51"/>
    </row>
    <row r="142" spans="1:9" hidden="1" outlineLevel="2" x14ac:dyDescent="0.25">
      <c r="B142" s="123"/>
      <c r="C142" s="118"/>
      <c r="D142" s="118"/>
      <c r="E142" s="118"/>
      <c r="F142" s="118"/>
      <c r="G142" s="118"/>
      <c r="H142" s="51"/>
      <c r="I142" s="51"/>
    </row>
    <row r="143" spans="1:9" outlineLevel="1" collapsed="1" x14ac:dyDescent="0.25">
      <c r="A143" s="103" t="s">
        <v>404</v>
      </c>
      <c r="B143" s="123">
        <v>11070</v>
      </c>
      <c r="C143" s="117">
        <v>0</v>
      </c>
      <c r="D143" s="117">
        <v>0</v>
      </c>
      <c r="E143" s="117">
        <v>0</v>
      </c>
      <c r="F143" s="117">
        <v>0</v>
      </c>
      <c r="G143" s="117">
        <v>0</v>
      </c>
      <c r="H143" s="51"/>
      <c r="I143" s="51"/>
    </row>
    <row r="144" spans="1:9" hidden="1" outlineLevel="2" x14ac:dyDescent="0.25">
      <c r="B144" s="123"/>
      <c r="C144" s="112"/>
      <c r="D144" s="112"/>
      <c r="E144" s="112"/>
      <c r="F144" s="112"/>
      <c r="G144" s="112"/>
      <c r="H144" s="51"/>
      <c r="I144" s="51"/>
    </row>
    <row r="145" spans="1:9" hidden="1" outlineLevel="2" x14ac:dyDescent="0.25">
      <c r="A145" s="106" t="s">
        <v>405</v>
      </c>
      <c r="B145" s="123" t="s">
        <v>406</v>
      </c>
      <c r="C145" s="110" t="s">
        <v>255</v>
      </c>
      <c r="D145" s="110" t="s">
        <v>255</v>
      </c>
      <c r="E145" s="110" t="s">
        <v>255</v>
      </c>
      <c r="F145" s="110" t="s">
        <v>255</v>
      </c>
      <c r="G145" s="110" t="s">
        <v>255</v>
      </c>
      <c r="H145" s="51"/>
      <c r="I145" s="51"/>
    </row>
    <row r="146" spans="1:9" hidden="1" outlineLevel="2" x14ac:dyDescent="0.25">
      <c r="A146" s="106" t="s">
        <v>336</v>
      </c>
      <c r="B146" s="123" t="s">
        <v>337</v>
      </c>
      <c r="C146" s="110" t="s">
        <v>255</v>
      </c>
      <c r="D146" s="110" t="s">
        <v>255</v>
      </c>
      <c r="E146" s="110" t="s">
        <v>255</v>
      </c>
      <c r="F146" s="110" t="s">
        <v>255</v>
      </c>
      <c r="G146" s="110" t="s">
        <v>255</v>
      </c>
      <c r="H146" s="51"/>
      <c r="I146" s="51"/>
    </row>
    <row r="147" spans="1:9" hidden="1" outlineLevel="2" x14ac:dyDescent="0.25">
      <c r="A147" s="106" t="s">
        <v>269</v>
      </c>
      <c r="B147" s="123" t="s">
        <v>270</v>
      </c>
      <c r="C147" s="110" t="s">
        <v>255</v>
      </c>
      <c r="D147" s="110" t="s">
        <v>255</v>
      </c>
      <c r="E147" s="110" t="s">
        <v>255</v>
      </c>
      <c r="F147" s="110" t="s">
        <v>255</v>
      </c>
      <c r="G147" s="110" t="s">
        <v>255</v>
      </c>
      <c r="H147" s="51"/>
      <c r="I147" s="51"/>
    </row>
    <row r="148" spans="1:9" hidden="1" outlineLevel="2" x14ac:dyDescent="0.25">
      <c r="A148" s="106" t="s">
        <v>291</v>
      </c>
      <c r="B148" s="123" t="s">
        <v>292</v>
      </c>
      <c r="C148" s="110" t="s">
        <v>255</v>
      </c>
      <c r="D148" s="110" t="s">
        <v>255</v>
      </c>
      <c r="E148" s="110" t="s">
        <v>255</v>
      </c>
      <c r="F148" s="110" t="s">
        <v>255</v>
      </c>
      <c r="G148" s="110" t="s">
        <v>255</v>
      </c>
      <c r="H148" s="51"/>
      <c r="I148" s="51"/>
    </row>
    <row r="149" spans="1:9" hidden="1" outlineLevel="2" x14ac:dyDescent="0.25">
      <c r="A149" s="106" t="s">
        <v>407</v>
      </c>
      <c r="B149" s="123" t="s">
        <v>408</v>
      </c>
      <c r="C149" s="110" t="s">
        <v>255</v>
      </c>
      <c r="D149" s="110" t="s">
        <v>255</v>
      </c>
      <c r="E149" s="110" t="s">
        <v>255</v>
      </c>
      <c r="F149" s="110" t="s">
        <v>255</v>
      </c>
      <c r="G149" s="110" t="s">
        <v>255</v>
      </c>
      <c r="H149" s="51"/>
      <c r="I149" s="51"/>
    </row>
    <row r="150" spans="1:9" hidden="1" outlineLevel="2" x14ac:dyDescent="0.25">
      <c r="A150" s="106" t="s">
        <v>409</v>
      </c>
      <c r="B150" s="123" t="s">
        <v>410</v>
      </c>
      <c r="C150" s="110" t="s">
        <v>255</v>
      </c>
      <c r="D150" s="110" t="s">
        <v>255</v>
      </c>
      <c r="E150" s="110" t="s">
        <v>255</v>
      </c>
      <c r="F150" s="110" t="s">
        <v>255</v>
      </c>
      <c r="G150" s="110" t="s">
        <v>255</v>
      </c>
      <c r="H150" s="51"/>
      <c r="I150" s="51"/>
    </row>
    <row r="151" spans="1:9" hidden="1" outlineLevel="2" x14ac:dyDescent="0.25">
      <c r="A151" s="106" t="s">
        <v>411</v>
      </c>
      <c r="B151" s="123" t="s">
        <v>412</v>
      </c>
      <c r="C151" s="110" t="s">
        <v>255</v>
      </c>
      <c r="D151" s="110" t="s">
        <v>255</v>
      </c>
      <c r="E151" s="110" t="s">
        <v>255</v>
      </c>
      <c r="F151" s="110" t="s">
        <v>255</v>
      </c>
      <c r="G151" s="110" t="s">
        <v>255</v>
      </c>
      <c r="H151" s="51"/>
      <c r="I151" s="51"/>
    </row>
    <row r="152" spans="1:9" hidden="1" outlineLevel="2" x14ac:dyDescent="0.25">
      <c r="A152" s="106" t="s">
        <v>400</v>
      </c>
      <c r="B152" s="123" t="s">
        <v>401</v>
      </c>
      <c r="C152" s="110" t="s">
        <v>255</v>
      </c>
      <c r="D152" s="110" t="s">
        <v>255</v>
      </c>
      <c r="E152" s="110" t="s">
        <v>255</v>
      </c>
      <c r="F152" s="110" t="s">
        <v>255</v>
      </c>
      <c r="G152" s="110" t="s">
        <v>255</v>
      </c>
      <c r="H152" s="51"/>
      <c r="I152" s="51"/>
    </row>
    <row r="153" spans="1:9" hidden="1" outlineLevel="2" x14ac:dyDescent="0.25">
      <c r="A153" s="106" t="s">
        <v>397</v>
      </c>
      <c r="B153" s="123" t="s">
        <v>397</v>
      </c>
      <c r="C153" s="110" t="s">
        <v>255</v>
      </c>
      <c r="D153" s="110" t="s">
        <v>255</v>
      </c>
      <c r="E153" s="110" t="s">
        <v>255</v>
      </c>
      <c r="F153" s="110" t="s">
        <v>255</v>
      </c>
      <c r="G153" s="110" t="s">
        <v>255</v>
      </c>
      <c r="H153" s="51"/>
      <c r="I153" s="51"/>
    </row>
    <row r="154" spans="1:9" hidden="1" outlineLevel="2" x14ac:dyDescent="0.25">
      <c r="A154" t="s">
        <v>311</v>
      </c>
      <c r="B154" s="123"/>
      <c r="C154" s="112">
        <v>0</v>
      </c>
      <c r="D154" s="112">
        <v>0</v>
      </c>
      <c r="E154" s="112">
        <v>0</v>
      </c>
      <c r="F154" s="112">
        <v>0</v>
      </c>
      <c r="G154" s="112">
        <v>0</v>
      </c>
      <c r="H154" s="51"/>
      <c r="I154" s="51"/>
    </row>
    <row r="155" spans="1:9" hidden="1" outlineLevel="2" x14ac:dyDescent="0.25">
      <c r="B155" s="123"/>
      <c r="C155" s="112"/>
      <c r="D155" s="112"/>
      <c r="E155" s="112"/>
      <c r="F155" s="112"/>
      <c r="G155" s="112"/>
      <c r="H155" s="51"/>
      <c r="I155" s="51"/>
    </row>
    <row r="156" spans="1:9" ht="14.4" outlineLevel="1" collapsed="1" x14ac:dyDescent="0.3">
      <c r="A156" t="s">
        <v>136</v>
      </c>
      <c r="B156" s="123"/>
      <c r="C156" s="249">
        <v>108676.46502000108</v>
      </c>
      <c r="D156" s="249">
        <v>108676.46502000108</v>
      </c>
      <c r="E156" s="249">
        <v>108676.46502000108</v>
      </c>
      <c r="F156" s="249">
        <v>108676.46502000108</v>
      </c>
      <c r="G156" s="249">
        <v>108676.46502000108</v>
      </c>
      <c r="H156" s="51"/>
      <c r="I156" s="51"/>
    </row>
    <row r="157" spans="1:9" outlineLevel="1" x14ac:dyDescent="0.25">
      <c r="A157" s="103" t="s">
        <v>137</v>
      </c>
      <c r="B157" s="123">
        <v>11080</v>
      </c>
      <c r="C157" s="117">
        <v>108676.46502000108</v>
      </c>
      <c r="D157" s="117">
        <v>108676.46502000108</v>
      </c>
      <c r="E157" s="117">
        <v>108676.46502000108</v>
      </c>
      <c r="F157" s="117">
        <v>108676.46502000108</v>
      </c>
      <c r="G157" s="117">
        <v>108676.46502000108</v>
      </c>
      <c r="H157" s="51"/>
      <c r="I157" s="51"/>
    </row>
    <row r="158" spans="1:9" outlineLevel="1" x14ac:dyDescent="0.25">
      <c r="A158" t="s">
        <v>138</v>
      </c>
      <c r="B158" s="123"/>
      <c r="C158" s="112">
        <v>1905983.94</v>
      </c>
      <c r="D158" s="112">
        <v>1905983.94</v>
      </c>
      <c r="E158" s="112">
        <v>1905983.94</v>
      </c>
      <c r="F158" s="112">
        <v>1905983.94</v>
      </c>
      <c r="G158" s="112">
        <v>1905983.94</v>
      </c>
      <c r="H158" s="51"/>
      <c r="I158" s="51"/>
    </row>
    <row r="159" spans="1:9" outlineLevel="1" x14ac:dyDescent="0.25">
      <c r="A159" s="103" t="s">
        <v>139</v>
      </c>
      <c r="B159" s="123">
        <v>12630</v>
      </c>
      <c r="C159" s="115">
        <v>1905983.94</v>
      </c>
      <c r="D159" s="115">
        <v>1905983.94</v>
      </c>
      <c r="E159" s="115">
        <v>1905983.94</v>
      </c>
      <c r="F159" s="115">
        <v>1905983.94</v>
      </c>
      <c r="G159" s="115">
        <v>1905983.94</v>
      </c>
      <c r="H159" s="51"/>
      <c r="I159" s="51"/>
    </row>
    <row r="160" spans="1:9" ht="14.4" outlineLevel="1" x14ac:dyDescent="0.3">
      <c r="A160" s="124" t="s">
        <v>140</v>
      </c>
      <c r="B160" s="123">
        <v>12660</v>
      </c>
      <c r="C160" s="115">
        <v>0</v>
      </c>
      <c r="D160" s="115">
        <v>0</v>
      </c>
      <c r="E160" s="115">
        <v>0</v>
      </c>
      <c r="F160" s="115">
        <v>0</v>
      </c>
      <c r="G160" s="115">
        <v>0</v>
      </c>
      <c r="H160" s="51"/>
      <c r="I160" s="51"/>
    </row>
    <row r="161" spans="1:9" outlineLevel="1" x14ac:dyDescent="0.25">
      <c r="A161" t="s">
        <v>141</v>
      </c>
      <c r="B161" s="123">
        <v>12815</v>
      </c>
      <c r="C161" s="110">
        <v>1124739.1000000001</v>
      </c>
      <c r="D161" s="110">
        <v>1124739.1000000001</v>
      </c>
      <c r="E161" s="110">
        <v>1124739.1000000001</v>
      </c>
      <c r="F161" s="110">
        <v>1124739.1000000001</v>
      </c>
      <c r="G161" s="110">
        <v>1124739.1000000001</v>
      </c>
      <c r="H161" s="51"/>
      <c r="I161" s="51"/>
    </row>
    <row r="162" spans="1:9" outlineLevel="1" x14ac:dyDescent="0.25">
      <c r="A162" t="s">
        <v>142</v>
      </c>
      <c r="B162" s="123"/>
      <c r="C162" s="112">
        <v>3420530.2428571396</v>
      </c>
      <c r="D162" s="112">
        <v>920530.24285713956</v>
      </c>
      <c r="E162" s="112">
        <v>920530.24285713956</v>
      </c>
      <c r="F162" s="112">
        <v>920530.24285713956</v>
      </c>
      <c r="G162" s="112">
        <v>920530.24285713956</v>
      </c>
      <c r="H162" s="51"/>
      <c r="I162" s="51"/>
    </row>
    <row r="163" spans="1:9" outlineLevel="1" x14ac:dyDescent="0.25">
      <c r="A163" s="103" t="s">
        <v>143</v>
      </c>
      <c r="B163" s="123">
        <v>12850</v>
      </c>
      <c r="C163" s="110">
        <v>0</v>
      </c>
      <c r="D163" s="110">
        <v>0</v>
      </c>
      <c r="E163" s="110">
        <v>0</v>
      </c>
      <c r="F163" s="110">
        <v>0</v>
      </c>
      <c r="G163" s="110">
        <v>0</v>
      </c>
      <c r="H163" s="51"/>
      <c r="I163" s="51"/>
    </row>
    <row r="164" spans="1:9" outlineLevel="1" x14ac:dyDescent="0.25">
      <c r="A164" s="103" t="s">
        <v>144</v>
      </c>
      <c r="B164" s="123">
        <v>12050</v>
      </c>
      <c r="C164" s="109">
        <v>3420530.2428571396</v>
      </c>
      <c r="D164" s="109">
        <v>920530.24285713956</v>
      </c>
      <c r="E164" s="109">
        <v>920530.24285713956</v>
      </c>
      <c r="F164" s="109">
        <v>920530.24285713956</v>
      </c>
      <c r="G164" s="109">
        <v>920530.24285713956</v>
      </c>
      <c r="H164" s="51"/>
      <c r="I164" s="51"/>
    </row>
    <row r="165" spans="1:9" outlineLevel="1" x14ac:dyDescent="0.25">
      <c r="A165" s="103" t="s">
        <v>413</v>
      </c>
      <c r="B165" s="123">
        <v>11060</v>
      </c>
      <c r="C165" s="110" t="s">
        <v>255</v>
      </c>
      <c r="D165" s="110" t="s">
        <v>255</v>
      </c>
      <c r="E165" s="110" t="s">
        <v>255</v>
      </c>
      <c r="F165" s="110" t="s">
        <v>255</v>
      </c>
      <c r="G165" s="110" t="s">
        <v>255</v>
      </c>
      <c r="H165" s="51"/>
      <c r="I165" s="51"/>
    </row>
    <row r="166" spans="1:9" ht="15" thickBot="1" x14ac:dyDescent="0.35">
      <c r="A166" s="105" t="s">
        <v>145</v>
      </c>
      <c r="B166" s="129"/>
      <c r="C166" s="133">
        <v>2270225859.2603383</v>
      </c>
      <c r="D166" s="133">
        <v>2297662304.4003386</v>
      </c>
      <c r="E166" s="133">
        <v>2330203740.5503383</v>
      </c>
      <c r="F166" s="133">
        <v>2365207676.7003384</v>
      </c>
      <c r="G166" s="133">
        <v>2390099112.850338</v>
      </c>
      <c r="H166" s="51"/>
      <c r="I166" s="51"/>
    </row>
    <row r="167" spans="1:9" x14ac:dyDescent="0.25">
      <c r="B167" s="123"/>
      <c r="C167" s="112"/>
      <c r="D167" s="112"/>
      <c r="E167" s="112"/>
      <c r="F167" s="112"/>
      <c r="G167" s="112"/>
      <c r="H167" s="51"/>
      <c r="I167" s="51"/>
    </row>
    <row r="168" spans="1:9" ht="15" thickBot="1" x14ac:dyDescent="0.35">
      <c r="A168" s="105" t="s">
        <v>146</v>
      </c>
      <c r="B168" s="105"/>
      <c r="C168" s="116">
        <v>7011938.7039999999</v>
      </c>
      <c r="D168" s="116">
        <v>8065218.7773333341</v>
      </c>
      <c r="E168" s="116">
        <v>8994066.5573333334</v>
      </c>
      <c r="F168" s="116">
        <v>10372914.337333333</v>
      </c>
      <c r="G168" s="116">
        <v>11301762.117333334</v>
      </c>
      <c r="H168" s="51"/>
      <c r="I168" s="51"/>
    </row>
    <row r="169" spans="1:9" hidden="1" outlineLevel="1" x14ac:dyDescent="0.25">
      <c r="A169" s="103" t="s">
        <v>148</v>
      </c>
      <c r="B169" s="123">
        <v>17095</v>
      </c>
      <c r="C169" s="115">
        <v>10942185.256666668</v>
      </c>
      <c r="D169" s="115">
        <v>12942185.256666668</v>
      </c>
      <c r="E169" s="115">
        <v>14492185.256666668</v>
      </c>
      <c r="F169" s="115">
        <v>16492185.256666668</v>
      </c>
      <c r="G169" s="115">
        <v>18042185.256666668</v>
      </c>
      <c r="H169" s="51"/>
      <c r="I169" s="51"/>
    </row>
    <row r="170" spans="1:9" hidden="1" outlineLevel="1" x14ac:dyDescent="0.25">
      <c r="A170" s="103" t="s">
        <v>149</v>
      </c>
      <c r="B170" s="123">
        <v>17320</v>
      </c>
      <c r="C170" s="115">
        <v>-4841822.0726666674</v>
      </c>
      <c r="D170" s="115">
        <v>-5788541.9993333342</v>
      </c>
      <c r="E170" s="115">
        <v>-6409694.2193333339</v>
      </c>
      <c r="F170" s="115">
        <v>-7030846.4393333336</v>
      </c>
      <c r="G170" s="115">
        <v>-7651998.6593333334</v>
      </c>
      <c r="H170" s="51"/>
      <c r="I170" s="51"/>
    </row>
    <row r="171" spans="1:9" hidden="1" outlineLevel="1" x14ac:dyDescent="0.25">
      <c r="A171" s="103" t="s">
        <v>147</v>
      </c>
      <c r="B171" s="123">
        <v>18000</v>
      </c>
      <c r="C171" s="110">
        <v>0</v>
      </c>
      <c r="D171" s="110">
        <v>0</v>
      </c>
      <c r="E171" s="110">
        <v>0</v>
      </c>
      <c r="F171" s="110">
        <v>0</v>
      </c>
      <c r="G171" s="110">
        <v>0</v>
      </c>
      <c r="H171" s="51"/>
      <c r="I171" s="51"/>
    </row>
    <row r="172" spans="1:9" hidden="1" outlineLevel="1" x14ac:dyDescent="0.25">
      <c r="A172" s="103" t="s">
        <v>150</v>
      </c>
      <c r="B172" s="123">
        <v>18005</v>
      </c>
      <c r="C172" s="110">
        <v>911575.52</v>
      </c>
      <c r="D172" s="110">
        <v>911575.52</v>
      </c>
      <c r="E172" s="110">
        <v>911575.52</v>
      </c>
      <c r="F172" s="110">
        <v>911575.52</v>
      </c>
      <c r="G172" s="110">
        <v>911575.52</v>
      </c>
      <c r="H172" s="51"/>
      <c r="I172" s="51"/>
    </row>
    <row r="173" spans="1:9" collapsed="1" x14ac:dyDescent="0.25">
      <c r="B173" s="123"/>
      <c r="C173" s="112"/>
      <c r="D173" s="112"/>
      <c r="E173" s="112"/>
      <c r="F173" s="112"/>
      <c r="G173" s="112"/>
      <c r="H173" s="51"/>
      <c r="I173" s="51"/>
    </row>
    <row r="174" spans="1:9" ht="14.4" x14ac:dyDescent="0.3">
      <c r="A174" s="102" t="s">
        <v>151</v>
      </c>
      <c r="B174" s="123"/>
      <c r="C174" s="112"/>
      <c r="D174" s="112"/>
      <c r="E174" s="112"/>
      <c r="F174" s="112"/>
      <c r="G174" s="112"/>
      <c r="H174" s="51"/>
      <c r="I174" s="51"/>
    </row>
    <row r="175" spans="1:9" hidden="1" outlineLevel="1" x14ac:dyDescent="0.25">
      <c r="A175" t="s">
        <v>152</v>
      </c>
      <c r="B175" s="123"/>
      <c r="C175" s="112">
        <v>3285192.46</v>
      </c>
      <c r="D175" s="112">
        <v>3285192.46</v>
      </c>
      <c r="E175" s="112">
        <v>3285192.46</v>
      </c>
      <c r="F175" s="112">
        <v>3285192.46</v>
      </c>
      <c r="G175" s="112">
        <v>3285192.46</v>
      </c>
      <c r="H175" s="51"/>
      <c r="I175" s="51"/>
    </row>
    <row r="176" spans="1:9" hidden="1" outlineLevel="1" x14ac:dyDescent="0.25">
      <c r="A176" s="103" t="s">
        <v>153</v>
      </c>
      <c r="B176" s="123">
        <v>13760</v>
      </c>
      <c r="C176" s="110">
        <v>3285192.46</v>
      </c>
      <c r="D176" s="110">
        <v>3285192.46</v>
      </c>
      <c r="E176" s="110">
        <v>3285192.46</v>
      </c>
      <c r="F176" s="110">
        <v>3285192.46</v>
      </c>
      <c r="G176" s="110">
        <v>3285192.46</v>
      </c>
      <c r="H176" s="51"/>
      <c r="I176" s="51"/>
    </row>
    <row r="177" spans="1:9" hidden="1" outlineLevel="1" x14ac:dyDescent="0.25">
      <c r="A177" t="s">
        <v>414</v>
      </c>
      <c r="B177" s="123">
        <v>16925</v>
      </c>
      <c r="C177" s="110" t="s">
        <v>255</v>
      </c>
      <c r="D177" s="110" t="s">
        <v>255</v>
      </c>
      <c r="E177" s="110" t="s">
        <v>255</v>
      </c>
      <c r="F177" s="110" t="s">
        <v>255</v>
      </c>
      <c r="G177" s="110" t="s">
        <v>255</v>
      </c>
      <c r="H177" s="51"/>
      <c r="I177" s="51"/>
    </row>
    <row r="178" spans="1:9" hidden="1" outlineLevel="1" x14ac:dyDescent="0.25">
      <c r="A178" t="s">
        <v>415</v>
      </c>
      <c r="B178" s="123"/>
      <c r="C178" s="112">
        <v>0</v>
      </c>
      <c r="D178" s="112">
        <v>0</v>
      </c>
      <c r="E178" s="112">
        <v>0</v>
      </c>
      <c r="F178" s="112">
        <v>0</v>
      </c>
      <c r="G178" s="112">
        <v>0</v>
      </c>
      <c r="H178" s="51"/>
      <c r="I178" s="51"/>
    </row>
    <row r="179" spans="1:9" hidden="1" outlineLevel="1" x14ac:dyDescent="0.25">
      <c r="A179" s="103" t="s">
        <v>416</v>
      </c>
      <c r="B179" s="123">
        <v>16360</v>
      </c>
      <c r="C179" s="110" t="s">
        <v>255</v>
      </c>
      <c r="D179" s="110" t="s">
        <v>255</v>
      </c>
      <c r="E179" s="110" t="s">
        <v>255</v>
      </c>
      <c r="F179" s="110" t="s">
        <v>255</v>
      </c>
      <c r="G179" s="110" t="s">
        <v>255</v>
      </c>
      <c r="H179" s="51"/>
      <c r="I179" s="51"/>
    </row>
    <row r="180" spans="1:9" hidden="1" outlineLevel="1" x14ac:dyDescent="0.25">
      <c r="A180" s="103" t="s">
        <v>417</v>
      </c>
      <c r="B180" s="123">
        <v>16590</v>
      </c>
      <c r="C180" s="110" t="s">
        <v>255</v>
      </c>
      <c r="D180" s="110" t="s">
        <v>255</v>
      </c>
      <c r="E180" s="110" t="s">
        <v>255</v>
      </c>
      <c r="F180" s="110" t="s">
        <v>255</v>
      </c>
      <c r="G180" s="110" t="s">
        <v>255</v>
      </c>
      <c r="H180" s="51"/>
      <c r="I180" s="51"/>
    </row>
    <row r="181" spans="1:9" hidden="1" outlineLevel="1" x14ac:dyDescent="0.25">
      <c r="A181" t="s">
        <v>155</v>
      </c>
      <c r="B181" s="123">
        <v>15100</v>
      </c>
      <c r="C181" s="110">
        <v>2959772</v>
      </c>
      <c r="D181" s="110">
        <v>2959772</v>
      </c>
      <c r="E181" s="110">
        <v>2959772</v>
      </c>
      <c r="F181" s="110">
        <v>2959772</v>
      </c>
      <c r="G181" s="110">
        <v>2959772</v>
      </c>
      <c r="H181" s="51"/>
      <c r="I181" s="51"/>
    </row>
    <row r="182" spans="1:9" hidden="1" outlineLevel="1" x14ac:dyDescent="0.25">
      <c r="A182" t="s">
        <v>156</v>
      </c>
      <c r="B182" s="123"/>
      <c r="C182" s="112">
        <v>8580942445.689003</v>
      </c>
      <c r="D182" s="112">
        <v>8729598767.2717648</v>
      </c>
      <c r="E182" s="112">
        <v>8897077588.8545246</v>
      </c>
      <c r="F182" s="112">
        <v>8917019696.5211468</v>
      </c>
      <c r="G182" s="112">
        <v>8938060414.1039066</v>
      </c>
      <c r="H182" s="51"/>
      <c r="I182" s="51"/>
    </row>
    <row r="183" spans="1:9" hidden="1" outlineLevel="1" x14ac:dyDescent="0.25">
      <c r="A183" s="103" t="s">
        <v>418</v>
      </c>
      <c r="B183" s="123">
        <v>13010</v>
      </c>
      <c r="C183" s="115">
        <v>0</v>
      </c>
      <c r="D183" s="115">
        <v>0</v>
      </c>
      <c r="E183" s="115">
        <v>0</v>
      </c>
      <c r="F183" s="115">
        <v>0</v>
      </c>
      <c r="G183" s="115">
        <v>0</v>
      </c>
      <c r="H183" s="51"/>
      <c r="I183" s="51"/>
    </row>
    <row r="184" spans="1:9" hidden="1" outlineLevel="1" x14ac:dyDescent="0.25">
      <c r="A184" s="103" t="s">
        <v>157</v>
      </c>
      <c r="B184" s="123">
        <v>14080</v>
      </c>
      <c r="C184" s="109">
        <v>2500000.04</v>
      </c>
      <c r="D184" s="109">
        <v>2500000.04</v>
      </c>
      <c r="E184" s="109">
        <v>2500000.04</v>
      </c>
      <c r="F184" s="109">
        <v>2500000.04</v>
      </c>
      <c r="G184" s="109">
        <v>2500000.04</v>
      </c>
      <c r="H184" s="51"/>
      <c r="I184" s="51"/>
    </row>
    <row r="185" spans="1:9" hidden="1" outlineLevel="1" x14ac:dyDescent="0.25">
      <c r="A185" s="103" t="s">
        <v>419</v>
      </c>
      <c r="B185" s="123">
        <v>14100</v>
      </c>
      <c r="C185" s="110" t="s">
        <v>255</v>
      </c>
      <c r="D185" s="110" t="s">
        <v>255</v>
      </c>
      <c r="E185" s="110" t="s">
        <v>255</v>
      </c>
      <c r="F185" s="110" t="s">
        <v>255</v>
      </c>
      <c r="G185" s="110" t="s">
        <v>255</v>
      </c>
      <c r="H185" s="51"/>
      <c r="I185" s="51"/>
    </row>
    <row r="186" spans="1:9" hidden="1" outlineLevel="1" x14ac:dyDescent="0.25">
      <c r="A186" s="103" t="s">
        <v>420</v>
      </c>
      <c r="B186" s="123">
        <v>16825</v>
      </c>
      <c r="C186" s="110" t="s">
        <v>255</v>
      </c>
      <c r="D186" s="110" t="s">
        <v>255</v>
      </c>
      <c r="E186" s="110" t="s">
        <v>255</v>
      </c>
      <c r="F186" s="110" t="s">
        <v>255</v>
      </c>
      <c r="G186" s="110" t="s">
        <v>255</v>
      </c>
      <c r="H186" s="51"/>
      <c r="I186" s="51"/>
    </row>
    <row r="187" spans="1:9" hidden="1" outlineLevel="1" x14ac:dyDescent="0.25">
      <c r="A187" s="103" t="s">
        <v>158</v>
      </c>
      <c r="B187" s="123">
        <v>16700</v>
      </c>
      <c r="C187" s="117">
        <v>8564345188.5128956</v>
      </c>
      <c r="D187" s="117">
        <v>8715281346.035656</v>
      </c>
      <c r="E187" s="117">
        <v>8885885003.5584164</v>
      </c>
      <c r="F187" s="117">
        <v>8909472249.1650391</v>
      </c>
      <c r="G187" s="117">
        <v>8934963406.6877995</v>
      </c>
      <c r="H187" s="51"/>
      <c r="I187" s="51"/>
    </row>
    <row r="188" spans="1:9" hidden="1" outlineLevel="2" x14ac:dyDescent="0.25">
      <c r="B188" s="123"/>
      <c r="C188" s="112"/>
      <c r="D188" s="112"/>
      <c r="E188" s="112"/>
      <c r="F188" s="112"/>
      <c r="G188" s="112"/>
      <c r="H188" s="51"/>
      <c r="I188" s="51"/>
    </row>
    <row r="189" spans="1:9" hidden="1" outlineLevel="2" x14ac:dyDescent="0.25">
      <c r="A189" s="106" t="s">
        <v>257</v>
      </c>
      <c r="B189" s="123" t="s">
        <v>258</v>
      </c>
      <c r="C189" s="119">
        <v>1414827179.3700001</v>
      </c>
      <c r="D189" s="119">
        <v>1415240308.4519999</v>
      </c>
      <c r="E189" s="119">
        <v>1538690937.5339997</v>
      </c>
      <c r="F189" s="119">
        <v>1539120154.6998618</v>
      </c>
      <c r="G189" s="119">
        <v>1539608283.7818615</v>
      </c>
      <c r="H189" s="51"/>
      <c r="I189" s="51"/>
    </row>
    <row r="190" spans="1:9" hidden="1" outlineLevel="2" x14ac:dyDescent="0.25">
      <c r="A190" s="106" t="s">
        <v>405</v>
      </c>
      <c r="B190" s="123" t="s">
        <v>406</v>
      </c>
      <c r="C190" s="110" t="s">
        <v>255</v>
      </c>
      <c r="D190" s="110" t="s">
        <v>255</v>
      </c>
      <c r="E190" s="110" t="s">
        <v>255</v>
      </c>
      <c r="F190" s="110" t="s">
        <v>255</v>
      </c>
      <c r="G190" s="110" t="s">
        <v>255</v>
      </c>
      <c r="H190" s="51"/>
      <c r="I190" s="51"/>
    </row>
    <row r="191" spans="1:9" hidden="1" outlineLevel="2" x14ac:dyDescent="0.25">
      <c r="A191" s="106" t="s">
        <v>421</v>
      </c>
      <c r="B191" s="123" t="s">
        <v>260</v>
      </c>
      <c r="C191" s="117">
        <v>95846217</v>
      </c>
      <c r="D191" s="117">
        <v>106046217</v>
      </c>
      <c r="E191" s="117">
        <v>116246217</v>
      </c>
      <c r="F191" s="117">
        <v>126446217</v>
      </c>
      <c r="G191" s="117">
        <v>136646217</v>
      </c>
      <c r="H191" s="51"/>
      <c r="I191" s="51"/>
    </row>
    <row r="192" spans="1:9" hidden="1" outlineLevel="2" x14ac:dyDescent="0.25">
      <c r="A192" s="106" t="s">
        <v>312</v>
      </c>
      <c r="B192" s="123" t="s">
        <v>313</v>
      </c>
      <c r="C192" s="110">
        <v>4</v>
      </c>
      <c r="D192" s="110">
        <v>4</v>
      </c>
      <c r="E192" s="110">
        <v>4</v>
      </c>
      <c r="F192" s="110">
        <v>4</v>
      </c>
      <c r="G192" s="110">
        <v>4</v>
      </c>
      <c r="H192" s="51"/>
      <c r="I192" s="51"/>
    </row>
    <row r="193" spans="1:9" hidden="1" outlineLevel="2" x14ac:dyDescent="0.25">
      <c r="A193" s="106" t="s">
        <v>422</v>
      </c>
      <c r="B193" s="123" t="s">
        <v>423</v>
      </c>
      <c r="C193" s="117">
        <v>8144745</v>
      </c>
      <c r="D193" s="117">
        <v>8144745</v>
      </c>
      <c r="E193" s="117">
        <v>8144745</v>
      </c>
      <c r="F193" s="117">
        <v>8144745</v>
      </c>
      <c r="G193" s="117">
        <v>8144745</v>
      </c>
      <c r="H193" s="51"/>
      <c r="I193" s="51"/>
    </row>
    <row r="194" spans="1:9" hidden="1" outlineLevel="2" x14ac:dyDescent="0.25">
      <c r="A194" s="106" t="s">
        <v>315</v>
      </c>
      <c r="B194" s="123" t="s">
        <v>316</v>
      </c>
      <c r="C194" s="110" t="s">
        <v>255</v>
      </c>
      <c r="D194" s="110" t="s">
        <v>255</v>
      </c>
      <c r="E194" s="110" t="s">
        <v>255</v>
      </c>
      <c r="F194" s="110" t="s">
        <v>255</v>
      </c>
      <c r="G194" s="110" t="s">
        <v>255</v>
      </c>
      <c r="H194" s="51"/>
      <c r="I194" s="51"/>
    </row>
    <row r="195" spans="1:9" hidden="1" outlineLevel="2" x14ac:dyDescent="0.25">
      <c r="A195" s="106" t="s">
        <v>334</v>
      </c>
      <c r="B195" s="123" t="s">
        <v>335</v>
      </c>
      <c r="C195" s="110">
        <v>-6</v>
      </c>
      <c r="D195" s="110">
        <v>-6</v>
      </c>
      <c r="E195" s="110">
        <v>-6</v>
      </c>
      <c r="F195" s="110">
        <v>-6</v>
      </c>
      <c r="G195" s="110">
        <v>-6</v>
      </c>
      <c r="H195" s="51"/>
      <c r="I195" s="51"/>
    </row>
    <row r="196" spans="1:9" hidden="1" outlineLevel="2" x14ac:dyDescent="0.25">
      <c r="A196" s="106" t="s">
        <v>424</v>
      </c>
      <c r="B196" s="123" t="s">
        <v>337</v>
      </c>
      <c r="C196" s="117">
        <v>321437562.91400003</v>
      </c>
      <c r="D196" s="117">
        <v>451437562.91400003</v>
      </c>
      <c r="E196" s="117">
        <v>477437562.91400003</v>
      </c>
      <c r="F196" s="117">
        <v>477437562.91400003</v>
      </c>
      <c r="G196" s="117">
        <v>477437562.91400003</v>
      </c>
      <c r="H196" s="51"/>
      <c r="I196" s="51"/>
    </row>
    <row r="197" spans="1:9" hidden="1" outlineLevel="2" x14ac:dyDescent="0.25">
      <c r="A197" s="106" t="s">
        <v>338</v>
      </c>
      <c r="B197" s="123" t="s">
        <v>339</v>
      </c>
      <c r="C197" s="117">
        <v>53143841.416000001</v>
      </c>
      <c r="D197" s="117">
        <v>53143841.416000001</v>
      </c>
      <c r="E197" s="117">
        <v>53143841.416000001</v>
      </c>
      <c r="F197" s="117">
        <v>53143841.416000001</v>
      </c>
      <c r="G197" s="117">
        <v>53143841.416000001</v>
      </c>
      <c r="H197" s="51"/>
      <c r="I197" s="51"/>
    </row>
    <row r="198" spans="1:9" hidden="1" outlineLevel="2" x14ac:dyDescent="0.25">
      <c r="A198" s="106" t="s">
        <v>425</v>
      </c>
      <c r="B198" s="123" t="s">
        <v>426</v>
      </c>
      <c r="C198" s="110" t="s">
        <v>255</v>
      </c>
      <c r="D198" s="110" t="s">
        <v>255</v>
      </c>
      <c r="E198" s="110" t="s">
        <v>255</v>
      </c>
      <c r="F198" s="110" t="s">
        <v>255</v>
      </c>
      <c r="G198" s="110" t="s">
        <v>255</v>
      </c>
      <c r="H198" s="51"/>
      <c r="I198" s="51"/>
    </row>
    <row r="199" spans="1:9" hidden="1" outlineLevel="2" x14ac:dyDescent="0.25">
      <c r="A199" s="106" t="s">
        <v>344</v>
      </c>
      <c r="B199" s="123" t="s">
        <v>345</v>
      </c>
      <c r="C199" s="110" t="s">
        <v>255</v>
      </c>
      <c r="D199" s="110" t="s">
        <v>255</v>
      </c>
      <c r="E199" s="110" t="s">
        <v>255</v>
      </c>
      <c r="F199" s="110" t="s">
        <v>255</v>
      </c>
      <c r="G199" s="110" t="s">
        <v>255</v>
      </c>
      <c r="H199" s="51"/>
      <c r="I199" s="51"/>
    </row>
    <row r="200" spans="1:9" hidden="1" outlineLevel="2" x14ac:dyDescent="0.25">
      <c r="A200" s="106" t="s">
        <v>427</v>
      </c>
      <c r="B200" s="123" t="s">
        <v>272</v>
      </c>
      <c r="C200" s="110" t="s">
        <v>255</v>
      </c>
      <c r="D200" s="110" t="s">
        <v>255</v>
      </c>
      <c r="E200" s="110" t="s">
        <v>255</v>
      </c>
      <c r="F200" s="110" t="s">
        <v>255</v>
      </c>
      <c r="G200" s="110" t="s">
        <v>255</v>
      </c>
      <c r="H200" s="51"/>
      <c r="I200" s="51"/>
    </row>
    <row r="201" spans="1:9" hidden="1" outlineLevel="2" x14ac:dyDescent="0.25">
      <c r="A201" s="106" t="s">
        <v>273</v>
      </c>
      <c r="B201" s="123" t="s">
        <v>274</v>
      </c>
      <c r="C201" s="117">
        <v>2976068</v>
      </c>
      <c r="D201" s="117">
        <v>2976068</v>
      </c>
      <c r="E201" s="117">
        <v>2976068</v>
      </c>
      <c r="F201" s="117">
        <v>2976068</v>
      </c>
      <c r="G201" s="117">
        <v>2976068</v>
      </c>
      <c r="H201" s="51"/>
      <c r="I201" s="51"/>
    </row>
    <row r="202" spans="1:9" hidden="1" outlineLevel="2" x14ac:dyDescent="0.25">
      <c r="A202" s="106" t="s">
        <v>428</v>
      </c>
      <c r="B202" s="123" t="s">
        <v>429</v>
      </c>
      <c r="C202" s="117">
        <v>1011832215.7628945</v>
      </c>
      <c r="D202" s="117">
        <v>982955869.2036556</v>
      </c>
      <c r="E202" s="117">
        <v>953209522.64441669</v>
      </c>
      <c r="F202" s="117">
        <v>923478176.08517778</v>
      </c>
      <c r="G202" s="117">
        <v>893731829.52593887</v>
      </c>
      <c r="H202" s="51"/>
      <c r="I202" s="51"/>
    </row>
    <row r="203" spans="1:9" hidden="1" outlineLevel="2" x14ac:dyDescent="0.25">
      <c r="A203" s="106" t="s">
        <v>277</v>
      </c>
      <c r="B203" s="123" t="s">
        <v>278</v>
      </c>
      <c r="C203" s="117">
        <v>19694802.469999999</v>
      </c>
      <c r="D203" s="117">
        <v>19694802.469999999</v>
      </c>
      <c r="E203" s="117">
        <v>19694802.469999999</v>
      </c>
      <c r="F203" s="117">
        <v>19694802.469999999</v>
      </c>
      <c r="G203" s="117">
        <v>19694802.469999999</v>
      </c>
      <c r="H203" s="51"/>
      <c r="I203" s="51"/>
    </row>
    <row r="204" spans="1:9" hidden="1" outlineLevel="2" x14ac:dyDescent="0.25">
      <c r="A204" s="106" t="s">
        <v>430</v>
      </c>
      <c r="B204" s="123" t="s">
        <v>431</v>
      </c>
      <c r="C204" s="110" t="s">
        <v>255</v>
      </c>
      <c r="D204" s="110" t="s">
        <v>255</v>
      </c>
      <c r="E204" s="110" t="s">
        <v>255</v>
      </c>
      <c r="F204" s="110" t="s">
        <v>255</v>
      </c>
      <c r="G204" s="110" t="s">
        <v>255</v>
      </c>
      <c r="H204" s="51"/>
      <c r="I204" s="51"/>
    </row>
    <row r="205" spans="1:9" hidden="1" outlineLevel="2" x14ac:dyDescent="0.25">
      <c r="A205" s="106" t="s">
        <v>289</v>
      </c>
      <c r="B205" s="123" t="s">
        <v>290</v>
      </c>
      <c r="C205" s="110" t="s">
        <v>255</v>
      </c>
      <c r="D205" s="110" t="s">
        <v>255</v>
      </c>
      <c r="E205" s="110" t="s">
        <v>255</v>
      </c>
      <c r="F205" s="110" t="s">
        <v>255</v>
      </c>
      <c r="G205" s="110" t="s">
        <v>255</v>
      </c>
      <c r="H205" s="51"/>
      <c r="I205" s="51"/>
    </row>
    <row r="206" spans="1:9" hidden="1" outlineLevel="2" x14ac:dyDescent="0.25">
      <c r="A206" s="106" t="s">
        <v>293</v>
      </c>
      <c r="B206" s="123" t="s">
        <v>294</v>
      </c>
      <c r="C206" s="117">
        <v>291472498</v>
      </c>
      <c r="D206" s="117">
        <v>326521873</v>
      </c>
      <c r="E206" s="117">
        <v>361571248</v>
      </c>
      <c r="F206" s="117">
        <v>396620623</v>
      </c>
      <c r="G206" s="117">
        <v>431669998</v>
      </c>
      <c r="H206" s="51"/>
      <c r="I206" s="51"/>
    </row>
    <row r="207" spans="1:9" hidden="1" outlineLevel="2" x14ac:dyDescent="0.25">
      <c r="A207" s="106" t="s">
        <v>407</v>
      </c>
      <c r="B207" s="123" t="s">
        <v>408</v>
      </c>
      <c r="C207" s="110" t="s">
        <v>255</v>
      </c>
      <c r="D207" s="110" t="s">
        <v>255</v>
      </c>
      <c r="E207" s="110" t="s">
        <v>255</v>
      </c>
      <c r="F207" s="110" t="s">
        <v>255</v>
      </c>
      <c r="G207" s="110" t="s">
        <v>255</v>
      </c>
      <c r="H207" s="51"/>
      <c r="I207" s="51"/>
    </row>
    <row r="208" spans="1:9" hidden="1" outlineLevel="2" x14ac:dyDescent="0.25">
      <c r="A208" s="106" t="s">
        <v>409</v>
      </c>
      <c r="B208" s="123" t="s">
        <v>410</v>
      </c>
      <c r="C208" s="110">
        <v>0</v>
      </c>
      <c r="D208" s="110">
        <v>0</v>
      </c>
      <c r="E208" s="110">
        <v>0</v>
      </c>
      <c r="F208" s="110">
        <v>0</v>
      </c>
      <c r="G208" s="110">
        <v>0</v>
      </c>
      <c r="H208" s="51"/>
      <c r="I208" s="51"/>
    </row>
    <row r="209" spans="1:9" hidden="1" outlineLevel="2" x14ac:dyDescent="0.25">
      <c r="A209" s="106" t="s">
        <v>295</v>
      </c>
      <c r="B209" s="123" t="s">
        <v>296</v>
      </c>
      <c r="C209" s="117">
        <v>15795000</v>
      </c>
      <c r="D209" s="117">
        <v>15795000</v>
      </c>
      <c r="E209" s="117">
        <v>15795000</v>
      </c>
      <c r="F209" s="117">
        <v>15795000</v>
      </c>
      <c r="G209" s="117">
        <v>15795000</v>
      </c>
      <c r="H209" s="51"/>
      <c r="I209" s="51"/>
    </row>
    <row r="210" spans="1:9" hidden="1" outlineLevel="2" x14ac:dyDescent="0.25">
      <c r="A210" s="106" t="s">
        <v>299</v>
      </c>
      <c r="B210" s="123" t="s">
        <v>300</v>
      </c>
      <c r="C210" s="110" t="s">
        <v>255</v>
      </c>
      <c r="D210" s="110" t="s">
        <v>255</v>
      </c>
      <c r="E210" s="110" t="s">
        <v>255</v>
      </c>
      <c r="F210" s="110" t="s">
        <v>255</v>
      </c>
      <c r="G210" s="110" t="s">
        <v>255</v>
      </c>
      <c r="H210" s="51"/>
      <c r="I210" s="51"/>
    </row>
    <row r="211" spans="1:9" hidden="1" outlineLevel="2" x14ac:dyDescent="0.25">
      <c r="A211" s="106" t="s">
        <v>371</v>
      </c>
      <c r="B211" s="123" t="s">
        <v>298</v>
      </c>
      <c r="C211" s="117">
        <v>5147129528.3100004</v>
      </c>
      <c r="D211" s="117">
        <v>5147129528.3100004</v>
      </c>
      <c r="E211" s="117">
        <v>5147129528.3100004</v>
      </c>
      <c r="F211" s="117">
        <v>5147129528.3100004</v>
      </c>
      <c r="G211" s="117">
        <v>5147129528.3100004</v>
      </c>
      <c r="H211" s="51"/>
      <c r="I211" s="51"/>
    </row>
    <row r="212" spans="1:9" hidden="1" outlineLevel="2" x14ac:dyDescent="0.25">
      <c r="A212" s="106" t="s">
        <v>318</v>
      </c>
      <c r="B212" s="123" t="s">
        <v>319</v>
      </c>
      <c r="C212" s="110" t="s">
        <v>255</v>
      </c>
      <c r="D212" s="110" t="s">
        <v>255</v>
      </c>
      <c r="E212" s="110" t="s">
        <v>255</v>
      </c>
      <c r="F212" s="110" t="s">
        <v>255</v>
      </c>
      <c r="G212" s="110" t="s">
        <v>255</v>
      </c>
      <c r="H212" s="51"/>
      <c r="I212" s="51"/>
    </row>
    <row r="213" spans="1:9" hidden="1" outlineLevel="2" x14ac:dyDescent="0.25">
      <c r="A213" s="106" t="s">
        <v>432</v>
      </c>
      <c r="B213" s="123" t="s">
        <v>433</v>
      </c>
      <c r="C213" s="110" t="s">
        <v>255</v>
      </c>
      <c r="D213" s="110" t="s">
        <v>255</v>
      </c>
      <c r="E213" s="110" t="s">
        <v>255</v>
      </c>
      <c r="F213" s="110" t="s">
        <v>255</v>
      </c>
      <c r="G213" s="110" t="s">
        <v>255</v>
      </c>
      <c r="H213" s="51"/>
      <c r="I213" s="51"/>
    </row>
    <row r="214" spans="1:9" hidden="1" outlineLevel="2" x14ac:dyDescent="0.25">
      <c r="A214" s="106" t="s">
        <v>301</v>
      </c>
      <c r="B214" s="123" t="s">
        <v>302</v>
      </c>
      <c r="C214" s="110" t="s">
        <v>255</v>
      </c>
      <c r="D214" s="110" t="s">
        <v>255</v>
      </c>
      <c r="E214" s="110" t="s">
        <v>255</v>
      </c>
      <c r="F214" s="110" t="s">
        <v>255</v>
      </c>
      <c r="G214" s="110" t="s">
        <v>255</v>
      </c>
      <c r="H214" s="51"/>
      <c r="I214" s="51"/>
    </row>
    <row r="215" spans="1:9" hidden="1" outlineLevel="2" x14ac:dyDescent="0.25">
      <c r="A215" s="106" t="s">
        <v>411</v>
      </c>
      <c r="B215" s="123" t="s">
        <v>412</v>
      </c>
      <c r="C215" s="110" t="s">
        <v>255</v>
      </c>
      <c r="D215" s="110" t="s">
        <v>255</v>
      </c>
      <c r="E215" s="110" t="s">
        <v>255</v>
      </c>
      <c r="F215" s="110" t="s">
        <v>255</v>
      </c>
      <c r="G215" s="110" t="s">
        <v>255</v>
      </c>
      <c r="H215" s="51"/>
      <c r="I215" s="51"/>
    </row>
    <row r="216" spans="1:9" hidden="1" outlineLevel="2" x14ac:dyDescent="0.25">
      <c r="A216" s="106" t="s">
        <v>388</v>
      </c>
      <c r="B216" s="123" t="s">
        <v>389</v>
      </c>
      <c r="C216" s="117">
        <v>38511463.390000008</v>
      </c>
      <c r="D216" s="117">
        <v>42661463.390000008</v>
      </c>
      <c r="E216" s="117">
        <v>48311463.390000008</v>
      </c>
      <c r="F216" s="117">
        <v>55951463.390000008</v>
      </c>
      <c r="G216" s="117">
        <v>65451463.390000008</v>
      </c>
      <c r="H216" s="51"/>
      <c r="I216" s="51"/>
    </row>
    <row r="217" spans="1:9" hidden="1" outlineLevel="2" x14ac:dyDescent="0.25">
      <c r="A217" s="106" t="s">
        <v>434</v>
      </c>
      <c r="B217" s="123" t="s">
        <v>435</v>
      </c>
      <c r="C217" s="117">
        <v>59800961.880000003</v>
      </c>
      <c r="D217" s="117">
        <v>59800961.880000003</v>
      </c>
      <c r="E217" s="117">
        <v>59800961.880000003</v>
      </c>
      <c r="F217" s="117">
        <v>59800961.880000003</v>
      </c>
      <c r="G217" s="117">
        <v>59800961.880000003</v>
      </c>
      <c r="H217" s="51"/>
      <c r="I217" s="51"/>
    </row>
    <row r="218" spans="1:9" hidden="1" outlineLevel="2" x14ac:dyDescent="0.25">
      <c r="A218" s="106" t="s">
        <v>322</v>
      </c>
      <c r="B218" s="123" t="s">
        <v>310</v>
      </c>
      <c r="C218" s="117">
        <v>83733107</v>
      </c>
      <c r="D218" s="117">
        <v>83733107</v>
      </c>
      <c r="E218" s="117">
        <v>83733107</v>
      </c>
      <c r="F218" s="117">
        <v>83733107</v>
      </c>
      <c r="G218" s="117">
        <v>83733107</v>
      </c>
      <c r="H218" s="51"/>
      <c r="I218" s="51"/>
    </row>
    <row r="219" spans="1:9" hidden="1" outlineLevel="2" x14ac:dyDescent="0.25">
      <c r="A219" s="106" t="s">
        <v>400</v>
      </c>
      <c r="B219" s="123" t="s">
        <v>401</v>
      </c>
      <c r="C219" s="110" t="s">
        <v>255</v>
      </c>
      <c r="D219" s="110" t="s">
        <v>255</v>
      </c>
      <c r="E219" s="110" t="s">
        <v>255</v>
      </c>
      <c r="F219" s="110" t="s">
        <v>255</v>
      </c>
      <c r="G219" s="110" t="s">
        <v>255</v>
      </c>
      <c r="H219" s="51"/>
      <c r="I219" s="51"/>
    </row>
    <row r="220" spans="1:9" hidden="1" outlineLevel="2" x14ac:dyDescent="0.25">
      <c r="A220" t="s">
        <v>311</v>
      </c>
      <c r="B220" s="123"/>
      <c r="C220" s="112">
        <v>0</v>
      </c>
      <c r="D220" s="112">
        <v>0</v>
      </c>
      <c r="E220" s="112">
        <v>0</v>
      </c>
      <c r="F220" s="112">
        <v>0</v>
      </c>
      <c r="G220" s="112">
        <v>0</v>
      </c>
      <c r="H220" s="51"/>
      <c r="I220" s="51"/>
    </row>
    <row r="221" spans="1:9" hidden="1" outlineLevel="2" x14ac:dyDescent="0.25">
      <c r="B221" s="123"/>
      <c r="C221" s="112"/>
      <c r="D221" s="112"/>
      <c r="E221" s="112"/>
      <c r="F221" s="112"/>
      <c r="G221" s="112"/>
      <c r="H221" s="51"/>
      <c r="I221" s="51"/>
    </row>
    <row r="222" spans="1:9" hidden="1" outlineLevel="1" collapsed="1" x14ac:dyDescent="0.25">
      <c r="A222" s="103" t="s">
        <v>159</v>
      </c>
      <c r="B222" s="123">
        <v>16900</v>
      </c>
      <c r="C222" s="115">
        <v>36977722.140000001</v>
      </c>
      <c r="D222" s="115">
        <v>38077722.140000001</v>
      </c>
      <c r="E222" s="115">
        <v>39177722.140000001</v>
      </c>
      <c r="F222" s="115">
        <v>40277722.140000001</v>
      </c>
      <c r="G222" s="115">
        <v>40377722.140000001</v>
      </c>
      <c r="H222" s="51"/>
      <c r="I222" s="51"/>
    </row>
    <row r="223" spans="1:9" hidden="1" outlineLevel="1" x14ac:dyDescent="0.25">
      <c r="A223" s="103" t="s">
        <v>160</v>
      </c>
      <c r="B223" s="123">
        <v>16910</v>
      </c>
      <c r="C223" s="115">
        <v>-23823282.020000007</v>
      </c>
      <c r="D223" s="115">
        <v>-26538721.960000008</v>
      </c>
      <c r="E223" s="115">
        <v>-29254161.90000001</v>
      </c>
      <c r="F223" s="115">
        <v>-31969601.840000011</v>
      </c>
      <c r="G223" s="115">
        <v>-34685041.780000009</v>
      </c>
      <c r="H223" s="51"/>
      <c r="I223" s="51"/>
    </row>
    <row r="224" spans="1:9" hidden="1" outlineLevel="1" x14ac:dyDescent="0.25">
      <c r="A224" s="103" t="s">
        <v>161</v>
      </c>
      <c r="B224" s="123">
        <v>14105</v>
      </c>
      <c r="C224" s="109">
        <v>942817.01610761997</v>
      </c>
      <c r="D224" s="109">
        <v>278421.01610761997</v>
      </c>
      <c r="E224" s="109">
        <v>-1230974.98389238</v>
      </c>
      <c r="F224" s="109">
        <v>-3260672.9838923803</v>
      </c>
      <c r="G224" s="109">
        <v>-5095672.9838923803</v>
      </c>
      <c r="H224" s="51"/>
      <c r="I224" s="51"/>
    </row>
    <row r="225" spans="1:14" hidden="1" outlineLevel="1" x14ac:dyDescent="0.25">
      <c r="A225" s="103" t="s">
        <v>436</v>
      </c>
      <c r="B225" s="123">
        <v>14110</v>
      </c>
      <c r="C225" s="110" t="s">
        <v>255</v>
      </c>
      <c r="D225" s="110" t="s">
        <v>255</v>
      </c>
      <c r="E225" s="110" t="s">
        <v>255</v>
      </c>
      <c r="F225" s="110" t="s">
        <v>255</v>
      </c>
      <c r="G225" s="110" t="s">
        <v>255</v>
      </c>
      <c r="H225" s="51"/>
      <c r="I225" s="51"/>
    </row>
    <row r="226" spans="1:14" hidden="1" outlineLevel="1" x14ac:dyDescent="0.25">
      <c r="A226" t="s">
        <v>162</v>
      </c>
      <c r="B226" s="123"/>
      <c r="C226" s="117">
        <v>229252499.65496168</v>
      </c>
      <c r="D226" s="117">
        <v>269746624.82710999</v>
      </c>
      <c r="E226" s="117">
        <v>323062652.98233831</v>
      </c>
      <c r="F226" s="117">
        <v>387378043.87281716</v>
      </c>
      <c r="G226" s="117">
        <v>460610501.87533486</v>
      </c>
      <c r="H226" s="51"/>
      <c r="I226" s="51"/>
    </row>
    <row r="227" spans="1:14" hidden="1" outlineLevel="1" x14ac:dyDescent="0.25">
      <c r="A227" s="103" t="s">
        <v>163</v>
      </c>
      <c r="B227" s="123">
        <v>15000</v>
      </c>
      <c r="C227" s="117">
        <v>229252499.65496168</v>
      </c>
      <c r="D227" s="117">
        <v>269746624.82710999</v>
      </c>
      <c r="E227" s="117">
        <v>323062652.98233831</v>
      </c>
      <c r="F227" s="117">
        <v>387378043.87281716</v>
      </c>
      <c r="G227" s="117">
        <v>460610501.87533486</v>
      </c>
      <c r="H227" s="51"/>
      <c r="I227" s="51"/>
    </row>
    <row r="228" spans="1:14" hidden="1" outlineLevel="1" x14ac:dyDescent="0.25">
      <c r="A228" s="103" t="s">
        <v>437</v>
      </c>
      <c r="B228" s="123">
        <v>15015</v>
      </c>
      <c r="C228" s="117">
        <v>0</v>
      </c>
      <c r="D228" s="117">
        <v>0</v>
      </c>
      <c r="E228" s="117">
        <v>0</v>
      </c>
      <c r="F228" s="117">
        <v>0</v>
      </c>
      <c r="G228" s="117">
        <v>0</v>
      </c>
      <c r="H228" s="51"/>
      <c r="I228" s="51"/>
    </row>
    <row r="229" spans="1:14" ht="15" collapsed="1" thickBot="1" x14ac:dyDescent="0.35">
      <c r="A229" s="105" t="s">
        <v>164</v>
      </c>
      <c r="B229" s="105"/>
      <c r="C229" s="116">
        <v>8816439909.8039646</v>
      </c>
      <c r="D229" s="116">
        <v>9005590356.5588741</v>
      </c>
      <c r="E229" s="116">
        <v>9226385206.2968616</v>
      </c>
      <c r="F229" s="116">
        <v>9310642704.8539639</v>
      </c>
      <c r="G229" s="116">
        <v>9404915880.4392414</v>
      </c>
      <c r="H229" s="51"/>
      <c r="I229" s="51"/>
    </row>
    <row r="230" spans="1:14" x14ac:dyDescent="0.25">
      <c r="B230" s="123"/>
      <c r="C230" s="112"/>
      <c r="D230" s="112"/>
      <c r="E230" s="112"/>
      <c r="F230" s="112"/>
      <c r="G230" s="112"/>
      <c r="H230" s="51"/>
      <c r="I230" s="51"/>
    </row>
    <row r="231" spans="1:14" ht="15" thickBot="1" x14ac:dyDescent="0.35">
      <c r="A231" s="105" t="s">
        <v>165</v>
      </c>
      <c r="B231" s="105"/>
      <c r="C231" s="116">
        <v>11093677707.768303</v>
      </c>
      <c r="D231" s="116">
        <v>11311317879.736546</v>
      </c>
      <c r="E231" s="116">
        <v>11565583013.404533</v>
      </c>
      <c r="F231" s="116">
        <v>11686223295.891636</v>
      </c>
      <c r="G231" s="116">
        <v>11806316755.406914</v>
      </c>
      <c r="H231" s="51"/>
      <c r="I231" s="51"/>
    </row>
    <row r="232" spans="1:14" x14ac:dyDescent="0.25">
      <c r="B232" s="123"/>
      <c r="C232" s="112"/>
      <c r="D232" s="112"/>
      <c r="E232" s="112"/>
      <c r="F232" s="112"/>
      <c r="G232" s="112"/>
      <c r="H232" s="51"/>
      <c r="I232" s="51"/>
    </row>
    <row r="233" spans="1:14" ht="14.4" x14ac:dyDescent="0.3">
      <c r="A233" s="102" t="s">
        <v>166</v>
      </c>
      <c r="B233" s="123"/>
      <c r="C233" s="112"/>
      <c r="D233" s="112"/>
      <c r="E233" s="112"/>
      <c r="F233" s="112"/>
      <c r="G233" s="112"/>
      <c r="H233" s="51"/>
      <c r="I233" s="51"/>
    </row>
    <row r="234" spans="1:14" ht="14.4" x14ac:dyDescent="0.3">
      <c r="A234" s="102" t="s">
        <v>167</v>
      </c>
      <c r="B234" s="123"/>
      <c r="C234" s="112"/>
      <c r="D234" s="112"/>
      <c r="E234" s="112"/>
      <c r="F234" s="112"/>
      <c r="G234" s="112"/>
      <c r="H234" s="51"/>
      <c r="I234" s="51"/>
      <c r="K234" s="161" t="s">
        <v>438</v>
      </c>
    </row>
    <row r="235" spans="1:14" x14ac:dyDescent="0.25">
      <c r="A235" s="140" t="s">
        <v>236</v>
      </c>
      <c r="B235" s="138"/>
      <c r="C235" s="139">
        <v>0</v>
      </c>
      <c r="D235" s="139">
        <v>0</v>
      </c>
      <c r="E235" s="139">
        <v>0</v>
      </c>
      <c r="F235" s="139">
        <v>0</v>
      </c>
      <c r="G235" s="139">
        <v>0</v>
      </c>
      <c r="H235" s="95">
        <f>+'Support C. 24 Budget BS'!M56</f>
        <v>883790334.03472281</v>
      </c>
      <c r="I235" s="95">
        <f>(K243+K240)/2</f>
        <v>423363708.28507167</v>
      </c>
      <c r="J235" s="160" t="s">
        <v>92</v>
      </c>
    </row>
    <row r="236" spans="1:14" hidden="1" outlineLevel="1" x14ac:dyDescent="0.25">
      <c r="A236" s="103" t="s">
        <v>439</v>
      </c>
      <c r="B236" s="123">
        <v>21000</v>
      </c>
      <c r="C236" s="110" t="s">
        <v>255</v>
      </c>
      <c r="D236" s="110" t="s">
        <v>255</v>
      </c>
      <c r="E236" s="110" t="s">
        <v>255</v>
      </c>
      <c r="F236" s="110" t="s">
        <v>255</v>
      </c>
      <c r="G236" s="110" t="s">
        <v>255</v>
      </c>
      <c r="H236" s="95"/>
      <c r="I236" s="95"/>
    </row>
    <row r="237" spans="1:14" hidden="1" outlineLevel="1" x14ac:dyDescent="0.25">
      <c r="A237" s="103" t="s">
        <v>440</v>
      </c>
      <c r="B237" s="123">
        <v>21100</v>
      </c>
      <c r="C237" s="134">
        <v>0</v>
      </c>
      <c r="D237" s="134">
        <v>0</v>
      </c>
      <c r="E237" s="134">
        <v>0</v>
      </c>
      <c r="F237" s="134">
        <v>0</v>
      </c>
      <c r="G237" s="134">
        <v>0</v>
      </c>
      <c r="H237" s="95"/>
      <c r="I237" s="95"/>
    </row>
    <row r="238" spans="1:14" hidden="1" outlineLevel="1" x14ac:dyDescent="0.25">
      <c r="A238" s="103" t="s">
        <v>441</v>
      </c>
      <c r="B238" s="123">
        <v>20000</v>
      </c>
      <c r="C238" s="110">
        <v>0</v>
      </c>
      <c r="D238" s="110">
        <v>0</v>
      </c>
      <c r="E238" s="110">
        <v>0</v>
      </c>
      <c r="F238" s="110">
        <v>0</v>
      </c>
      <c r="G238" s="110">
        <v>0</v>
      </c>
      <c r="H238" s="95"/>
      <c r="I238" s="95"/>
    </row>
    <row r="239" spans="1:14" collapsed="1" x14ac:dyDescent="0.25">
      <c r="A239" t="s">
        <v>173</v>
      </c>
      <c r="B239" s="123"/>
      <c r="C239" s="112">
        <v>71467965.793334424</v>
      </c>
      <c r="D239" s="112">
        <v>75702610.573134437</v>
      </c>
      <c r="E239" s="112">
        <v>79937821.48803243</v>
      </c>
      <c r="F239" s="112">
        <v>84173604.199379414</v>
      </c>
      <c r="G239" s="112">
        <v>88409964.425139874</v>
      </c>
      <c r="H239" s="95"/>
      <c r="I239" s="95"/>
      <c r="K239" s="163">
        <f>K307</f>
        <v>496180770.04203236</v>
      </c>
      <c r="L239" s="161" t="s">
        <v>442</v>
      </c>
      <c r="M239" s="161"/>
      <c r="N239" s="161"/>
    </row>
    <row r="240" spans="1:14" x14ac:dyDescent="0.25">
      <c r="A240" s="103" t="s">
        <v>174</v>
      </c>
      <c r="B240" s="123">
        <v>22000</v>
      </c>
      <c r="C240" s="109">
        <v>10629763.619999999</v>
      </c>
      <c r="D240" s="109">
        <v>10629763.619999999</v>
      </c>
      <c r="E240" s="109">
        <v>10629763.619999999</v>
      </c>
      <c r="F240" s="109">
        <v>10629763.619999999</v>
      </c>
      <c r="G240" s="109">
        <v>10629763.619999999</v>
      </c>
      <c r="H240" s="95"/>
      <c r="I240" s="95"/>
      <c r="K240" s="162">
        <f>+C235+K239</f>
        <v>496180770.04203236</v>
      </c>
      <c r="L240" s="161" t="s">
        <v>443</v>
      </c>
      <c r="M240" s="161"/>
      <c r="N240" s="161"/>
    </row>
    <row r="241" spans="1:14" x14ac:dyDescent="0.25">
      <c r="A241" s="103" t="s">
        <v>175</v>
      </c>
      <c r="B241" s="123">
        <v>22005</v>
      </c>
      <c r="C241" s="110">
        <v>0</v>
      </c>
      <c r="D241" s="110">
        <v>0</v>
      </c>
      <c r="E241" s="110">
        <v>0</v>
      </c>
      <c r="F241" s="110">
        <v>0</v>
      </c>
      <c r="G241" s="110">
        <v>0</v>
      </c>
      <c r="H241" s="95"/>
      <c r="I241" s="95"/>
      <c r="M241" s="161"/>
      <c r="N241" s="161"/>
    </row>
    <row r="242" spans="1:14" x14ac:dyDescent="0.25">
      <c r="A242" s="103" t="s">
        <v>176</v>
      </c>
      <c r="B242" s="123">
        <v>22200</v>
      </c>
      <c r="C242" s="110">
        <v>-2.3966655731201199</v>
      </c>
      <c r="D242" s="110">
        <v>-2.3966655731201199</v>
      </c>
      <c r="E242" s="110">
        <v>-2.3966655731201199</v>
      </c>
      <c r="F242" s="110">
        <v>-2.3966655731201199</v>
      </c>
      <c r="G242" s="110">
        <v>-2.3966655731201199</v>
      </c>
      <c r="H242" s="95"/>
      <c r="I242" s="95"/>
      <c r="K242" s="163">
        <f>K319</f>
        <v>350546646.52811098</v>
      </c>
      <c r="L242" s="161" t="s">
        <v>444</v>
      </c>
    </row>
    <row r="243" spans="1:14" x14ac:dyDescent="0.25">
      <c r="A243" s="103" t="s">
        <v>237</v>
      </c>
      <c r="B243" s="123">
        <v>22400</v>
      </c>
      <c r="C243" s="110" t="s">
        <v>255</v>
      </c>
      <c r="D243" s="110" t="s">
        <v>255</v>
      </c>
      <c r="E243" s="110" t="s">
        <v>255</v>
      </c>
      <c r="F243" s="110" t="s">
        <v>255</v>
      </c>
      <c r="G243" s="110" t="s">
        <v>255</v>
      </c>
      <c r="H243" s="95"/>
      <c r="I243" s="95"/>
      <c r="K243" s="162">
        <f>+D235+K242</f>
        <v>350546646.52811098</v>
      </c>
      <c r="L243" s="161" t="s">
        <v>445</v>
      </c>
    </row>
    <row r="244" spans="1:14" x14ac:dyDescent="0.25">
      <c r="A244" s="103" t="s">
        <v>177</v>
      </c>
      <c r="B244" s="123">
        <v>23000</v>
      </c>
      <c r="C244" s="118">
        <v>60838204.57</v>
      </c>
      <c r="D244" s="118">
        <v>65072849.349800006</v>
      </c>
      <c r="E244" s="118">
        <v>69308060.264697999</v>
      </c>
      <c r="F244" s="118">
        <v>73543842.976044983</v>
      </c>
      <c r="G244" s="118">
        <v>77780203.201805443</v>
      </c>
      <c r="H244" s="95"/>
      <c r="I244" s="95"/>
    </row>
    <row r="245" spans="1:14" hidden="1" outlineLevel="1" x14ac:dyDescent="0.25">
      <c r="B245" s="123"/>
      <c r="C245" s="112"/>
      <c r="D245" s="112"/>
      <c r="E245" s="112"/>
      <c r="F245" s="112"/>
      <c r="G245" s="112"/>
      <c r="H245" s="95"/>
      <c r="I245" s="95"/>
    </row>
    <row r="246" spans="1:14" hidden="1" outlineLevel="1" x14ac:dyDescent="0.25">
      <c r="A246" s="106" t="s">
        <v>257</v>
      </c>
      <c r="B246" s="123" t="s">
        <v>258</v>
      </c>
      <c r="C246" s="110">
        <v>0</v>
      </c>
      <c r="D246" s="110">
        <v>0</v>
      </c>
      <c r="E246" s="110">
        <v>0</v>
      </c>
      <c r="F246" s="110">
        <v>0</v>
      </c>
      <c r="G246" s="110">
        <v>0</v>
      </c>
      <c r="H246" s="95"/>
      <c r="I246" s="95"/>
    </row>
    <row r="247" spans="1:14" hidden="1" outlineLevel="1" x14ac:dyDescent="0.25">
      <c r="A247" s="106" t="s">
        <v>259</v>
      </c>
      <c r="B247" s="123" t="s">
        <v>260</v>
      </c>
      <c r="C247" s="109">
        <v>43015948</v>
      </c>
      <c r="D247" s="109">
        <v>43015948</v>
      </c>
      <c r="E247" s="109">
        <v>43015948</v>
      </c>
      <c r="F247" s="109">
        <v>43015948</v>
      </c>
      <c r="G247" s="109">
        <v>43015948</v>
      </c>
      <c r="H247" s="95"/>
      <c r="I247" s="95"/>
    </row>
    <row r="248" spans="1:14" hidden="1" outlineLevel="1" x14ac:dyDescent="0.25">
      <c r="A248" s="106" t="s">
        <v>446</v>
      </c>
      <c r="B248" s="123" t="s">
        <v>327</v>
      </c>
      <c r="C248" s="110" t="s">
        <v>255</v>
      </c>
      <c r="D248" s="110" t="s">
        <v>255</v>
      </c>
      <c r="E248" s="110" t="s">
        <v>255</v>
      </c>
      <c r="F248" s="110" t="s">
        <v>255</v>
      </c>
      <c r="G248" s="110" t="s">
        <v>255</v>
      </c>
      <c r="H248" s="95"/>
      <c r="I248" s="95"/>
    </row>
    <row r="249" spans="1:14" hidden="1" outlineLevel="1" x14ac:dyDescent="0.25">
      <c r="A249" s="106" t="s">
        <v>328</v>
      </c>
      <c r="B249" s="123" t="s">
        <v>329</v>
      </c>
      <c r="C249" s="110" t="s">
        <v>255</v>
      </c>
      <c r="D249" s="110" t="s">
        <v>255</v>
      </c>
      <c r="E249" s="110" t="s">
        <v>255</v>
      </c>
      <c r="F249" s="110" t="s">
        <v>255</v>
      </c>
      <c r="G249" s="110" t="s">
        <v>255</v>
      </c>
      <c r="H249" s="95"/>
      <c r="I249" s="95"/>
    </row>
    <row r="250" spans="1:14" hidden="1" outlineLevel="1" x14ac:dyDescent="0.25">
      <c r="A250" s="106" t="s">
        <v>330</v>
      </c>
      <c r="B250" s="123" t="s">
        <v>331</v>
      </c>
      <c r="C250" s="110">
        <v>137</v>
      </c>
      <c r="D250" s="110">
        <v>137</v>
      </c>
      <c r="E250" s="110">
        <v>137</v>
      </c>
      <c r="F250" s="110">
        <v>137</v>
      </c>
      <c r="G250" s="110">
        <v>137</v>
      </c>
      <c r="H250" s="95"/>
      <c r="I250" s="95"/>
    </row>
    <row r="251" spans="1:14" hidden="1" outlineLevel="1" x14ac:dyDescent="0.25">
      <c r="A251" s="106" t="s">
        <v>312</v>
      </c>
      <c r="B251" s="123" t="s">
        <v>313</v>
      </c>
      <c r="C251" s="110" t="s">
        <v>255</v>
      </c>
      <c r="D251" s="110" t="s">
        <v>255</v>
      </c>
      <c r="E251" s="110" t="s">
        <v>255</v>
      </c>
      <c r="F251" s="110" t="s">
        <v>255</v>
      </c>
      <c r="G251" s="110" t="s">
        <v>255</v>
      </c>
      <c r="H251" s="95"/>
      <c r="I251" s="95"/>
    </row>
    <row r="252" spans="1:14" hidden="1" outlineLevel="1" x14ac:dyDescent="0.25">
      <c r="A252" s="106" t="s">
        <v>447</v>
      </c>
      <c r="B252" s="123" t="s">
        <v>270</v>
      </c>
      <c r="C252" s="110" t="s">
        <v>255</v>
      </c>
      <c r="D252" s="110" t="s">
        <v>255</v>
      </c>
      <c r="E252" s="110" t="s">
        <v>255</v>
      </c>
      <c r="F252" s="110" t="s">
        <v>255</v>
      </c>
      <c r="G252" s="110" t="s">
        <v>255</v>
      </c>
      <c r="H252" s="95"/>
      <c r="I252" s="95"/>
    </row>
    <row r="253" spans="1:14" hidden="1" outlineLevel="1" x14ac:dyDescent="0.25">
      <c r="A253" s="106" t="s">
        <v>448</v>
      </c>
      <c r="B253" s="123" t="s">
        <v>339</v>
      </c>
      <c r="C253" s="110" t="s">
        <v>255</v>
      </c>
      <c r="D253" s="110" t="s">
        <v>255</v>
      </c>
      <c r="E253" s="110" t="s">
        <v>255</v>
      </c>
      <c r="F253" s="110" t="s">
        <v>255</v>
      </c>
      <c r="G253" s="110" t="s">
        <v>255</v>
      </c>
      <c r="H253" s="95"/>
      <c r="I253" s="95"/>
    </row>
    <row r="254" spans="1:14" hidden="1" outlineLevel="1" x14ac:dyDescent="0.25">
      <c r="A254" s="106" t="s">
        <v>271</v>
      </c>
      <c r="B254" s="123" t="s">
        <v>272</v>
      </c>
      <c r="C254" s="110" t="s">
        <v>255</v>
      </c>
      <c r="D254" s="110" t="s">
        <v>255</v>
      </c>
      <c r="E254" s="110" t="s">
        <v>255</v>
      </c>
      <c r="F254" s="110" t="s">
        <v>255</v>
      </c>
      <c r="G254" s="110" t="s">
        <v>255</v>
      </c>
      <c r="H254" s="95"/>
      <c r="I254" s="95"/>
    </row>
    <row r="255" spans="1:14" hidden="1" outlineLevel="1" x14ac:dyDescent="0.25">
      <c r="A255" s="106" t="s">
        <v>449</v>
      </c>
      <c r="B255" s="123" t="s">
        <v>347</v>
      </c>
      <c r="C255" s="110" t="s">
        <v>255</v>
      </c>
      <c r="D255" s="110" t="s">
        <v>255</v>
      </c>
      <c r="E255" s="110" t="s">
        <v>255</v>
      </c>
      <c r="F255" s="110" t="s">
        <v>255</v>
      </c>
      <c r="G255" s="110" t="s">
        <v>255</v>
      </c>
      <c r="H255" s="95"/>
      <c r="I255" s="95"/>
    </row>
    <row r="256" spans="1:14" hidden="1" outlineLevel="1" x14ac:dyDescent="0.25">
      <c r="A256" s="106" t="s">
        <v>450</v>
      </c>
      <c r="B256" s="123" t="s">
        <v>349</v>
      </c>
      <c r="C256" s="110" t="s">
        <v>255</v>
      </c>
      <c r="D256" s="110" t="s">
        <v>255</v>
      </c>
      <c r="E256" s="110" t="s">
        <v>255</v>
      </c>
      <c r="F256" s="110" t="s">
        <v>255</v>
      </c>
      <c r="G256" s="110" t="s">
        <v>255</v>
      </c>
      <c r="H256" s="95"/>
      <c r="I256" s="95"/>
    </row>
    <row r="257" spans="1:9" hidden="1" outlineLevel="1" x14ac:dyDescent="0.25">
      <c r="A257" s="106" t="s">
        <v>451</v>
      </c>
      <c r="B257" s="123" t="s">
        <v>351</v>
      </c>
      <c r="C257" s="110" t="s">
        <v>255</v>
      </c>
      <c r="D257" s="110" t="s">
        <v>255</v>
      </c>
      <c r="E257" s="110" t="s">
        <v>255</v>
      </c>
      <c r="F257" s="110" t="s">
        <v>255</v>
      </c>
      <c r="G257" s="110" t="s">
        <v>255</v>
      </c>
      <c r="H257" s="95"/>
      <c r="I257" s="95"/>
    </row>
    <row r="258" spans="1:9" hidden="1" outlineLevel="1" x14ac:dyDescent="0.25">
      <c r="A258" s="106" t="s">
        <v>275</v>
      </c>
      <c r="B258" s="123" t="s">
        <v>276</v>
      </c>
      <c r="C258" s="110" t="s">
        <v>255</v>
      </c>
      <c r="D258" s="110" t="s">
        <v>255</v>
      </c>
      <c r="E258" s="110" t="s">
        <v>255</v>
      </c>
      <c r="F258" s="110" t="s">
        <v>255</v>
      </c>
      <c r="G258" s="110" t="s">
        <v>255</v>
      </c>
      <c r="H258" s="95"/>
      <c r="I258" s="95"/>
    </row>
    <row r="259" spans="1:9" hidden="1" outlineLevel="1" x14ac:dyDescent="0.25">
      <c r="A259" s="106" t="s">
        <v>452</v>
      </c>
      <c r="B259" s="123" t="s">
        <v>453</v>
      </c>
      <c r="C259" s="110"/>
      <c r="D259" s="110"/>
      <c r="E259" s="110"/>
      <c r="F259" s="110"/>
      <c r="G259" s="110"/>
      <c r="H259" s="95"/>
      <c r="I259" s="95"/>
    </row>
    <row r="260" spans="1:9" hidden="1" outlineLevel="1" x14ac:dyDescent="0.25">
      <c r="A260" s="106" t="s">
        <v>454</v>
      </c>
      <c r="B260" s="123" t="s">
        <v>278</v>
      </c>
      <c r="C260" s="110">
        <v>1463671</v>
      </c>
      <c r="D260" s="110">
        <v>1463671</v>
      </c>
      <c r="E260" s="110">
        <v>1463671</v>
      </c>
      <c r="F260" s="110">
        <v>1463671</v>
      </c>
      <c r="G260" s="110">
        <v>1463671</v>
      </c>
      <c r="H260" s="95"/>
      <c r="I260" s="95"/>
    </row>
    <row r="261" spans="1:9" hidden="1" outlineLevel="1" x14ac:dyDescent="0.25">
      <c r="A261" s="106" t="s">
        <v>281</v>
      </c>
      <c r="B261" s="123" t="s">
        <v>282</v>
      </c>
      <c r="C261" s="110">
        <v>80468.070000000007</v>
      </c>
      <c r="D261" s="110">
        <v>80468.070000000007</v>
      </c>
      <c r="E261" s="110">
        <v>80468.070000000007</v>
      </c>
      <c r="F261" s="110">
        <v>80468.070000000007</v>
      </c>
      <c r="G261" s="110">
        <v>80468.070000000007</v>
      </c>
      <c r="H261" s="95"/>
      <c r="I261" s="95"/>
    </row>
    <row r="262" spans="1:9" hidden="1" outlineLevel="1" x14ac:dyDescent="0.25">
      <c r="A262" s="106" t="s">
        <v>283</v>
      </c>
      <c r="B262" s="123" t="s">
        <v>284</v>
      </c>
      <c r="C262" s="110">
        <v>671.25</v>
      </c>
      <c r="D262" s="110">
        <v>671.25</v>
      </c>
      <c r="E262" s="110">
        <v>671.25</v>
      </c>
      <c r="F262" s="110">
        <v>671.25</v>
      </c>
      <c r="G262" s="110">
        <v>671.25</v>
      </c>
      <c r="H262" s="95"/>
      <c r="I262" s="95"/>
    </row>
    <row r="263" spans="1:9" hidden="1" outlineLevel="1" x14ac:dyDescent="0.25">
      <c r="A263" s="106" t="s">
        <v>285</v>
      </c>
      <c r="B263" s="123" t="s">
        <v>286</v>
      </c>
      <c r="C263" s="110">
        <v>0</v>
      </c>
      <c r="D263" s="110">
        <v>0</v>
      </c>
      <c r="E263" s="110">
        <v>0</v>
      </c>
      <c r="F263" s="110">
        <v>0</v>
      </c>
      <c r="G263" s="110">
        <v>0</v>
      </c>
      <c r="H263" s="95"/>
      <c r="I263" s="95"/>
    </row>
    <row r="264" spans="1:9" hidden="1" outlineLevel="1" x14ac:dyDescent="0.25">
      <c r="A264" s="106" t="s">
        <v>362</v>
      </c>
      <c r="B264" s="123" t="s">
        <v>288</v>
      </c>
      <c r="C264" s="110">
        <v>13592</v>
      </c>
      <c r="D264" s="110">
        <v>13592</v>
      </c>
      <c r="E264" s="110">
        <v>13592</v>
      </c>
      <c r="F264" s="110">
        <v>13592</v>
      </c>
      <c r="G264" s="110">
        <v>13592</v>
      </c>
      <c r="H264" s="95"/>
      <c r="I264" s="95"/>
    </row>
    <row r="265" spans="1:9" hidden="1" outlineLevel="1" x14ac:dyDescent="0.25">
      <c r="A265" s="106" t="s">
        <v>455</v>
      </c>
      <c r="B265" s="123" t="s">
        <v>364</v>
      </c>
      <c r="C265" s="110" t="s">
        <v>255</v>
      </c>
      <c r="D265" s="110" t="s">
        <v>255</v>
      </c>
      <c r="E265" s="110" t="s">
        <v>255</v>
      </c>
      <c r="F265" s="110" t="s">
        <v>255</v>
      </c>
      <c r="G265" s="110" t="s">
        <v>255</v>
      </c>
      <c r="H265" s="95"/>
      <c r="I265" s="95"/>
    </row>
    <row r="266" spans="1:9" hidden="1" outlineLevel="1" x14ac:dyDescent="0.25">
      <c r="A266" s="106" t="s">
        <v>456</v>
      </c>
      <c r="B266" s="123" t="s">
        <v>368</v>
      </c>
      <c r="C266" s="110" t="s">
        <v>255</v>
      </c>
      <c r="D266" s="110" t="s">
        <v>255</v>
      </c>
      <c r="E266" s="110" t="s">
        <v>255</v>
      </c>
      <c r="F266" s="110" t="s">
        <v>255</v>
      </c>
      <c r="G266" s="110" t="s">
        <v>255</v>
      </c>
      <c r="H266" s="95"/>
      <c r="I266" s="95"/>
    </row>
    <row r="267" spans="1:9" hidden="1" outlineLevel="1" x14ac:dyDescent="0.25">
      <c r="A267" s="106" t="s">
        <v>457</v>
      </c>
      <c r="B267" s="123" t="s">
        <v>292</v>
      </c>
      <c r="C267" s="110" t="s">
        <v>255</v>
      </c>
      <c r="D267" s="110" t="s">
        <v>255</v>
      </c>
      <c r="E267" s="110" t="s">
        <v>255</v>
      </c>
      <c r="F267" s="110" t="s">
        <v>255</v>
      </c>
      <c r="G267" s="110" t="s">
        <v>255</v>
      </c>
      <c r="H267" s="95"/>
      <c r="I267" s="95"/>
    </row>
    <row r="268" spans="1:9" hidden="1" outlineLevel="1" x14ac:dyDescent="0.25">
      <c r="A268" s="106" t="s">
        <v>297</v>
      </c>
      <c r="B268" s="123" t="s">
        <v>298</v>
      </c>
      <c r="C268" s="110" t="s">
        <v>255</v>
      </c>
      <c r="D268" s="110" t="s">
        <v>255</v>
      </c>
      <c r="E268" s="110" t="s">
        <v>255</v>
      </c>
      <c r="F268" s="110" t="s">
        <v>255</v>
      </c>
      <c r="G268" s="110" t="s">
        <v>255</v>
      </c>
      <c r="H268" s="95"/>
      <c r="I268" s="95"/>
    </row>
    <row r="269" spans="1:9" hidden="1" outlineLevel="1" x14ac:dyDescent="0.25">
      <c r="A269" s="106" t="s">
        <v>458</v>
      </c>
      <c r="B269" s="123" t="s">
        <v>375</v>
      </c>
      <c r="C269" s="110" t="s">
        <v>255</v>
      </c>
      <c r="D269" s="110" t="s">
        <v>255</v>
      </c>
      <c r="E269" s="110" t="s">
        <v>255</v>
      </c>
      <c r="F269" s="110" t="s">
        <v>255</v>
      </c>
      <c r="G269" s="110" t="s">
        <v>255</v>
      </c>
      <c r="H269" s="95"/>
      <c r="I269" s="95"/>
    </row>
    <row r="270" spans="1:9" hidden="1" outlineLevel="1" x14ac:dyDescent="0.25">
      <c r="A270" s="106" t="s">
        <v>459</v>
      </c>
      <c r="B270" s="123" t="s">
        <v>381</v>
      </c>
      <c r="C270" s="109">
        <v>0</v>
      </c>
      <c r="D270" s="109">
        <v>0</v>
      </c>
      <c r="E270" s="109">
        <v>0</v>
      </c>
      <c r="F270" s="109">
        <v>0</v>
      </c>
      <c r="G270" s="109">
        <v>0</v>
      </c>
      <c r="H270" s="95"/>
      <c r="I270" s="95"/>
    </row>
    <row r="271" spans="1:9" hidden="1" outlineLevel="1" x14ac:dyDescent="0.25">
      <c r="A271" s="106" t="s">
        <v>299</v>
      </c>
      <c r="B271" s="123" t="s">
        <v>300</v>
      </c>
      <c r="C271" s="110" t="s">
        <v>255</v>
      </c>
      <c r="D271" s="110" t="s">
        <v>255</v>
      </c>
      <c r="E271" s="110" t="s">
        <v>255</v>
      </c>
      <c r="F271" s="110" t="s">
        <v>255</v>
      </c>
      <c r="G271" s="110" t="s">
        <v>255</v>
      </c>
      <c r="H271" s="95"/>
      <c r="I271" s="95"/>
    </row>
    <row r="272" spans="1:9" hidden="1" outlineLevel="1" x14ac:dyDescent="0.25">
      <c r="A272" s="106" t="s">
        <v>432</v>
      </c>
      <c r="B272" s="123" t="s">
        <v>433</v>
      </c>
      <c r="C272" s="110" t="s">
        <v>255</v>
      </c>
      <c r="D272" s="110" t="s">
        <v>255</v>
      </c>
      <c r="E272" s="110" t="s">
        <v>255</v>
      </c>
      <c r="F272" s="110" t="s">
        <v>255</v>
      </c>
      <c r="G272" s="110" t="s">
        <v>255</v>
      </c>
      <c r="H272" s="95"/>
      <c r="I272" s="95"/>
    </row>
    <row r="273" spans="1:9" hidden="1" outlineLevel="1" x14ac:dyDescent="0.25">
      <c r="A273" s="106" t="s">
        <v>301</v>
      </c>
      <c r="B273" s="123" t="s">
        <v>302</v>
      </c>
      <c r="C273" s="110">
        <v>1</v>
      </c>
      <c r="D273" s="110">
        <v>1</v>
      </c>
      <c r="E273" s="110">
        <v>1</v>
      </c>
      <c r="F273" s="110">
        <v>1</v>
      </c>
      <c r="G273" s="110">
        <v>1</v>
      </c>
      <c r="H273" s="95"/>
      <c r="I273" s="95"/>
    </row>
    <row r="274" spans="1:9" hidden="1" outlineLevel="1" x14ac:dyDescent="0.25">
      <c r="A274" s="106" t="s">
        <v>460</v>
      </c>
      <c r="B274" s="123" t="s">
        <v>306</v>
      </c>
      <c r="C274" s="110" t="s">
        <v>255</v>
      </c>
      <c r="D274" s="110" t="s">
        <v>255</v>
      </c>
      <c r="E274" s="110" t="s">
        <v>255</v>
      </c>
      <c r="F274" s="110" t="s">
        <v>255</v>
      </c>
      <c r="G274" s="110" t="s">
        <v>255</v>
      </c>
      <c r="H274" s="95"/>
      <c r="I274" s="95"/>
    </row>
    <row r="275" spans="1:9" hidden="1" outlineLevel="1" x14ac:dyDescent="0.25">
      <c r="A275" s="106" t="s">
        <v>320</v>
      </c>
      <c r="B275" s="123" t="s">
        <v>321</v>
      </c>
      <c r="C275" s="135">
        <v>15961869.25</v>
      </c>
      <c r="D275" s="135">
        <v>20196514.029800002</v>
      </c>
      <c r="E275" s="135">
        <v>24431724.944698002</v>
      </c>
      <c r="F275" s="135">
        <v>28667507.656044982</v>
      </c>
      <c r="G275" s="135">
        <v>32903867.881805435</v>
      </c>
      <c r="H275" s="95"/>
      <c r="I275" s="95"/>
    </row>
    <row r="276" spans="1:9" hidden="1" outlineLevel="1" x14ac:dyDescent="0.25">
      <c r="A276" s="106" t="s">
        <v>461</v>
      </c>
      <c r="B276" s="123" t="s">
        <v>310</v>
      </c>
      <c r="C276" s="110">
        <v>301847</v>
      </c>
      <c r="D276" s="110">
        <v>301847</v>
      </c>
      <c r="E276" s="110">
        <v>301847</v>
      </c>
      <c r="F276" s="110">
        <v>301847</v>
      </c>
      <c r="G276" s="110">
        <v>301847</v>
      </c>
      <c r="H276" s="95"/>
      <c r="I276" s="95"/>
    </row>
    <row r="277" spans="1:9" hidden="1" outlineLevel="1" x14ac:dyDescent="0.25">
      <c r="A277" s="106" t="s">
        <v>323</v>
      </c>
      <c r="B277" s="123" t="s">
        <v>324</v>
      </c>
      <c r="C277" s="110" t="s">
        <v>255</v>
      </c>
      <c r="D277" s="110" t="s">
        <v>255</v>
      </c>
      <c r="E277" s="110" t="s">
        <v>255</v>
      </c>
      <c r="F277" s="110" t="s">
        <v>255</v>
      </c>
      <c r="G277" s="110" t="s">
        <v>255</v>
      </c>
      <c r="H277" s="95"/>
      <c r="I277" s="95"/>
    </row>
    <row r="278" spans="1:9" hidden="1" outlineLevel="1" x14ac:dyDescent="0.25">
      <c r="A278" t="s">
        <v>311</v>
      </c>
      <c r="B278" s="123"/>
      <c r="C278" s="112">
        <v>0</v>
      </c>
      <c r="D278" s="112">
        <v>0</v>
      </c>
      <c r="E278" s="112">
        <v>0</v>
      </c>
      <c r="F278" s="112">
        <v>0</v>
      </c>
      <c r="G278" s="112">
        <v>0</v>
      </c>
      <c r="H278" s="95"/>
      <c r="I278" s="95"/>
    </row>
    <row r="279" spans="1:9" hidden="1" outlineLevel="1" x14ac:dyDescent="0.25">
      <c r="B279" s="123"/>
      <c r="C279" s="112"/>
      <c r="D279" s="112"/>
      <c r="E279" s="112"/>
      <c r="F279" s="112"/>
      <c r="G279" s="112"/>
      <c r="H279" s="95"/>
      <c r="I279" s="95"/>
    </row>
    <row r="280" spans="1:9" collapsed="1" x14ac:dyDescent="0.25">
      <c r="A280" s="103" t="s">
        <v>178</v>
      </c>
      <c r="B280" s="123">
        <v>23005</v>
      </c>
      <c r="C280" s="110" t="s">
        <v>255</v>
      </c>
      <c r="D280" s="110" t="s">
        <v>255</v>
      </c>
      <c r="E280" s="110" t="s">
        <v>255</v>
      </c>
      <c r="F280" s="110" t="s">
        <v>255</v>
      </c>
      <c r="G280" s="110" t="s">
        <v>255</v>
      </c>
      <c r="H280" s="95"/>
      <c r="I280" s="95"/>
    </row>
    <row r="281" spans="1:9" x14ac:dyDescent="0.25">
      <c r="A281" s="103" t="s">
        <v>462</v>
      </c>
      <c r="B281" s="123">
        <v>23006</v>
      </c>
      <c r="C281" s="112">
        <v>0</v>
      </c>
      <c r="D281" s="112">
        <v>0</v>
      </c>
      <c r="E281" s="112">
        <v>0</v>
      </c>
      <c r="F281" s="112">
        <v>0</v>
      </c>
      <c r="G281" s="112">
        <v>0</v>
      </c>
      <c r="H281" s="95"/>
      <c r="I281" s="95"/>
    </row>
    <row r="282" spans="1:9" hidden="1" outlineLevel="1" x14ac:dyDescent="0.25">
      <c r="B282" s="123"/>
      <c r="C282" s="112"/>
      <c r="D282" s="112"/>
      <c r="E282" s="112"/>
      <c r="F282" s="112"/>
      <c r="G282" s="112"/>
      <c r="H282" s="95"/>
      <c r="I282" s="95"/>
    </row>
    <row r="283" spans="1:9" hidden="1" outlineLevel="1" x14ac:dyDescent="0.25">
      <c r="A283" s="106" t="s">
        <v>463</v>
      </c>
      <c r="B283" s="123" t="s">
        <v>258</v>
      </c>
      <c r="C283" s="110" t="s">
        <v>255</v>
      </c>
      <c r="D283" s="110" t="s">
        <v>255</v>
      </c>
      <c r="E283" s="110" t="s">
        <v>255</v>
      </c>
      <c r="F283" s="110" t="s">
        <v>255</v>
      </c>
      <c r="G283" s="110" t="s">
        <v>255</v>
      </c>
      <c r="H283" s="95"/>
      <c r="I283" s="95"/>
    </row>
    <row r="284" spans="1:9" hidden="1" outlineLevel="1" x14ac:dyDescent="0.25">
      <c r="A284" s="106" t="s">
        <v>315</v>
      </c>
      <c r="B284" s="123" t="s">
        <v>316</v>
      </c>
      <c r="C284" s="110" t="s">
        <v>255</v>
      </c>
      <c r="D284" s="110" t="s">
        <v>255</v>
      </c>
      <c r="E284" s="110" t="s">
        <v>255</v>
      </c>
      <c r="F284" s="110" t="s">
        <v>255</v>
      </c>
      <c r="G284" s="110" t="s">
        <v>255</v>
      </c>
      <c r="H284" s="95"/>
      <c r="I284" s="95"/>
    </row>
    <row r="285" spans="1:9" hidden="1" outlineLevel="1" x14ac:dyDescent="0.25">
      <c r="A285" s="106" t="s">
        <v>448</v>
      </c>
      <c r="B285" s="123" t="s">
        <v>339</v>
      </c>
      <c r="C285" s="110" t="s">
        <v>255</v>
      </c>
      <c r="D285" s="110" t="s">
        <v>255</v>
      </c>
      <c r="E285" s="110" t="s">
        <v>255</v>
      </c>
      <c r="F285" s="110" t="s">
        <v>255</v>
      </c>
      <c r="G285" s="110" t="s">
        <v>255</v>
      </c>
      <c r="H285" s="95"/>
      <c r="I285" s="95"/>
    </row>
    <row r="286" spans="1:9" hidden="1" outlineLevel="1" x14ac:dyDescent="0.25">
      <c r="A286" s="106" t="s">
        <v>269</v>
      </c>
      <c r="B286" s="123" t="s">
        <v>270</v>
      </c>
      <c r="C286" s="110" t="s">
        <v>255</v>
      </c>
      <c r="D286" s="110" t="s">
        <v>255</v>
      </c>
      <c r="E286" s="110" t="s">
        <v>255</v>
      </c>
      <c r="F286" s="110" t="s">
        <v>255</v>
      </c>
      <c r="G286" s="110" t="s">
        <v>255</v>
      </c>
      <c r="H286" s="95"/>
      <c r="I286" s="95"/>
    </row>
    <row r="287" spans="1:9" hidden="1" outlineLevel="1" x14ac:dyDescent="0.25">
      <c r="A287" s="106" t="s">
        <v>386</v>
      </c>
      <c r="B287" s="123" t="s">
        <v>387</v>
      </c>
      <c r="C287" s="110" t="s">
        <v>255</v>
      </c>
      <c r="D287" s="110" t="s">
        <v>255</v>
      </c>
      <c r="E287" s="110" t="s">
        <v>255</v>
      </c>
      <c r="F287" s="110" t="s">
        <v>255</v>
      </c>
      <c r="G287" s="110" t="s">
        <v>255</v>
      </c>
      <c r="H287" s="95"/>
      <c r="I287" s="95"/>
    </row>
    <row r="288" spans="1:9" hidden="1" outlineLevel="1" x14ac:dyDescent="0.25">
      <c r="A288" t="s">
        <v>311</v>
      </c>
      <c r="B288" s="123"/>
      <c r="C288" s="112">
        <v>0</v>
      </c>
      <c r="D288" s="112">
        <v>0</v>
      </c>
      <c r="E288" s="112">
        <v>0</v>
      </c>
      <c r="F288" s="112">
        <v>0</v>
      </c>
      <c r="G288" s="112">
        <v>0</v>
      </c>
      <c r="H288" s="95"/>
      <c r="I288" s="95"/>
    </row>
    <row r="289" spans="1:9" hidden="1" outlineLevel="1" x14ac:dyDescent="0.25">
      <c r="B289" s="123"/>
      <c r="C289" s="112"/>
      <c r="D289" s="112"/>
      <c r="E289" s="112"/>
      <c r="F289" s="112"/>
      <c r="G289" s="112"/>
      <c r="H289" s="95"/>
      <c r="I289" s="95"/>
    </row>
    <row r="290" spans="1:9" collapsed="1" x14ac:dyDescent="0.25">
      <c r="A290" t="s">
        <v>179</v>
      </c>
      <c r="B290" s="123"/>
      <c r="C290" s="136">
        <v>25371.52</v>
      </c>
      <c r="D290" s="136">
        <v>25371.52</v>
      </c>
      <c r="E290" s="136">
        <v>25371.52</v>
      </c>
      <c r="F290" s="136">
        <v>25371.52</v>
      </c>
      <c r="G290" s="136">
        <v>25371.52</v>
      </c>
      <c r="H290" s="95"/>
      <c r="I290" s="95"/>
    </row>
    <row r="291" spans="1:9" x14ac:dyDescent="0.25">
      <c r="A291" s="103" t="s">
        <v>180</v>
      </c>
      <c r="B291" s="123">
        <v>23010</v>
      </c>
      <c r="C291" s="117">
        <v>25371.52</v>
      </c>
      <c r="D291" s="117">
        <v>25371.52</v>
      </c>
      <c r="E291" s="117">
        <v>25371.52</v>
      </c>
      <c r="F291" s="117">
        <v>25371.52</v>
      </c>
      <c r="G291" s="117">
        <v>25371.52</v>
      </c>
      <c r="H291" s="95"/>
      <c r="I291" s="95"/>
    </row>
    <row r="292" spans="1:9" x14ac:dyDescent="0.25">
      <c r="A292" s="103" t="s">
        <v>464</v>
      </c>
      <c r="B292" s="123">
        <v>23011</v>
      </c>
      <c r="C292" s="136">
        <v>0</v>
      </c>
      <c r="D292" s="136">
        <v>0</v>
      </c>
      <c r="E292" s="136">
        <v>0</v>
      </c>
      <c r="F292" s="136">
        <v>0</v>
      </c>
      <c r="G292" s="136">
        <v>0</v>
      </c>
      <c r="H292" s="95"/>
      <c r="I292" s="95"/>
    </row>
    <row r="293" spans="1:9" x14ac:dyDescent="0.25">
      <c r="A293" t="s">
        <v>465</v>
      </c>
      <c r="B293" s="123">
        <v>23012</v>
      </c>
      <c r="C293" s="110" t="s">
        <v>255</v>
      </c>
      <c r="D293" s="110" t="s">
        <v>255</v>
      </c>
      <c r="E293" s="110" t="s">
        <v>255</v>
      </c>
      <c r="F293" s="110" t="s">
        <v>255</v>
      </c>
      <c r="G293" s="110" t="s">
        <v>255</v>
      </c>
      <c r="H293" s="95"/>
      <c r="I293" s="95"/>
    </row>
    <row r="294" spans="1:9" x14ac:dyDescent="0.25">
      <c r="A294" t="s">
        <v>181</v>
      </c>
      <c r="B294" s="123"/>
      <c r="C294" s="112">
        <v>18827106</v>
      </c>
      <c r="D294" s="112">
        <v>18827106</v>
      </c>
      <c r="E294" s="112">
        <v>18827106</v>
      </c>
      <c r="F294" s="112">
        <v>18827106</v>
      </c>
      <c r="G294" s="112">
        <v>18827106</v>
      </c>
      <c r="H294" s="95"/>
      <c r="I294" s="95"/>
    </row>
    <row r="295" spans="1:9" x14ac:dyDescent="0.25">
      <c r="A295" s="103" t="s">
        <v>182</v>
      </c>
      <c r="B295" s="123">
        <v>23730</v>
      </c>
      <c r="C295" s="110">
        <v>14092359.130000001</v>
      </c>
      <c r="D295" s="110">
        <v>14092359.130000001</v>
      </c>
      <c r="E295" s="110">
        <v>14092359.130000001</v>
      </c>
      <c r="F295" s="110">
        <v>14092359.130000001</v>
      </c>
      <c r="G295" s="110">
        <v>14092359.130000001</v>
      </c>
      <c r="H295" s="95"/>
      <c r="I295" s="95"/>
    </row>
    <row r="296" spans="1:9" x14ac:dyDescent="0.25">
      <c r="A296" s="103" t="s">
        <v>183</v>
      </c>
      <c r="B296" s="123">
        <v>23760</v>
      </c>
      <c r="C296" s="110">
        <v>4734746.87</v>
      </c>
      <c r="D296" s="110">
        <v>4734746.87</v>
      </c>
      <c r="E296" s="110">
        <v>4734746.87</v>
      </c>
      <c r="F296" s="110">
        <v>4734746.87</v>
      </c>
      <c r="G296" s="110">
        <v>4734746.87</v>
      </c>
      <c r="H296" s="95"/>
      <c r="I296" s="95"/>
    </row>
    <row r="297" spans="1:9" x14ac:dyDescent="0.25">
      <c r="A297" t="s">
        <v>184</v>
      </c>
      <c r="B297" s="123"/>
      <c r="C297" s="112">
        <v>96216646.534324571</v>
      </c>
      <c r="D297" s="112">
        <v>101292726.03186803</v>
      </c>
      <c r="E297" s="112">
        <v>104058539.32293583</v>
      </c>
      <c r="F297" s="112">
        <v>108827308.18373746</v>
      </c>
      <c r="G297" s="112">
        <v>114085935.19764133</v>
      </c>
      <c r="H297" s="95"/>
      <c r="I297" s="95"/>
    </row>
    <row r="298" spans="1:9" x14ac:dyDescent="0.25">
      <c r="A298" s="103" t="s">
        <v>185</v>
      </c>
      <c r="B298" s="123">
        <v>22300</v>
      </c>
      <c r="C298" s="115">
        <v>604166.66999999993</v>
      </c>
      <c r="D298" s="115">
        <v>604166.66999999993</v>
      </c>
      <c r="E298" s="115">
        <v>604166.66999999993</v>
      </c>
      <c r="F298" s="115">
        <v>604166.66999999993</v>
      </c>
      <c r="G298" s="115">
        <v>604166.66999999993</v>
      </c>
      <c r="H298" s="95"/>
      <c r="I298" s="95"/>
    </row>
    <row r="299" spans="1:9" x14ac:dyDescent="0.25">
      <c r="A299" s="103" t="s">
        <v>186</v>
      </c>
      <c r="B299" s="123">
        <v>22350</v>
      </c>
      <c r="C299" s="115">
        <v>91089981.61432457</v>
      </c>
      <c r="D299" s="115">
        <v>96166061.111868024</v>
      </c>
      <c r="E299" s="115">
        <v>98931874.402935833</v>
      </c>
      <c r="F299" s="115">
        <v>103700643.26373746</v>
      </c>
      <c r="G299" s="115">
        <v>108959270.27764133</v>
      </c>
      <c r="H299" s="95"/>
      <c r="I299" s="95"/>
    </row>
    <row r="300" spans="1:9" x14ac:dyDescent="0.25">
      <c r="A300" s="103" t="s">
        <v>466</v>
      </c>
      <c r="B300" s="123">
        <v>22360</v>
      </c>
      <c r="C300" s="110" t="s">
        <v>255</v>
      </c>
      <c r="D300" s="110" t="s">
        <v>255</v>
      </c>
      <c r="E300" s="110" t="s">
        <v>255</v>
      </c>
      <c r="F300" s="110" t="s">
        <v>255</v>
      </c>
      <c r="G300" s="110" t="s">
        <v>255</v>
      </c>
      <c r="H300" s="95"/>
      <c r="I300" s="95"/>
    </row>
    <row r="301" spans="1:9" x14ac:dyDescent="0.25">
      <c r="A301" s="103" t="s">
        <v>187</v>
      </c>
      <c r="B301" s="123">
        <v>22361</v>
      </c>
      <c r="C301" s="115">
        <v>4522500</v>
      </c>
      <c r="D301" s="115">
        <v>4522500</v>
      </c>
      <c r="E301" s="115">
        <v>4522500</v>
      </c>
      <c r="F301" s="115">
        <v>4522500</v>
      </c>
      <c r="G301" s="115">
        <v>4522500</v>
      </c>
      <c r="H301" s="95"/>
      <c r="I301" s="95"/>
    </row>
    <row r="302" spans="1:9" x14ac:dyDescent="0.25">
      <c r="A302" s="103" t="s">
        <v>188</v>
      </c>
      <c r="B302" s="123">
        <v>23020</v>
      </c>
      <c r="C302" s="115">
        <v>0</v>
      </c>
      <c r="D302" s="115">
        <v>0</v>
      </c>
      <c r="E302" s="115">
        <v>0</v>
      </c>
      <c r="F302" s="115">
        <v>0</v>
      </c>
      <c r="G302" s="115">
        <v>0</v>
      </c>
      <c r="H302" s="95"/>
      <c r="I302" s="95"/>
    </row>
    <row r="303" spans="1:9" x14ac:dyDescent="0.25">
      <c r="A303" s="103" t="s">
        <v>189</v>
      </c>
      <c r="B303" s="123">
        <v>23025</v>
      </c>
      <c r="C303" s="109">
        <v>0</v>
      </c>
      <c r="D303" s="109">
        <v>0</v>
      </c>
      <c r="E303" s="109">
        <v>0</v>
      </c>
      <c r="F303" s="109">
        <v>0</v>
      </c>
      <c r="G303" s="109">
        <v>0</v>
      </c>
      <c r="H303" s="95"/>
      <c r="I303" s="95"/>
    </row>
    <row r="304" spans="1:9" x14ac:dyDescent="0.25">
      <c r="A304" s="103" t="s">
        <v>190</v>
      </c>
      <c r="B304" s="123">
        <v>23015</v>
      </c>
      <c r="C304" s="110">
        <v>-1.75</v>
      </c>
      <c r="D304" s="110">
        <v>-1.75</v>
      </c>
      <c r="E304" s="110">
        <v>-1.75</v>
      </c>
      <c r="F304" s="110">
        <v>-1.75</v>
      </c>
      <c r="G304" s="110">
        <v>-1.75</v>
      </c>
      <c r="H304" s="95"/>
      <c r="I304" s="95"/>
    </row>
    <row r="305" spans="1:12" ht="15" thickBot="1" x14ac:dyDescent="0.35">
      <c r="A305" s="105" t="s">
        <v>191</v>
      </c>
      <c r="B305" s="105"/>
      <c r="C305" s="116">
        <v>186537089.84765899</v>
      </c>
      <c r="D305" s="116">
        <v>195847814.12500244</v>
      </c>
      <c r="E305" s="116">
        <v>202848838.33096826</v>
      </c>
      <c r="F305" s="116">
        <v>211853389.90311688</v>
      </c>
      <c r="G305" s="116">
        <v>221348377.1427812</v>
      </c>
      <c r="H305" s="95"/>
      <c r="I305" s="95"/>
    </row>
    <row r="306" spans="1:12" x14ac:dyDescent="0.25">
      <c r="B306" s="123"/>
      <c r="C306" s="112"/>
      <c r="D306" s="112"/>
      <c r="E306" s="112"/>
      <c r="F306" s="112"/>
      <c r="G306" s="112"/>
      <c r="H306" s="159" t="s">
        <v>240</v>
      </c>
      <c r="I306" s="95"/>
      <c r="K306" s="161" t="s">
        <v>467</v>
      </c>
    </row>
    <row r="307" spans="1:12" x14ac:dyDescent="0.25">
      <c r="A307" s="140" t="s">
        <v>238</v>
      </c>
      <c r="B307" s="138"/>
      <c r="C307" s="139">
        <v>3332650326.6303635</v>
      </c>
      <c r="D307" s="139">
        <v>4025129193.6573544</v>
      </c>
      <c r="E307" s="139">
        <v>4879868250.6772785</v>
      </c>
      <c r="F307" s="139">
        <v>5489616898.2519588</v>
      </c>
      <c r="G307" s="139">
        <v>6161042248.7983036</v>
      </c>
      <c r="H307" s="95">
        <f>+'Support C. 24 Budget BS'!M77</f>
        <v>2819369890.9652772</v>
      </c>
      <c r="I307" s="95">
        <f>(K320+K308)/2</f>
        <v>3255526051.8587875</v>
      </c>
      <c r="J307" s="160" t="s">
        <v>92</v>
      </c>
      <c r="K307" s="162">
        <f>+'[5]CAD Balances (Emera Inc)'!$C$167*1000000</f>
        <v>496180770.04203236</v>
      </c>
      <c r="L307" s="161" t="s">
        <v>468</v>
      </c>
    </row>
    <row r="308" spans="1:12" x14ac:dyDescent="0.25">
      <c r="A308" s="103" t="s">
        <v>194</v>
      </c>
      <c r="B308" s="123">
        <v>26300</v>
      </c>
      <c r="C308" s="118">
        <v>2676874178.3603635</v>
      </c>
      <c r="D308" s="118">
        <v>3369353045.3873544</v>
      </c>
      <c r="E308" s="118">
        <v>4224092102.4072785</v>
      </c>
      <c r="F308" s="118">
        <v>4833840749.9819584</v>
      </c>
      <c r="G308" s="118">
        <v>5505266100.5283031</v>
      </c>
      <c r="H308" s="95"/>
      <c r="I308" s="95"/>
      <c r="K308" s="163">
        <f>+C307-K307</f>
        <v>2836469556.5883312</v>
      </c>
      <c r="L308" s="161" t="s">
        <v>469</v>
      </c>
    </row>
    <row r="309" spans="1:12" x14ac:dyDescent="0.25">
      <c r="A309" s="103" t="s">
        <v>195</v>
      </c>
      <c r="B309" s="123">
        <v>26400</v>
      </c>
      <c r="C309" s="112">
        <v>655776148.26999998</v>
      </c>
      <c r="D309" s="112">
        <v>655776148.26999998</v>
      </c>
      <c r="E309" s="112">
        <v>655776148.26999998</v>
      </c>
      <c r="F309" s="112">
        <v>655776148.26999998</v>
      </c>
      <c r="G309" s="112">
        <v>655776148.26999998</v>
      </c>
      <c r="H309" s="95"/>
      <c r="I309" s="95"/>
    </row>
    <row r="310" spans="1:12" hidden="1" outlineLevel="1" x14ac:dyDescent="0.25">
      <c r="B310" s="123"/>
      <c r="C310" s="112"/>
      <c r="D310" s="112"/>
      <c r="E310" s="112"/>
      <c r="F310" s="112"/>
      <c r="G310" s="112"/>
      <c r="H310" s="95"/>
      <c r="I310" s="95"/>
    </row>
    <row r="311" spans="1:12" hidden="1" outlineLevel="1" x14ac:dyDescent="0.25">
      <c r="A311" s="106" t="s">
        <v>470</v>
      </c>
      <c r="B311" s="123" t="s">
        <v>258</v>
      </c>
      <c r="C311" s="110" t="s">
        <v>255</v>
      </c>
      <c r="D311" s="110" t="s">
        <v>255</v>
      </c>
      <c r="E311" s="110" t="s">
        <v>255</v>
      </c>
      <c r="F311" s="110" t="s">
        <v>255</v>
      </c>
      <c r="G311" s="110" t="s">
        <v>255</v>
      </c>
      <c r="H311" s="95"/>
      <c r="I311" s="95"/>
    </row>
    <row r="312" spans="1:12" hidden="1" outlineLevel="1" x14ac:dyDescent="0.25">
      <c r="A312" s="106" t="s">
        <v>405</v>
      </c>
      <c r="B312" s="123" t="s">
        <v>406</v>
      </c>
      <c r="C312" s="110" t="s">
        <v>255</v>
      </c>
      <c r="D312" s="110" t="s">
        <v>255</v>
      </c>
      <c r="E312" s="110" t="s">
        <v>255</v>
      </c>
      <c r="F312" s="110" t="s">
        <v>255</v>
      </c>
      <c r="G312" s="110" t="s">
        <v>255</v>
      </c>
      <c r="H312" s="95"/>
      <c r="I312" s="95"/>
    </row>
    <row r="313" spans="1:12" hidden="1" outlineLevel="1" x14ac:dyDescent="0.25">
      <c r="A313" s="106" t="s">
        <v>471</v>
      </c>
      <c r="B313" s="123" t="s">
        <v>260</v>
      </c>
      <c r="C313" s="110" t="s">
        <v>255</v>
      </c>
      <c r="D313" s="110" t="s">
        <v>255</v>
      </c>
      <c r="E313" s="110" t="s">
        <v>255</v>
      </c>
      <c r="F313" s="110" t="s">
        <v>255</v>
      </c>
      <c r="G313" s="110" t="s">
        <v>255</v>
      </c>
      <c r="H313" s="95"/>
      <c r="I313" s="95"/>
    </row>
    <row r="314" spans="1:12" hidden="1" outlineLevel="1" x14ac:dyDescent="0.25">
      <c r="A314" s="106" t="s">
        <v>472</v>
      </c>
      <c r="B314" s="123" t="s">
        <v>313</v>
      </c>
      <c r="C314" s="110">
        <v>32676148.27</v>
      </c>
      <c r="D314" s="110">
        <v>32676148.27</v>
      </c>
      <c r="E314" s="110">
        <v>32676148.27</v>
      </c>
      <c r="F314" s="110">
        <v>32676148.27</v>
      </c>
      <c r="G314" s="110">
        <v>32676148.27</v>
      </c>
      <c r="H314" s="95"/>
      <c r="I314" s="95"/>
    </row>
    <row r="315" spans="1:12" hidden="1" outlineLevel="1" x14ac:dyDescent="0.25">
      <c r="A315" s="106" t="s">
        <v>293</v>
      </c>
      <c r="B315" s="123" t="s">
        <v>294</v>
      </c>
      <c r="C315" s="110">
        <v>623100000</v>
      </c>
      <c r="D315" s="110">
        <v>623100000</v>
      </c>
      <c r="E315" s="110">
        <v>623100000</v>
      </c>
      <c r="F315" s="110">
        <v>623100000</v>
      </c>
      <c r="G315" s="110">
        <v>623100000</v>
      </c>
      <c r="H315" s="95"/>
      <c r="I315" s="95"/>
    </row>
    <row r="316" spans="1:12" hidden="1" outlineLevel="1" x14ac:dyDescent="0.25">
      <c r="A316" s="106" t="s">
        <v>473</v>
      </c>
      <c r="B316" s="123" t="s">
        <v>324</v>
      </c>
      <c r="C316" s="110" t="s">
        <v>255</v>
      </c>
      <c r="D316" s="110" t="s">
        <v>255</v>
      </c>
      <c r="E316" s="110" t="s">
        <v>255</v>
      </c>
      <c r="F316" s="110" t="s">
        <v>255</v>
      </c>
      <c r="G316" s="110" t="s">
        <v>255</v>
      </c>
      <c r="H316" s="95"/>
      <c r="I316" s="95"/>
    </row>
    <row r="317" spans="1:12" hidden="1" outlineLevel="1" x14ac:dyDescent="0.25">
      <c r="A317" t="s">
        <v>311</v>
      </c>
      <c r="B317" s="123"/>
      <c r="C317" s="112">
        <v>0</v>
      </c>
      <c r="D317" s="112">
        <v>0</v>
      </c>
      <c r="E317" s="112">
        <v>0</v>
      </c>
      <c r="F317" s="112">
        <v>0</v>
      </c>
      <c r="G317" s="112">
        <v>0</v>
      </c>
      <c r="H317" s="95"/>
      <c r="I317" s="95"/>
    </row>
    <row r="318" spans="1:12" hidden="1" outlineLevel="1" x14ac:dyDescent="0.25">
      <c r="B318" s="123"/>
      <c r="C318" s="112"/>
      <c r="D318" s="112"/>
      <c r="E318" s="112"/>
      <c r="F318" s="112"/>
      <c r="G318" s="112"/>
      <c r="H318" s="95"/>
      <c r="I318" s="95"/>
    </row>
    <row r="319" spans="1:12" collapsed="1" x14ac:dyDescent="0.25">
      <c r="A319" t="s">
        <v>196</v>
      </c>
      <c r="B319" s="123">
        <v>24012</v>
      </c>
      <c r="C319" s="110">
        <v>1333130.33</v>
      </c>
      <c r="D319" s="110">
        <v>1333130.33</v>
      </c>
      <c r="E319" s="110">
        <v>1333130.33</v>
      </c>
      <c r="F319" s="110">
        <v>1333130.33</v>
      </c>
      <c r="G319" s="110">
        <v>1333130.33</v>
      </c>
      <c r="H319" s="95"/>
      <c r="I319" s="95"/>
      <c r="K319" s="162">
        <f>+'[5]CAD Balances (Emera Inc)'!$D$171*1000000</f>
        <v>350546646.52811098</v>
      </c>
      <c r="L319" s="161" t="s">
        <v>474</v>
      </c>
    </row>
    <row r="320" spans="1:12" x14ac:dyDescent="0.25">
      <c r="A320" t="s">
        <v>475</v>
      </c>
      <c r="B320" s="123"/>
      <c r="C320" s="136">
        <v>0</v>
      </c>
      <c r="D320" s="136">
        <v>0</v>
      </c>
      <c r="E320" s="136">
        <v>0</v>
      </c>
      <c r="F320" s="136">
        <v>0</v>
      </c>
      <c r="G320" s="136">
        <v>0</v>
      </c>
      <c r="H320" s="95"/>
      <c r="I320" s="95"/>
      <c r="K320" s="163">
        <f>+D307-K319</f>
        <v>3674582547.1292434</v>
      </c>
      <c r="L320" s="161" t="s">
        <v>476</v>
      </c>
    </row>
    <row r="321" spans="1:11" x14ac:dyDescent="0.25">
      <c r="A321" s="103" t="s">
        <v>477</v>
      </c>
      <c r="B321" s="123">
        <v>25000</v>
      </c>
      <c r="C321" s="136" t="s">
        <v>255</v>
      </c>
      <c r="D321" s="136" t="s">
        <v>255</v>
      </c>
      <c r="E321" s="136" t="s">
        <v>255</v>
      </c>
      <c r="F321" s="136" t="s">
        <v>255</v>
      </c>
      <c r="G321" s="136" t="s">
        <v>255</v>
      </c>
      <c r="H321" s="95"/>
      <c r="I321" s="95"/>
    </row>
    <row r="322" spans="1:11" x14ac:dyDescent="0.25">
      <c r="A322" t="s">
        <v>197</v>
      </c>
      <c r="B322" s="123"/>
      <c r="C322" s="112">
        <v>8513822.75</v>
      </c>
      <c r="D322" s="112">
        <v>8513822.75</v>
      </c>
      <c r="E322" s="112">
        <v>8513822.75</v>
      </c>
      <c r="F322" s="112">
        <v>8513822.75</v>
      </c>
      <c r="G322" s="112">
        <v>8513822.75</v>
      </c>
      <c r="H322" s="95"/>
      <c r="I322" s="95"/>
    </row>
    <row r="323" spans="1:11" x14ac:dyDescent="0.25">
      <c r="A323" s="103" t="s">
        <v>478</v>
      </c>
      <c r="B323" s="123">
        <v>24360</v>
      </c>
      <c r="C323" s="110" t="s">
        <v>255</v>
      </c>
      <c r="D323" s="110" t="s">
        <v>255</v>
      </c>
      <c r="E323" s="110" t="s">
        <v>255</v>
      </c>
      <c r="F323" s="110" t="s">
        <v>255</v>
      </c>
      <c r="G323" s="110" t="s">
        <v>255</v>
      </c>
      <c r="H323" s="95"/>
      <c r="I323" s="95"/>
    </row>
    <row r="324" spans="1:11" x14ac:dyDescent="0.25">
      <c r="A324" s="103" t="s">
        <v>198</v>
      </c>
      <c r="B324" s="123">
        <v>24760</v>
      </c>
      <c r="C324" s="110">
        <v>8513822.75</v>
      </c>
      <c r="D324" s="110">
        <v>8513822.75</v>
      </c>
      <c r="E324" s="110">
        <v>8513822.75</v>
      </c>
      <c r="F324" s="110">
        <v>8513822.75</v>
      </c>
      <c r="G324" s="110">
        <v>8513822.75</v>
      </c>
      <c r="H324" s="95"/>
      <c r="I324" s="95"/>
    </row>
    <row r="325" spans="1:11" x14ac:dyDescent="0.25">
      <c r="A325" t="s">
        <v>199</v>
      </c>
      <c r="B325" s="123"/>
      <c r="C325" s="112">
        <v>27538332.859200001</v>
      </c>
      <c r="D325" s="112">
        <v>29460602.819375999</v>
      </c>
      <c r="E325" s="112">
        <v>31627710.87835728</v>
      </c>
      <c r="F325" s="112">
        <v>34080972.179107994</v>
      </c>
      <c r="G325" s="112">
        <v>36713741.318881236</v>
      </c>
      <c r="H325" s="95"/>
      <c r="I325" s="95"/>
    </row>
    <row r="326" spans="1:11" x14ac:dyDescent="0.25">
      <c r="A326" s="125" t="s">
        <v>200</v>
      </c>
      <c r="B326" s="123">
        <v>26100</v>
      </c>
      <c r="C326" s="115">
        <v>27538332.859200001</v>
      </c>
      <c r="D326" s="115">
        <v>29460602.819375999</v>
      </c>
      <c r="E326" s="115">
        <v>31627710.87835728</v>
      </c>
      <c r="F326" s="115">
        <v>34080972.179107994</v>
      </c>
      <c r="G326" s="115">
        <v>36713741.318881236</v>
      </c>
      <c r="H326" s="95"/>
      <c r="I326" s="95"/>
    </row>
    <row r="327" spans="1:11" x14ac:dyDescent="0.25">
      <c r="A327" t="s">
        <v>201</v>
      </c>
      <c r="B327" s="123"/>
      <c r="C327" s="112">
        <v>-12744003.49</v>
      </c>
      <c r="D327" s="112">
        <v>-13423776.49</v>
      </c>
      <c r="E327" s="112">
        <v>-14103549.49</v>
      </c>
      <c r="F327" s="112">
        <v>-14783322.49</v>
      </c>
      <c r="G327" s="112">
        <v>-15463095.49</v>
      </c>
      <c r="H327" s="95"/>
      <c r="I327" s="95"/>
    </row>
    <row r="328" spans="1:11" x14ac:dyDescent="0.25">
      <c r="A328" s="125" t="s">
        <v>202</v>
      </c>
      <c r="B328" s="123">
        <v>26150</v>
      </c>
      <c r="C328" s="110">
        <v>12114400.01</v>
      </c>
      <c r="D328" s="110">
        <v>12114400.01</v>
      </c>
      <c r="E328" s="110">
        <v>12114400.01</v>
      </c>
      <c r="F328" s="110">
        <v>12114400.01</v>
      </c>
      <c r="G328" s="110">
        <v>12114400.01</v>
      </c>
      <c r="H328" s="95"/>
      <c r="I328" s="95"/>
    </row>
    <row r="329" spans="1:11" x14ac:dyDescent="0.25">
      <c r="A329" s="125" t="s">
        <v>203</v>
      </c>
      <c r="B329" s="123">
        <v>26180</v>
      </c>
      <c r="C329" s="115">
        <v>-24858403.5</v>
      </c>
      <c r="D329" s="115">
        <v>-25538176.5</v>
      </c>
      <c r="E329" s="115">
        <v>-26217949.5</v>
      </c>
      <c r="F329" s="115">
        <v>-26897722.5</v>
      </c>
      <c r="G329" s="115">
        <v>-27577495.5</v>
      </c>
      <c r="H329" s="95"/>
      <c r="I329" s="95"/>
    </row>
    <row r="330" spans="1:11" ht="15" thickBot="1" x14ac:dyDescent="0.35">
      <c r="A330" s="105" t="s">
        <v>204</v>
      </c>
      <c r="B330" s="105"/>
      <c r="C330" s="116">
        <v>3357291609.0795636</v>
      </c>
      <c r="D330" s="116">
        <v>4051012973.0667305</v>
      </c>
      <c r="E330" s="116">
        <v>4907239365.1456356</v>
      </c>
      <c r="F330" s="116">
        <v>5518761501.0210667</v>
      </c>
      <c r="G330" s="116">
        <v>6192139847.7071848</v>
      </c>
      <c r="H330" s="95"/>
      <c r="I330" s="95"/>
    </row>
    <row r="331" spans="1:11" x14ac:dyDescent="0.25">
      <c r="B331" s="123"/>
      <c r="C331" s="112"/>
      <c r="D331" s="112"/>
      <c r="E331" s="112"/>
      <c r="F331" s="112"/>
      <c r="G331" s="112"/>
      <c r="H331" s="95"/>
      <c r="I331" s="95"/>
    </row>
    <row r="332" spans="1:11" ht="14.4" x14ac:dyDescent="0.3">
      <c r="A332" s="102" t="s">
        <v>206</v>
      </c>
      <c r="B332" s="123"/>
      <c r="C332" s="112"/>
      <c r="D332" s="112"/>
      <c r="E332" s="112"/>
      <c r="F332" s="112"/>
      <c r="G332" s="112"/>
      <c r="H332" s="159" t="s">
        <v>240</v>
      </c>
      <c r="I332" s="95"/>
    </row>
    <row r="333" spans="1:11" x14ac:dyDescent="0.25">
      <c r="A333" s="140" t="s">
        <v>207</v>
      </c>
      <c r="B333" s="138"/>
      <c r="C333" s="139">
        <v>9237760409.3844376</v>
      </c>
      <c r="D333" s="139">
        <v>9525245719.3844376</v>
      </c>
      <c r="E333" s="139">
        <v>9828756462.3844376</v>
      </c>
      <c r="F333" s="139">
        <v>10149160767.384438</v>
      </c>
      <c r="G333" s="139">
        <v>10487351384.384438</v>
      </c>
      <c r="H333" s="95">
        <f>+'Support C. 24 Budget BS'!M93</f>
        <v>9126998412</v>
      </c>
      <c r="I333" s="95">
        <f>((D333)+H333)/2</f>
        <v>9326122065.6922188</v>
      </c>
      <c r="J333" s="160" t="s">
        <v>92</v>
      </c>
      <c r="K333" s="161"/>
    </row>
    <row r="334" spans="1:11" x14ac:dyDescent="0.25">
      <c r="A334" s="126" t="s">
        <v>208</v>
      </c>
      <c r="B334" s="123">
        <v>31000</v>
      </c>
      <c r="C334" s="134">
        <v>9237760409.3844376</v>
      </c>
      <c r="D334" s="134">
        <v>9525245719.3844376</v>
      </c>
      <c r="E334" s="134">
        <v>9828756462.3844376</v>
      </c>
      <c r="F334" s="134">
        <v>10149160767.384438</v>
      </c>
      <c r="G334" s="134">
        <v>10487351384.384438</v>
      </c>
      <c r="H334" s="95"/>
      <c r="I334" s="95"/>
    </row>
    <row r="335" spans="1:11" x14ac:dyDescent="0.25">
      <c r="A335" s="125"/>
      <c r="B335" s="123"/>
      <c r="C335" s="118"/>
      <c r="D335" s="118"/>
      <c r="E335" s="118"/>
      <c r="F335" s="118"/>
      <c r="G335" s="118"/>
      <c r="H335" s="159" t="s">
        <v>240</v>
      </c>
      <c r="I335" s="148"/>
    </row>
    <row r="336" spans="1:11" x14ac:dyDescent="0.25">
      <c r="A336" s="140" t="s">
        <v>210</v>
      </c>
      <c r="B336" s="138"/>
      <c r="C336" s="139">
        <v>2085758502.77</v>
      </c>
      <c r="D336" s="139">
        <v>2085758502.77</v>
      </c>
      <c r="E336" s="139">
        <v>2085758502.77</v>
      </c>
      <c r="F336" s="139">
        <v>2085758502.77</v>
      </c>
      <c r="G336" s="139">
        <v>2085758502.77</v>
      </c>
      <c r="H336" s="95">
        <f>+'Support C. 24 Budget BS'!M95</f>
        <v>1964010675</v>
      </c>
      <c r="I336" s="95">
        <f>((D336)+H336)/2</f>
        <v>2024884588.885</v>
      </c>
      <c r="J336" s="160" t="s">
        <v>92</v>
      </c>
      <c r="K336" s="161"/>
    </row>
    <row r="337" spans="1:11" x14ac:dyDescent="0.25">
      <c r="A337" s="126" t="s">
        <v>211</v>
      </c>
      <c r="B337" s="123">
        <v>30300</v>
      </c>
      <c r="C337" s="134">
        <v>2085758502.77</v>
      </c>
      <c r="D337" s="134">
        <v>2085758502.77</v>
      </c>
      <c r="E337" s="134">
        <v>2085758502.77</v>
      </c>
      <c r="F337" s="134">
        <v>2085758502.77</v>
      </c>
      <c r="G337" s="134">
        <v>2085758502.77</v>
      </c>
      <c r="H337" s="95"/>
      <c r="I337" s="95"/>
    </row>
    <row r="338" spans="1:11" x14ac:dyDescent="0.25">
      <c r="A338" s="125"/>
      <c r="B338" s="123"/>
      <c r="C338" s="118"/>
      <c r="D338" s="118"/>
      <c r="E338" s="118"/>
      <c r="F338" s="118"/>
      <c r="G338" s="118"/>
      <c r="H338" s="159" t="s">
        <v>240</v>
      </c>
      <c r="I338" s="148"/>
    </row>
    <row r="339" spans="1:11" x14ac:dyDescent="0.25">
      <c r="A339" s="140" t="s">
        <v>212</v>
      </c>
      <c r="B339" s="138"/>
      <c r="C339" s="139">
        <v>53550117.160000004</v>
      </c>
      <c r="D339" s="139">
        <v>55799197.698400006</v>
      </c>
      <c r="E339" s="139">
        <v>58093259.847568005</v>
      </c>
      <c r="F339" s="139">
        <v>60433203.239719369</v>
      </c>
      <c r="G339" s="139">
        <v>62819945.499713756</v>
      </c>
      <c r="H339" s="95">
        <f>+'Support C. 24 Budget BS'!M97</f>
        <v>53284238</v>
      </c>
      <c r="I339" s="95">
        <f>((D339)+H339)/2</f>
        <v>54541717.849200003</v>
      </c>
      <c r="J339" s="160" t="s">
        <v>92</v>
      </c>
      <c r="K339" s="161"/>
    </row>
    <row r="340" spans="1:11" x14ac:dyDescent="0.25">
      <c r="A340" s="125" t="s">
        <v>213</v>
      </c>
      <c r="B340" s="123">
        <v>32000</v>
      </c>
      <c r="C340" s="115">
        <v>53550117.160000004</v>
      </c>
      <c r="D340" s="115">
        <v>55799197.698400006</v>
      </c>
      <c r="E340" s="115">
        <v>58093259.847568005</v>
      </c>
      <c r="F340" s="115">
        <v>60433203.239719369</v>
      </c>
      <c r="G340" s="115">
        <v>62819945.499713756</v>
      </c>
      <c r="H340" s="95"/>
      <c r="I340" s="95"/>
    </row>
    <row r="341" spans="1:11" x14ac:dyDescent="0.25">
      <c r="A341" t="s">
        <v>214</v>
      </c>
      <c r="B341" s="123"/>
      <c r="C341" s="112">
        <v>112299300.93000001</v>
      </c>
      <c r="D341" s="112">
        <v>112299300.93000001</v>
      </c>
      <c r="E341" s="112">
        <v>112299300.93000001</v>
      </c>
      <c r="F341" s="112">
        <v>112299300.93000001</v>
      </c>
      <c r="G341" s="112">
        <v>112299300.93000001</v>
      </c>
      <c r="H341" s="95"/>
      <c r="I341" s="95"/>
    </row>
    <row r="342" spans="1:11" x14ac:dyDescent="0.25">
      <c r="A342" s="125" t="s">
        <v>215</v>
      </c>
      <c r="B342" s="123">
        <v>33040</v>
      </c>
      <c r="C342" s="110">
        <v>1614131.37</v>
      </c>
      <c r="D342" s="110">
        <v>1614131.37</v>
      </c>
      <c r="E342" s="110">
        <v>1614131.37</v>
      </c>
      <c r="F342" s="110">
        <v>1614131.37</v>
      </c>
      <c r="G342" s="110">
        <v>1614131.37</v>
      </c>
      <c r="H342" s="95"/>
      <c r="I342" s="95"/>
    </row>
    <row r="343" spans="1:11" x14ac:dyDescent="0.25">
      <c r="A343" s="125" t="s">
        <v>216</v>
      </c>
      <c r="B343" s="123">
        <v>33050</v>
      </c>
      <c r="C343" s="110">
        <v>1.24</v>
      </c>
      <c r="D343" s="110">
        <v>1.24</v>
      </c>
      <c r="E343" s="110">
        <v>1.24</v>
      </c>
      <c r="F343" s="110">
        <v>1.24</v>
      </c>
      <c r="G343" s="110">
        <v>1.24</v>
      </c>
      <c r="H343" s="95"/>
      <c r="I343" s="95"/>
    </row>
    <row r="344" spans="1:11" x14ac:dyDescent="0.25">
      <c r="A344" s="125" t="s">
        <v>217</v>
      </c>
      <c r="B344" s="123">
        <v>33055</v>
      </c>
      <c r="C344" s="110">
        <v>-70991932.219999999</v>
      </c>
      <c r="D344" s="110">
        <v>-70991932.219999999</v>
      </c>
      <c r="E344" s="110">
        <v>-70991932.219999999</v>
      </c>
      <c r="F344" s="110">
        <v>-70991932.219999999</v>
      </c>
      <c r="G344" s="110">
        <v>-70991932.219999999</v>
      </c>
      <c r="H344" s="51"/>
      <c r="I344" s="51"/>
    </row>
    <row r="345" spans="1:11" x14ac:dyDescent="0.25">
      <c r="A345" s="125" t="s">
        <v>218</v>
      </c>
      <c r="B345" s="123">
        <v>33060</v>
      </c>
      <c r="C345" s="110">
        <v>-20.74</v>
      </c>
      <c r="D345" s="110">
        <v>-20.74</v>
      </c>
      <c r="E345" s="110">
        <v>-20.74</v>
      </c>
      <c r="F345" s="110">
        <v>-20.74</v>
      </c>
      <c r="G345" s="110">
        <v>-20.74</v>
      </c>
      <c r="H345" s="51"/>
      <c r="I345" s="51"/>
    </row>
    <row r="346" spans="1:11" x14ac:dyDescent="0.25">
      <c r="A346" s="125" t="s">
        <v>479</v>
      </c>
      <c r="B346" s="123">
        <v>33150</v>
      </c>
      <c r="C346" s="110" t="s">
        <v>255</v>
      </c>
      <c r="D346" s="110" t="s">
        <v>255</v>
      </c>
      <c r="E346" s="110" t="s">
        <v>255</v>
      </c>
      <c r="F346" s="110" t="s">
        <v>255</v>
      </c>
      <c r="G346" s="110" t="s">
        <v>255</v>
      </c>
      <c r="H346" s="51"/>
      <c r="I346" s="51"/>
    </row>
    <row r="347" spans="1:11" x14ac:dyDescent="0.25">
      <c r="A347" s="125" t="s">
        <v>220</v>
      </c>
      <c r="B347" s="123">
        <v>33200</v>
      </c>
      <c r="C347" s="110">
        <v>181677121.28</v>
      </c>
      <c r="D347" s="110">
        <v>181677121.28</v>
      </c>
      <c r="E347" s="110">
        <v>181677121.28</v>
      </c>
      <c r="F347" s="110">
        <v>181677121.28</v>
      </c>
      <c r="G347" s="110">
        <v>181677121.28</v>
      </c>
      <c r="H347" s="51"/>
      <c r="I347" s="51"/>
    </row>
    <row r="348" spans="1:11" x14ac:dyDescent="0.25">
      <c r="A348" t="s">
        <v>221</v>
      </c>
      <c r="B348" s="123"/>
      <c r="C348" s="112">
        <v>-3939519321.8417339</v>
      </c>
      <c r="D348" s="112">
        <v>-4714645628.6436071</v>
      </c>
      <c r="E348" s="112">
        <v>-5629412716.6616783</v>
      </c>
      <c r="F348" s="112">
        <v>-6452043369.9193592</v>
      </c>
      <c r="G348" s="112">
        <v>-7355400603.7203455</v>
      </c>
      <c r="H348" s="51"/>
      <c r="I348" s="51"/>
    </row>
    <row r="349" spans="1:11" x14ac:dyDescent="0.25">
      <c r="A349" s="125" t="s">
        <v>223</v>
      </c>
      <c r="B349" s="123">
        <v>34005</v>
      </c>
      <c r="C349" s="115">
        <v>194655632.54460973</v>
      </c>
      <c r="D349" s="115">
        <v>123265286.84564397</v>
      </c>
      <c r="E349" s="115">
        <v>33703984.644494638</v>
      </c>
      <c r="F349" s="115">
        <v>178632799.5706068</v>
      </c>
      <c r="G349" s="115">
        <v>153488444.7317895</v>
      </c>
      <c r="H349" s="51"/>
      <c r="I349" s="51"/>
    </row>
    <row r="350" spans="1:11" x14ac:dyDescent="0.25">
      <c r="A350" s="125" t="s">
        <v>224</v>
      </c>
      <c r="B350" s="123">
        <v>34010</v>
      </c>
      <c r="C350" s="113">
        <v>-850557820.11991298</v>
      </c>
      <c r="D350" s="113">
        <v>-898391593.64751732</v>
      </c>
      <c r="E350" s="113">
        <v>-948471072.66256559</v>
      </c>
      <c r="F350" s="113">
        <v>-1001263452.8282877</v>
      </c>
      <c r="G350" s="113">
        <v>-1056845678.5327758</v>
      </c>
      <c r="H350" s="51"/>
      <c r="I350" s="51"/>
    </row>
    <row r="351" spans="1:11" x14ac:dyDescent="0.25">
      <c r="A351" s="125" t="s">
        <v>225</v>
      </c>
      <c r="B351" s="123"/>
      <c r="C351" s="112">
        <v>-3283617134.2664309</v>
      </c>
      <c r="D351" s="112">
        <v>-3939519321.8417339</v>
      </c>
      <c r="E351" s="112">
        <v>-4714645628.6436071</v>
      </c>
      <c r="F351" s="112">
        <v>-5629412716.6616783</v>
      </c>
      <c r="G351" s="112">
        <v>-6452043369.9193592</v>
      </c>
      <c r="H351" s="51"/>
      <c r="I351" s="51"/>
    </row>
    <row r="352" spans="1:11" x14ac:dyDescent="0.25">
      <c r="A352" s="106" t="s">
        <v>226</v>
      </c>
      <c r="B352" s="123">
        <v>34035</v>
      </c>
      <c r="C352" s="110" t="s">
        <v>255</v>
      </c>
      <c r="D352" s="110" t="s">
        <v>255</v>
      </c>
      <c r="E352" s="110" t="s">
        <v>255</v>
      </c>
      <c r="F352" s="110" t="s">
        <v>255</v>
      </c>
      <c r="G352" s="110" t="s">
        <v>255</v>
      </c>
      <c r="H352" s="51"/>
      <c r="I352" s="51"/>
    </row>
    <row r="353" spans="1:9" x14ac:dyDescent="0.25">
      <c r="A353" s="106" t="s">
        <v>239</v>
      </c>
      <c r="B353" s="123">
        <v>34037</v>
      </c>
      <c r="C353" s="110" t="s">
        <v>255</v>
      </c>
      <c r="D353" s="110" t="s">
        <v>255</v>
      </c>
      <c r="E353" s="110" t="s">
        <v>255</v>
      </c>
      <c r="F353" s="110" t="s">
        <v>255</v>
      </c>
      <c r="G353" s="110" t="s">
        <v>255</v>
      </c>
      <c r="H353" s="51"/>
      <c r="I353" s="51"/>
    </row>
    <row r="354" spans="1:9" x14ac:dyDescent="0.25">
      <c r="A354" s="106" t="s">
        <v>227</v>
      </c>
      <c r="B354" s="123">
        <v>34030</v>
      </c>
      <c r="C354" s="115">
        <v>-3283617134.2664309</v>
      </c>
      <c r="D354" s="115">
        <v>-3939519321.8417339</v>
      </c>
      <c r="E354" s="115">
        <v>-4714645628.6436071</v>
      </c>
      <c r="F354" s="115">
        <v>-5629412716.6616783</v>
      </c>
      <c r="G354" s="115">
        <v>-6452043369.9193592</v>
      </c>
      <c r="H354" s="51"/>
      <c r="I354" s="51"/>
    </row>
    <row r="355" spans="1:9" ht="15" thickBot="1" x14ac:dyDescent="0.35">
      <c r="A355" s="105" t="s">
        <v>228</v>
      </c>
      <c r="B355" s="105"/>
      <c r="C355" s="116">
        <v>7549849008.4027042</v>
      </c>
      <c r="D355" s="116">
        <v>7064457092.1392317</v>
      </c>
      <c r="E355" s="116">
        <v>6455494809.2703285</v>
      </c>
      <c r="F355" s="116">
        <v>5955608404.4047985</v>
      </c>
      <c r="G355" s="116">
        <v>5392828529.8638067</v>
      </c>
      <c r="H355" s="51"/>
      <c r="I355" s="51"/>
    </row>
    <row r="356" spans="1:9" x14ac:dyDescent="0.25">
      <c r="B356" s="123"/>
      <c r="C356" s="112"/>
      <c r="D356" s="112"/>
      <c r="E356" s="112"/>
      <c r="F356" s="112"/>
      <c r="G356" s="112"/>
      <c r="H356" s="51"/>
      <c r="I356" s="51"/>
    </row>
    <row r="357" spans="1:9" ht="15" thickBot="1" x14ac:dyDescent="0.35">
      <c r="A357" s="105" t="s">
        <v>231</v>
      </c>
      <c r="B357" s="105"/>
      <c r="C357" s="116">
        <v>11093677707.329927</v>
      </c>
      <c r="D357" s="116">
        <v>11311317879.330965</v>
      </c>
      <c r="E357" s="116">
        <v>11565583012.746933</v>
      </c>
      <c r="F357" s="116">
        <v>11686223295.328983</v>
      </c>
      <c r="G357" s="116">
        <v>11806316754.713772</v>
      </c>
    </row>
  </sheetData>
  <mergeCells count="1">
    <mergeCell ref="C1:G1"/>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961404F3F6B34988E14CCD792B016F" ma:contentTypeVersion="6" ma:contentTypeDescription="Create a new document." ma:contentTypeScope="" ma:versionID="c410bab37c303177467c07dd821a813e">
  <xsd:schema xmlns:xsd="http://www.w3.org/2001/XMLSchema" xmlns:xs="http://www.w3.org/2001/XMLSchema" xmlns:p="http://schemas.microsoft.com/office/2006/metadata/properties" xmlns:ns2="48215e7f-c7c9-482e-8541-9f0dcdf0a62e" xmlns:ns3="f5f9a743-18e3-40ef-b0a4-47096f190587" targetNamespace="http://schemas.microsoft.com/office/2006/metadata/properties" ma:root="true" ma:fieldsID="992d1cf030671a911d22a5604d084b24" ns2:_="" ns3:_="">
    <xsd:import namespace="48215e7f-c7c9-482e-8541-9f0dcdf0a62e"/>
    <xsd:import namespace="f5f9a743-18e3-40ef-b0a4-47096f1905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15e7f-c7c9-482e-8541-9f0dcdf0a6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f9a743-18e3-40ef-b0a4-47096f1905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5f9a743-18e3-40ef-b0a4-47096f190587">
      <UserInfo>
        <DisplayName/>
        <AccountId xsi:nil="true"/>
        <AccountType/>
      </UserInfo>
    </SharedWithUsers>
  </documentManagement>
</p:properties>
</file>

<file path=customXml/itemProps1.xml><?xml version="1.0" encoding="utf-8"?>
<ds:datastoreItem xmlns:ds="http://schemas.openxmlformats.org/officeDocument/2006/customXml" ds:itemID="{862DFC53-D837-453A-9175-28C473CDD1D4}"/>
</file>

<file path=customXml/itemProps2.xml><?xml version="1.0" encoding="utf-8"?>
<ds:datastoreItem xmlns:ds="http://schemas.openxmlformats.org/officeDocument/2006/customXml" ds:itemID="{468D4C02-2744-4E4E-A3E0-AF82647C84D9}">
  <ds:schemaRefs>
    <ds:schemaRef ds:uri="http://schemas.microsoft.com/sharepoint/v3/contenttype/forms"/>
  </ds:schemaRefs>
</ds:datastoreItem>
</file>

<file path=customXml/itemProps3.xml><?xml version="1.0" encoding="utf-8"?>
<ds:datastoreItem xmlns:ds="http://schemas.openxmlformats.org/officeDocument/2006/customXml" ds:itemID="{208DDBAE-24ED-4201-BAEB-FD4C37ABDF83}">
  <ds:schemaRefs>
    <ds:schemaRef ds:uri="http://schemas.microsoft.com/office/2006/metadata/properties"/>
    <ds:schemaRef ds:uri="http://schemas.microsoft.com/office/infopath/2007/PartnerControls"/>
    <ds:schemaRef ds:uri="68f740ed-1bb5-4d6a-85fa-63caa26fe7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C-24</vt:lpstr>
      <vt:lpstr>Support A. 23 IS</vt:lpstr>
      <vt:lpstr>Support B. 23 BS</vt:lpstr>
      <vt:lpstr>Support A. 22 IS</vt:lpstr>
      <vt:lpstr>Support B. 22 BS</vt:lpstr>
      <vt:lpstr>Support C. 24 Budget BS</vt:lpstr>
      <vt:lpstr>Support C.2 23 Q3F BS</vt:lpstr>
      <vt:lpstr>Support D. 24 Budget IS</vt:lpstr>
      <vt:lpstr>Support E. 25 LTF BS</vt:lpstr>
      <vt:lpstr>Support F. 25 LTF IS</vt:lpstr>
      <vt:lpstr>Support Notes</vt:lpstr>
      <vt:lpstr>2023 Revolver Balances(TRE)</vt:lpstr>
      <vt:lpstr>'C-24'!Print_Area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2021-04-11T11:00:57Z</dcterms:created>
  <dcterms:modified xsi:type="dcterms:W3CDTF">2024-04-08T22:47:18Z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0x01010093961404F3F6B34988E14CCD792B016F</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a83f872e-d8d7-43ac-9961-0f2ad31e50e5_Enabled">
    <vt:lpwstr>true</vt:lpwstr>
  </property>
  <property fmtid="{D5CDD505-2E9C-101B-9397-08002B2CF9AE}" pid="6" name="MSIP_Label_a83f872e-d8d7-43ac-9961-0f2ad31e50e5_SetDate">
    <vt:lpwstr>2024-03-04T13:51:07Z</vt:lpwstr>
  </property>
  <property fmtid="{D5CDD505-2E9C-101B-9397-08002B2CF9AE}" pid="7" name="MSIP_Label_a83f872e-d8d7-43ac-9961-0f2ad31e50e5_Method">
    <vt:lpwstr>Standard</vt:lpwstr>
  </property>
  <property fmtid="{D5CDD505-2E9C-101B-9397-08002B2CF9AE}" pid="8" name="MSIP_Label_a83f872e-d8d7-43ac-9961-0f2ad31e50e5_Name">
    <vt:lpwstr>a83f872e-d8d7-43ac-9961-0f2ad31e50e5</vt:lpwstr>
  </property>
  <property fmtid="{D5CDD505-2E9C-101B-9397-08002B2CF9AE}" pid="9" name="MSIP_Label_a83f872e-d8d7-43ac-9961-0f2ad31e50e5_SiteId">
    <vt:lpwstr>fa8c194a-f8e2-43c5-bc39-b637579e39e0</vt:lpwstr>
  </property>
  <property fmtid="{D5CDD505-2E9C-101B-9397-08002B2CF9AE}" pid="10" name="MSIP_Label_a83f872e-d8d7-43ac-9961-0f2ad31e50e5_ActionId">
    <vt:lpwstr>093e979a-2cfd-4632-8eb6-3107d5719ef4</vt:lpwstr>
  </property>
  <property fmtid="{D5CDD505-2E9C-101B-9397-08002B2CF9AE}" pid="11" name="MSIP_Label_a83f872e-d8d7-43ac-9961-0f2ad31e50e5_ContentBits">
    <vt:lpwstr>0</vt:lpwstr>
  </property>
  <property fmtid="{D5CDD505-2E9C-101B-9397-08002B2CF9AE}" pid="12" name="{A44787D4-0540-4523-9961-78E4036D8C6D}">
    <vt:lpwstr>{807FC5A6-1EC8-4C5E-89DB-A0367325A994}</vt:lpwstr>
  </property>
  <property fmtid="{D5CDD505-2E9C-101B-9397-08002B2CF9AE}" pid="13" name="Order">
    <vt:r8>768000</vt:r8>
  </property>
  <property fmtid="{D5CDD505-2E9C-101B-9397-08002B2CF9AE}" pid="14" name="xd_Signature">
    <vt:bool>false</vt:bool>
  </property>
  <property fmtid="{D5CDD505-2E9C-101B-9397-08002B2CF9AE}" pid="15" name="xd_ProgID">
    <vt:lpwstr/>
  </property>
  <property fmtid="{D5CDD505-2E9C-101B-9397-08002B2CF9AE}" pid="16" name="_SourceUrl">
    <vt:lpwstr/>
  </property>
  <property fmtid="{D5CDD505-2E9C-101B-9397-08002B2CF9AE}" pid="17" name="_SharedFileIndex">
    <vt:lpwstr/>
  </property>
  <property fmtid="{D5CDD505-2E9C-101B-9397-08002B2CF9AE}" pid="18" name="ComplianceAssetId">
    <vt:lpwstr/>
  </property>
  <property fmtid="{D5CDD505-2E9C-101B-9397-08002B2CF9AE}" pid="19" name="TemplateUrl">
    <vt:lpwstr/>
  </property>
  <property fmtid="{D5CDD505-2E9C-101B-9397-08002B2CF9AE}" pid="20" name="_ExtendedDescription">
    <vt:lpwstr/>
  </property>
  <property fmtid="{D5CDD505-2E9C-101B-9397-08002B2CF9AE}" pid="21" name="TriggerFlowInfo">
    <vt:lpwstr/>
  </property>
</Properties>
</file>