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98" documentId="13_ncr:1_{C9AF8B87-4B2C-4A30-B541-A35716B41DF6}" xr6:coauthVersionLast="47" xr6:coauthVersionMax="47" xr10:uidLastSave="{3F88E21E-1F05-48F9-8320-3F534D5377B6}"/>
  <bookViews>
    <workbookView xWindow="5016" yWindow="1056" windowWidth="25608" windowHeight="14556" activeTab="1" xr2:uid="{90ADBA43-D76E-47FA-876A-62726CE835D8}"/>
  </bookViews>
  <sheets>
    <sheet name="SYA Major Projects" sheetId="1" r:id="rId1"/>
    <sheet name="Wave 1 Battery Energy Storage" sheetId="2" r:id="rId2"/>
    <sheet name="Solar Wave 3" sheetId="3" r:id="rId3"/>
    <sheet name="Solar Wave 4" sheetId="4" r:id="rId4"/>
    <sheet name="Corporate Headquarters" sheetId="6" r:id="rId5"/>
    <sheet name="Bearss Operations Center" sheetId="5" r:id="rId6"/>
  </sheets>
  <definedNames>
    <definedName name="_xlnm.Print_Area" localSheetId="5">'Bearss Operations Center'!$A$1:$L$45</definedName>
    <definedName name="_xlnm.Print_Area" localSheetId="4">'Corporate Headquarters'!$A$1:$Q$48</definedName>
    <definedName name="_xlnm.Print_Area" localSheetId="3">'Solar Wave 4'!$A$1:$I$16</definedName>
    <definedName name="_xlnm.Print_Area" localSheetId="0">'SYA Major Projects'!$A$1:$F$9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I12" i="4"/>
  <c r="H12" i="4"/>
  <c r="G12" i="4"/>
  <c r="F12" i="4"/>
  <c r="B12" i="4"/>
  <c r="E11" i="3"/>
  <c r="D11" i="3"/>
  <c r="F11" i="3"/>
  <c r="G11" i="3"/>
  <c r="H11" i="3"/>
  <c r="I11" i="3"/>
  <c r="B11" i="3"/>
  <c r="H10" i="4"/>
  <c r="H9" i="4"/>
  <c r="H8" i="4"/>
  <c r="G7" i="4"/>
  <c r="G6" i="4"/>
  <c r="F5" i="4"/>
  <c r="G5" i="4" s="1"/>
  <c r="H5" i="4" s="1"/>
  <c r="I5" i="4" s="1"/>
  <c r="F4" i="4"/>
  <c r="G4" i="4" s="1"/>
  <c r="H4" i="4" s="1"/>
  <c r="I4" i="4" s="1"/>
  <c r="F8" i="3"/>
  <c r="F9" i="3"/>
  <c r="E8" i="3"/>
  <c r="E7" i="3"/>
  <c r="E6" i="3"/>
  <c r="D5" i="3"/>
  <c r="D4" i="3"/>
  <c r="F6" i="1"/>
  <c r="E6" i="1"/>
  <c r="D6" i="1"/>
  <c r="C6" i="1"/>
  <c r="B6" i="1"/>
  <c r="F7" i="1"/>
  <c r="E7" i="1"/>
  <c r="D7" i="1"/>
  <c r="C7" i="1"/>
  <c r="B7" i="1"/>
  <c r="F2" i="1"/>
  <c r="B5" i="1" l="1"/>
  <c r="I9" i="4"/>
  <c r="I8" i="4"/>
  <c r="H7" i="4"/>
  <c r="I7" i="4" s="1"/>
  <c r="H6" i="4"/>
  <c r="I6" i="4" s="1"/>
  <c r="I10" i="4" l="1"/>
  <c r="D10" i="3"/>
  <c r="B4" i="1" s="1"/>
  <c r="B8" i="1" s="1"/>
  <c r="E4" i="3"/>
  <c r="F4" i="3" s="1"/>
  <c r="G4" i="3" s="1"/>
  <c r="H4" i="3" s="1"/>
  <c r="I4" i="3" s="1"/>
  <c r="E11" i="4" l="1"/>
  <c r="C5" i="1" s="1"/>
  <c r="D11" i="4"/>
  <c r="F6" i="3"/>
  <c r="E5" i="3"/>
  <c r="F11" i="4" l="1"/>
  <c r="D5" i="1" s="1"/>
  <c r="G6" i="3"/>
  <c r="H6" i="3" s="1"/>
  <c r="I6" i="3" s="1"/>
  <c r="G8" i="3"/>
  <c r="H8" i="3" s="1"/>
  <c r="I8" i="3" s="1"/>
  <c r="F5" i="3"/>
  <c r="F7" i="3"/>
  <c r="G11" i="4" l="1"/>
  <c r="E5" i="1" s="1"/>
  <c r="E10" i="3"/>
  <c r="C4" i="1" s="1"/>
  <c r="C8" i="1" s="1"/>
  <c r="G7" i="3"/>
  <c r="H7" i="3" s="1"/>
  <c r="I7" i="3" s="1"/>
  <c r="G9" i="3"/>
  <c r="H9" i="3" s="1"/>
  <c r="I9" i="3" s="1"/>
  <c r="G5" i="3"/>
  <c r="F10" i="3"/>
  <c r="D4" i="1" s="1"/>
  <c r="D8" i="1" s="1"/>
  <c r="H11" i="4" l="1"/>
  <c r="F5" i="1" s="1"/>
  <c r="I11" i="4"/>
  <c r="H5" i="3"/>
  <c r="G10" i="3"/>
  <c r="E4" i="1" s="1"/>
  <c r="E8" i="1" s="1"/>
  <c r="I5" i="3" l="1"/>
  <c r="I10" i="3" s="1"/>
  <c r="H10" i="3"/>
  <c r="F4" i="1" s="1"/>
  <c r="F8" i="1" s="1"/>
  <c r="F3" i="1" l="1"/>
  <c r="E3" i="1"/>
  <c r="D3" i="1"/>
  <c r="C3" i="1"/>
  <c r="B3" i="1"/>
  <c r="B19" i="2"/>
  <c r="C18" i="2"/>
  <c r="D18" i="2" s="1"/>
  <c r="D17" i="2"/>
  <c r="E17" i="2" s="1"/>
  <c r="F17" i="2" s="1"/>
  <c r="G17" i="2" s="1"/>
  <c r="C17" i="2"/>
  <c r="D16" i="2"/>
  <c r="E16" i="2" s="1"/>
  <c r="C16" i="2"/>
  <c r="C19" i="2" s="1"/>
  <c r="B8" i="2"/>
  <c r="D7" i="2"/>
  <c r="D6" i="2"/>
  <c r="D5" i="2"/>
  <c r="D10" i="2"/>
  <c r="E5" i="2" l="1"/>
  <c r="E6" i="2"/>
  <c r="E7" i="2"/>
  <c r="E4" i="2"/>
  <c r="E10" i="2" s="1"/>
  <c r="F16" i="2"/>
  <c r="E19" i="2"/>
  <c r="D8" i="2"/>
  <c r="D9" i="2" s="1"/>
  <c r="E18" i="2"/>
  <c r="F18" i="2" s="1"/>
  <c r="G18" i="2" s="1"/>
  <c r="D19" i="2"/>
  <c r="G6" i="2" l="1"/>
  <c r="G7" i="2"/>
  <c r="G4" i="2"/>
  <c r="G5" i="2"/>
  <c r="G16" i="2"/>
  <c r="F19" i="2"/>
  <c r="F6" i="2"/>
  <c r="F7" i="2"/>
  <c r="F4" i="2"/>
  <c r="F5" i="2"/>
  <c r="E8" i="2"/>
  <c r="E9" i="2" s="1"/>
  <c r="H7" i="2" l="1"/>
  <c r="H4" i="2"/>
  <c r="H5" i="2"/>
  <c r="H6" i="2"/>
  <c r="G19" i="2"/>
  <c r="F10" i="2"/>
  <c r="G10" i="2"/>
  <c r="F8" i="2" l="1"/>
  <c r="F9" i="2" s="1"/>
  <c r="H10" i="2"/>
  <c r="I7" i="2"/>
  <c r="I4" i="2"/>
  <c r="I5" i="2"/>
  <c r="I6" i="2"/>
  <c r="G9" i="2"/>
  <c r="G8" i="2"/>
  <c r="I10" i="2" l="1"/>
  <c r="H8" i="2"/>
  <c r="H9" i="2" s="1"/>
  <c r="I8" i="2" l="1"/>
  <c r="I9" i="2" s="1"/>
</calcChain>
</file>

<file path=xl/sharedStrings.xml><?xml version="1.0" encoding="utf-8"?>
<sst xmlns="http://schemas.openxmlformats.org/spreadsheetml/2006/main" count="69" uniqueCount="56">
  <si>
    <t>Project</t>
  </si>
  <si>
    <t>South Tampa Resiliency</t>
  </si>
  <si>
    <t>Wave 1 Battery Energy Storage</t>
  </si>
  <si>
    <t>Solar Wave 3</t>
  </si>
  <si>
    <t>Solar Wave 4</t>
  </si>
  <si>
    <t>Corporate Headquarters</t>
  </si>
  <si>
    <t>Bearss Operations Center</t>
  </si>
  <si>
    <t>Total</t>
  </si>
  <si>
    <t>* Corporate Headquarters is based on TEC being responsible for 74% of the overall O&amp;M and PGA being responsible for 26%.</t>
  </si>
  <si>
    <t>O&amp;M Budget 2025-2030</t>
  </si>
  <si>
    <t>Revised Jan 5, 2024.</t>
  </si>
  <si>
    <t>Site</t>
  </si>
  <si>
    <t>MW</t>
  </si>
  <si>
    <t>CO Date</t>
  </si>
  <si>
    <t xml:space="preserve">Dover Battery Energy </t>
  </si>
  <si>
    <t xml:space="preserve">Lake Mabel Battery Energy </t>
  </si>
  <si>
    <t xml:space="preserve">MacDill Battery Energy </t>
  </si>
  <si>
    <t xml:space="preserve">Wimauma Battery Energy </t>
  </si>
  <si>
    <t>Total - Solar Ops</t>
  </si>
  <si>
    <t>Total Facilities Maint.</t>
  </si>
  <si>
    <t>Total - Solar Ops &amp; Fac.</t>
  </si>
  <si>
    <t>Supporting calculations</t>
  </si>
  <si>
    <t>Rates</t>
  </si>
  <si>
    <t>Rate $/kw-yr</t>
  </si>
  <si>
    <t>O&amp;M - Solar Ops*</t>
  </si>
  <si>
    <t>O&amp;M - Veg Mgt</t>
  </si>
  <si>
    <t>O&amp;M - Facilities/AC</t>
  </si>
  <si>
    <t>O&amp;M Total</t>
  </si>
  <si>
    <t>Annual increases</t>
  </si>
  <si>
    <t>Infl</t>
  </si>
  <si>
    <t>p.a.</t>
  </si>
  <si>
    <t>Maint. Inc</t>
  </si>
  <si>
    <t>(exp warranty, degredation)</t>
  </si>
  <si>
    <t>Notes.</t>
  </si>
  <si>
    <t>1. Assumes no additional substation maint costs with solar site subs</t>
  </si>
  <si>
    <t>2. Excuded capital replacements/upgrades</t>
  </si>
  <si>
    <t>3. * includes scada and fire sys</t>
  </si>
  <si>
    <t>4. Excludes insurance</t>
  </si>
  <si>
    <t>5. References; 1.  NREL 2021 O&amp;M study at $34/kW-yr, 2. res planning $4/kw-yr, $1-2/MWh.3. Wartsila quote $13.3/kW-yr excl. facilities yr1, $20/kW-yr excl fac/augmentation</t>
  </si>
  <si>
    <t>Revised Feb 22, 2024</t>
  </si>
  <si>
    <t xml:space="preserve">Bullfrog Creek Solar </t>
  </si>
  <si>
    <t>English Creek Solar</t>
  </si>
  <si>
    <t>Cotton Mouth Solar</t>
  </si>
  <si>
    <t>FFD Solar</t>
  </si>
  <si>
    <t>Big Four Solar</t>
  </si>
  <si>
    <t>Farmland/Suburban Solar</t>
  </si>
  <si>
    <t>$/kw-yr</t>
  </si>
  <si>
    <t>* Bullfrog Creek Solar, Cotton Mouth Solar and Big Four Solar all with annual lease O&amp;M</t>
  </si>
  <si>
    <t>BREWSTER (SOLVAY) Solar</t>
  </si>
  <si>
    <t>WIMAUMA 3 (FRP) Solar</t>
  </si>
  <si>
    <t>CLEAR SPRINGS I Solar</t>
  </si>
  <si>
    <t>ROOD Solar</t>
  </si>
  <si>
    <t>CLEAR SPRINGS II Solar</t>
  </si>
  <si>
    <t>MATTANIAH Solar</t>
  </si>
  <si>
    <t>TBD</t>
  </si>
  <si>
    <t>* Wimauma 3 (FRP) with annual lease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</si>
</sst>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3" fillId="3" borderId="2" xfId="0" applyFont="1" applyFill="1" applyBorder="1"/>
    <xf numFmtId="1" fontId="3" fillId="3" borderId="2" xfId="0" applyNumberFormat="1" applyFont="1" applyFill="1" applyBorder="1" applyAlignment="1">
      <alignment horizontal="center" wrapText="1"/>
    </xf>
    <xf numFmtId="14" fontId="3" fillId="3" borderId="2" xfId="0" applyNumberFormat="1" applyFont="1" applyFill="1" applyBorder="1" applyAlignment="1">
      <alignment horizontal="center"/>
    </xf>
    <xf numFmtId="164" fontId="0" fillId="3" borderId="2" xfId="2" applyNumberFormat="1" applyFont="1" applyFill="1" applyBorder="1"/>
    <xf numFmtId="0" fontId="4" fillId="4" borderId="2" xfId="0" applyFont="1" applyFill="1" applyBorder="1"/>
    <xf numFmtId="1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4" fontId="2" fillId="4" borderId="2" xfId="2" applyNumberFormat="1" applyFont="1" applyFill="1" applyBorder="1"/>
    <xf numFmtId="0" fontId="4" fillId="5" borderId="2" xfId="0" applyFont="1" applyFill="1" applyBorder="1"/>
    <xf numFmtId="0" fontId="2" fillId="5" borderId="2" xfId="0" applyFont="1" applyFill="1" applyBorder="1"/>
    <xf numFmtId="164" fontId="2" fillId="5" borderId="2" xfId="2" applyNumberFormat="1" applyFont="1" applyFill="1" applyBorder="1"/>
    <xf numFmtId="0" fontId="4" fillId="6" borderId="2" xfId="0" applyFont="1" applyFill="1" applyBorder="1"/>
    <xf numFmtId="0" fontId="2" fillId="6" borderId="2" xfId="0" applyFont="1" applyFill="1" applyBorder="1"/>
    <xf numFmtId="164" fontId="2" fillId="6" borderId="2" xfId="2" applyNumberFormat="1" applyFont="1" applyFill="1" applyBorder="1"/>
    <xf numFmtId="0" fontId="2" fillId="0" borderId="2" xfId="0" applyFont="1" applyBorder="1"/>
    <xf numFmtId="0" fontId="0" fillId="0" borderId="2" xfId="0" applyBorder="1"/>
    <xf numFmtId="165" fontId="0" fillId="0" borderId="2" xfId="2" applyNumberFormat="1" applyFont="1" applyBorder="1"/>
    <xf numFmtId="0" fontId="2" fillId="7" borderId="2" xfId="0" applyFont="1" applyFill="1" applyBorder="1"/>
    <xf numFmtId="165" fontId="2" fillId="7" borderId="2" xfId="2" applyNumberFormat="1" applyFont="1" applyFill="1" applyBorder="1"/>
    <xf numFmtId="9" fontId="0" fillId="0" borderId="0" xfId="0" applyNumberFormat="1"/>
    <xf numFmtId="164" fontId="0" fillId="0" borderId="0" xfId="2" applyNumberFormat="1" applyFont="1"/>
    <xf numFmtId="14" fontId="0" fillId="0" borderId="0" xfId="0" applyNumberFormat="1"/>
    <xf numFmtId="164" fontId="0" fillId="0" borderId="1" xfId="2" applyNumberFormat="1" applyFont="1" applyBorder="1"/>
    <xf numFmtId="164" fontId="0" fillId="0" borderId="0" xfId="0" applyNumberFormat="1"/>
    <xf numFmtId="166" fontId="0" fillId="0" borderId="0" xfId="1" applyNumberFormat="1" applyFont="1"/>
    <xf numFmtId="0" fontId="0" fillId="8" borderId="0" xfId="0" applyFill="1"/>
    <xf numFmtId="164" fontId="0" fillId="8" borderId="0" xfId="2" applyNumberFormat="1" applyFont="1" applyFill="1"/>
    <xf numFmtId="44" fontId="0" fillId="0" borderId="0" xfId="0" applyNumberFormat="1"/>
    <xf numFmtId="164" fontId="0" fillId="8" borderId="1" xfId="2" applyNumberFormat="1" applyFont="1" applyFill="1" applyBorder="1"/>
    <xf numFmtId="166" fontId="0" fillId="0" borderId="0" xfId="0" applyNumberFormat="1"/>
    <xf numFmtId="43" fontId="0" fillId="0" borderId="0" xfId="0" applyNumberFormat="1"/>
    <xf numFmtId="164" fontId="0" fillId="0" borderId="0" xfId="2" applyNumberFormat="1" applyFont="1" applyFill="1"/>
    <xf numFmtId="44" fontId="0" fillId="0" borderId="0" xfId="2" applyFont="1"/>
    <xf numFmtId="164" fontId="2" fillId="0" borderId="3" xfId="2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16</xdr:col>
      <xdr:colOff>304801</xdr:colOff>
      <xdr:row>43</xdr:row>
      <xdr:rowOff>60960</xdr:rowOff>
    </xdr:to>
    <xdr:pic>
      <xdr:nvPicPr>
        <xdr:cNvPr id="2" name="Picture 1" descr="A screenshot of a computer&#10;&#10;Description automatically generated">
          <a:extLst>
            <a:ext uri="{FF2B5EF4-FFF2-40B4-BE49-F238E27FC236}">
              <a16:creationId xmlns:a16="http://schemas.microsoft.com/office/drawing/2014/main" id="{2734FFBC-896A-DCE9-7FBC-EAF88EE24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058400" cy="792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549269</xdr:colOff>
      <xdr:row>30</xdr:row>
      <xdr:rowOff>84303</xdr:rowOff>
    </xdr:to>
    <xdr:pic>
      <xdr:nvPicPr>
        <xdr:cNvPr id="2" name="Picture 1" descr="A screenshot of a computer&#10;&#10;Description automatically generated">
          <a:extLst>
            <a:ext uri="{FF2B5EF4-FFF2-40B4-BE49-F238E27FC236}">
              <a16:creationId xmlns:a16="http://schemas.microsoft.com/office/drawing/2014/main" id="{C8D05EEB-D7D5-D774-68E2-7F01A29CF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54869" cy="55707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12</xdr:col>
      <xdr:colOff>30480</xdr:colOff>
      <xdr:row>43</xdr:row>
      <xdr:rowOff>76365</xdr:rowOff>
    </xdr:to>
    <xdr:pic>
      <xdr:nvPicPr>
        <xdr:cNvPr id="3" name="Picture 2" descr="A white background with black text&#10;&#10;Description automatically generated">
          <a:extLst>
            <a:ext uri="{FF2B5EF4-FFF2-40B4-BE49-F238E27FC236}">
              <a16:creationId xmlns:a16="http://schemas.microsoft.com/office/drawing/2014/main" id="{838E3E18-7362-031C-71CD-9B2D54D25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35040"/>
          <a:ext cx="7345680" cy="19051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4DDA-6B1C-4A30-BCC8-DF2200910F93}">
  <sheetPr>
    <pageSetUpPr fitToPage="1"/>
  </sheetPr>
  <dimension ref="A1:F10"/>
  <sheetViews>
    <sheetView workbookViewId="0">
      <selection activeCell="I13" sqref="I13"/>
    </sheetView>
  </sheetViews>
  <sheetFormatPr defaultRowHeight="24" customHeight="1" x14ac:dyDescent="0.3"/>
  <cols>
    <col min="1" max="1" width="27.77734375" customWidth="1"/>
    <col min="2" max="2" width="13.77734375" bestFit="1" customWidth="1"/>
    <col min="3" max="6" width="13.77734375" hidden="1" customWidth="1"/>
  </cols>
  <sheetData>
    <row r="1" spans="1:6" ht="24" customHeight="1" x14ac:dyDescent="0.3">
      <c r="A1" s="1" t="s">
        <v>0</v>
      </c>
      <c r="B1" s="1">
        <v>2025</v>
      </c>
      <c r="C1" s="1">
        <v>2026</v>
      </c>
      <c r="D1" s="1">
        <v>2027</v>
      </c>
      <c r="E1" s="1">
        <v>2028</v>
      </c>
      <c r="F1" s="1">
        <v>2029</v>
      </c>
    </row>
    <row r="2" spans="1:6" ht="24" customHeight="1" x14ac:dyDescent="0.3">
      <c r="A2" t="s">
        <v>1</v>
      </c>
      <c r="B2" s="25">
        <v>750316</v>
      </c>
      <c r="C2" s="25">
        <v>1413877</v>
      </c>
      <c r="D2" s="25">
        <v>1444982</v>
      </c>
      <c r="E2" s="25">
        <v>1476771</v>
      </c>
      <c r="F2" s="25">
        <f>E2*1.03</f>
        <v>1521074.1300000001</v>
      </c>
    </row>
    <row r="3" spans="1:6" ht="24" customHeight="1" x14ac:dyDescent="0.3">
      <c r="A3" t="s">
        <v>2</v>
      </c>
      <c r="B3" s="25">
        <f>'Wave 1 Battery Energy Storage'!D10</f>
        <v>1963333.3333333335</v>
      </c>
      <c r="C3" s="25">
        <f>'Wave 1 Battery Energy Storage'!E10</f>
        <v>2217533.333333333</v>
      </c>
      <c r="D3" s="25">
        <f>'Wave 1 Battery Energy Storage'!F10</f>
        <v>2509677.333333333</v>
      </c>
      <c r="E3" s="25">
        <f>'Wave 1 Battery Energy Storage'!G10</f>
        <v>2845434.6133333324</v>
      </c>
      <c r="F3" s="25">
        <f>'Wave 1 Battery Energy Storage'!H10</f>
        <v>3231322.1669333321</v>
      </c>
    </row>
    <row r="4" spans="1:6" ht="24" customHeight="1" x14ac:dyDescent="0.3">
      <c r="A4" t="s">
        <v>3</v>
      </c>
      <c r="B4" s="25">
        <f>'Solar Wave 3'!D10</f>
        <v>3662800</v>
      </c>
      <c r="C4" s="25">
        <f>'Solar Wave 3'!E10</f>
        <v>6780267.333333333</v>
      </c>
      <c r="D4" s="25">
        <f>'Solar Wave 3'!F10</f>
        <v>8227605.4827999994</v>
      </c>
      <c r="E4" s="25">
        <f>'Solar Wave 3'!G10</f>
        <v>8474433.6472840011</v>
      </c>
      <c r="F4" s="25">
        <f>'Solar Wave 3'!H10</f>
        <v>8728666.6567025203</v>
      </c>
    </row>
    <row r="5" spans="1:6" ht="24" customHeight="1" x14ac:dyDescent="0.3">
      <c r="A5" t="s">
        <v>4</v>
      </c>
      <c r="B5" s="25">
        <f>'Solar Wave 4'!D11</f>
        <v>0</v>
      </c>
      <c r="C5" s="25">
        <f>'Solar Wave 4'!E11</f>
        <v>750000</v>
      </c>
      <c r="D5" s="25">
        <f>'Solar Wave 4'!F11</f>
        <v>2606925.62745</v>
      </c>
      <c r="E5" s="25">
        <f>'Solar Wave 4'!G11</f>
        <v>5200701.4893789636</v>
      </c>
      <c r="F5" s="25">
        <f>'Solar Wave 4'!H11</f>
        <v>8904101.2014183328</v>
      </c>
    </row>
    <row r="6" spans="1:6" ht="24" customHeight="1" x14ac:dyDescent="0.3">
      <c r="A6" t="s">
        <v>5</v>
      </c>
      <c r="B6" s="25">
        <f>5842914*0.74</f>
        <v>4323756.3600000003</v>
      </c>
      <c r="C6" s="25">
        <f>7175726*0.74</f>
        <v>5310037.24</v>
      </c>
      <c r="D6" s="25">
        <f>7156607*0.74</f>
        <v>5295889.18</v>
      </c>
      <c r="E6" s="25">
        <f>7139078*0.74</f>
        <v>5282917.72</v>
      </c>
      <c r="F6" s="25">
        <f>7108932*0.74</f>
        <v>5260609.68</v>
      </c>
    </row>
    <row r="7" spans="1:6" ht="24" customHeight="1" x14ac:dyDescent="0.3">
      <c r="A7" s="1" t="s">
        <v>6</v>
      </c>
      <c r="B7" s="27">
        <f>2640000+126000</f>
        <v>2766000</v>
      </c>
      <c r="C7" s="27">
        <f>3625000+207000</f>
        <v>3832000</v>
      </c>
      <c r="D7" s="27">
        <f>3735000+214000</f>
        <v>3949000</v>
      </c>
      <c r="E7" s="27">
        <f>3847000+222000</f>
        <v>4069000</v>
      </c>
      <c r="F7" s="27">
        <f>3981000+222000</f>
        <v>4203000</v>
      </c>
    </row>
    <row r="8" spans="1:6" ht="24" customHeight="1" x14ac:dyDescent="0.3">
      <c r="A8" t="s">
        <v>7</v>
      </c>
      <c r="B8" s="28">
        <f>SUM(B2:B7)</f>
        <v>13466205.693333335</v>
      </c>
      <c r="C8" s="28">
        <f t="shared" ref="C8:F8" si="0">SUM(C2:C7)</f>
        <v>20303714.906666666</v>
      </c>
      <c r="D8" s="28">
        <f t="shared" si="0"/>
        <v>24034079.623583332</v>
      </c>
      <c r="E8" s="28">
        <f t="shared" si="0"/>
        <v>27349258.469996296</v>
      </c>
      <c r="F8" s="28">
        <f t="shared" si="0"/>
        <v>31848773.835054185</v>
      </c>
    </row>
    <row r="10" spans="1:6" ht="24" customHeight="1" x14ac:dyDescent="0.3">
      <c r="A10" t="s">
        <v>8</v>
      </c>
    </row>
  </sheetData>
  <pageMargins left="0.7" right="0.7" top="0.75" bottom="0.75" header="0.3" footer="0.3"/>
  <pageSetup scale="96" orientation="portrait" horizontalDpi="90" verticalDpi="90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F143-3676-4CD5-A31C-B1D7D52DE30C}">
  <sheetPr>
    <pageSetUpPr fitToPage="1"/>
  </sheetPr>
  <dimension ref="A1:I31"/>
  <sheetViews>
    <sheetView tabSelected="1" zoomScale="120" zoomScaleNormal="120" workbookViewId="0">
      <selection activeCell="D10" sqref="D10"/>
    </sheetView>
  </sheetViews>
  <sheetFormatPr defaultRowHeight="21" customHeight="1" x14ac:dyDescent="0.3"/>
  <cols>
    <col min="1" max="1" width="28.5546875" customWidth="1"/>
    <col min="3" max="3" width="12.77734375" customWidth="1"/>
    <col min="4" max="9" width="13.21875" customWidth="1"/>
  </cols>
  <sheetData>
    <row r="1" spans="1:9" ht="21" customHeight="1" x14ac:dyDescent="0.3">
      <c r="A1" s="2" t="s">
        <v>9</v>
      </c>
    </row>
    <row r="2" spans="1:9" ht="21" customHeight="1" x14ac:dyDescent="0.3">
      <c r="A2" t="s">
        <v>10</v>
      </c>
    </row>
    <row r="3" spans="1:9" ht="21" customHeight="1" x14ac:dyDescent="0.3">
      <c r="A3" s="3" t="s">
        <v>11</v>
      </c>
      <c r="B3" s="3" t="s">
        <v>12</v>
      </c>
      <c r="C3" s="3" t="s">
        <v>13</v>
      </c>
      <c r="D3" s="4">
        <v>2025</v>
      </c>
      <c r="E3" s="4">
        <v>2026</v>
      </c>
      <c r="F3" s="4">
        <v>2027</v>
      </c>
      <c r="G3" s="4">
        <v>2028</v>
      </c>
      <c r="H3" s="4">
        <v>2029</v>
      </c>
      <c r="I3" s="4">
        <v>2030</v>
      </c>
    </row>
    <row r="4" spans="1:9" ht="21" customHeight="1" x14ac:dyDescent="0.3">
      <c r="A4" s="5" t="s">
        <v>14</v>
      </c>
      <c r="B4" s="6">
        <v>15</v>
      </c>
      <c r="C4" s="7">
        <v>45536</v>
      </c>
      <c r="D4" s="8">
        <f>+B$19*$B$4*1000</f>
        <v>285000</v>
      </c>
      <c r="E4" s="8">
        <f t="shared" ref="E4:I4" si="0">+C$19*$B$4*1000</f>
        <v>321900</v>
      </c>
      <c r="F4" s="8">
        <f t="shared" si="0"/>
        <v>364307.99999999994</v>
      </c>
      <c r="G4" s="8">
        <f t="shared" si="0"/>
        <v>413046.9599999999</v>
      </c>
      <c r="H4" s="8">
        <f t="shared" si="0"/>
        <v>469062.89519999985</v>
      </c>
      <c r="I4" s="8">
        <f t="shared" si="0"/>
        <v>533443.28762399999</v>
      </c>
    </row>
    <row r="5" spans="1:9" ht="21" customHeight="1" x14ac:dyDescent="0.3">
      <c r="A5" s="5" t="s">
        <v>15</v>
      </c>
      <c r="B5" s="6">
        <v>40</v>
      </c>
      <c r="C5" s="7">
        <v>45627</v>
      </c>
      <c r="D5" s="8">
        <f>+B$19*$B$5*1000</f>
        <v>760000</v>
      </c>
      <c r="E5" s="8">
        <f t="shared" ref="E5:I5" si="1">+C$19*$B$5*1000</f>
        <v>858399.99999999988</v>
      </c>
      <c r="F5" s="8">
        <f t="shared" si="1"/>
        <v>971487.99999999988</v>
      </c>
      <c r="G5" s="8">
        <f t="shared" si="1"/>
        <v>1101458.5599999996</v>
      </c>
      <c r="H5" s="8">
        <f t="shared" si="1"/>
        <v>1250834.3871999995</v>
      </c>
      <c r="I5" s="8">
        <f t="shared" si="1"/>
        <v>1422515.4336639999</v>
      </c>
    </row>
    <row r="6" spans="1:9" ht="21" customHeight="1" x14ac:dyDescent="0.3">
      <c r="A6" s="5" t="s">
        <v>16</v>
      </c>
      <c r="B6" s="6">
        <v>20</v>
      </c>
      <c r="C6" s="7">
        <v>45748</v>
      </c>
      <c r="D6" s="8">
        <f>+B$19*$B$6*1000*9/12</f>
        <v>285000</v>
      </c>
      <c r="E6" s="8">
        <f t="shared" ref="E6:I6" si="2">+C$19*$B$6*1000*9/12</f>
        <v>321899.99999999994</v>
      </c>
      <c r="F6" s="8">
        <f t="shared" si="2"/>
        <v>364307.99999999994</v>
      </c>
      <c r="G6" s="8">
        <f t="shared" si="2"/>
        <v>413046.95999999979</v>
      </c>
      <c r="H6" s="8">
        <f t="shared" si="2"/>
        <v>469062.89519999985</v>
      </c>
      <c r="I6" s="8">
        <f t="shared" si="2"/>
        <v>533443.28762399999</v>
      </c>
    </row>
    <row r="7" spans="1:9" ht="21" customHeight="1" x14ac:dyDescent="0.3">
      <c r="A7" s="5" t="s">
        <v>17</v>
      </c>
      <c r="B7" s="6">
        <v>40</v>
      </c>
      <c r="C7" s="7">
        <v>45689</v>
      </c>
      <c r="D7" s="8">
        <f>+B$19*$B$7*1000*10/12</f>
        <v>633333.33333333337</v>
      </c>
      <c r="E7" s="8">
        <f t="shared" ref="E7:I7" si="3">+C$19*$B$7*1000*10/12</f>
        <v>715333.33333333314</v>
      </c>
      <c r="F7" s="8">
        <f t="shared" si="3"/>
        <v>809573.33333333314</v>
      </c>
      <c r="G7" s="8">
        <f t="shared" si="3"/>
        <v>917882.13333333295</v>
      </c>
      <c r="H7" s="8">
        <f t="shared" si="3"/>
        <v>1042361.989333333</v>
      </c>
      <c r="I7" s="8">
        <f t="shared" si="3"/>
        <v>1185429.5280533333</v>
      </c>
    </row>
    <row r="8" spans="1:9" ht="21" customHeight="1" x14ac:dyDescent="0.3">
      <c r="A8" s="9" t="s">
        <v>18</v>
      </c>
      <c r="B8" s="10">
        <f>SUM(B4:B7)</f>
        <v>115</v>
      </c>
      <c r="C8" s="11"/>
      <c r="D8" s="12">
        <f>+B16/B19*D10</f>
        <v>1653333.3333333335</v>
      </c>
      <c r="E8" s="12">
        <f t="shared" ref="E8:I8" si="4">+C16/C19*E10</f>
        <v>1901333.3333333333</v>
      </c>
      <c r="F8" s="12">
        <f t="shared" si="4"/>
        <v>2186533.333333333</v>
      </c>
      <c r="G8" s="12">
        <f t="shared" si="4"/>
        <v>2514513.3333333326</v>
      </c>
      <c r="H8" s="12">
        <f t="shared" si="4"/>
        <v>2891690.3333333321</v>
      </c>
      <c r="I8" s="12">
        <f t="shared" si="4"/>
        <v>3325443.8833333324</v>
      </c>
    </row>
    <row r="9" spans="1:9" ht="21" customHeight="1" x14ac:dyDescent="0.3">
      <c r="A9" s="13" t="s">
        <v>19</v>
      </c>
      <c r="B9" s="14"/>
      <c r="C9" s="14"/>
      <c r="D9" s="15">
        <f>+D10-D8</f>
        <v>310000</v>
      </c>
      <c r="E9" s="15">
        <f t="shared" ref="E9:I9" si="5">+E10-E8</f>
        <v>316199.99999999977</v>
      </c>
      <c r="F9" s="15">
        <f t="shared" si="5"/>
        <v>323144</v>
      </c>
      <c r="G9" s="15">
        <f t="shared" si="5"/>
        <v>330921.2799999998</v>
      </c>
      <c r="H9" s="15">
        <f t="shared" si="5"/>
        <v>339631.83360000001</v>
      </c>
      <c r="I9" s="15">
        <f t="shared" si="5"/>
        <v>349387.65363200055</v>
      </c>
    </row>
    <row r="10" spans="1:9" ht="21" customHeight="1" x14ac:dyDescent="0.3">
      <c r="A10" s="16" t="s">
        <v>20</v>
      </c>
      <c r="B10" s="17"/>
      <c r="C10" s="17"/>
      <c r="D10" s="18">
        <f>+SUM(D4:D7)</f>
        <v>1963333.3333333335</v>
      </c>
      <c r="E10" s="18">
        <f t="shared" ref="E10:I10" si="6">+SUM(E4:E7)</f>
        <v>2217533.333333333</v>
      </c>
      <c r="F10" s="18">
        <f t="shared" si="6"/>
        <v>2509677.333333333</v>
      </c>
      <c r="G10" s="18">
        <f t="shared" si="6"/>
        <v>2845434.6133333324</v>
      </c>
      <c r="H10" s="18">
        <f t="shared" si="6"/>
        <v>3231322.1669333321</v>
      </c>
      <c r="I10" s="18">
        <f t="shared" si="6"/>
        <v>3674831.5369653329</v>
      </c>
    </row>
    <row r="12" spans="1:9" ht="21" customHeight="1" x14ac:dyDescent="0.3">
      <c r="A12" s="2" t="s">
        <v>21</v>
      </c>
      <c r="C12" s="37"/>
      <c r="D12" s="37"/>
      <c r="E12" s="32"/>
      <c r="G12" s="37"/>
      <c r="I12" s="25"/>
    </row>
    <row r="13" spans="1:9" ht="21" customHeight="1" x14ac:dyDescent="0.3">
      <c r="I13" s="25"/>
    </row>
    <row r="14" spans="1:9" ht="21" customHeight="1" x14ac:dyDescent="0.3">
      <c r="A14" s="19" t="s">
        <v>22</v>
      </c>
      <c r="B14" s="20" t="s">
        <v>23</v>
      </c>
      <c r="C14" s="20"/>
      <c r="D14" s="20"/>
      <c r="E14" s="20"/>
      <c r="F14" s="20"/>
      <c r="G14" s="20"/>
      <c r="I14" s="25"/>
    </row>
    <row r="15" spans="1:9" ht="21" customHeight="1" x14ac:dyDescent="0.3">
      <c r="A15" s="20"/>
      <c r="B15" s="19">
        <v>2025</v>
      </c>
      <c r="C15" s="19">
        <v>2026</v>
      </c>
      <c r="D15" s="19">
        <v>2027</v>
      </c>
      <c r="E15" s="19">
        <v>2028</v>
      </c>
      <c r="F15" s="19">
        <v>2029</v>
      </c>
      <c r="G15" s="19">
        <v>2030</v>
      </c>
      <c r="I15" s="38"/>
    </row>
    <row r="16" spans="1:9" ht="21" customHeight="1" x14ac:dyDescent="0.3">
      <c r="A16" s="20" t="s">
        <v>24</v>
      </c>
      <c r="B16" s="21">
        <v>16</v>
      </c>
      <c r="C16" s="21">
        <f>+B16*(1+$B$22+$B$23)</f>
        <v>18.399999999999999</v>
      </c>
      <c r="D16" s="21">
        <f t="shared" ref="D16:G16" si="7">+C16*(1+$B$22+$B$23)</f>
        <v>21.159999999999997</v>
      </c>
      <c r="E16" s="21">
        <f t="shared" si="7"/>
        <v>24.333999999999993</v>
      </c>
      <c r="F16" s="21">
        <f t="shared" si="7"/>
        <v>27.984099999999991</v>
      </c>
      <c r="G16" s="21">
        <f t="shared" si="7"/>
        <v>32.18171499999999</v>
      </c>
    </row>
    <row r="17" spans="1:7" ht="21" customHeight="1" x14ac:dyDescent="0.3">
      <c r="A17" s="20" t="s">
        <v>25</v>
      </c>
      <c r="B17" s="21">
        <v>0.5</v>
      </c>
      <c r="C17" s="21">
        <f>+B17*(1+$B$23+$B$24)</f>
        <v>0.56000000000000005</v>
      </c>
      <c r="D17" s="21">
        <f t="shared" ref="D17:G17" si="8">+C17*(1+$B$23+$B$24)</f>
        <v>0.62720000000000009</v>
      </c>
      <c r="E17" s="21">
        <f t="shared" si="8"/>
        <v>0.7024640000000002</v>
      </c>
      <c r="F17" s="21">
        <f t="shared" si="8"/>
        <v>0.78675968000000029</v>
      </c>
      <c r="G17" s="21">
        <f t="shared" si="8"/>
        <v>0.88117084160000037</v>
      </c>
    </row>
    <row r="18" spans="1:7" ht="21" customHeight="1" x14ac:dyDescent="0.3">
      <c r="A18" s="20" t="s">
        <v>26</v>
      </c>
      <c r="B18" s="21">
        <v>2.5</v>
      </c>
      <c r="C18" s="21">
        <f>+B18*(1+$B$24+$B$25)</f>
        <v>2.5</v>
      </c>
      <c r="D18" s="21">
        <f t="shared" ref="D18:G18" si="9">+C18*(1+$B$24+$B$25)</f>
        <v>2.5</v>
      </c>
      <c r="E18" s="21">
        <f t="shared" si="9"/>
        <v>2.5</v>
      </c>
      <c r="F18" s="21">
        <f t="shared" si="9"/>
        <v>2.5</v>
      </c>
      <c r="G18" s="21">
        <f t="shared" si="9"/>
        <v>2.5</v>
      </c>
    </row>
    <row r="19" spans="1:7" ht="21" customHeight="1" x14ac:dyDescent="0.3">
      <c r="A19" s="22" t="s">
        <v>27</v>
      </c>
      <c r="B19" s="23">
        <f>SUM(B16:B18)</f>
        <v>19</v>
      </c>
      <c r="C19" s="23">
        <f t="shared" ref="C19:G19" si="10">SUM(C16:C18)</f>
        <v>21.459999999999997</v>
      </c>
      <c r="D19" s="23">
        <f t="shared" si="10"/>
        <v>24.287199999999995</v>
      </c>
      <c r="E19" s="23">
        <f t="shared" si="10"/>
        <v>27.536463999999992</v>
      </c>
      <c r="F19" s="23">
        <f t="shared" si="10"/>
        <v>31.27085967999999</v>
      </c>
      <c r="G19" s="23">
        <f t="shared" si="10"/>
        <v>35.562885841599993</v>
      </c>
    </row>
    <row r="21" spans="1:7" ht="21" customHeight="1" x14ac:dyDescent="0.3">
      <c r="A21" t="s">
        <v>28</v>
      </c>
    </row>
    <row r="22" spans="1:7" ht="21" customHeight="1" x14ac:dyDescent="0.3">
      <c r="A22" t="s">
        <v>29</v>
      </c>
      <c r="B22" s="24">
        <v>0.03</v>
      </c>
      <c r="C22" t="s">
        <v>30</v>
      </c>
    </row>
    <row r="23" spans="1:7" ht="21" customHeight="1" x14ac:dyDescent="0.3">
      <c r="A23" t="s">
        <v>31</v>
      </c>
      <c r="B23" s="24">
        <v>0.12</v>
      </c>
      <c r="C23" t="s">
        <v>30</v>
      </c>
      <c r="D23" t="s">
        <v>32</v>
      </c>
    </row>
    <row r="26" spans="1:7" ht="21" customHeight="1" x14ac:dyDescent="0.3">
      <c r="A26" s="2" t="s">
        <v>33</v>
      </c>
    </row>
    <row r="27" spans="1:7" ht="21" customHeight="1" x14ac:dyDescent="0.3">
      <c r="A27" t="s">
        <v>34</v>
      </c>
    </row>
    <row r="28" spans="1:7" ht="21" customHeight="1" x14ac:dyDescent="0.3">
      <c r="A28" t="s">
        <v>35</v>
      </c>
    </row>
    <row r="29" spans="1:7" ht="21" customHeight="1" x14ac:dyDescent="0.3">
      <c r="A29" t="s">
        <v>36</v>
      </c>
    </row>
    <row r="30" spans="1:7" ht="21" customHeight="1" x14ac:dyDescent="0.3">
      <c r="A30" t="s">
        <v>37</v>
      </c>
    </row>
    <row r="31" spans="1:7" ht="21" customHeight="1" x14ac:dyDescent="0.3">
      <c r="A31" t="s">
        <v>38</v>
      </c>
    </row>
  </sheetData>
  <pageMargins left="0.7" right="0.7" top="0.75" bottom="0.75" header="0.3" footer="0.3"/>
  <pageSetup scale="62" orientation="portrait" horizontalDpi="90" verticalDpi="90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FCED5-790A-4CED-A5E9-7D1FFBF08FEF}">
  <sheetPr>
    <pageSetUpPr fitToPage="1"/>
  </sheetPr>
  <dimension ref="A1:I14"/>
  <sheetViews>
    <sheetView zoomScale="120" zoomScaleNormal="120" workbookViewId="0">
      <selection activeCell="D8" sqref="D8"/>
    </sheetView>
  </sheetViews>
  <sheetFormatPr defaultRowHeight="21" customHeight="1" x14ac:dyDescent="0.3"/>
  <cols>
    <col min="1" max="1" width="37.21875" customWidth="1"/>
    <col min="3" max="3" width="12.77734375" customWidth="1"/>
    <col min="4" max="9" width="13.21875" customWidth="1"/>
  </cols>
  <sheetData>
    <row r="1" spans="1:9" ht="21" customHeight="1" x14ac:dyDescent="0.3">
      <c r="A1" s="2" t="s">
        <v>9</v>
      </c>
    </row>
    <row r="2" spans="1:9" ht="21" customHeight="1" x14ac:dyDescent="0.3">
      <c r="A2" t="s">
        <v>39</v>
      </c>
    </row>
    <row r="3" spans="1:9" ht="21" customHeight="1" x14ac:dyDescent="0.3">
      <c r="A3" s="3" t="s">
        <v>11</v>
      </c>
      <c r="B3" s="3" t="s">
        <v>12</v>
      </c>
      <c r="C3" s="3" t="s">
        <v>13</v>
      </c>
      <c r="D3" s="4">
        <v>2025</v>
      </c>
      <c r="E3" s="4">
        <v>2026</v>
      </c>
      <c r="F3" s="4">
        <v>2027</v>
      </c>
      <c r="G3" s="4">
        <v>2028</v>
      </c>
      <c r="H3" s="4">
        <v>2029</v>
      </c>
      <c r="I3" s="4">
        <v>2030</v>
      </c>
    </row>
    <row r="4" spans="1:9" ht="21" customHeight="1" x14ac:dyDescent="0.3">
      <c r="A4" s="30" t="s">
        <v>40</v>
      </c>
      <c r="B4" s="29">
        <v>74.5</v>
      </c>
      <c r="C4" s="26">
        <v>45627</v>
      </c>
      <c r="D4" s="31">
        <f>B4*15000+600000</f>
        <v>1717500</v>
      </c>
      <c r="E4" s="25">
        <f>D4*1.03</f>
        <v>1769025</v>
      </c>
      <c r="F4" s="25">
        <f t="shared" ref="F4:H4" si="0">E4*1.03</f>
        <v>1822095.75</v>
      </c>
      <c r="G4" s="25">
        <f t="shared" si="0"/>
        <v>1876758.6225000001</v>
      </c>
      <c r="H4" s="25">
        <f t="shared" si="0"/>
        <v>1933061.3811750002</v>
      </c>
      <c r="I4" s="25">
        <f>H4*1.1</f>
        <v>2126367.5192925003</v>
      </c>
    </row>
    <row r="5" spans="1:9" ht="21" customHeight="1" x14ac:dyDescent="0.3">
      <c r="A5" t="s">
        <v>41</v>
      </c>
      <c r="B5" s="29">
        <v>23.02</v>
      </c>
      <c r="C5" s="26">
        <v>45627</v>
      </c>
      <c r="D5" s="36">
        <f>(B5*15000)+200000</f>
        <v>545300</v>
      </c>
      <c r="E5" s="25">
        <f t="shared" ref="E5:I5" si="1">D5*1.03</f>
        <v>561659</v>
      </c>
      <c r="F5" s="25">
        <f t="shared" si="1"/>
        <v>578508.77</v>
      </c>
      <c r="G5" s="25">
        <f t="shared" si="1"/>
        <v>595864.0331</v>
      </c>
      <c r="H5" s="25">
        <f t="shared" si="1"/>
        <v>613739.95409300004</v>
      </c>
      <c r="I5" s="25">
        <f t="shared" si="1"/>
        <v>632152.15271579009</v>
      </c>
    </row>
    <row r="6" spans="1:9" ht="21" customHeight="1" x14ac:dyDescent="0.3">
      <c r="A6" s="30" t="s">
        <v>42</v>
      </c>
      <c r="B6" s="29">
        <v>74.5</v>
      </c>
      <c r="C6" s="26">
        <v>45992</v>
      </c>
      <c r="D6" s="25">
        <v>700000</v>
      </c>
      <c r="E6" s="25">
        <f>(B6*15000)+700000</f>
        <v>1817500</v>
      </c>
      <c r="F6" s="25">
        <f t="shared" ref="F6:I6" si="2">E6*1.03</f>
        <v>1872025</v>
      </c>
      <c r="G6" s="25">
        <f t="shared" si="2"/>
        <v>1928185.75</v>
      </c>
      <c r="H6" s="25">
        <f t="shared" si="2"/>
        <v>1986031.3225</v>
      </c>
      <c r="I6" s="25">
        <f t="shared" si="2"/>
        <v>2045612.262175</v>
      </c>
    </row>
    <row r="7" spans="1:9" ht="21" customHeight="1" x14ac:dyDescent="0.3">
      <c r="A7" t="s">
        <v>43</v>
      </c>
      <c r="B7" s="29">
        <v>74.5</v>
      </c>
      <c r="C7" s="26">
        <v>45992</v>
      </c>
      <c r="D7" s="25"/>
      <c r="E7" s="25">
        <f>B7*15000</f>
        <v>1117500</v>
      </c>
      <c r="F7" s="25">
        <f t="shared" ref="F7:I7" si="3">E7*1.03</f>
        <v>1151025</v>
      </c>
      <c r="G7" s="25">
        <f t="shared" si="3"/>
        <v>1185555.75</v>
      </c>
      <c r="H7" s="25">
        <f t="shared" si="3"/>
        <v>1221122.4225000001</v>
      </c>
      <c r="I7" s="25">
        <f t="shared" si="3"/>
        <v>1257756.0951750001</v>
      </c>
    </row>
    <row r="8" spans="1:9" ht="21" customHeight="1" x14ac:dyDescent="0.3">
      <c r="A8" s="30" t="s">
        <v>44</v>
      </c>
      <c r="B8" s="29">
        <v>74.5</v>
      </c>
      <c r="C8" s="26">
        <v>46082</v>
      </c>
      <c r="D8" s="25">
        <v>700000</v>
      </c>
      <c r="E8" s="25">
        <f>(B8*15000+700000)*10/12</f>
        <v>1514583.3333333333</v>
      </c>
      <c r="F8" s="25">
        <f>(B8*15000*1.03^2)+700000</f>
        <v>1885555.75</v>
      </c>
      <c r="G8" s="25">
        <f t="shared" ref="G8:I8" si="4">F8*1.03</f>
        <v>1942122.4225000001</v>
      </c>
      <c r="H8" s="25">
        <f t="shared" si="4"/>
        <v>2000386.0951750001</v>
      </c>
      <c r="I8" s="25">
        <f t="shared" si="4"/>
        <v>2060397.6780302501</v>
      </c>
    </row>
    <row r="9" spans="1:9" ht="21" customHeight="1" x14ac:dyDescent="0.3">
      <c r="A9" t="s">
        <v>45</v>
      </c>
      <c r="B9" s="29">
        <v>54.43</v>
      </c>
      <c r="C9" s="26">
        <v>46357</v>
      </c>
      <c r="D9" s="27"/>
      <c r="E9" s="27"/>
      <c r="F9" s="27">
        <f>B9*15000*1.04^3</f>
        <v>918395.2128000001</v>
      </c>
      <c r="G9" s="27">
        <f t="shared" ref="G9:I9" si="5">F9*1.03</f>
        <v>945947.06918400014</v>
      </c>
      <c r="H9" s="27">
        <f t="shared" si="5"/>
        <v>974325.48125952017</v>
      </c>
      <c r="I9" s="27">
        <f t="shared" si="5"/>
        <v>1003555.2456973058</v>
      </c>
    </row>
    <row r="10" spans="1:9" ht="21" customHeight="1" x14ac:dyDescent="0.3">
      <c r="A10" t="s">
        <v>7</v>
      </c>
      <c r="D10" s="28">
        <f>SUM(D4:D9)</f>
        <v>3662800</v>
      </c>
      <c r="E10" s="28">
        <f t="shared" ref="E10:I10" si="6">SUM(E4:E9)</f>
        <v>6780267.333333333</v>
      </c>
      <c r="F10" s="28">
        <f t="shared" si="6"/>
        <v>8227605.4827999994</v>
      </c>
      <c r="G10" s="28">
        <f t="shared" si="6"/>
        <v>8474433.6472840011</v>
      </c>
      <c r="H10" s="28">
        <f t="shared" si="6"/>
        <v>8728666.6567025203</v>
      </c>
      <c r="I10" s="28">
        <f t="shared" si="6"/>
        <v>9125840.9530858472</v>
      </c>
    </row>
    <row r="11" spans="1:9" ht="21" customHeight="1" x14ac:dyDescent="0.3">
      <c r="B11" s="34">
        <f>SUM(B4:B10)</f>
        <v>375.45</v>
      </c>
      <c r="C11" t="s">
        <v>46</v>
      </c>
      <c r="D11" s="35">
        <f>+D10/(($B$11-B9-B7)*1000)</f>
        <v>14.858023689761481</v>
      </c>
      <c r="E11" s="35">
        <f>+E10/(($B$11-B9)*1000)</f>
        <v>21.121012190310051</v>
      </c>
      <c r="F11" s="35">
        <f t="shared" ref="F11:I11" si="7">+F10/($B$11*1000)</f>
        <v>21.913984506059393</v>
      </c>
      <c r="G11" s="35">
        <f t="shared" si="7"/>
        <v>22.57140404124118</v>
      </c>
      <c r="H11" s="35">
        <f t="shared" si="7"/>
        <v>23.248546162478412</v>
      </c>
      <c r="I11" s="35">
        <f t="shared" si="7"/>
        <v>24.306408185073504</v>
      </c>
    </row>
    <row r="12" spans="1:9" ht="21" customHeight="1" x14ac:dyDescent="0.3">
      <c r="A12" t="s">
        <v>47</v>
      </c>
    </row>
    <row r="14" spans="1:9" ht="21" customHeight="1" x14ac:dyDescent="0.3">
      <c r="A14" s="28"/>
    </row>
  </sheetData>
  <pageMargins left="0.7" right="0.7" top="0.75" bottom="0.75" header="0.3" footer="0.3"/>
  <pageSetup scale="66" orientation="portrait" horizontalDpi="90" verticalDpi="90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8EE6-367F-4EBF-997E-23719F6833EC}">
  <sheetPr>
    <pageSetUpPr fitToPage="1"/>
  </sheetPr>
  <dimension ref="A1:I15"/>
  <sheetViews>
    <sheetView zoomScale="130" zoomScaleNormal="130" workbookViewId="0">
      <selection activeCell="B15" sqref="B15"/>
    </sheetView>
  </sheetViews>
  <sheetFormatPr defaultRowHeight="21" customHeight="1" x14ac:dyDescent="0.3"/>
  <cols>
    <col min="1" max="1" width="32.5546875" customWidth="1"/>
    <col min="2" max="2" width="12.77734375" bestFit="1" customWidth="1"/>
    <col min="3" max="3" width="12.77734375" customWidth="1"/>
    <col min="4" max="9" width="13.21875" customWidth="1"/>
  </cols>
  <sheetData>
    <row r="1" spans="1:9" ht="21" customHeight="1" x14ac:dyDescent="0.3">
      <c r="A1" s="2" t="s">
        <v>9</v>
      </c>
    </row>
    <row r="2" spans="1:9" ht="21" customHeight="1" x14ac:dyDescent="0.3">
      <c r="A2" t="s">
        <v>39</v>
      </c>
    </row>
    <row r="3" spans="1:9" ht="21" customHeight="1" x14ac:dyDescent="0.3">
      <c r="A3" s="3" t="s">
        <v>11</v>
      </c>
      <c r="B3" s="3" t="s">
        <v>12</v>
      </c>
      <c r="C3" s="3" t="s">
        <v>13</v>
      </c>
      <c r="D3" s="4">
        <v>2025</v>
      </c>
      <c r="E3" s="4">
        <v>2026</v>
      </c>
      <c r="F3" s="4">
        <v>2027</v>
      </c>
      <c r="G3" s="4">
        <v>2028</v>
      </c>
      <c r="H3" s="4">
        <v>2029</v>
      </c>
      <c r="I3" s="4">
        <v>2030</v>
      </c>
    </row>
    <row r="4" spans="1:9" ht="21" customHeight="1" x14ac:dyDescent="0.3">
      <c r="A4" t="s">
        <v>48</v>
      </c>
      <c r="B4" s="29">
        <v>38.79</v>
      </c>
      <c r="C4" s="26">
        <v>46357</v>
      </c>
      <c r="D4" s="25">
        <v>0</v>
      </c>
      <c r="E4" s="25">
        <v>0</v>
      </c>
      <c r="F4" s="31">
        <f>B4*15000*1.03^3</f>
        <v>635803.20495000004</v>
      </c>
      <c r="G4" s="25">
        <f>F4*1.03</f>
        <v>654877.30109850003</v>
      </c>
      <c r="H4" s="25">
        <f t="shared" ref="H4:I4" si="0">G4*1.03</f>
        <v>674523.62013145501</v>
      </c>
      <c r="I4" s="25">
        <f t="shared" si="0"/>
        <v>694759.32873539871</v>
      </c>
    </row>
    <row r="5" spans="1:9" ht="21" customHeight="1" x14ac:dyDescent="0.3">
      <c r="A5" s="30" t="s">
        <v>49</v>
      </c>
      <c r="B5" s="29">
        <v>74.5</v>
      </c>
      <c r="C5" s="26">
        <v>46357</v>
      </c>
      <c r="D5" s="25">
        <v>0</v>
      </c>
      <c r="E5" s="25">
        <v>750000</v>
      </c>
      <c r="F5" s="31">
        <f>B5*15000*1.03^3+750000</f>
        <v>1971122.4225000001</v>
      </c>
      <c r="G5" s="25">
        <f t="shared" ref="G5:I5" si="1">F5*1.03</f>
        <v>2030256.0951750001</v>
      </c>
      <c r="H5" s="25">
        <f t="shared" si="1"/>
        <v>2091163.7780302502</v>
      </c>
      <c r="I5" s="25">
        <f t="shared" si="1"/>
        <v>2153898.6913711578</v>
      </c>
    </row>
    <row r="6" spans="1:9" ht="21" customHeight="1" x14ac:dyDescent="0.3">
      <c r="A6" t="s">
        <v>50</v>
      </c>
      <c r="B6" s="29">
        <v>74.503311258278146</v>
      </c>
      <c r="C6" s="26">
        <v>46722</v>
      </c>
      <c r="D6" s="25">
        <v>0</v>
      </c>
      <c r="E6" s="25">
        <v>0</v>
      </c>
      <c r="F6" s="25">
        <v>0</v>
      </c>
      <c r="G6" s="31">
        <f>B6*15000*1.03^4</f>
        <v>1257811.9979304636</v>
      </c>
      <c r="H6" s="25">
        <f>G6*1.03</f>
        <v>1295546.3578683776</v>
      </c>
      <c r="I6" s="25">
        <f>H6*1.03</f>
        <v>1334412.748604429</v>
      </c>
    </row>
    <row r="7" spans="1:9" ht="21" customHeight="1" x14ac:dyDescent="0.3">
      <c r="A7" t="s">
        <v>51</v>
      </c>
      <c r="B7" s="29">
        <v>74.5</v>
      </c>
      <c r="C7" s="26">
        <v>46722</v>
      </c>
      <c r="D7" s="25">
        <v>0</v>
      </c>
      <c r="E7" s="25">
        <v>0</v>
      </c>
      <c r="F7" s="25">
        <v>0</v>
      </c>
      <c r="G7" s="31">
        <f>B7*15000*1.03^4</f>
        <v>1257756.0951749999</v>
      </c>
      <c r="H7" s="25">
        <f>G7*1.03</f>
        <v>1295488.77803025</v>
      </c>
      <c r="I7" s="25">
        <f>H7*1.03</f>
        <v>1334353.4413711575</v>
      </c>
    </row>
    <row r="8" spans="1:9" ht="21" customHeight="1" x14ac:dyDescent="0.3">
      <c r="A8" t="s">
        <v>52</v>
      </c>
      <c r="B8" s="29">
        <v>74.5</v>
      </c>
      <c r="C8" s="26">
        <v>47088</v>
      </c>
      <c r="D8" s="25">
        <v>0</v>
      </c>
      <c r="E8" s="25">
        <v>0</v>
      </c>
      <c r="F8" s="25">
        <v>0</v>
      </c>
      <c r="G8" s="25">
        <v>0</v>
      </c>
      <c r="H8" s="31">
        <f>B8*15000*1.03^5</f>
        <v>1295488.7780302498</v>
      </c>
      <c r="I8" s="25">
        <f>H8*1.03</f>
        <v>1334353.4413711573</v>
      </c>
    </row>
    <row r="9" spans="1:9" ht="21" customHeight="1" x14ac:dyDescent="0.3">
      <c r="A9" t="s">
        <v>53</v>
      </c>
      <c r="B9" s="29">
        <v>55</v>
      </c>
      <c r="C9" s="26">
        <v>47088</v>
      </c>
      <c r="D9" s="25">
        <v>0</v>
      </c>
      <c r="E9" s="25">
        <v>0</v>
      </c>
      <c r="F9" s="25">
        <v>0</v>
      </c>
      <c r="G9" s="25">
        <v>0</v>
      </c>
      <c r="H9" s="31">
        <f>B9*15000*1.03^5</f>
        <v>956401.11129749985</v>
      </c>
      <c r="I9" s="25">
        <f>H9*1.03</f>
        <v>985093.14463642484</v>
      </c>
    </row>
    <row r="10" spans="1:9" ht="21" customHeight="1" x14ac:dyDescent="0.3">
      <c r="A10" t="s">
        <v>54</v>
      </c>
      <c r="B10" s="29">
        <v>74.5</v>
      </c>
      <c r="C10" s="26">
        <v>47088</v>
      </c>
      <c r="D10" s="27">
        <v>0</v>
      </c>
      <c r="E10" s="27">
        <v>0</v>
      </c>
      <c r="F10" s="27">
        <v>0</v>
      </c>
      <c r="G10" s="27">
        <v>0</v>
      </c>
      <c r="H10" s="33">
        <f>B10*15000*1.03^5</f>
        <v>1295488.7780302498</v>
      </c>
      <c r="I10" s="27">
        <f>H10*1.03</f>
        <v>1334353.4413711573</v>
      </c>
    </row>
    <row r="11" spans="1:9" ht="21" customHeight="1" x14ac:dyDescent="0.3">
      <c r="A11" t="s">
        <v>7</v>
      </c>
      <c r="D11" s="28">
        <f>SUM(D4:D10)</f>
        <v>0</v>
      </c>
      <c r="E11" s="28">
        <f t="shared" ref="E11:I11" si="2">SUM(E4:E10)</f>
        <v>750000</v>
      </c>
      <c r="F11" s="28">
        <f t="shared" si="2"/>
        <v>2606925.62745</v>
      </c>
      <c r="G11" s="28">
        <f t="shared" si="2"/>
        <v>5200701.4893789636</v>
      </c>
      <c r="H11" s="28">
        <f t="shared" si="2"/>
        <v>8904101.2014183328</v>
      </c>
      <c r="I11" s="28">
        <f t="shared" si="2"/>
        <v>9171224.2374608815</v>
      </c>
    </row>
    <row r="12" spans="1:9" ht="21" customHeight="1" x14ac:dyDescent="0.3">
      <c r="B12" s="34">
        <f>SUM(B4:B11)</f>
        <v>466.29331125827815</v>
      </c>
      <c r="C12" t="s">
        <v>46</v>
      </c>
      <c r="D12" s="35"/>
      <c r="E12" s="35"/>
      <c r="F12" s="35">
        <f>+F11/(($B$12-B10-B9-B8-B7-B6)*1000)</f>
        <v>23.011083303468975</v>
      </c>
      <c r="G12" s="35">
        <f>+G11/(($B$12-B10-B9-B8)*1000)</f>
        <v>19.827808282376953</v>
      </c>
      <c r="H12" s="35">
        <f>+H11/(($B$12)*1000)</f>
        <v>19.095494158796509</v>
      </c>
      <c r="I12" s="35">
        <f>+I11/(($B$12)*1000)</f>
        <v>19.668358983560402</v>
      </c>
    </row>
    <row r="13" spans="1:9" ht="21" customHeight="1" x14ac:dyDescent="0.3">
      <c r="A13" t="s">
        <v>55</v>
      </c>
      <c r="D13" s="28"/>
      <c r="E13" s="32"/>
      <c r="F13" s="32"/>
      <c r="G13" s="32"/>
      <c r="H13" s="32"/>
    </row>
    <row r="15" spans="1:9" ht="21" customHeight="1" x14ac:dyDescent="0.3">
      <c r="B15" s="35"/>
    </row>
  </sheetData>
  <pageMargins left="0.7" right="0.7" top="0.75" bottom="0.75" header="0.3" footer="0.3"/>
  <pageSetup scale="68" orientation="portrait" horizontalDpi="90" verticalDpi="90" r:id="rId1"/>
  <headerFooter>
    <oddHeader>&amp;A</oddHeader>
  </headerFooter>
  <ignoredErrors>
    <ignoredError sqref="D11:I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261A-B770-45E0-97E7-F8C974C2D387}">
  <sheetPr>
    <pageSetUpPr fitToPage="1"/>
  </sheetPr>
  <dimension ref="A1"/>
  <sheetViews>
    <sheetView topLeftCell="A11" workbookViewId="0">
      <selection activeCell="I55" sqref="I55"/>
    </sheetView>
  </sheetViews>
  <sheetFormatPr defaultRowHeight="14.4" x14ac:dyDescent="0.3"/>
  <sheetData/>
  <pageMargins left="0.7" right="0.7" top="0.75" bottom="0.75" header="0.3" footer="0.3"/>
  <pageSetup scale="60" orientation="portrait" horizontalDpi="90" verticalDpi="90" r:id="rId1"/>
  <headerFooter>
    <oddHeader>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61B8-4E80-43BF-A183-13E890766418}">
  <sheetPr>
    <pageSetUpPr fitToPage="1"/>
  </sheetPr>
  <dimension ref="A1"/>
  <sheetViews>
    <sheetView topLeftCell="A32" workbookViewId="0">
      <selection activeCell="L45" sqref="A1:L45"/>
    </sheetView>
  </sheetViews>
  <sheetFormatPr defaultRowHeight="14.4" x14ac:dyDescent="0.3"/>
  <sheetData/>
  <pageMargins left="0.7" right="0.7" top="0.75" bottom="0.75" header="0.3" footer="0.3"/>
  <pageSetup scale="86" orientation="portrait" horizontalDpi="90" verticalDpi="90" r:id="rId1"/>
  <headerFooter>
    <oddHeader>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766EC1-C128-4D17-B832-227B2097221B}"/>
</file>

<file path=customXml/itemProps2.xml><?xml version="1.0" encoding="utf-8"?>
<ds:datastoreItem xmlns:ds="http://schemas.openxmlformats.org/officeDocument/2006/customXml" ds:itemID="{776CB650-8EE7-4EFE-A310-4807060A5772}"/>
</file>

<file path=customXml/itemProps3.xml><?xml version="1.0" encoding="utf-8"?>
<ds:datastoreItem xmlns:ds="http://schemas.openxmlformats.org/officeDocument/2006/customXml" ds:itemID="{24FEFB54-C454-43F3-A327-4394114644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SYA Major Projects</vt:lpstr>
      <vt:lpstr>Wave 1 Battery Energy Storage</vt:lpstr>
      <vt:lpstr>Solar Wave 3</vt:lpstr>
      <vt:lpstr>Solar Wave 4</vt:lpstr>
      <vt:lpstr>Corporate Headquarters</vt:lpstr>
      <vt:lpstr>Bearss Operations Center</vt:lpstr>
      <vt:lpstr>'Bearss Operations Center'!Print_Area</vt:lpstr>
      <vt:lpstr>'Corporate Headquarters'!Print_Area</vt:lpstr>
      <vt:lpstr>'Solar Wave 4'!Print_Area</vt:lpstr>
      <vt:lpstr>'SYA Major Projects'!Print_Area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2024-05-10T15:34:19Z</dcterms:created>
  <dcterms:modified xsi:type="dcterms:W3CDTF">2024-05-10T15:34:19Z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2024-05-10T15:34:19Z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8e63e634-5765-44c4-842d-acf179db5ce1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