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wheele\Desktop\"/>
    </mc:Choice>
  </mc:AlternateContent>
  <bookViews>
    <workbookView xWindow="8400" yWindow="32772" windowWidth="8400" windowHeight="5088" tabRatio="851" activeTab="1"/>
  </bookViews>
  <sheets>
    <sheet name="README" sheetId="18" r:id="rId1"/>
    <sheet name="Annual" sheetId="1" r:id="rId2"/>
    <sheet name="Loss Inputs" sheetId="19" r:id="rId3"/>
    <sheet name="RateClass Forecast" sheetId="17" r:id="rId4"/>
    <sheet name="MFR E19b" sheetId="20" r:id="rId5"/>
  </sheets>
  <definedNames>
    <definedName name="_xlnm.Print_Area" localSheetId="1">Annual!$A$8:$G$74</definedName>
    <definedName name="solver_adj" localSheetId="1" hidden="1">Annual!$H$72</definedName>
    <definedName name="solver_cvg" localSheetId="1" hidden="1">0.001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Annual!$H$59</definedName>
    <definedName name="solver_pre" localSheetId="1" hidden="1">0.000001</definedName>
    <definedName name="solver_rbv" localSheetId="1" hidden="1">1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977461"/>
</workbook>
</file>

<file path=xl/calcChain.xml><?xml version="1.0" encoding="utf-8"?>
<calcChain xmlns="http://schemas.openxmlformats.org/spreadsheetml/2006/main">
  <c r="T22" i="20" l="1"/>
  <c r="N32" i="20"/>
  <c r="N12" i="20"/>
  <c r="N14" i="20"/>
  <c r="N11" i="20"/>
  <c r="N9" i="20"/>
  <c r="G6" i="20"/>
  <c r="I6" i="20"/>
  <c r="H4" i="19"/>
  <c r="E42" i="20"/>
  <c r="E41" i="20"/>
  <c r="E40" i="20"/>
  <c r="E39" i="20"/>
  <c r="E38" i="20"/>
  <c r="E37" i="20"/>
  <c r="E36" i="20"/>
  <c r="E35" i="20"/>
  <c r="E32" i="20"/>
  <c r="E29" i="20"/>
  <c r="E28" i="20"/>
  <c r="E27" i="20"/>
  <c r="E24" i="20"/>
  <c r="E23" i="20"/>
  <c r="G23" i="20"/>
  <c r="P23" i="20"/>
  <c r="E22" i="20"/>
  <c r="E21" i="20"/>
  <c r="E20" i="20"/>
  <c r="E19" i="20"/>
  <c r="E18" i="20"/>
  <c r="E17" i="20"/>
  <c r="E14" i="20"/>
  <c r="E13" i="20"/>
  <c r="G13" i="20"/>
  <c r="P13" i="20"/>
  <c r="E12" i="20"/>
  <c r="E11" i="20"/>
  <c r="E10" i="20"/>
  <c r="E9" i="20"/>
  <c r="E6" i="20"/>
  <c r="C36" i="20"/>
  <c r="C37" i="20"/>
  <c r="C38" i="20"/>
  <c r="C39" i="20"/>
  <c r="K39" i="20"/>
  <c r="C40" i="20"/>
  <c r="C41" i="20"/>
  <c r="C42" i="20"/>
  <c r="C35" i="20"/>
  <c r="C32" i="20"/>
  <c r="C28" i="20"/>
  <c r="C27" i="20"/>
  <c r="G27" i="20"/>
  <c r="P27" i="20"/>
  <c r="C29" i="20"/>
  <c r="G29" i="20"/>
  <c r="P29" i="20"/>
  <c r="C18" i="20"/>
  <c r="G18" i="20"/>
  <c r="P18" i="20"/>
  <c r="C19" i="20"/>
  <c r="C20" i="20"/>
  <c r="K20" i="20"/>
  <c r="C21" i="20"/>
  <c r="C22" i="20"/>
  <c r="C23" i="20"/>
  <c r="C24" i="20"/>
  <c r="C17" i="20"/>
  <c r="C14" i="20"/>
  <c r="C10" i="20"/>
  <c r="G10" i="20"/>
  <c r="C11" i="20"/>
  <c r="C12" i="20"/>
  <c r="C13" i="20"/>
  <c r="C9" i="20"/>
  <c r="C6" i="20"/>
  <c r="N41" i="20"/>
  <c r="N39" i="20"/>
  <c r="N36" i="20"/>
  <c r="K32" i="20"/>
  <c r="K27" i="20"/>
  <c r="K19" i="20"/>
  <c r="K9" i="20"/>
  <c r="C79" i="1"/>
  <c r="D79" i="1"/>
  <c r="E79" i="1"/>
  <c r="F79" i="1"/>
  <c r="B79" i="1"/>
  <c r="D11" i="17"/>
  <c r="E11" i="17"/>
  <c r="F11" i="17"/>
  <c r="G11" i="17"/>
  <c r="H11" i="17"/>
  <c r="I11" i="17"/>
  <c r="J11" i="17"/>
  <c r="K11" i="17"/>
  <c r="L11" i="17"/>
  <c r="M11" i="17"/>
  <c r="N11" i="17"/>
  <c r="C11" i="17"/>
  <c r="O8" i="17"/>
  <c r="Q8" i="17"/>
  <c r="J4" i="1"/>
  <c r="C68" i="1"/>
  <c r="F68" i="1"/>
  <c r="C65" i="1"/>
  <c r="C64" i="1"/>
  <c r="F64" i="1"/>
  <c r="C63" i="1"/>
  <c r="F63" i="1"/>
  <c r="D3" i="1"/>
  <c r="J3" i="1"/>
  <c r="P11" i="17"/>
  <c r="A8" i="1"/>
  <c r="D54" i="1"/>
  <c r="D55" i="1"/>
  <c r="D56" i="1"/>
  <c r="D57" i="1"/>
  <c r="E57" i="1"/>
  <c r="D96" i="1"/>
  <c r="D97" i="1"/>
  <c r="E96" i="1"/>
  <c r="E97" i="1"/>
  <c r="R3" i="1"/>
  <c r="O10" i="17"/>
  <c r="Q10" i="17"/>
  <c r="X4" i="1"/>
  <c r="C48" i="1"/>
  <c r="G79" i="1"/>
  <c r="D80" i="1"/>
  <c r="O7" i="17"/>
  <c r="O11" i="17"/>
  <c r="Q7" i="17"/>
  <c r="D4" i="1"/>
  <c r="O9" i="17"/>
  <c r="Q9" i="17"/>
  <c r="C66" i="1"/>
  <c r="O6" i="17"/>
  <c r="Q6" i="17"/>
  <c r="C4" i="1"/>
  <c r="C19" i="1"/>
  <c r="F65" i="1"/>
  <c r="F96" i="1"/>
  <c r="F66" i="1"/>
  <c r="C96" i="1"/>
  <c r="C97" i="1"/>
  <c r="F97" i="1"/>
  <c r="B80" i="1"/>
  <c r="F80" i="1"/>
  <c r="E80" i="1"/>
  <c r="C80" i="1"/>
  <c r="I4" i="1"/>
  <c r="C26" i="1"/>
  <c r="H4" i="1"/>
  <c r="C25" i="1"/>
  <c r="G4" i="1"/>
  <c r="C24" i="1"/>
  <c r="F4" i="1"/>
  <c r="C23" i="1"/>
  <c r="N10" i="1"/>
  <c r="C88" i="1"/>
  <c r="D19" i="1"/>
  <c r="C92" i="1"/>
  <c r="D48" i="1"/>
  <c r="N14" i="1"/>
  <c r="Q11" i="17"/>
  <c r="R4" i="1"/>
  <c r="M4" i="1"/>
  <c r="C32" i="1"/>
  <c r="E32" i="1"/>
  <c r="K4" i="1"/>
  <c r="C30" i="1"/>
  <c r="N4" i="1"/>
  <c r="C33" i="1"/>
  <c r="E33" i="1"/>
  <c r="Q4" i="1"/>
  <c r="C36" i="1"/>
  <c r="O4" i="1"/>
  <c r="C34" i="1"/>
  <c r="E34" i="1"/>
  <c r="L4" i="1"/>
  <c r="C31" i="1"/>
  <c r="D31" i="1"/>
  <c r="P4" i="1"/>
  <c r="C35" i="1"/>
  <c r="F35" i="1"/>
  <c r="V4" i="1"/>
  <c r="C43" i="1"/>
  <c r="F43" i="1"/>
  <c r="W4" i="1"/>
  <c r="C44" i="1"/>
  <c r="T4" i="1"/>
  <c r="C41" i="1"/>
  <c r="S4" i="1"/>
  <c r="C40" i="1"/>
  <c r="U4" i="1"/>
  <c r="C42" i="1"/>
  <c r="E42" i="1"/>
  <c r="C57" i="1"/>
  <c r="F36" i="1"/>
  <c r="D92" i="1"/>
  <c r="C52" i="1"/>
  <c r="D23" i="1"/>
  <c r="AE4" i="1"/>
  <c r="E24" i="1"/>
  <c r="D88" i="1"/>
  <c r="E4" i="1"/>
  <c r="D30" i="1"/>
  <c r="C37" i="1"/>
  <c r="N12" i="1"/>
  <c r="C90" i="1"/>
  <c r="E25" i="1"/>
  <c r="E26" i="1"/>
  <c r="C91" i="1"/>
  <c r="C45" i="1"/>
  <c r="N13" i="1"/>
  <c r="E40" i="1"/>
  <c r="F57" i="1"/>
  <c r="N18" i="1"/>
  <c r="F44" i="1"/>
  <c r="AF4" i="1"/>
  <c r="C55" i="1"/>
  <c r="C53" i="1"/>
  <c r="E41" i="1"/>
  <c r="N17" i="1"/>
  <c r="E55" i="1"/>
  <c r="C22" i="1"/>
  <c r="AD4" i="1"/>
  <c r="F56" i="1"/>
  <c r="C54" i="1"/>
  <c r="D52" i="1"/>
  <c r="C56" i="1"/>
  <c r="E53" i="1"/>
  <c r="C27" i="1"/>
  <c r="N11" i="1"/>
  <c r="D22" i="1"/>
  <c r="C89" i="1"/>
  <c r="C93" i="1"/>
  <c r="C51" i="1"/>
  <c r="C58" i="1"/>
  <c r="E54" i="1"/>
  <c r="D51" i="1"/>
  <c r="N15" i="1"/>
  <c r="C72" i="1"/>
  <c r="C101" i="1"/>
  <c r="C102" i="1"/>
  <c r="C94" i="1"/>
  <c r="G72" i="1"/>
  <c r="C84" i="1"/>
  <c r="I72" i="1"/>
  <c r="G74" i="1"/>
  <c r="J72" i="1"/>
  <c r="D74" i="1"/>
  <c r="E74" i="1"/>
  <c r="F74" i="1"/>
  <c r="E60" i="1"/>
  <c r="D60" i="1"/>
  <c r="E15" i="1"/>
  <c r="E31" i="1"/>
  <c r="E48" i="1"/>
  <c r="E19" i="1"/>
  <c r="E23" i="1"/>
  <c r="E30" i="1"/>
  <c r="E22" i="1"/>
  <c r="E89" i="1"/>
  <c r="E27" i="1"/>
  <c r="E92" i="1"/>
  <c r="E52" i="1"/>
  <c r="E51" i="1"/>
  <c r="E88" i="1"/>
  <c r="D16" i="1"/>
  <c r="F15" i="1"/>
  <c r="D32" i="1"/>
  <c r="D24" i="1"/>
  <c r="D40" i="1"/>
  <c r="F32" i="1"/>
  <c r="F34" i="1"/>
  <c r="F33" i="1"/>
  <c r="F42" i="1"/>
  <c r="F26" i="1"/>
  <c r="F25" i="1"/>
  <c r="F24" i="1"/>
  <c r="F41" i="1"/>
  <c r="F40" i="1"/>
  <c r="F23" i="1"/>
  <c r="F19" i="1"/>
  <c r="F48" i="1"/>
  <c r="F22" i="1"/>
  <c r="F30" i="1"/>
  <c r="F31" i="1"/>
  <c r="F55" i="1"/>
  <c r="F92" i="1"/>
  <c r="F27" i="1"/>
  <c r="F89" i="1"/>
  <c r="F51" i="1"/>
  <c r="F88" i="1"/>
  <c r="F52" i="1"/>
  <c r="F45" i="1"/>
  <c r="F91" i="1"/>
  <c r="D91" i="1"/>
  <c r="D45" i="1"/>
  <c r="F53" i="1"/>
  <c r="D53" i="1"/>
  <c r="D58" i="1"/>
  <c r="D89" i="1"/>
  <c r="D27" i="1"/>
  <c r="F37" i="1"/>
  <c r="F90" i="1"/>
  <c r="F54" i="1"/>
  <c r="D37" i="1"/>
  <c r="D90" i="1"/>
  <c r="D93" i="1"/>
  <c r="D94" i="1"/>
  <c r="D101" i="1"/>
  <c r="D72" i="1"/>
  <c r="D70" i="1"/>
  <c r="D84" i="1"/>
  <c r="F93" i="1"/>
  <c r="F58" i="1"/>
  <c r="E16" i="1"/>
  <c r="F94" i="1"/>
  <c r="E43" i="1"/>
  <c r="E35" i="1"/>
  <c r="G15" i="1"/>
  <c r="F101" i="1"/>
  <c r="F72" i="1"/>
  <c r="D102" i="1"/>
  <c r="F102" i="1"/>
  <c r="E56" i="1"/>
  <c r="E58" i="1"/>
  <c r="E90" i="1"/>
  <c r="E37" i="1"/>
  <c r="G64" i="1"/>
  <c r="G63" i="1"/>
  <c r="G43" i="1"/>
  <c r="G35" i="1"/>
  <c r="G56" i="1"/>
  <c r="G36" i="1"/>
  <c r="G44" i="1"/>
  <c r="G23" i="1"/>
  <c r="G31" i="1"/>
  <c r="G26" i="1"/>
  <c r="G40" i="1"/>
  <c r="G24" i="1"/>
  <c r="G48" i="1"/>
  <c r="G19" i="1"/>
  <c r="G25" i="1"/>
  <c r="G32" i="1"/>
  <c r="G34" i="1"/>
  <c r="G42" i="1"/>
  <c r="G33" i="1"/>
  <c r="G41" i="1"/>
  <c r="G30" i="1"/>
  <c r="G22" i="1"/>
  <c r="E45" i="1"/>
  <c r="E91" i="1"/>
  <c r="I56" i="1"/>
  <c r="J56" i="1"/>
  <c r="G91" i="1"/>
  <c r="G45" i="1"/>
  <c r="J26" i="1"/>
  <c r="I26" i="1"/>
  <c r="G55" i="1"/>
  <c r="J64" i="1"/>
  <c r="H64" i="1"/>
  <c r="I64" i="1"/>
  <c r="G66" i="1"/>
  <c r="G90" i="1"/>
  <c r="J30" i="1"/>
  <c r="G37" i="1"/>
  <c r="I30" i="1"/>
  <c r="J41" i="1"/>
  <c r="O17" i="1"/>
  <c r="I41" i="1"/>
  <c r="J32" i="1"/>
  <c r="I32" i="1"/>
  <c r="G52" i="1"/>
  <c r="E93" i="1"/>
  <c r="E94" i="1"/>
  <c r="G92" i="1"/>
  <c r="I48" i="1"/>
  <c r="O14" i="1"/>
  <c r="J48" i="1"/>
  <c r="I33" i="1"/>
  <c r="J33" i="1"/>
  <c r="G54" i="1"/>
  <c r="I25" i="1"/>
  <c r="J25" i="1"/>
  <c r="O18" i="1"/>
  <c r="J44" i="1"/>
  <c r="I44" i="1"/>
  <c r="G53" i="1"/>
  <c r="J24" i="1"/>
  <c r="I24" i="1"/>
  <c r="G27" i="1"/>
  <c r="J22" i="1"/>
  <c r="G89" i="1"/>
  <c r="I22" i="1"/>
  <c r="O10" i="1"/>
  <c r="G88" i="1"/>
  <c r="I19" i="1"/>
  <c r="G51" i="1"/>
  <c r="J19" i="1"/>
  <c r="G57" i="1"/>
  <c r="E101" i="1"/>
  <c r="E72" i="1"/>
  <c r="E70" i="1"/>
  <c r="E84" i="1"/>
  <c r="E102" i="1"/>
  <c r="J51" i="1"/>
  <c r="G58" i="1"/>
  <c r="I51" i="1"/>
  <c r="J37" i="1"/>
  <c r="I37" i="1"/>
  <c r="O12" i="1"/>
  <c r="I55" i="1"/>
  <c r="J55" i="1"/>
  <c r="G93" i="1"/>
  <c r="I53" i="1"/>
  <c r="J53" i="1"/>
  <c r="J66" i="1"/>
  <c r="I66" i="1"/>
  <c r="H66" i="1"/>
  <c r="O13" i="1"/>
  <c r="J45" i="1"/>
  <c r="I45" i="1"/>
  <c r="O11" i="1"/>
  <c r="J27" i="1"/>
  <c r="I27" i="1"/>
  <c r="J54" i="1"/>
  <c r="I54" i="1"/>
  <c r="I57" i="1"/>
  <c r="J57" i="1"/>
  <c r="G60" i="1"/>
  <c r="H59" i="1"/>
  <c r="I58" i="1"/>
  <c r="J58" i="1"/>
  <c r="O15" i="1"/>
  <c r="G68" i="1"/>
  <c r="G94" i="1"/>
  <c r="H93" i="1"/>
  <c r="H94" i="1"/>
  <c r="J68" i="1"/>
  <c r="H68" i="1"/>
  <c r="H69" i="1"/>
  <c r="I68" i="1"/>
  <c r="G96" i="1"/>
  <c r="G101" i="1"/>
  <c r="F60" i="1"/>
  <c r="G70" i="1"/>
  <c r="G84" i="1"/>
  <c r="F70" i="1"/>
  <c r="F84" i="1"/>
  <c r="H101" i="1"/>
  <c r="H102" i="1"/>
  <c r="G102" i="1"/>
  <c r="G97" i="1"/>
  <c r="H96" i="1"/>
  <c r="H97" i="1"/>
  <c r="N17" i="20"/>
  <c r="N19" i="20"/>
  <c r="N20" i="20"/>
  <c r="N22" i="20"/>
  <c r="N40" i="20"/>
  <c r="G20" i="20"/>
  <c r="I20" i="20"/>
  <c r="N37" i="20"/>
  <c r="N24" i="20"/>
  <c r="G24" i="20"/>
  <c r="I24" i="20"/>
  <c r="G12" i="20"/>
  <c r="I12" i="20"/>
  <c r="G9" i="20"/>
  <c r="I9" i="20"/>
  <c r="G32" i="20"/>
  <c r="G19" i="20"/>
  <c r="I19" i="20"/>
  <c r="P6" i="20"/>
  <c r="K22" i="20"/>
  <c r="K12" i="20"/>
  <c r="K24" i="20"/>
  <c r="G22" i="20"/>
  <c r="G40" i="20"/>
  <c r="K11" i="20"/>
  <c r="K14" i="20"/>
  <c r="K41" i="20"/>
  <c r="K29" i="20"/>
  <c r="G28" i="20"/>
  <c r="I28" i="20"/>
  <c r="K28" i="20"/>
  <c r="I29" i="20"/>
  <c r="I27" i="20"/>
  <c r="K40" i="20"/>
  <c r="G21" i="20"/>
  <c r="G39" i="20"/>
  <c r="K21" i="20"/>
  <c r="G36" i="20"/>
  <c r="P36" i="20"/>
  <c r="K17" i="20"/>
  <c r="G11" i="20"/>
  <c r="K37" i="20"/>
  <c r="K38" i="20"/>
  <c r="K35" i="20"/>
  <c r="K6" i="20"/>
  <c r="P10" i="20"/>
  <c r="P40" i="20"/>
  <c r="G37" i="20"/>
  <c r="I37" i="20"/>
  <c r="G17" i="20"/>
  <c r="I17" i="20"/>
  <c r="N38" i="20"/>
  <c r="G14" i="20"/>
  <c r="P14" i="20"/>
  <c r="N35" i="20"/>
  <c r="P32" i="20"/>
  <c r="I32" i="20"/>
  <c r="P19" i="20"/>
  <c r="P17" i="20"/>
  <c r="P20" i="20"/>
  <c r="P24" i="20"/>
  <c r="P12" i="20"/>
  <c r="G38" i="20"/>
  <c r="G35" i="20"/>
  <c r="I35" i="20"/>
  <c r="P22" i="20"/>
  <c r="P9" i="20"/>
  <c r="I11" i="20"/>
  <c r="I22" i="20"/>
  <c r="P28" i="20"/>
  <c r="G41" i="20"/>
  <c r="I41" i="20"/>
  <c r="I39" i="20"/>
  <c r="P39" i="20"/>
  <c r="I40" i="20"/>
  <c r="I21" i="20"/>
  <c r="P21" i="20"/>
  <c r="P37" i="20"/>
  <c r="K42" i="20"/>
  <c r="P11" i="20"/>
  <c r="N42" i="20"/>
  <c r="Z17" i="20"/>
  <c r="Z18" i="20"/>
  <c r="P38" i="20"/>
  <c r="I14" i="20"/>
  <c r="P35" i="20"/>
  <c r="I38" i="20"/>
  <c r="G42" i="20"/>
  <c r="P42" i="20"/>
  <c r="R42" i="20"/>
  <c r="P41" i="20"/>
  <c r="I42" i="20"/>
</calcChain>
</file>

<file path=xl/comments1.xml><?xml version="1.0" encoding="utf-8"?>
<comments xmlns="http://schemas.openxmlformats.org/spreadsheetml/2006/main">
  <authors>
    <author>Cifuentes, Lori L.</author>
    <author>LLC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Cifuentes, Lori L.:</t>
        </r>
        <r>
          <rPr>
            <sz val="9"/>
            <color indexed="81"/>
            <rFont val="Tahoma"/>
            <family val="2"/>
          </rPr>
          <t xml:space="preserve">
THESE PERCENTAGES COME FROM:
H:\LoadResearch\COST OF SERVICE\PROJECTED\2023\StratumPercentages2023.xls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>Cifuentes, Lori L.:</t>
        </r>
        <r>
          <rPr>
            <sz val="9"/>
            <color indexed="81"/>
            <rFont val="Tahoma"/>
            <family val="2"/>
          </rPr>
          <t xml:space="preserve">
Forecasted RNEL
fcst2024</t>
        </r>
      </text>
    </comment>
    <comment ref="H59" authorId="1" shapeId="0">
      <text>
        <r>
          <rPr>
            <sz val="11"/>
            <color indexed="81"/>
            <rFont val="Tahoma"/>
            <family val="2"/>
          </rPr>
          <t>Use Solver add-in to solve for zero by changing cell H72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0" authorId="1" shapeId="0">
      <text>
        <r>
          <rPr>
            <sz val="8"/>
            <color indexed="81"/>
            <rFont val="Tahoma"/>
            <family val="2"/>
          </rPr>
          <t xml:space="preserve">LLC:
</t>
        </r>
        <r>
          <rPr>
            <sz val="12"/>
            <color indexed="81"/>
            <rFont val="Tahoma"/>
            <family val="2"/>
          </rPr>
          <t>Step 5
Should be same as system losses</t>
        </r>
      </text>
    </comment>
    <comment ref="F60" authorId="1" shapeId="0">
      <text>
        <r>
          <rPr>
            <b/>
            <sz val="8"/>
            <color indexed="81"/>
            <rFont val="Tahoma"/>
            <family val="2"/>
          </rPr>
          <t>LLC: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Step 6
Backinto these losses </t>
        </r>
      </text>
    </comment>
    <comment ref="G60" authorId="1" shapeId="0">
      <text>
        <r>
          <rPr>
            <b/>
            <sz val="8"/>
            <color indexed="81"/>
            <rFont val="Tahoma"/>
            <family val="2"/>
          </rPr>
          <t>LLC: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Step 4
calculate retail losses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Cifuentes, Lori L.:</t>
        </r>
        <r>
          <rPr>
            <sz val="9"/>
            <color indexed="81"/>
            <rFont val="Tahoma"/>
            <family val="2"/>
          </rPr>
          <t xml:space="preserve">
input w/losses value</t>
        </r>
      </text>
    </comment>
    <comment ref="G68" authorId="1" shapeId="0">
      <text>
        <r>
          <rPr>
            <b/>
            <sz val="8"/>
            <color indexed="81"/>
            <rFont val="Tahoma"/>
            <family val="2"/>
          </rPr>
          <t>LLC: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step 8</t>
        </r>
      </text>
    </comment>
    <comment ref="F70" authorId="1" shapeId="0">
      <text>
        <r>
          <rPr>
            <b/>
            <sz val="8"/>
            <color indexed="81"/>
            <rFont val="Tahoma"/>
            <family val="2"/>
          </rPr>
          <t>LLC: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Step 7a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back into based on system and retail losses</t>
        </r>
      </text>
    </comment>
    <comment ref="G70" authorId="1" shapeId="0">
      <text>
        <r>
          <rPr>
            <b/>
            <sz val="8"/>
            <color indexed="81"/>
            <rFont val="Tahoma"/>
            <family val="2"/>
          </rPr>
          <t>LLC: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Step 7b
back into based on system and retail losses</t>
        </r>
      </text>
    </comment>
    <comment ref="G72" authorId="1" shapeId="0">
      <text>
        <r>
          <rPr>
            <b/>
            <u/>
            <sz val="11"/>
            <color indexed="81"/>
            <rFont val="Tahoma"/>
            <family val="2"/>
          </rPr>
          <t xml:space="preserve">Step #1 </t>
        </r>
        <r>
          <rPr>
            <sz val="11"/>
            <color indexed="81"/>
            <rFont val="Tahoma"/>
            <family val="2"/>
          </rPr>
          <t xml:space="preserve">
To get this value, solve cell H72 to set cell H59 equal to zero.  (Forces Retail NEL to match forecast)</t>
        </r>
      </text>
    </comment>
    <comment ref="D74" authorId="1" shapeId="0">
      <text>
        <r>
          <rPr>
            <sz val="12"/>
            <color indexed="81"/>
            <rFont val="Tahoma"/>
            <family val="2"/>
          </rPr>
          <t>Step #3.
Breakdown total to voltage levels base on percentages from loss study below.</t>
        </r>
      </text>
    </comment>
    <comment ref="G74" authorId="1" shapeId="0">
      <text>
        <r>
          <rPr>
            <b/>
            <u/>
            <sz val="11"/>
            <color indexed="81"/>
            <rFont val="Tahoma"/>
            <family val="2"/>
          </rPr>
          <t>Step #2</t>
        </r>
        <r>
          <rPr>
            <sz val="11"/>
            <color indexed="81"/>
            <rFont val="Tahoma"/>
            <family val="2"/>
          </rPr>
          <t xml:space="preserve">
Calc total system losses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<sst xmlns="http://schemas.openxmlformats.org/spreadsheetml/2006/main" count="299" uniqueCount="176">
  <si>
    <t>DESCRIPTION</t>
  </si>
  <si>
    <t>EXPANSION FACTOR</t>
  </si>
  <si>
    <t>BACKDOWN FACTOR</t>
  </si>
  <si>
    <t>RESIDENTIAL</t>
  </si>
  <si>
    <t xml:space="preserve">   SECONDARY</t>
  </si>
  <si>
    <t>GS &amp; TS</t>
  </si>
  <si>
    <t>GSD</t>
  </si>
  <si>
    <t xml:space="preserve">   SEM/SES</t>
  </si>
  <si>
    <t xml:space="preserve">   SUBTOTAL</t>
  </si>
  <si>
    <t>SL/OL</t>
  </si>
  <si>
    <t>TOTAL</t>
  </si>
  <si>
    <t>WHOLESALE</t>
  </si>
  <si>
    <t xml:space="preserve">   INTERCHANGE SEPARATED</t>
  </si>
  <si>
    <t xml:space="preserve">   INTERCHANGE NON-SEPARATED</t>
  </si>
  <si>
    <t xml:space="preserve">   PARTIAL REQUIREMENTS</t>
  </si>
  <si>
    <t>WHEELING</t>
  </si>
  <si>
    <t xml:space="preserve">AT </t>
  </si>
  <si>
    <t>METER</t>
  </si>
  <si>
    <t>SECONDARY</t>
  </si>
  <si>
    <t>VOLTAGE</t>
  </si>
  <si>
    <t>PRIMARY</t>
  </si>
  <si>
    <t>SUBTRAN</t>
  </si>
  <si>
    <t>TO LINE</t>
  </si>
  <si>
    <t>OUTPUT</t>
  </si>
  <si>
    <t>RS</t>
  </si>
  <si>
    <t>GS</t>
  </si>
  <si>
    <t>SEPARATED</t>
  </si>
  <si>
    <t>RETAIL LOSSES</t>
  </si>
  <si>
    <t>WHOLESALE/WHEELING LOSSES</t>
  </si>
  <si>
    <t>TOTAL LOSSES</t>
  </si>
  <si>
    <t xml:space="preserve"> </t>
  </si>
  <si>
    <t>Loss %</t>
  </si>
  <si>
    <t xml:space="preserve">   SEM/SES (TC 0,A)</t>
  </si>
  <si>
    <t xml:space="preserve">    SEM/PRS (TC 7,G)</t>
  </si>
  <si>
    <t xml:space="preserve">    PRM/SES (TC 6,F)</t>
  </si>
  <si>
    <t xml:space="preserve">    PRM/PRS (TC 5,E)</t>
  </si>
  <si>
    <t xml:space="preserve">    PRM/SUS (TC 8,H)</t>
  </si>
  <si>
    <t xml:space="preserve">    SUM/PRS (TC 4,D)</t>
  </si>
  <si>
    <t xml:space="preserve">    SUM/SUS (TC 3,C)</t>
  </si>
  <si>
    <t xml:space="preserve">   SEM/SES </t>
  </si>
  <si>
    <t xml:space="preserve">    SEM/PRS</t>
  </si>
  <si>
    <t xml:space="preserve">    PRM/SES</t>
  </si>
  <si>
    <t xml:space="preserve">    PRM/PRS</t>
  </si>
  <si>
    <t xml:space="preserve">    PRM/SUS</t>
  </si>
  <si>
    <t>(TC 0,A)</t>
  </si>
  <si>
    <t>(TC 7,G)</t>
  </si>
  <si>
    <t>(TC 6,F)</t>
  </si>
  <si>
    <t xml:space="preserve"> (TC 5,E)</t>
  </si>
  <si>
    <t xml:space="preserve"> (TC 8,H)</t>
  </si>
  <si>
    <t xml:space="preserve">    SUM/PRS</t>
  </si>
  <si>
    <t xml:space="preserve"> (TC 7,G)</t>
  </si>
  <si>
    <t xml:space="preserve"> (TC 6,F)</t>
  </si>
  <si>
    <t>(TC 8,H)</t>
  </si>
  <si>
    <t xml:space="preserve"> (TC 4,D)</t>
  </si>
  <si>
    <t xml:space="preserve"> (TC 3,C)</t>
  </si>
  <si>
    <t xml:space="preserve">    PRM/PRS </t>
  </si>
  <si>
    <t xml:space="preserve">    SUM/PRS </t>
  </si>
  <si>
    <t>(TC 5,E)</t>
  </si>
  <si>
    <t>LS</t>
  </si>
  <si>
    <t>No input necessary</t>
  </si>
  <si>
    <t>LEGEND:</t>
  </si>
  <si>
    <t>Green Color : Uses backdown factor</t>
  </si>
  <si>
    <t>Blue Color : Uses expansion factor</t>
  </si>
  <si>
    <t>Stratum Breakdown</t>
  </si>
  <si>
    <t>Projected Energy</t>
  </si>
  <si>
    <t>(MWH)</t>
  </si>
  <si>
    <t>MWH TOTAL</t>
  </si>
  <si>
    <t>RATE</t>
  </si>
  <si>
    <t>SCHEDULE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</si>
  <si>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</si>
  <si>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</si>
  <si>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</si>
  <si>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</si>
  <si>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</si>
  <si>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</si>
  <si>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</si>
  <si>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</si>
  <si>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</si>
  <si>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</si>
  <si>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</si>
  <si>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</si>
  <si>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  PRM/SES </t>
  </si>
  <si>
    <t xml:space="preserve">    PRM/SUS </t>
  </si>
  <si>
    <t xml:space="preserve">    SUM/SUS</t>
  </si>
  <si>
    <t>NON-SEPARATED</t>
  </si>
  <si>
    <t>PR</t>
  </si>
  <si>
    <t>INTERCHANGE</t>
  </si>
  <si>
    <t>(TC 3,C)</t>
  </si>
  <si>
    <t xml:space="preserve">DISTRIBUTION </t>
  </si>
  <si>
    <t>DISTRIBUTION</t>
  </si>
  <si>
    <t>SUBTRANS</t>
  </si>
  <si>
    <t>LINE XFMRS</t>
  </si>
  <si>
    <t>SUB XFMRS</t>
  </si>
  <si>
    <t>LOSSES (MWH)</t>
  </si>
  <si>
    <t xml:space="preserve">    PER CENT</t>
  </si>
  <si>
    <t>Check</t>
  </si>
  <si>
    <t>.</t>
  </si>
  <si>
    <t>Links to Values in row 4</t>
  </si>
  <si>
    <t>Retail</t>
  </si>
  <si>
    <t>System</t>
  </si>
  <si>
    <t>NEL</t>
  </si>
  <si>
    <t>Meter</t>
  </si>
  <si>
    <t>Wholesale+Wheel</t>
  </si>
  <si>
    <t>Losses</t>
  </si>
  <si>
    <t>Unbilled</t>
  </si>
  <si>
    <t>Including</t>
  </si>
  <si>
    <t xml:space="preserve">                                                                              (Metered Voltage Level)</t>
  </si>
  <si>
    <t>SOURCE:</t>
  </si>
  <si>
    <t>GSLD</t>
  </si>
  <si>
    <t>GSLD PR</t>
  </si>
  <si>
    <t>GSLD SU</t>
  </si>
  <si>
    <t>at meter</t>
  </si>
  <si>
    <t>at gen</t>
  </si>
  <si>
    <t>Update RateClass Forecast tab</t>
  </si>
  <si>
    <t>1)</t>
  </si>
  <si>
    <t>H:\FORECASTING\MetrixND_2024Fcst\Projects\Revenues\7_Output\Final Revenues\1_Budget\2024 Revenue Budget By Rate.xlsx  (Energy Tab)</t>
  </si>
  <si>
    <t>2)</t>
  </si>
  <si>
    <t>Update Annual Tab</t>
  </si>
  <si>
    <t>- Update stratum percentages in row 3 (red values)</t>
  </si>
  <si>
    <t>H:\LoadResearch\COST OF SERVICE\PROJECTED\2024\StratumPercentages_2024.xls</t>
  </si>
  <si>
    <t>- Update RNEL in cell H58</t>
  </si>
  <si>
    <t>H:\FORECASTING\MetrixND_2024Fcst\Projects\Revenues\7_Output\Final Revenues\1_Budget\2024 Revenue Budget By Customer Class.xlsx (RNEL tab)</t>
  </si>
  <si>
    <t>- Run Solver to get cell H59 equal to zero</t>
  </si>
  <si>
    <t>From the Excel menu select, "Data", "Solver", "Solve", "OK"</t>
  </si>
  <si>
    <t>2023 LOSS STUDY RESULTS</t>
  </si>
  <si>
    <t>H:\LoadResearch\LossStudies\2023 Study w2022 data\Loss Study Models 2023 REV.xlsx</t>
  </si>
  <si>
    <t>2025 PROJECTED</t>
  </si>
  <si>
    <t>H:\FORECASTING\MetrixND_2024Fcst\Projects\Revenues\7_Output\Final Revenues\1_Budget\2025 Revenue Budget By Rate.xlsx</t>
  </si>
  <si>
    <t>- Update Loss Inputs</t>
  </si>
  <si>
    <t>Updated 08/24/2023</t>
  </si>
  <si>
    <t>(1)</t>
  </si>
  <si>
    <t>(2)</t>
  </si>
  <si>
    <t>(3)</t>
  </si>
  <si>
    <t>(4)</t>
  </si>
  <si>
    <t>(5)</t>
  </si>
  <si>
    <t>(6)</t>
  </si>
  <si>
    <t>MWH</t>
  </si>
  <si>
    <t>Billed &amp; Unbilled</t>
  </si>
  <si>
    <t>Delivered</t>
  </si>
  <si>
    <t>Rate</t>
  </si>
  <si>
    <t>Energy at</t>
  </si>
  <si>
    <t xml:space="preserve"> MWH Sales at</t>
  </si>
  <si>
    <t>Losses and Company Use</t>
  </si>
  <si>
    <t>Efficiency</t>
  </si>
  <si>
    <t>Company</t>
  </si>
  <si>
    <t>Schedule</t>
  </si>
  <si>
    <t>Generation</t>
  </si>
  <si>
    <t>%</t>
  </si>
  <si>
    <t>(2) / (1)</t>
  </si>
  <si>
    <t>Use</t>
  </si>
  <si>
    <t xml:space="preserve">   SEM/PRS</t>
  </si>
  <si>
    <t xml:space="preserve">   PRM/PRS</t>
  </si>
  <si>
    <t xml:space="preserve">   SUM/SUS</t>
  </si>
  <si>
    <t>The methodology and assumptions for determining losses are detailed in Schedule E-19a.</t>
  </si>
  <si>
    <t>Calculation</t>
  </si>
  <si>
    <t>Company use is based on historical data as a percentage of total billed sales, then applied to projected 2025 billed sales.</t>
  </si>
  <si>
    <t>&lt;----check point--&gt;</t>
  </si>
  <si>
    <t>Rate Category Class</t>
  </si>
  <si>
    <t>U</t>
  </si>
  <si>
    <t>Sum of Total Energy Billed KWH</t>
  </si>
  <si>
    <t>Column Labels</t>
  </si>
  <si>
    <t>#</t>
  </si>
  <si>
    <t>PRS</t>
  </si>
  <si>
    <t>SES</t>
  </si>
  <si>
    <t>Grand Total</t>
  </si>
  <si>
    <t>Row Labels</t>
  </si>
  <si>
    <t>PRM</t>
  </si>
  <si>
    <t>SUM</t>
  </si>
  <si>
    <t>SEM</t>
  </si>
  <si>
    <t>CS</t>
  </si>
  <si>
    <t>GSDO</t>
  </si>
  <si>
    <t>GSUM</t>
  </si>
  <si>
    <t>LS1</t>
  </si>
  <si>
    <t>2022 Actuals from BL019</t>
  </si>
  <si>
    <t>2025 Billed mwh</t>
  </si>
  <si>
    <t>2022 Actual Total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</si>
</sst>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"/>
    <numFmt numFmtId="165" formatCode="0.00000"/>
    <numFmt numFmtId="166" formatCode="#,##0.0"/>
    <numFmt numFmtId="168" formatCode="0.0000000"/>
    <numFmt numFmtId="174" formatCode="0.0"/>
    <numFmt numFmtId="177" formatCode="0.000%"/>
    <numFmt numFmtId="185" formatCode="_(* #,##0.000000_);_(* \(#,##0.000000\);_(* &quot;-&quot;??_);_(@_)"/>
    <numFmt numFmtId="186" formatCode="_(* #,##0_);_(* \(#,##0\);_(* &quot;-&quot;??_);_(@_)"/>
    <numFmt numFmtId="187" formatCode="0.0%"/>
    <numFmt numFmtId="188" formatCode="_(* #,##0.0_);_(* \(#,##0.0\);_(* &quot;-&quot;??_);_(@_)"/>
    <numFmt numFmtId="195" formatCode="_(* #,##0.00000000000_);_(* \(#,##0.00000000000\);_(* &quot;-&quot;??_);_(@_)"/>
    <numFmt numFmtId="211" formatCode="#,##0.0000000000"/>
    <numFmt numFmtId="218" formatCode="0.0000%"/>
    <numFmt numFmtId="222" formatCode="_(&quot;$&quot;* #,##0_);_(&quot;$&quot;* \(#,##0\);_(&quot;$&quot;* &quot;-&quot;??_);_(@_)"/>
  </numFmts>
  <fonts count="3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2"/>
      <name val="MS Serif"/>
      <family val="1"/>
    </font>
    <font>
      <b/>
      <sz val="10"/>
      <name val="MS Serif"/>
      <family val="1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u/>
      <sz val="11"/>
      <color indexed="81"/>
      <name val="Tahoma"/>
      <family val="2"/>
    </font>
    <font>
      <sz val="10"/>
      <name val="Arial"/>
      <family val="2"/>
    </font>
    <font>
      <sz val="14"/>
      <color indexed="81"/>
      <name val="Tahoma"/>
      <family val="2"/>
    </font>
    <font>
      <sz val="16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5C3BE9"/>
      <name val="Arial"/>
      <family val="2"/>
    </font>
    <font>
      <sz val="10"/>
      <color theme="6" tint="-0.249977111117893"/>
      <name val="Arial"/>
      <family val="2"/>
    </font>
    <font>
      <b/>
      <sz val="14"/>
      <color rgb="FFFF0000"/>
      <name val="Arial"/>
      <family val="2"/>
    </font>
    <font>
      <sz val="9"/>
      <color theme="3" tint="0.39997558519241921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8"/>
      <color theme="4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23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56">
    <xf numFmtId="0" fontId="0" fillId="0" borderId="0" xfId="0"/>
    <xf numFmtId="3" fontId="0" fillId="0" borderId="0" xfId="0" applyNumberFormat="1"/>
    <xf numFmtId="16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horizontal="centerContinuous"/>
    </xf>
    <xf numFmtId="166" fontId="0" fillId="0" borderId="0" xfId="0" applyNumberFormat="1"/>
    <xf numFmtId="166" fontId="0" fillId="0" borderId="1" xfId="0" applyNumberFormat="1" applyBorder="1"/>
    <xf numFmtId="166" fontId="0" fillId="0" borderId="2" xfId="0" applyNumberFormat="1" applyBorder="1"/>
    <xf numFmtId="166" fontId="0" fillId="0" borderId="0" xfId="0" applyNumberForma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5" xfId="0" applyBorder="1"/>
    <xf numFmtId="0" fontId="2" fillId="0" borderId="7" xfId="0" applyFont="1" applyBorder="1"/>
    <xf numFmtId="0" fontId="0" fillId="0" borderId="6" xfId="0" applyBorder="1"/>
    <xf numFmtId="3" fontId="0" fillId="0" borderId="5" xfId="0" applyNumberFormat="1" applyBorder="1"/>
    <xf numFmtId="3" fontId="0" fillId="0" borderId="8" xfId="0" applyNumberFormat="1" applyBorder="1"/>
    <xf numFmtId="186" fontId="0" fillId="0" borderId="0" xfId="1" applyNumberFormat="1" applyFont="1"/>
    <xf numFmtId="187" fontId="0" fillId="0" borderId="0" xfId="9" applyNumberFormat="1" applyFont="1"/>
    <xf numFmtId="187" fontId="0" fillId="0" borderId="0" xfId="9" applyNumberFormat="1" applyFont="1" applyFill="1" applyBorder="1"/>
    <xf numFmtId="166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0" fillId="0" borderId="8" xfId="0" applyBorder="1"/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0" xfId="0" applyBorder="1"/>
    <xf numFmtId="4" fontId="0" fillId="0" borderId="0" xfId="0" applyNumberFormat="1"/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6" xfId="0" applyFont="1" applyFill="1" applyBorder="1"/>
    <xf numFmtId="166" fontId="24" fillId="0" borderId="2" xfId="0" applyNumberFormat="1" applyFont="1" applyBorder="1"/>
    <xf numFmtId="166" fontId="24" fillId="0" borderId="0" xfId="0" applyNumberFormat="1" applyFont="1" applyBorder="1"/>
    <xf numFmtId="0" fontId="3" fillId="0" borderId="0" xfId="0" applyFont="1" applyFill="1" applyBorder="1"/>
    <xf numFmtId="166" fontId="0" fillId="7" borderId="0" xfId="0" applyNumberFormat="1" applyFill="1" applyBorder="1"/>
    <xf numFmtId="166" fontId="0" fillId="7" borderId="2" xfId="0" applyNumberFormat="1" applyFill="1" applyBorder="1"/>
    <xf numFmtId="166" fontId="24" fillId="8" borderId="1" xfId="0" applyNumberFormat="1" applyFont="1" applyFill="1" applyBorder="1"/>
    <xf numFmtId="0" fontId="0" fillId="8" borderId="5" xfId="0" applyFill="1" applyBorder="1"/>
    <xf numFmtId="0" fontId="3" fillId="7" borderId="6" xfId="0" applyFont="1" applyFill="1" applyBorder="1"/>
    <xf numFmtId="0" fontId="0" fillId="7" borderId="5" xfId="0" applyFill="1" applyBorder="1"/>
    <xf numFmtId="3" fontId="3" fillId="0" borderId="11" xfId="0" applyNumberFormat="1" applyFont="1" applyBorder="1"/>
    <xf numFmtId="0" fontId="0" fillId="0" borderId="12" xfId="0" applyBorder="1"/>
    <xf numFmtId="0" fontId="25" fillId="0" borderId="6" xfId="0" applyFont="1" applyBorder="1"/>
    <xf numFmtId="0" fontId="26" fillId="0" borderId="13" xfId="0" applyFont="1" applyBorder="1"/>
    <xf numFmtId="0" fontId="24" fillId="8" borderId="6" xfId="0" applyFont="1" applyFill="1" applyBorder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164" fontId="25" fillId="0" borderId="0" xfId="0" applyNumberFormat="1" applyFont="1" applyBorder="1"/>
    <xf numFmtId="165" fontId="25" fillId="0" borderId="5" xfId="0" applyNumberFormat="1" applyFont="1" applyBorder="1"/>
    <xf numFmtId="0" fontId="3" fillId="0" borderId="0" xfId="0" applyFont="1" applyBorder="1"/>
    <xf numFmtId="166" fontId="25" fillId="0" borderId="14" xfId="0" applyNumberFormat="1" applyFont="1" applyBorder="1"/>
    <xf numFmtId="166" fontId="0" fillId="0" borderId="5" xfId="0" applyNumberFormat="1" applyBorder="1"/>
    <xf numFmtId="166" fontId="24" fillId="8" borderId="0" xfId="0" applyNumberFormat="1" applyFont="1" applyFill="1" applyBorder="1"/>
    <xf numFmtId="166" fontId="25" fillId="0" borderId="5" xfId="0" applyNumberFormat="1" applyFont="1" applyBorder="1"/>
    <xf numFmtId="166" fontId="0" fillId="0" borderId="14" xfId="0" applyNumberFormat="1" applyBorder="1"/>
    <xf numFmtId="166" fontId="2" fillId="0" borderId="6" xfId="0" applyNumberFormat="1" applyFont="1" applyBorder="1"/>
    <xf numFmtId="0" fontId="2" fillId="0" borderId="13" xfId="0" applyFont="1" applyBorder="1"/>
    <xf numFmtId="9" fontId="2" fillId="0" borderId="0" xfId="9" applyFont="1" applyAlignment="1"/>
    <xf numFmtId="2" fontId="2" fillId="0" borderId="0" xfId="0" applyNumberFormat="1" applyFont="1" applyAlignment="1">
      <alignment horizontal="centerContinuous"/>
    </xf>
    <xf numFmtId="0" fontId="8" fillId="0" borderId="0" xfId="8" applyFont="1" applyBorder="1">
      <alignment vertical="top"/>
    </xf>
    <xf numFmtId="3" fontId="0" fillId="0" borderId="0" xfId="0" applyNumberFormat="1" applyAlignment="1"/>
    <xf numFmtId="2" fontId="2" fillId="0" borderId="0" xfId="0" applyNumberFormat="1" applyFont="1" applyAlignment="1">
      <alignment horizontal="center"/>
    </xf>
    <xf numFmtId="186" fontId="2" fillId="0" borderId="0" xfId="1" applyNumberFormat="1" applyFont="1" applyAlignment="1">
      <alignment horizontal="center"/>
    </xf>
    <xf numFmtId="186" fontId="2" fillId="4" borderId="15" xfId="1" applyNumberFormat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9" fontId="2" fillId="0" borderId="7" xfId="9" applyFont="1" applyBorder="1" applyAlignment="1">
      <alignment horizontal="center"/>
    </xf>
    <xf numFmtId="186" fontId="2" fillId="4" borderId="13" xfId="1" applyNumberFormat="1" applyFont="1" applyFill="1" applyBorder="1"/>
    <xf numFmtId="0" fontId="2" fillId="0" borderId="16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6" fontId="2" fillId="4" borderId="13" xfId="1" applyNumberFormat="1" applyFont="1" applyFill="1" applyBorder="1" applyAlignment="1"/>
    <xf numFmtId="3" fontId="2" fillId="0" borderId="0" xfId="0" applyNumberFormat="1" applyFont="1" applyAlignment="1">
      <alignment horizontal="center"/>
    </xf>
    <xf numFmtId="3" fontId="0" fillId="3" borderId="0" xfId="0" applyNumberFormat="1" applyFill="1"/>
    <xf numFmtId="10" fontId="0" fillId="0" borderId="0" xfId="0" applyNumberFormat="1"/>
    <xf numFmtId="3" fontId="0" fillId="0" borderId="0" xfId="0" applyNumberFormat="1" applyAlignment="1">
      <alignment horizontal="right"/>
    </xf>
    <xf numFmtId="3" fontId="5" fillId="3" borderId="12" xfId="0" applyNumberFormat="1" applyFont="1" applyFill="1" applyBorder="1"/>
    <xf numFmtId="3" fontId="0" fillId="0" borderId="10" xfId="0" applyNumberFormat="1" applyFill="1" applyBorder="1"/>
    <xf numFmtId="165" fontId="26" fillId="0" borderId="0" xfId="0" applyNumberFormat="1" applyFont="1" applyFill="1" applyBorder="1"/>
    <xf numFmtId="211" fontId="5" fillId="3" borderId="12" xfId="0" applyNumberFormat="1" applyFont="1" applyFill="1" applyBorder="1"/>
    <xf numFmtId="10" fontId="24" fillId="0" borderId="6" xfId="9" applyNumberFormat="1" applyFont="1" applyBorder="1"/>
    <xf numFmtId="37" fontId="3" fillId="0" borderId="10" xfId="1" applyNumberFormat="1" applyFont="1" applyBorder="1" applyAlignment="1">
      <alignment horizontal="center"/>
    </xf>
    <xf numFmtId="37" fontId="0" fillId="0" borderId="10" xfId="1" applyNumberFormat="1" applyFon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" fontId="2" fillId="0" borderId="0" xfId="0" applyNumberFormat="1" applyFont="1"/>
    <xf numFmtId="37" fontId="2" fillId="0" borderId="0" xfId="0" applyNumberFormat="1" applyFont="1" applyAlignment="1">
      <alignment horizontal="center"/>
    </xf>
    <xf numFmtId="186" fontId="2" fillId="0" borderId="0" xfId="1" applyNumberFormat="1" applyFont="1"/>
    <xf numFmtId="188" fontId="14" fillId="9" borderId="0" xfId="1" applyNumberFormat="1" applyFont="1" applyFill="1"/>
    <xf numFmtId="186" fontId="14" fillId="9" borderId="0" xfId="1" applyNumberFormat="1" applyFont="1" applyFill="1"/>
    <xf numFmtId="0" fontId="2" fillId="0" borderId="0" xfId="0" applyFont="1" applyAlignment="1">
      <alignment horizontal="right"/>
    </xf>
    <xf numFmtId="186" fontId="0" fillId="0" borderId="0" xfId="0" applyNumberFormat="1"/>
    <xf numFmtId="10" fontId="3" fillId="0" borderId="0" xfId="0" applyNumberFormat="1" applyFont="1"/>
    <xf numFmtId="174" fontId="0" fillId="0" borderId="0" xfId="0" applyNumberFormat="1"/>
    <xf numFmtId="211" fontId="0" fillId="0" borderId="0" xfId="0" applyNumberFormat="1"/>
    <xf numFmtId="3" fontId="3" fillId="0" borderId="0" xfId="0" applyNumberFormat="1" applyFont="1"/>
    <xf numFmtId="185" fontId="2" fillId="0" borderId="9" xfId="1" applyNumberFormat="1" applyFont="1" applyBorder="1" applyAlignment="1"/>
    <xf numFmtId="10" fontId="3" fillId="0" borderId="6" xfId="9" applyNumberFormat="1" applyFont="1" applyBorder="1" applyAlignment="1">
      <alignment horizontal="center"/>
    </xf>
    <xf numFmtId="166" fontId="3" fillId="0" borderId="0" xfId="0" applyNumberFormat="1" applyFont="1"/>
    <xf numFmtId="9" fontId="0" fillId="0" borderId="0" xfId="9" applyFont="1"/>
    <xf numFmtId="186" fontId="24" fillId="0" borderId="0" xfId="1" applyNumberFormat="1" applyFont="1"/>
    <xf numFmtId="187" fontId="24" fillId="0" borderId="0" xfId="9" applyNumberFormat="1" applyFont="1"/>
    <xf numFmtId="0" fontId="27" fillId="0" borderId="0" xfId="0" applyFont="1"/>
    <xf numFmtId="10" fontId="0" fillId="0" borderId="0" xfId="9" applyNumberFormat="1" applyFont="1"/>
    <xf numFmtId="187" fontId="0" fillId="0" borderId="0" xfId="9" applyNumberFormat="1" applyFont="1" applyAlignment="1">
      <alignment horizontal="center"/>
    </xf>
    <xf numFmtId="166" fontId="24" fillId="8" borderId="17" xfId="0" applyNumberFormat="1" applyFont="1" applyFill="1" applyBorder="1"/>
    <xf numFmtId="0" fontId="2" fillId="0" borderId="3" xfId="0" applyFont="1" applyBorder="1" applyAlignment="1"/>
    <xf numFmtId="0" fontId="2" fillId="0" borderId="9" xfId="0" applyFont="1" applyBorder="1" applyAlignment="1"/>
    <xf numFmtId="0" fontId="2" fillId="0" borderId="16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7" borderId="11" xfId="0" applyFont="1" applyFill="1" applyBorder="1" applyAlignment="1"/>
    <xf numFmtId="0" fontId="2" fillId="7" borderId="18" xfId="0" applyFont="1" applyFill="1" applyBorder="1" applyAlignment="1"/>
    <xf numFmtId="0" fontId="2" fillId="7" borderId="12" xfId="0" applyFont="1" applyFill="1" applyBorder="1" applyAlignment="1"/>
    <xf numFmtId="0" fontId="28" fillId="0" borderId="0" xfId="0" applyFont="1" applyBorder="1" applyAlignment="1"/>
    <xf numFmtId="0" fontId="28" fillId="0" borderId="5" xfId="0" applyFont="1" applyBorder="1" applyAlignment="1"/>
    <xf numFmtId="177" fontId="24" fillId="0" borderId="6" xfId="0" applyNumberFormat="1" applyFont="1" applyBorder="1"/>
    <xf numFmtId="195" fontId="0" fillId="0" borderId="0" xfId="1" applyNumberFormat="1" applyFont="1"/>
    <xf numFmtId="186" fontId="0" fillId="0" borderId="0" xfId="1" applyNumberFormat="1" applyFont="1" applyAlignment="1"/>
    <xf numFmtId="0" fontId="0" fillId="0" borderId="0" xfId="0" applyAlignment="1">
      <alignment horizontal="center"/>
    </xf>
    <xf numFmtId="177" fontId="0" fillId="0" borderId="0" xfId="9" applyNumberFormat="1" applyFont="1"/>
    <xf numFmtId="177" fontId="0" fillId="0" borderId="0" xfId="9" applyNumberFormat="1" applyFont="1" applyFill="1" applyBorder="1"/>
    <xf numFmtId="177" fontId="0" fillId="0" borderId="0" xfId="0" applyNumberFormat="1"/>
    <xf numFmtId="0" fontId="29" fillId="0" borderId="0" xfId="0" applyFont="1"/>
    <xf numFmtId="0" fontId="3" fillId="10" borderId="0" xfId="0" applyFont="1" applyFill="1"/>
    <xf numFmtId="0" fontId="0" fillId="10" borderId="0" xfId="0" applyFill="1"/>
    <xf numFmtId="0" fontId="3" fillId="11" borderId="0" xfId="0" applyFont="1" applyFill="1" applyAlignment="1">
      <alignment horizontal="center"/>
    </xf>
    <xf numFmtId="0" fontId="24" fillId="0" borderId="0" xfId="0" applyFont="1"/>
    <xf numFmtId="0" fontId="30" fillId="0" borderId="0" xfId="0" applyFont="1"/>
    <xf numFmtId="3" fontId="24" fillId="8" borderId="1" xfId="0" applyNumberFormat="1" applyFont="1" applyFill="1" applyBorder="1"/>
    <xf numFmtId="3" fontId="24" fillId="0" borderId="2" xfId="0" applyNumberFormat="1" applyFont="1" applyBorder="1"/>
    <xf numFmtId="3" fontId="25" fillId="0" borderId="2" xfId="0" applyNumberFormat="1" applyFont="1" applyBorder="1"/>
    <xf numFmtId="3" fontId="25" fillId="0" borderId="14" xfId="0" applyNumberFormat="1" applyFont="1" applyBorder="1"/>
    <xf numFmtId="3" fontId="24" fillId="8" borderId="0" xfId="0" applyNumberFormat="1" applyFont="1" applyFill="1" applyBorder="1"/>
    <xf numFmtId="3" fontId="24" fillId="0" borderId="0" xfId="0" applyNumberFormat="1" applyFont="1" applyBorder="1"/>
    <xf numFmtId="3" fontId="25" fillId="0" borderId="0" xfId="0" applyNumberFormat="1" applyFont="1" applyBorder="1"/>
    <xf numFmtId="3" fontId="25" fillId="0" borderId="5" xfId="0" applyNumberFormat="1" applyFont="1" applyBorder="1"/>
    <xf numFmtId="3" fontId="26" fillId="0" borderId="0" xfId="1" applyNumberFormat="1" applyFont="1" applyBorder="1"/>
    <xf numFmtId="3" fontId="0" fillId="7" borderId="0" xfId="0" applyNumberFormat="1" applyFill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14" xfId="0" applyNumberFormat="1" applyBorder="1"/>
    <xf numFmtId="3" fontId="26" fillId="0" borderId="0" xfId="0" applyNumberFormat="1" applyFont="1" applyBorder="1"/>
    <xf numFmtId="3" fontId="0" fillId="0" borderId="11" xfId="0" applyNumberFormat="1" applyBorder="1"/>
    <xf numFmtId="3" fontId="0" fillId="0" borderId="18" xfId="0" applyNumberFormat="1" applyBorder="1"/>
    <xf numFmtId="3" fontId="0" fillId="12" borderId="12" xfId="0" applyNumberFormat="1" applyFill="1" applyBorder="1"/>
    <xf numFmtId="3" fontId="0" fillId="0" borderId="16" xfId="0" applyNumberFormat="1" applyBorder="1"/>
    <xf numFmtId="3" fontId="0" fillId="0" borderId="10" xfId="0" applyNumberFormat="1" applyBorder="1"/>
    <xf numFmtId="2" fontId="30" fillId="0" borderId="0" xfId="1" applyNumberFormat="1" applyFont="1"/>
    <xf numFmtId="0" fontId="0" fillId="5" borderId="4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3" fillId="5" borderId="7" xfId="0" applyFont="1" applyFill="1" applyBorder="1" applyAlignment="1">
      <alignment vertical="top"/>
    </xf>
    <xf numFmtId="0" fontId="0" fillId="5" borderId="15" xfId="0" applyFill="1" applyBorder="1" applyAlignment="1">
      <alignment vertical="top"/>
    </xf>
    <xf numFmtId="3" fontId="3" fillId="0" borderId="0" xfId="0" applyNumberFormat="1" applyFont="1" applyAlignment="1">
      <alignment horizontal="centerContinuous"/>
    </xf>
    <xf numFmtId="3" fontId="3" fillId="0" borderId="0" xfId="0" applyNumberFormat="1" applyFont="1" applyAlignment="1">
      <alignment horizontal="center"/>
    </xf>
    <xf numFmtId="3" fontId="0" fillId="0" borderId="4" xfId="0" applyNumberFormat="1" applyBorder="1"/>
    <xf numFmtId="3" fontId="0" fillId="0" borderId="7" xfId="0" applyNumberFormat="1" applyBorder="1"/>
    <xf numFmtId="3" fontId="0" fillId="0" borderId="15" xfId="0" applyNumberFormat="1" applyBorder="1"/>
    <xf numFmtId="0" fontId="3" fillId="2" borderId="9" xfId="8" applyFill="1" applyBorder="1" applyAlignment="1"/>
    <xf numFmtId="0" fontId="10" fillId="6" borderId="10" xfId="8" applyFont="1" applyFill="1" applyBorder="1" applyAlignment="1">
      <alignment horizontal="center"/>
    </xf>
    <xf numFmtId="0" fontId="10" fillId="2" borderId="4" xfId="8" applyFont="1" applyFill="1" applyBorder="1" applyAlignment="1">
      <alignment horizontal="center"/>
    </xf>
    <xf numFmtId="0" fontId="10" fillId="2" borderId="15" xfId="8" applyFont="1" applyFill="1" applyBorder="1" applyAlignment="1">
      <alignment horizontal="center"/>
    </xf>
    <xf numFmtId="0" fontId="10" fillId="2" borderId="10" xfId="8" applyFont="1" applyFill="1" applyBorder="1" applyAlignment="1">
      <alignment horizontal="center"/>
    </xf>
    <xf numFmtId="0" fontId="3" fillId="2" borderId="4" xfId="8" applyFill="1" applyBorder="1" applyAlignment="1"/>
    <xf numFmtId="218" fontId="24" fillId="0" borderId="0" xfId="9" applyNumberFormat="1" applyFont="1" applyFill="1" applyBorder="1" applyAlignment="1">
      <alignment horizontal="center"/>
    </xf>
    <xf numFmtId="10" fontId="3" fillId="0" borderId="19" xfId="6" applyNumberFormat="1" applyFill="1" applyBorder="1"/>
    <xf numFmtId="3" fontId="2" fillId="0" borderId="13" xfId="0" applyNumberFormat="1" applyFont="1" applyFill="1" applyBorder="1"/>
    <xf numFmtId="10" fontId="3" fillId="0" borderId="3" xfId="6" applyNumberFormat="1" applyFill="1" applyBorder="1"/>
    <xf numFmtId="3" fontId="0" fillId="0" borderId="9" xfId="0" applyNumberFormat="1" applyBorder="1"/>
    <xf numFmtId="10" fontId="3" fillId="0" borderId="13" xfId="6" applyNumberFormat="1" applyFill="1" applyBorder="1"/>
    <xf numFmtId="0" fontId="0" fillId="0" borderId="13" xfId="0" applyBorder="1"/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15" xfId="0" applyBorder="1"/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86" fontId="23" fillId="0" borderId="0" xfId="2" applyNumberFormat="1" applyFont="1"/>
    <xf numFmtId="186" fontId="23" fillId="0" borderId="3" xfId="2" applyNumberFormat="1" applyFont="1" applyBorder="1"/>
    <xf numFmtId="186" fontId="23" fillId="0" borderId="9" xfId="2" applyNumberFormat="1" applyFont="1" applyBorder="1"/>
    <xf numFmtId="186" fontId="23" fillId="0" borderId="16" xfId="2" applyNumberFormat="1" applyFont="1" applyBorder="1"/>
    <xf numFmtId="186" fontId="23" fillId="0" borderId="6" xfId="2" applyNumberFormat="1" applyFont="1" applyBorder="1"/>
    <xf numFmtId="186" fontId="23" fillId="0" borderId="0" xfId="2" applyNumberFormat="1" applyFont="1" applyBorder="1"/>
    <xf numFmtId="186" fontId="23" fillId="0" borderId="5" xfId="2" applyNumberFormat="1" applyFont="1" applyBorder="1"/>
    <xf numFmtId="186" fontId="23" fillId="0" borderId="13" xfId="2" applyNumberFormat="1" applyFont="1" applyBorder="1"/>
    <xf numFmtId="186" fontId="23" fillId="0" borderId="10" xfId="2" applyNumberFormat="1" applyFont="1" applyBorder="1"/>
    <xf numFmtId="186" fontId="23" fillId="0" borderId="8" xfId="2" applyNumberFormat="1" applyFont="1" applyBorder="1"/>
    <xf numFmtId="218" fontId="24" fillId="0" borderId="0" xfId="9" applyNumberFormat="1" applyFont="1" applyBorder="1" applyAlignment="1">
      <alignment horizontal="center"/>
    </xf>
    <xf numFmtId="0" fontId="3" fillId="0" borderId="0" xfId="0" quotePrefix="1" applyFont="1"/>
    <xf numFmtId="0" fontId="23" fillId="0" borderId="0" xfId="7"/>
    <xf numFmtId="218" fontId="24" fillId="0" borderId="0" xfId="6" applyNumberFormat="1" applyFont="1" applyFill="1"/>
    <xf numFmtId="218" fontId="24" fillId="0" borderId="20" xfId="6" applyNumberFormat="1" applyFont="1" applyFill="1" applyBorder="1"/>
    <xf numFmtId="186" fontId="2" fillId="0" borderId="0" xfId="1" applyNumberFormat="1" applyFont="1" applyAlignment="1"/>
    <xf numFmtId="0" fontId="21" fillId="0" borderId="0" xfId="0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222" fontId="22" fillId="0" borderId="0" xfId="4" applyNumberFormat="1" applyFont="1" applyBorder="1"/>
    <xf numFmtId="222" fontId="22" fillId="0" borderId="0" xfId="4" applyNumberFormat="1" applyFont="1"/>
    <xf numFmtId="186" fontId="22" fillId="0" borderId="0" xfId="1" applyNumberFormat="1" applyFont="1" applyBorder="1"/>
    <xf numFmtId="186" fontId="22" fillId="0" borderId="0" xfId="1" applyNumberFormat="1" applyFont="1"/>
    <xf numFmtId="186" fontId="22" fillId="0" borderId="0" xfId="1" applyNumberFormat="1" applyFont="1" applyFill="1" applyBorder="1"/>
    <xf numFmtId="222" fontId="22" fillId="0" borderId="0" xfId="4" applyNumberFormat="1" applyFont="1" applyFill="1"/>
    <xf numFmtId="186" fontId="22" fillId="0" borderId="0" xfId="0" applyNumberFormat="1" applyFont="1"/>
    <xf numFmtId="0" fontId="22" fillId="0" borderId="10" xfId="0" applyFont="1" applyBorder="1"/>
    <xf numFmtId="186" fontId="31" fillId="0" borderId="0" xfId="1" applyNumberFormat="1" applyFont="1" applyBorder="1"/>
    <xf numFmtId="222" fontId="31" fillId="0" borderId="0" xfId="4" applyNumberFormat="1" applyFont="1"/>
    <xf numFmtId="187" fontId="31" fillId="0" borderId="0" xfId="9" applyNumberFormat="1" applyFont="1"/>
    <xf numFmtId="186" fontId="31" fillId="0" borderId="0" xfId="1" applyNumberFormat="1" applyFont="1"/>
    <xf numFmtId="222" fontId="31" fillId="0" borderId="0" xfId="4" applyNumberFormat="1" applyFont="1" applyBorder="1"/>
    <xf numFmtId="0" fontId="31" fillId="0" borderId="0" xfId="0" applyFont="1"/>
    <xf numFmtId="186" fontId="31" fillId="0" borderId="0" xfId="1" applyNumberFormat="1" applyFont="1" applyFill="1" applyBorder="1"/>
    <xf numFmtId="222" fontId="31" fillId="13" borderId="0" xfId="4" applyNumberFormat="1" applyFont="1" applyFill="1" applyBorder="1"/>
    <xf numFmtId="43" fontId="32" fillId="10" borderId="0" xfId="1" applyFont="1" applyFill="1" applyAlignment="1">
      <alignment horizontal="left"/>
    </xf>
    <xf numFmtId="0" fontId="33" fillId="0" borderId="0" xfId="0" applyFont="1"/>
    <xf numFmtId="0" fontId="33" fillId="0" borderId="22" xfId="0" applyFont="1" applyBorder="1"/>
    <xf numFmtId="0" fontId="33" fillId="0" borderId="23" xfId="0" applyFont="1" applyBorder="1"/>
    <xf numFmtId="0" fontId="33" fillId="0" borderId="24" xfId="0" applyFont="1" applyBorder="1"/>
    <xf numFmtId="0" fontId="33" fillId="0" borderId="25" xfId="0" applyFont="1" applyBorder="1"/>
    <xf numFmtId="0" fontId="33" fillId="0" borderId="26" xfId="0" applyFont="1" applyBorder="1"/>
    <xf numFmtId="0" fontId="33" fillId="0" borderId="27" xfId="0" applyFont="1" applyBorder="1"/>
    <xf numFmtId="0" fontId="33" fillId="0" borderId="22" xfId="0" applyFont="1" applyBorder="1" applyAlignment="1">
      <alignment horizontal="left"/>
    </xf>
    <xf numFmtId="0" fontId="33" fillId="0" borderId="28" xfId="0" applyFont="1" applyBorder="1" applyAlignment="1">
      <alignment horizontal="left"/>
    </xf>
    <xf numFmtId="0" fontId="33" fillId="0" borderId="29" xfId="0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22" fillId="0" borderId="0" xfId="0" quotePrefix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0" fontId="22" fillId="0" borderId="0" xfId="0" applyFont="1" applyFill="1"/>
    <xf numFmtId="186" fontId="22" fillId="0" borderId="0" xfId="0" applyNumberFormat="1" applyFont="1" applyFill="1"/>
    <xf numFmtId="186" fontId="22" fillId="0" borderId="10" xfId="0" applyNumberFormat="1" applyFont="1" applyFill="1" applyBorder="1"/>
    <xf numFmtId="0" fontId="0" fillId="0" borderId="0" xfId="0" applyFill="1"/>
    <xf numFmtId="186" fontId="0" fillId="10" borderId="0" xfId="0" applyNumberFormat="1" applyFill="1"/>
    <xf numFmtId="186" fontId="33" fillId="0" borderId="28" xfId="1" applyNumberFormat="1" applyFont="1" applyBorder="1"/>
    <xf numFmtId="186" fontId="33" fillId="0" borderId="19" xfId="1" applyNumberFormat="1" applyFont="1" applyBorder="1"/>
    <xf numFmtId="186" fontId="33" fillId="0" borderId="20" xfId="1" applyNumberFormat="1" applyFont="1" applyBorder="1"/>
    <xf numFmtId="186" fontId="33" fillId="0" borderId="29" xfId="1" applyNumberFormat="1" applyFont="1" applyBorder="1"/>
    <xf numFmtId="186" fontId="33" fillId="0" borderId="1" xfId="1" applyNumberFormat="1" applyFont="1" applyBorder="1"/>
    <xf numFmtId="186" fontId="33" fillId="0" borderId="30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8" fillId="0" borderId="0" xfId="8" applyFont="1" applyBorder="1" applyAlignment="1">
      <alignment horizontal="center" vertical="top"/>
    </xf>
    <xf numFmtId="0" fontId="9" fillId="0" borderId="0" xfId="8" applyFont="1" applyBorder="1" applyAlignment="1">
      <alignment horizontal="center" vertical="top"/>
    </xf>
    <xf numFmtId="0" fontId="22" fillId="0" borderId="21" xfId="0" quotePrefix="1" applyFont="1" applyBorder="1" applyAlignment="1">
      <alignment horizontal="center"/>
    </xf>
  </cellXfs>
  <cellStyles count="11">
    <cellStyle name="Comma" xfId="1" builtinId="3"/>
    <cellStyle name="Comma 2" xfId="2"/>
    <cellStyle name="Comma0" xfId="3"/>
    <cellStyle name="Currency" xfId="4" builtinId="4"/>
    <cellStyle name="Currency 2" xfId="5"/>
    <cellStyle name="Normal" xfId="0" builtinId="0"/>
    <cellStyle name="Normal 2" xfId="6"/>
    <cellStyle name="Normal 3" xfId="7"/>
    <cellStyle name="Normal_RBOUTADJ" xfId="8"/>
    <cellStyle name="Percent" xfId="9" builtinId="5"/>
    <cellStyle name="Percent 2" xfId="1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D14"/>
  <sheetViews>
    <sheetView workbookViewId="0">
      <selection activeCell="D14" sqref="D14"/>
    </sheetView>
  </sheetViews>
  <sheetFormatPr defaultRowHeight="13.2" x14ac:dyDescent="0.25"/>
  <cols>
    <col min="2" max="2" width="4.5546875" customWidth="1"/>
  </cols>
  <sheetData>
    <row r="3" spans="1:4" x14ac:dyDescent="0.25">
      <c r="A3" s="28" t="s">
        <v>114</v>
      </c>
      <c r="B3" s="27" t="s">
        <v>113</v>
      </c>
    </row>
    <row r="4" spans="1:4" x14ac:dyDescent="0.25">
      <c r="B4" s="27"/>
      <c r="C4" s="27" t="s">
        <v>115</v>
      </c>
      <c r="D4" s="27"/>
    </row>
    <row r="6" spans="1:4" x14ac:dyDescent="0.25">
      <c r="A6" s="28" t="s">
        <v>116</v>
      </c>
      <c r="B6" s="27" t="s">
        <v>117</v>
      </c>
    </row>
    <row r="7" spans="1:4" x14ac:dyDescent="0.25">
      <c r="C7" s="196" t="s">
        <v>118</v>
      </c>
    </row>
    <row r="8" spans="1:4" x14ac:dyDescent="0.25">
      <c r="D8" t="s">
        <v>119</v>
      </c>
    </row>
    <row r="9" spans="1:4" x14ac:dyDescent="0.25">
      <c r="C9" s="196" t="s">
        <v>120</v>
      </c>
    </row>
    <row r="10" spans="1:4" x14ac:dyDescent="0.25">
      <c r="D10" s="27" t="s">
        <v>121</v>
      </c>
    </row>
    <row r="11" spans="1:4" x14ac:dyDescent="0.25">
      <c r="C11" s="196" t="s">
        <v>128</v>
      </c>
      <c r="D11" s="27"/>
    </row>
    <row r="12" spans="1:4" x14ac:dyDescent="0.25">
      <c r="D12" t="s">
        <v>125</v>
      </c>
    </row>
    <row r="13" spans="1:4" x14ac:dyDescent="0.25">
      <c r="C13" s="196" t="s">
        <v>122</v>
      </c>
    </row>
    <row r="14" spans="1:4" x14ac:dyDescent="0.25">
      <c r="D14" s="27" t="s">
        <v>123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BT102"/>
  <sheetViews>
    <sheetView tabSelected="1" zoomScale="80" zoomScaleNormal="80" workbookViewId="0">
      <selection activeCell="G60" sqref="G60"/>
    </sheetView>
  </sheetViews>
  <sheetFormatPr defaultRowHeight="13.2" x14ac:dyDescent="0.25"/>
  <cols>
    <col min="1" max="1" width="22.21875" customWidth="1"/>
    <col min="2" max="2" width="16.109375" customWidth="1"/>
    <col min="3" max="3" width="19.88671875" bestFit="1" customWidth="1"/>
    <col min="4" max="4" width="15.6640625" customWidth="1"/>
    <col min="5" max="5" width="15.44140625" customWidth="1"/>
    <col min="6" max="6" width="14.6640625" bestFit="1" customWidth="1"/>
    <col min="7" max="7" width="15.88671875" bestFit="1" customWidth="1"/>
    <col min="8" max="8" width="18" bestFit="1" customWidth="1"/>
    <col min="9" max="9" width="12.109375" bestFit="1" customWidth="1"/>
    <col min="10" max="10" width="16" customWidth="1"/>
    <col min="11" max="11" width="16.109375" customWidth="1"/>
    <col min="12" max="12" width="15" bestFit="1" customWidth="1"/>
    <col min="13" max="15" width="12" bestFit="1" customWidth="1"/>
    <col min="16" max="16" width="12.6640625" bestFit="1" customWidth="1"/>
    <col min="17" max="17" width="13.21875" bestFit="1" customWidth="1"/>
    <col min="18" max="18" width="13.6640625" bestFit="1" customWidth="1"/>
    <col min="19" max="19" width="22.5546875" bestFit="1" customWidth="1"/>
    <col min="20" max="20" width="14.44140625" bestFit="1" customWidth="1"/>
    <col min="21" max="22" width="14" bestFit="1" customWidth="1"/>
    <col min="23" max="23" width="13.5546875" bestFit="1" customWidth="1"/>
    <col min="24" max="24" width="13.44140625" bestFit="1" customWidth="1"/>
    <col min="25" max="25" width="15.5546875" customWidth="1"/>
    <col min="26" max="26" width="22.5546875" customWidth="1"/>
    <col min="27" max="27" width="15.21875" customWidth="1"/>
    <col min="28" max="29" width="11.6640625" customWidth="1"/>
    <col min="30" max="30" width="17.6640625" bestFit="1" customWidth="1"/>
    <col min="31" max="31" width="15.44140625" customWidth="1"/>
    <col min="32" max="32" width="16" customWidth="1"/>
    <col min="33" max="33" width="14.5546875" bestFit="1" customWidth="1"/>
    <col min="34" max="34" width="10.44140625" bestFit="1" customWidth="1"/>
    <col min="35" max="35" width="13.44140625" bestFit="1" customWidth="1"/>
    <col min="36" max="36" width="13.21875" bestFit="1" customWidth="1"/>
    <col min="37" max="37" width="12.109375" bestFit="1" customWidth="1"/>
    <col min="38" max="38" width="14.6640625" bestFit="1" customWidth="1"/>
    <col min="39" max="39" width="14" customWidth="1"/>
    <col min="40" max="40" width="12.109375" bestFit="1" customWidth="1"/>
    <col min="41" max="41" width="16.109375" style="2" customWidth="1"/>
    <col min="42" max="42" width="13.5546875" customWidth="1"/>
    <col min="44" max="44" width="14.109375" bestFit="1" customWidth="1"/>
    <col min="45" max="45" width="13.21875" customWidth="1"/>
    <col min="46" max="46" width="11.21875" bestFit="1" customWidth="1"/>
    <col min="47" max="47" width="14" customWidth="1"/>
    <col min="48" max="49" width="12.6640625" bestFit="1" customWidth="1"/>
    <col min="56" max="56" width="7.109375" bestFit="1" customWidth="1"/>
    <col min="57" max="57" width="8.44140625" bestFit="1" customWidth="1"/>
    <col min="58" max="58" width="14.5546875" bestFit="1" customWidth="1"/>
    <col min="59" max="59" width="11.6640625" bestFit="1" customWidth="1"/>
    <col min="62" max="62" width="10.21875" bestFit="1" customWidth="1"/>
    <col min="63" max="63" width="13.21875" bestFit="1" customWidth="1"/>
    <col min="64" max="64" width="10.6640625" bestFit="1" customWidth="1"/>
    <col min="67" max="67" width="11.6640625" bestFit="1" customWidth="1"/>
    <col min="69" max="69" width="11.6640625" bestFit="1" customWidth="1"/>
  </cols>
  <sheetData>
    <row r="1" spans="1:72" x14ac:dyDescent="0.25">
      <c r="A1" s="137" t="s">
        <v>129</v>
      </c>
      <c r="C1" s="15" t="s">
        <v>24</v>
      </c>
      <c r="D1" s="14" t="s">
        <v>25</v>
      </c>
      <c r="E1" s="73" t="s">
        <v>39</v>
      </c>
      <c r="F1" s="73" t="s">
        <v>40</v>
      </c>
      <c r="G1" s="73" t="s">
        <v>81</v>
      </c>
      <c r="H1" s="73" t="s">
        <v>55</v>
      </c>
      <c r="I1" s="74" t="s">
        <v>82</v>
      </c>
      <c r="J1" s="32" t="s">
        <v>6</v>
      </c>
      <c r="K1" s="73" t="s">
        <v>7</v>
      </c>
      <c r="L1" s="73" t="s">
        <v>40</v>
      </c>
      <c r="M1" s="73" t="s">
        <v>41</v>
      </c>
      <c r="N1" s="73" t="s">
        <v>42</v>
      </c>
      <c r="O1" s="73" t="s">
        <v>43</v>
      </c>
      <c r="P1" s="73" t="s">
        <v>56</v>
      </c>
      <c r="Q1" s="74" t="s">
        <v>83</v>
      </c>
      <c r="R1" s="32" t="s">
        <v>108</v>
      </c>
      <c r="S1" s="33" t="s">
        <v>41</v>
      </c>
      <c r="T1" s="33" t="s">
        <v>42</v>
      </c>
      <c r="U1" s="33" t="s">
        <v>43</v>
      </c>
      <c r="V1" s="33" t="s">
        <v>49</v>
      </c>
      <c r="W1" s="77" t="s">
        <v>83</v>
      </c>
      <c r="X1" s="15" t="s">
        <v>58</v>
      </c>
      <c r="Y1" s="250" t="s">
        <v>86</v>
      </c>
      <c r="Z1" s="251"/>
      <c r="AA1" s="251"/>
      <c r="AB1" s="252"/>
    </row>
    <row r="2" spans="1:72" ht="16.2" thickBot="1" x14ac:dyDescent="0.35">
      <c r="A2" s="37">
        <v>2025</v>
      </c>
      <c r="C2" s="19"/>
      <c r="D2" s="65"/>
      <c r="E2" s="183" t="s">
        <v>44</v>
      </c>
      <c r="F2" s="183" t="s">
        <v>45</v>
      </c>
      <c r="G2" s="183" t="s">
        <v>46</v>
      </c>
      <c r="H2" s="183" t="s">
        <v>57</v>
      </c>
      <c r="I2" s="184" t="s">
        <v>52</v>
      </c>
      <c r="J2" s="65"/>
      <c r="K2" s="183" t="s">
        <v>44</v>
      </c>
      <c r="L2" s="183" t="s">
        <v>50</v>
      </c>
      <c r="M2" s="183" t="s">
        <v>51</v>
      </c>
      <c r="N2" s="183" t="s">
        <v>47</v>
      </c>
      <c r="O2" s="183" t="s">
        <v>48</v>
      </c>
      <c r="P2" s="183" t="s">
        <v>53</v>
      </c>
      <c r="Q2" s="184" t="s">
        <v>54</v>
      </c>
      <c r="R2" s="179"/>
      <c r="S2" s="180" t="s">
        <v>51</v>
      </c>
      <c r="T2" s="180" t="s">
        <v>47</v>
      </c>
      <c r="U2" s="180" t="s">
        <v>48</v>
      </c>
      <c r="V2" s="180" t="s">
        <v>53</v>
      </c>
      <c r="W2" s="181" t="s">
        <v>87</v>
      </c>
      <c r="X2" s="182"/>
      <c r="Y2" s="78" t="s">
        <v>26</v>
      </c>
      <c r="Z2" s="79" t="s">
        <v>84</v>
      </c>
      <c r="AA2" s="79" t="s">
        <v>85</v>
      </c>
      <c r="AB2" s="36" t="s">
        <v>15</v>
      </c>
    </row>
    <row r="3" spans="1:72" x14ac:dyDescent="0.25">
      <c r="A3" s="136" t="s">
        <v>63</v>
      </c>
      <c r="C3" s="75">
        <v>1</v>
      </c>
      <c r="D3" s="105">
        <f>+E3+F3+G3+H3+I3</f>
        <v>1</v>
      </c>
      <c r="E3" s="195">
        <v>0.99950593145615374</v>
      </c>
      <c r="F3" s="195">
        <v>0</v>
      </c>
      <c r="G3" s="195">
        <v>1.61178011105481E-4</v>
      </c>
      <c r="H3" s="195">
        <v>3.3289053274073203E-4</v>
      </c>
      <c r="I3" s="195">
        <v>0</v>
      </c>
      <c r="J3" s="89">
        <f>SUM(K3:Q3)</f>
        <v>1</v>
      </c>
      <c r="K3" s="173">
        <v>0.95851985886698388</v>
      </c>
      <c r="L3" s="173">
        <v>0</v>
      </c>
      <c r="M3" s="173">
        <v>2.9490183485634622E-2</v>
      </c>
      <c r="N3" s="173">
        <v>1.1765106562249486E-2</v>
      </c>
      <c r="O3" s="173">
        <v>8.2873419130703479E-6</v>
      </c>
      <c r="P3" s="173">
        <v>7.3606880130504528E-5</v>
      </c>
      <c r="Q3" s="173">
        <v>1.4295686308853794E-4</v>
      </c>
      <c r="R3" s="125">
        <f>SUM(S3:W3)</f>
        <v>1</v>
      </c>
      <c r="S3" s="198">
        <v>0</v>
      </c>
      <c r="T3" s="198">
        <v>0.57283011405246231</v>
      </c>
      <c r="U3" s="198">
        <v>0</v>
      </c>
      <c r="V3" s="198">
        <v>0</v>
      </c>
      <c r="W3" s="199">
        <v>0.42716988594753774</v>
      </c>
      <c r="X3" s="174">
        <v>1</v>
      </c>
      <c r="Y3" s="176"/>
      <c r="Z3" s="177"/>
      <c r="AA3" s="177"/>
      <c r="AB3" s="155"/>
      <c r="AD3" s="3" t="s">
        <v>25</v>
      </c>
      <c r="AE3" s="3" t="s">
        <v>6</v>
      </c>
      <c r="AF3" s="3" t="s">
        <v>108</v>
      </c>
    </row>
    <row r="4" spans="1:72" ht="13.8" thickBot="1" x14ac:dyDescent="0.3">
      <c r="A4" s="27" t="s">
        <v>64</v>
      </c>
      <c r="C4" s="72">
        <f>+'RateClass Forecast'!Q6</f>
        <v>10290068.453940002</v>
      </c>
      <c r="D4" s="80">
        <f>+'RateClass Forecast'!Q7</f>
        <v>950935.90074000007</v>
      </c>
      <c r="E4" s="90">
        <f>+D4-I4-H4-G4-F4</f>
        <v>950466.07322423032</v>
      </c>
      <c r="F4" s="90">
        <f>+F3*D4</f>
        <v>0</v>
      </c>
      <c r="G4" s="90">
        <f>+G3*D4</f>
        <v>153.2699571700723</v>
      </c>
      <c r="H4" s="91">
        <f>+H3*D4</f>
        <v>316.55755859962647</v>
      </c>
      <c r="I4" s="91">
        <f>+I3*D4</f>
        <v>0</v>
      </c>
      <c r="J4" s="76">
        <f>+'RateClass Forecast'!Q8</f>
        <v>7092236.6712300004</v>
      </c>
      <c r="K4" s="90">
        <f>+K3*J4</f>
        <v>6798049.6931586275</v>
      </c>
      <c r="L4" s="90">
        <f>+L3*J4</f>
        <v>0</v>
      </c>
      <c r="M4" s="90">
        <f>+M3*J4</f>
        <v>209151.36075811923</v>
      </c>
      <c r="N4" s="90">
        <f>+N3*J4</f>
        <v>83440.920201714529</v>
      </c>
      <c r="O4" s="90">
        <f>+O3*J4</f>
        <v>58.775790222898905</v>
      </c>
      <c r="P4" s="90">
        <f>+P3*J4</f>
        <v>522.03741451639507</v>
      </c>
      <c r="Q4" s="92">
        <f>+Q3*J4</f>
        <v>1013.8839068005352</v>
      </c>
      <c r="R4" s="76">
        <f>+'RateClass Forecast'!Q9</f>
        <v>2025114.3365900002</v>
      </c>
      <c r="S4" s="90">
        <f>+$R4*S3</f>
        <v>0</v>
      </c>
      <c r="T4" s="90">
        <f>+$R4*T3</f>
        <v>1160046.4763981265</v>
      </c>
      <c r="U4" s="90">
        <f>+$R4*U3</f>
        <v>0</v>
      </c>
      <c r="V4" s="90">
        <f>+$R4*V3</f>
        <v>0</v>
      </c>
      <c r="W4" s="90">
        <f>+$R4*W3</f>
        <v>865067.86019187397</v>
      </c>
      <c r="X4" s="175">
        <f>+'RateClass Forecast'!Q10</f>
        <v>107727.52524999999</v>
      </c>
      <c r="Y4" s="178"/>
      <c r="Z4" s="156"/>
      <c r="AA4" s="156"/>
      <c r="AB4" s="22"/>
      <c r="AC4" s="157"/>
      <c r="AD4" s="94">
        <f>+D4-E4-F4-G4-H4-I4</f>
        <v>5.1102233555866405E-11</v>
      </c>
      <c r="AE4" s="94">
        <f>+J4-K4-L4-M4-N4-O4-P4-Q4</f>
        <v>-6.3573679653927684E-10</v>
      </c>
      <c r="AF4" s="94">
        <f>+R4-S4-T4-U4-V4-W4</f>
        <v>0</v>
      </c>
    </row>
    <row r="5" spans="1:72" x14ac:dyDescent="0.25">
      <c r="C5" s="67"/>
      <c r="D5" s="104"/>
      <c r="E5" s="104"/>
      <c r="F5" s="104"/>
      <c r="G5" s="104"/>
      <c r="J5" s="67"/>
      <c r="K5" s="67" t="s">
        <v>30</v>
      </c>
      <c r="L5" s="70"/>
      <c r="M5" s="70"/>
      <c r="N5" s="70"/>
      <c r="O5" s="8"/>
      <c r="P5" s="71"/>
      <c r="R5" s="66"/>
      <c r="X5" s="70"/>
      <c r="Y5" s="70"/>
      <c r="Z5" s="28"/>
      <c r="AA5" s="28"/>
      <c r="AB5" s="28"/>
      <c r="AC5" s="8"/>
      <c r="AD5" s="93"/>
      <c r="AE5" s="8"/>
      <c r="AF5" s="8"/>
      <c r="AG5" s="8"/>
      <c r="AH5" s="8"/>
      <c r="AI5" s="8"/>
      <c r="AJ5" s="8"/>
      <c r="AK5" s="8"/>
    </row>
    <row r="6" spans="1:72" ht="18" thickBot="1" x14ac:dyDescent="0.35">
      <c r="A6" s="11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R6" s="23"/>
      <c r="S6" s="112"/>
      <c r="T6" s="23"/>
      <c r="U6" s="108"/>
      <c r="V6" s="23"/>
      <c r="W6" s="108"/>
      <c r="X6" s="1"/>
      <c r="Y6" s="1"/>
      <c r="Z6" s="1"/>
      <c r="AA6" s="1"/>
      <c r="AB6" s="1"/>
      <c r="AC6" s="1"/>
      <c r="AD6" s="1"/>
      <c r="AE6" s="1"/>
    </row>
    <row r="7" spans="1:72" ht="13.8" thickBot="1" x14ac:dyDescent="0.3">
      <c r="H7" s="101"/>
      <c r="I7" s="1"/>
      <c r="J7" s="48" t="s">
        <v>60</v>
      </c>
      <c r="K7" s="49"/>
      <c r="S7" s="24"/>
      <c r="T7" s="24"/>
      <c r="U7" s="109"/>
      <c r="V7" s="24"/>
      <c r="W7" s="109"/>
      <c r="Z7" s="1"/>
      <c r="AA7" s="1"/>
      <c r="AB7" s="1"/>
      <c r="AC7" s="1"/>
      <c r="AD7" s="1"/>
      <c r="AE7" s="1"/>
      <c r="AF7" s="1"/>
      <c r="AH7" s="1"/>
      <c r="AJ7" s="1"/>
      <c r="AM7" s="1"/>
      <c r="AP7" s="1"/>
      <c r="AR7" s="1"/>
    </row>
    <row r="8" spans="1:72" ht="13.8" thickBot="1" x14ac:dyDescent="0.3">
      <c r="A8" s="120" t="str">
        <f>CONCATENATE("                                                 ",$A$2," ","BILLING YEAR ENERGY EXPANSION - PROJECTED")</f>
        <v xml:space="preserve">                                                 2025 BILLING YEAR ENERGY EXPANSION - PROJECTED</v>
      </c>
      <c r="B8" s="121"/>
      <c r="C8" s="121"/>
      <c r="D8" s="121"/>
      <c r="E8" s="121"/>
      <c r="F8" s="121"/>
      <c r="G8" s="122"/>
      <c r="H8" s="103"/>
      <c r="I8" s="1"/>
      <c r="J8" s="52" t="s">
        <v>97</v>
      </c>
      <c r="K8" s="45"/>
      <c r="N8" s="9"/>
      <c r="Z8" s="1"/>
      <c r="AA8" s="1"/>
      <c r="AB8" s="1"/>
      <c r="AC8" s="1"/>
      <c r="AE8" s="1"/>
      <c r="AF8" s="1"/>
      <c r="AG8" s="1"/>
      <c r="AH8" s="1"/>
      <c r="AJ8" s="1"/>
      <c r="AK8" s="1"/>
      <c r="AM8" s="1"/>
      <c r="AN8" s="1"/>
      <c r="AP8" s="1"/>
      <c r="AR8" s="1"/>
    </row>
    <row r="9" spans="1:72" x14ac:dyDescent="0.25">
      <c r="A9" s="114"/>
      <c r="B9" s="115"/>
      <c r="C9" s="115"/>
      <c r="D9" s="115"/>
      <c r="E9" s="115"/>
      <c r="F9" s="115"/>
      <c r="G9" s="116"/>
      <c r="H9" s="102"/>
      <c r="I9" s="35"/>
      <c r="J9" s="46" t="s">
        <v>59</v>
      </c>
      <c r="K9" s="47"/>
      <c r="N9" s="28" t="s">
        <v>111</v>
      </c>
      <c r="O9" s="163" t="s">
        <v>112</v>
      </c>
      <c r="P9" s="1"/>
      <c r="Q9" s="1"/>
      <c r="R9" s="23"/>
      <c r="S9" s="111"/>
      <c r="T9" s="111"/>
      <c r="U9" s="111"/>
      <c r="V9" s="111"/>
      <c r="W9" s="111"/>
      <c r="Y9" s="1"/>
      <c r="Z9" s="1"/>
      <c r="AA9" s="1"/>
      <c r="AB9" s="1"/>
      <c r="AC9" s="1"/>
      <c r="AD9" s="1"/>
      <c r="AE9" s="1"/>
      <c r="AF9" s="1"/>
      <c r="AG9" s="1"/>
      <c r="AH9" s="1"/>
      <c r="AJ9" s="1"/>
      <c r="AM9" s="1"/>
      <c r="AN9" s="1"/>
      <c r="AP9" s="1"/>
      <c r="AR9" s="1"/>
    </row>
    <row r="10" spans="1:72" x14ac:dyDescent="0.25">
      <c r="A10" s="117"/>
      <c r="B10" s="118"/>
      <c r="C10" s="118"/>
      <c r="D10" s="118" t="s">
        <v>65</v>
      </c>
      <c r="E10" s="118"/>
      <c r="F10" s="118"/>
      <c r="G10" s="119"/>
      <c r="J10" s="50" t="s">
        <v>62</v>
      </c>
      <c r="K10" s="18"/>
      <c r="M10" s="27" t="s">
        <v>24</v>
      </c>
      <c r="N10" s="103">
        <f>+C19</f>
        <v>10290068.453940002</v>
      </c>
      <c r="O10" s="162">
        <f>+G19</f>
        <v>10856246.44346484</v>
      </c>
      <c r="P10" s="1"/>
      <c r="Q10" s="1"/>
      <c r="Z10" s="1"/>
      <c r="AA10" s="1"/>
      <c r="AB10" s="1"/>
      <c r="AC10" s="1"/>
      <c r="AD10" s="1"/>
      <c r="AE10" s="1"/>
      <c r="AF10" s="1"/>
      <c r="AG10" s="1"/>
      <c r="AH10" s="1"/>
      <c r="AJ10" s="1"/>
      <c r="AM10" s="1"/>
      <c r="AP10" s="1"/>
      <c r="AR10" s="1"/>
    </row>
    <row r="11" spans="1:72" ht="13.8" thickBot="1" x14ac:dyDescent="0.3">
      <c r="A11" s="53"/>
      <c r="B11" s="54"/>
      <c r="C11" s="54"/>
      <c r="D11" s="54"/>
      <c r="E11" s="54"/>
      <c r="F11" s="54"/>
      <c r="G11" s="55"/>
      <c r="J11" s="51" t="s">
        <v>61</v>
      </c>
      <c r="K11" s="31"/>
      <c r="M11" s="27" t="s">
        <v>25</v>
      </c>
      <c r="N11" s="103">
        <f>+C27</f>
        <v>950935.90074000007</v>
      </c>
      <c r="O11" s="103">
        <f>+G27</f>
        <v>1003244.2579626911</v>
      </c>
      <c r="P11" s="1"/>
      <c r="Q11" s="1"/>
      <c r="AH11" s="1"/>
    </row>
    <row r="12" spans="1:72" x14ac:dyDescent="0.25">
      <c r="A12" s="20"/>
      <c r="B12" s="6"/>
      <c r="C12" s="4" t="s">
        <v>16</v>
      </c>
      <c r="D12" s="4" t="s">
        <v>18</v>
      </c>
      <c r="E12" s="4" t="s">
        <v>20</v>
      </c>
      <c r="F12" s="4" t="s">
        <v>21</v>
      </c>
      <c r="G12" s="16" t="s">
        <v>23</v>
      </c>
      <c r="M12" s="27" t="s">
        <v>6</v>
      </c>
      <c r="N12" s="103">
        <f>+C37</f>
        <v>7092236.6712300004</v>
      </c>
      <c r="O12" s="103">
        <f>+G37</f>
        <v>7473780.0489070648</v>
      </c>
      <c r="P12" s="1"/>
      <c r="AH12" s="1"/>
      <c r="BA12" s="1"/>
      <c r="BB12" s="1"/>
      <c r="BC12" s="1"/>
      <c r="BD12" s="1"/>
      <c r="BE12" s="1"/>
      <c r="BF12" s="1"/>
      <c r="BH12" s="1"/>
      <c r="BI12" s="1"/>
      <c r="BJ12" s="1"/>
      <c r="BL12" s="1"/>
      <c r="BO12" s="1"/>
      <c r="BQ12" s="1"/>
    </row>
    <row r="13" spans="1:72" x14ac:dyDescent="0.25">
      <c r="A13" s="17" t="s">
        <v>0</v>
      </c>
      <c r="B13" s="6"/>
      <c r="C13" s="4" t="s">
        <v>17</v>
      </c>
      <c r="D13" s="4" t="s">
        <v>19</v>
      </c>
      <c r="E13" s="4" t="s">
        <v>19</v>
      </c>
      <c r="F13" s="4" t="s">
        <v>19</v>
      </c>
      <c r="G13" s="16" t="s">
        <v>22</v>
      </c>
      <c r="M13" s="27" t="s">
        <v>108</v>
      </c>
      <c r="N13" s="103">
        <f>+C45</f>
        <v>2025114.3365900004</v>
      </c>
      <c r="O13" s="103">
        <f>+G45</f>
        <v>2066175.8561023453</v>
      </c>
      <c r="AE13" s="1"/>
      <c r="AH13" s="1"/>
    </row>
    <row r="14" spans="1:72" x14ac:dyDescent="0.25">
      <c r="A14" s="17"/>
      <c r="B14" s="6"/>
      <c r="C14" s="123" t="s">
        <v>106</v>
      </c>
      <c r="D14" s="123"/>
      <c r="E14" s="123"/>
      <c r="F14" s="123"/>
      <c r="G14" s="124"/>
      <c r="M14" s="27" t="s">
        <v>58</v>
      </c>
      <c r="N14" s="103">
        <f>+C48</f>
        <v>107727.52524999999</v>
      </c>
      <c r="O14" s="103">
        <f>+G48</f>
        <v>113654.88656305107</v>
      </c>
      <c r="P14" s="106"/>
      <c r="Q14" s="1"/>
      <c r="R14" s="107"/>
      <c r="U14" s="23"/>
      <c r="AE14" s="1"/>
      <c r="AH14" s="1"/>
      <c r="AK14" s="1"/>
    </row>
    <row r="15" spans="1:72" x14ac:dyDescent="0.25">
      <c r="A15" s="17" t="s">
        <v>1</v>
      </c>
      <c r="B15" s="6"/>
      <c r="C15" s="6"/>
      <c r="D15" s="6"/>
      <c r="E15" s="56">
        <f>(D51+D66+D68+D74)/(D51+D66+D68)</f>
        <v>1.0287202946541993</v>
      </c>
      <c r="F15" s="56">
        <f>(E51+E52+E53+E54+E55+E66+E68+E74)/(E51+E52+E53+E54+E55+E66+E68)</f>
        <v>1.0122251500748456</v>
      </c>
      <c r="G15" s="57">
        <f>(F58+F66+F68+F74)/(F58+F66+F68)</f>
        <v>1.0131809095909396</v>
      </c>
      <c r="M15" s="27" t="s">
        <v>10</v>
      </c>
      <c r="N15" s="103">
        <f>+C58</f>
        <v>20466082.88775</v>
      </c>
      <c r="O15" s="103">
        <f>+G58</f>
        <v>21513101.49299999</v>
      </c>
      <c r="R15" s="107"/>
      <c r="U15" s="23"/>
      <c r="AE15" s="1"/>
      <c r="AH15" s="1"/>
      <c r="BA15" s="1"/>
      <c r="BB15" s="1"/>
      <c r="BC15" s="1"/>
      <c r="BD15" s="1"/>
      <c r="BE15" s="1"/>
      <c r="BF15" s="1"/>
      <c r="BH15" s="1"/>
      <c r="BI15" s="1"/>
      <c r="BJ15" s="1"/>
      <c r="BL15" s="1"/>
      <c r="BO15" s="1"/>
      <c r="BQ15" s="1"/>
      <c r="BT15" s="1"/>
    </row>
    <row r="16" spans="1:72" x14ac:dyDescent="0.25">
      <c r="A16" s="17" t="s">
        <v>2</v>
      </c>
      <c r="B16" s="6"/>
      <c r="C16" s="6"/>
      <c r="D16" s="87">
        <f>(E51+E53-(C80*E74))/(E51+E53)</f>
        <v>0.99512551985716857</v>
      </c>
      <c r="E16" s="87">
        <f>(F51+F52+F53+F54+F56+F66+F68-(E80*E74))/(F51+F52+F53+F54+F56+F66+F68)</f>
        <v>0.99883952413080113</v>
      </c>
      <c r="F16" s="6"/>
      <c r="G16" s="18"/>
      <c r="N16" s="27"/>
      <c r="O16" s="27"/>
      <c r="P16" s="10"/>
      <c r="Q16" s="1"/>
      <c r="R16" s="107"/>
      <c r="U16" s="23"/>
      <c r="AH16" s="1"/>
    </row>
    <row r="17" spans="1:45" x14ac:dyDescent="0.25">
      <c r="A17" s="17"/>
      <c r="B17" s="6"/>
      <c r="C17" s="6"/>
      <c r="D17" s="6" t="s">
        <v>96</v>
      </c>
      <c r="E17" s="6"/>
      <c r="F17" s="6"/>
      <c r="G17" s="18"/>
      <c r="I17" s="5" t="s">
        <v>31</v>
      </c>
      <c r="J17" s="5" t="s">
        <v>31</v>
      </c>
      <c r="L17" s="5"/>
      <c r="M17" s="27" t="s">
        <v>109</v>
      </c>
      <c r="N17" s="103">
        <f>+C41</f>
        <v>1160046.4763981265</v>
      </c>
      <c r="O17" s="103">
        <f>+G41</f>
        <v>1189705.6146552546</v>
      </c>
      <c r="AH17" s="1"/>
    </row>
    <row r="18" spans="1:45" x14ac:dyDescent="0.25">
      <c r="A18" s="17" t="s">
        <v>3</v>
      </c>
      <c r="B18" s="6"/>
      <c r="C18" s="7"/>
      <c r="D18" s="7"/>
      <c r="E18" s="7"/>
      <c r="F18" s="7"/>
      <c r="G18" s="21"/>
      <c r="H18" s="1"/>
      <c r="M18" s="27" t="s">
        <v>110</v>
      </c>
      <c r="N18" s="103">
        <f>+C44</f>
        <v>865067.86019187397</v>
      </c>
      <c r="O18" s="103">
        <f>+G44</f>
        <v>876470.24144709064</v>
      </c>
      <c r="AH18" s="1"/>
    </row>
    <row r="19" spans="1:45" x14ac:dyDescent="0.25">
      <c r="A19" s="17" t="s">
        <v>4</v>
      </c>
      <c r="B19" s="58"/>
      <c r="C19" s="138">
        <f>+C4</f>
        <v>10290068.453940002</v>
      </c>
      <c r="D19" s="139">
        <f>C19</f>
        <v>10290068.453940002</v>
      </c>
      <c r="E19" s="140">
        <f>+D19*E15</f>
        <v>10585602.25194904</v>
      </c>
      <c r="F19" s="140">
        <f>+E19*F15</f>
        <v>10715012.82811174</v>
      </c>
      <c r="G19" s="141">
        <f>+F19*G15</f>
        <v>10856246.44346484</v>
      </c>
      <c r="H19" s="1"/>
      <c r="I19" s="25">
        <f>G19/C19-1</f>
        <v>5.5021790385471281E-2</v>
      </c>
      <c r="J19" s="24">
        <f>+(G19-C19)/G19</f>
        <v>5.2152278641911368E-2</v>
      </c>
      <c r="L19" s="24"/>
      <c r="N19" s="8"/>
      <c r="AH19" s="1"/>
    </row>
    <row r="20" spans="1:45" x14ac:dyDescent="0.25">
      <c r="A20" s="17"/>
      <c r="B20" s="6"/>
      <c r="C20" s="7"/>
      <c r="D20" s="7"/>
      <c r="E20" s="7"/>
      <c r="F20" s="7"/>
      <c r="G20" s="21"/>
      <c r="H20" s="1"/>
      <c r="I20" s="25"/>
      <c r="J20" s="24"/>
      <c r="L20" s="24"/>
      <c r="N20" s="8"/>
    </row>
    <row r="21" spans="1:45" x14ac:dyDescent="0.25">
      <c r="A21" s="17" t="s">
        <v>5</v>
      </c>
      <c r="B21" s="6"/>
      <c r="C21" s="7"/>
      <c r="D21" s="7"/>
      <c r="E21" s="7"/>
      <c r="F21" s="7"/>
      <c r="G21" s="21"/>
      <c r="H21" s="1"/>
      <c r="I21" s="25"/>
      <c r="J21" s="24"/>
      <c r="L21" s="24"/>
      <c r="N21" s="8"/>
    </row>
    <row r="22" spans="1:45" x14ac:dyDescent="0.25">
      <c r="A22" s="38" t="s">
        <v>32</v>
      </c>
      <c r="B22" s="58"/>
      <c r="C22" s="142">
        <f>+E4</f>
        <v>950466.07322423032</v>
      </c>
      <c r="D22" s="143">
        <f>C22</f>
        <v>950466.07322423032</v>
      </c>
      <c r="E22" s="144">
        <f>+D22*E15</f>
        <v>977763.73890604998</v>
      </c>
      <c r="F22" s="144">
        <f>+E22*F15</f>
        <v>989717.04735191853</v>
      </c>
      <c r="G22" s="145">
        <f>+F22*G15</f>
        <v>1002762.418273676</v>
      </c>
      <c r="H22" s="1"/>
      <c r="I22" s="25">
        <f>G22/C22-1</f>
        <v>5.5021790385471281E-2</v>
      </c>
      <c r="J22" s="24">
        <f>+(G22-C22)/G22</f>
        <v>5.2152278641911375E-2</v>
      </c>
      <c r="L22" s="24"/>
      <c r="N22" s="29"/>
    </row>
    <row r="23" spans="1:45" x14ac:dyDescent="0.25">
      <c r="A23" s="38" t="s">
        <v>33</v>
      </c>
      <c r="B23" s="58"/>
      <c r="C23" s="142">
        <f>+F4</f>
        <v>0</v>
      </c>
      <c r="D23" s="143">
        <f>+C23</f>
        <v>0</v>
      </c>
      <c r="E23" s="144">
        <f>+D23*E15</f>
        <v>0</v>
      </c>
      <c r="F23" s="144">
        <f>+E23*F15</f>
        <v>0</v>
      </c>
      <c r="G23" s="145">
        <f>+F23*G15</f>
        <v>0</v>
      </c>
      <c r="H23" s="1"/>
      <c r="I23" s="25"/>
      <c r="J23" s="24"/>
      <c r="L23" s="24"/>
      <c r="N23" s="30"/>
    </row>
    <row r="24" spans="1:45" x14ac:dyDescent="0.25">
      <c r="A24" s="38" t="s">
        <v>34</v>
      </c>
      <c r="B24" s="41"/>
      <c r="C24" s="142">
        <f>+G4</f>
        <v>153.2699571700723</v>
      </c>
      <c r="D24" s="146">
        <f>+E24*D16</f>
        <v>152.52284580735417</v>
      </c>
      <c r="E24" s="143">
        <f>+C24</f>
        <v>153.2699571700723</v>
      </c>
      <c r="F24" s="144">
        <f>+E24*F15</f>
        <v>155.1437053984416</v>
      </c>
      <c r="G24" s="145">
        <f>+F24*G15</f>
        <v>157.18864055290183</v>
      </c>
      <c r="H24" s="1"/>
      <c r="I24" s="25">
        <f>G24/C24-1</f>
        <v>2.5567198263657387E-2</v>
      </c>
      <c r="J24" s="24">
        <f>+(G24-C24)/G24</f>
        <v>2.4929812797195704E-2</v>
      </c>
      <c r="L24" s="24"/>
      <c r="N24" s="30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25">
      <c r="A25" s="38" t="s">
        <v>35</v>
      </c>
      <c r="B25" s="41"/>
      <c r="C25" s="142">
        <f>+H4</f>
        <v>316.55755859962647</v>
      </c>
      <c r="D25" s="147"/>
      <c r="E25" s="143">
        <f>+C25</f>
        <v>316.55755859962647</v>
      </c>
      <c r="F25" s="144">
        <f>+E25*F15</f>
        <v>320.42752226083365</v>
      </c>
      <c r="G25" s="145">
        <f>+F25*G15</f>
        <v>324.65104846220248</v>
      </c>
      <c r="H25" s="1"/>
      <c r="I25" s="25">
        <f>G25/C25-1</f>
        <v>2.5567198263657387E-2</v>
      </c>
      <c r="J25" s="24">
        <f>+(G25-C25)/G25</f>
        <v>2.492981279719567E-2</v>
      </c>
      <c r="L25" s="24"/>
      <c r="N25" s="30"/>
    </row>
    <row r="26" spans="1:45" x14ac:dyDescent="0.25">
      <c r="A26" s="38" t="s">
        <v>36</v>
      </c>
      <c r="B26" s="41"/>
      <c r="C26" s="142">
        <f>+I4</f>
        <v>0</v>
      </c>
      <c r="D26" s="147"/>
      <c r="E26" s="143">
        <f>+C26</f>
        <v>0</v>
      </c>
      <c r="F26" s="144">
        <f>+E26*F15</f>
        <v>0</v>
      </c>
      <c r="G26" s="145">
        <f>+F26*G15</f>
        <v>0</v>
      </c>
      <c r="H26" s="1"/>
      <c r="I26" s="25" t="e">
        <f>G26/C26-1</f>
        <v>#DIV/0!</v>
      </c>
      <c r="J26" s="24" t="e">
        <f>+(G26-C26)/G26</f>
        <v>#DIV/0!</v>
      </c>
      <c r="L26" s="24"/>
      <c r="N26" s="30"/>
      <c r="AG26" s="1"/>
      <c r="AH26" s="1"/>
    </row>
    <row r="27" spans="1:45" x14ac:dyDescent="0.25">
      <c r="A27" s="38" t="s">
        <v>8</v>
      </c>
      <c r="B27" s="58"/>
      <c r="C27" s="148">
        <f>SUM(C22:C26)</f>
        <v>950935.90074000007</v>
      </c>
      <c r="D27" s="149">
        <f>SUM(D22:D26)</f>
        <v>950618.59607003769</v>
      </c>
      <c r="E27" s="149">
        <f>SUM(E22:E26)</f>
        <v>978233.56642181973</v>
      </c>
      <c r="F27" s="149">
        <f>SUM(F22:F26)</f>
        <v>990192.61857957777</v>
      </c>
      <c r="G27" s="150">
        <f>SUM(G22:G26)</f>
        <v>1003244.2579626911</v>
      </c>
      <c r="H27" s="1"/>
      <c r="I27" s="25">
        <f>G27/C27-1</f>
        <v>5.5007237798032182E-2</v>
      </c>
      <c r="J27" s="24">
        <f>+(G27-C27)/G27</f>
        <v>5.2139204194315274E-2</v>
      </c>
      <c r="L27" s="24"/>
      <c r="N27" s="29"/>
      <c r="AG27" s="1"/>
      <c r="AH27" s="1"/>
    </row>
    <row r="28" spans="1:45" x14ac:dyDescent="0.25">
      <c r="A28" s="17"/>
      <c r="B28" s="6"/>
      <c r="C28" s="7"/>
      <c r="D28" s="7"/>
      <c r="E28" s="7"/>
      <c r="F28" s="7"/>
      <c r="G28" s="21"/>
      <c r="H28" s="1"/>
      <c r="I28" s="25"/>
      <c r="J28" s="24"/>
      <c r="L28" s="24"/>
      <c r="AF28" t="s">
        <v>30</v>
      </c>
      <c r="AG28" s="24"/>
      <c r="AH28" s="24"/>
      <c r="AJ28" s="1"/>
    </row>
    <row r="29" spans="1:45" x14ac:dyDescent="0.25">
      <c r="A29" s="17" t="s">
        <v>6</v>
      </c>
      <c r="B29" s="6"/>
      <c r="C29" s="7"/>
      <c r="D29" s="7"/>
      <c r="E29" s="7"/>
      <c r="F29" s="7"/>
      <c r="G29" s="21"/>
      <c r="H29" s="1"/>
      <c r="I29" s="25"/>
      <c r="J29" s="24"/>
      <c r="L29" s="24"/>
      <c r="N29" s="29"/>
    </row>
    <row r="30" spans="1:45" x14ac:dyDescent="0.25">
      <c r="A30" s="38" t="s">
        <v>32</v>
      </c>
      <c r="B30" s="58"/>
      <c r="C30" s="142">
        <f>+K4</f>
        <v>6798049.6931586275</v>
      </c>
      <c r="D30" s="143">
        <f>+C30</f>
        <v>6798049.6931586275</v>
      </c>
      <c r="E30" s="144">
        <f>+D30*E15</f>
        <v>6993291.6834200323</v>
      </c>
      <c r="F30" s="144">
        <f>+E30*F15</f>
        <v>7078785.7237670114</v>
      </c>
      <c r="G30" s="145">
        <f>+F30*G15</f>
        <v>7172090.5584056191</v>
      </c>
      <c r="H30" s="1"/>
      <c r="I30" s="25">
        <f>G30/C30-1</f>
        <v>5.5021790385471281E-2</v>
      </c>
      <c r="J30" s="24">
        <f>+(G30-C30)/G30</f>
        <v>5.2152278641911382E-2</v>
      </c>
      <c r="L30" s="24"/>
      <c r="N30" s="29"/>
      <c r="AH30" t="s">
        <v>30</v>
      </c>
    </row>
    <row r="31" spans="1:45" x14ac:dyDescent="0.25">
      <c r="A31" s="38" t="s">
        <v>33</v>
      </c>
      <c r="B31" s="58"/>
      <c r="C31" s="142">
        <f>+L4</f>
        <v>0</v>
      </c>
      <c r="D31" s="143">
        <f>+C31</f>
        <v>0</v>
      </c>
      <c r="E31" s="144">
        <f>+D31*E15</f>
        <v>0</v>
      </c>
      <c r="F31" s="144">
        <f>+E31*F15</f>
        <v>0</v>
      </c>
      <c r="G31" s="145">
        <f>+F31*G15</f>
        <v>0</v>
      </c>
      <c r="H31" s="1"/>
      <c r="I31" s="25"/>
      <c r="J31" s="24"/>
      <c r="L31" s="24"/>
      <c r="N31" s="30"/>
    </row>
    <row r="32" spans="1:45" x14ac:dyDescent="0.25">
      <c r="A32" s="38" t="s">
        <v>34</v>
      </c>
      <c r="B32" s="41"/>
      <c r="C32" s="142">
        <f>+M4</f>
        <v>209151.36075811923</v>
      </c>
      <c r="D32" s="151">
        <f>+E32*D16</f>
        <v>208131.85660325762</v>
      </c>
      <c r="E32" s="143">
        <f>+C32</f>
        <v>209151.36075811923</v>
      </c>
      <c r="F32" s="144">
        <f>+E32*F15</f>
        <v>211708.26753174543</v>
      </c>
      <c r="G32" s="145">
        <f>+F32*G15</f>
        <v>214498.77506573583</v>
      </c>
      <c r="H32" s="1"/>
      <c r="I32" s="25">
        <f>G32/C32-1</f>
        <v>2.5567198263657609E-2</v>
      </c>
      <c r="J32" s="24">
        <f>+(G32-C32)/G32</f>
        <v>2.4929812797195746E-2</v>
      </c>
      <c r="L32" s="24"/>
      <c r="N32" s="29"/>
    </row>
    <row r="33" spans="1:14" x14ac:dyDescent="0.25">
      <c r="A33" s="38" t="s">
        <v>35</v>
      </c>
      <c r="B33" s="41"/>
      <c r="C33" s="142">
        <f>+N4</f>
        <v>83440.920201714529</v>
      </c>
      <c r="D33" s="147"/>
      <c r="E33" s="143">
        <f>+C33</f>
        <v>83440.920201714529</v>
      </c>
      <c r="F33" s="144">
        <f>+E33*F15</f>
        <v>84460.997973563703</v>
      </c>
      <c r="G33" s="145">
        <f>+F33*G15</f>
        <v>85574.270751813776</v>
      </c>
      <c r="H33" s="1"/>
      <c r="I33" s="25">
        <f>G33/C33-1</f>
        <v>2.5567198263657387E-2</v>
      </c>
      <c r="J33" s="24">
        <f>+(G33-C33)/G33</f>
        <v>2.4929812797195586E-2</v>
      </c>
      <c r="L33" s="24"/>
      <c r="N33" s="29"/>
    </row>
    <row r="34" spans="1:14" x14ac:dyDescent="0.25">
      <c r="A34" s="38" t="s">
        <v>36</v>
      </c>
      <c r="B34" s="41"/>
      <c r="C34" s="142">
        <f>+O4</f>
        <v>58.775790222898905</v>
      </c>
      <c r="D34" s="147"/>
      <c r="E34" s="143">
        <f>+C34</f>
        <v>58.775790222898905</v>
      </c>
      <c r="F34" s="144">
        <f>+E34*F15</f>
        <v>59.494333079141484</v>
      </c>
      <c r="G34" s="145">
        <f>+F34*G15</f>
        <v>60.278522504630899</v>
      </c>
      <c r="H34" s="1"/>
      <c r="I34" s="25"/>
      <c r="J34" s="24"/>
      <c r="L34" s="24"/>
      <c r="N34" s="30"/>
    </row>
    <row r="35" spans="1:14" x14ac:dyDescent="0.25">
      <c r="A35" s="38" t="s">
        <v>37</v>
      </c>
      <c r="B35" s="41"/>
      <c r="C35" s="142">
        <f>+P4</f>
        <v>522.03741451639507</v>
      </c>
      <c r="D35" s="147"/>
      <c r="E35" s="151">
        <f>+F35*E16</f>
        <v>521.43160269402983</v>
      </c>
      <c r="F35" s="143">
        <f>+C35</f>
        <v>522.03741451639507</v>
      </c>
      <c r="G35" s="145">
        <f>+F35*G15</f>
        <v>528.9183424802236</v>
      </c>
      <c r="H35" s="1"/>
      <c r="I35" s="25"/>
      <c r="J35" s="24"/>
      <c r="L35" s="24"/>
      <c r="N35" s="30"/>
    </row>
    <row r="36" spans="1:14" x14ac:dyDescent="0.25">
      <c r="A36" s="38" t="s">
        <v>38</v>
      </c>
      <c r="B36" s="41"/>
      <c r="C36" s="142">
        <f>+Q4</f>
        <v>1013.8839068005352</v>
      </c>
      <c r="D36" s="147"/>
      <c r="E36" s="147"/>
      <c r="F36" s="143">
        <f>+C36</f>
        <v>1013.8839068005352</v>
      </c>
      <c r="G36" s="145">
        <f>+F36*G15</f>
        <v>1027.2478189117817</v>
      </c>
      <c r="H36" s="1"/>
      <c r="I36" s="25"/>
      <c r="J36" s="24"/>
      <c r="L36" s="24"/>
      <c r="N36" s="29"/>
    </row>
    <row r="37" spans="1:14" x14ac:dyDescent="0.25">
      <c r="A37" s="17" t="s">
        <v>8</v>
      </c>
      <c r="B37" s="58"/>
      <c r="C37" s="148">
        <f>SUM(C30:C36)</f>
        <v>7092236.6712300004</v>
      </c>
      <c r="D37" s="149">
        <f>SUM(D30:D36)</f>
        <v>7006181.5497618848</v>
      </c>
      <c r="E37" s="149">
        <f>SUM(E30:E36)</f>
        <v>7286464.1717727827</v>
      </c>
      <c r="F37" s="149">
        <f>SUM(F30:F36)</f>
        <v>7376550.4049267164</v>
      </c>
      <c r="G37" s="150">
        <f>SUM(G30:G36)</f>
        <v>7473780.0489070648</v>
      </c>
      <c r="H37" s="1"/>
      <c r="I37" s="25">
        <f>G37/C37-1</f>
        <v>5.379732732620357E-2</v>
      </c>
      <c r="J37" s="24">
        <f>+(G37-C37)/G37</f>
        <v>5.1050924054536463E-2</v>
      </c>
      <c r="L37" s="24"/>
      <c r="N37" s="8"/>
    </row>
    <row r="38" spans="1:14" x14ac:dyDescent="0.25">
      <c r="A38" s="17"/>
      <c r="B38" s="6"/>
      <c r="C38" s="7"/>
      <c r="D38" s="7"/>
      <c r="E38" s="7"/>
      <c r="F38" s="7"/>
      <c r="G38" s="21"/>
      <c r="H38" s="1"/>
      <c r="I38" s="25"/>
      <c r="J38" s="24"/>
      <c r="L38" s="24"/>
    </row>
    <row r="39" spans="1:14" x14ac:dyDescent="0.25">
      <c r="A39" s="17" t="s">
        <v>108</v>
      </c>
      <c r="B39" s="6"/>
      <c r="C39" s="7"/>
      <c r="D39" s="7"/>
      <c r="E39" s="7"/>
      <c r="F39" s="7"/>
      <c r="G39" s="21"/>
      <c r="H39" s="1"/>
      <c r="I39" s="25"/>
      <c r="J39" s="24"/>
      <c r="L39" s="24"/>
      <c r="N39" s="8"/>
    </row>
    <row r="40" spans="1:14" x14ac:dyDescent="0.25">
      <c r="A40" s="38" t="s">
        <v>34</v>
      </c>
      <c r="B40" s="58"/>
      <c r="C40" s="142">
        <f>+S4</f>
        <v>0</v>
      </c>
      <c r="D40" s="151">
        <f>+E40*D16</f>
        <v>0</v>
      </c>
      <c r="E40" s="143">
        <f>+C40</f>
        <v>0</v>
      </c>
      <c r="F40" s="144">
        <f>+E40*F15</f>
        <v>0</v>
      </c>
      <c r="G40" s="145">
        <f>+F40*G15</f>
        <v>0</v>
      </c>
      <c r="H40" s="1"/>
      <c r="I40" s="25"/>
      <c r="J40" s="24"/>
      <c r="L40" s="24"/>
      <c r="N40" s="30"/>
    </row>
    <row r="41" spans="1:14" x14ac:dyDescent="0.25">
      <c r="A41" s="38" t="s">
        <v>35</v>
      </c>
      <c r="B41" s="58"/>
      <c r="C41" s="142">
        <f>+T4</f>
        <v>1160046.4763981265</v>
      </c>
      <c r="D41" s="147"/>
      <c r="E41" s="143">
        <f>+C41</f>
        <v>1160046.4763981265</v>
      </c>
      <c r="F41" s="144">
        <f>+E41*F15</f>
        <v>1174228.2186658895</v>
      </c>
      <c r="G41" s="145">
        <f>+F41*G15</f>
        <v>1189705.6146552546</v>
      </c>
      <c r="H41" s="1"/>
      <c r="I41" s="25">
        <f>G41/C41-1</f>
        <v>2.5567198263657609E-2</v>
      </c>
      <c r="J41" s="24">
        <f>+(G41-C41)/G41</f>
        <v>2.4929812797195736E-2</v>
      </c>
      <c r="L41" s="24"/>
      <c r="N41" s="29"/>
    </row>
    <row r="42" spans="1:14" x14ac:dyDescent="0.25">
      <c r="A42" s="38" t="s">
        <v>36</v>
      </c>
      <c r="B42" s="41"/>
      <c r="C42" s="142">
        <f>+U4</f>
        <v>0</v>
      </c>
      <c r="D42" s="147"/>
      <c r="E42" s="143">
        <f>+C42</f>
        <v>0</v>
      </c>
      <c r="F42" s="144">
        <f>+E42*F15</f>
        <v>0</v>
      </c>
      <c r="G42" s="145">
        <f>+F42*G15</f>
        <v>0</v>
      </c>
      <c r="H42" s="1"/>
      <c r="I42" s="25"/>
      <c r="J42" s="24"/>
      <c r="L42" s="24"/>
      <c r="N42" s="29"/>
    </row>
    <row r="43" spans="1:14" x14ac:dyDescent="0.25">
      <c r="A43" s="38" t="s">
        <v>37</v>
      </c>
      <c r="B43" s="41"/>
      <c r="C43" s="142">
        <f>+V4</f>
        <v>0</v>
      </c>
      <c r="D43" s="147"/>
      <c r="E43" s="151">
        <f>+F43*E16</f>
        <v>0</v>
      </c>
      <c r="F43" s="143">
        <f>+C43</f>
        <v>0</v>
      </c>
      <c r="G43" s="145">
        <f>+F43*G15</f>
        <v>0</v>
      </c>
      <c r="H43" s="1"/>
      <c r="I43" s="25"/>
      <c r="J43" s="24"/>
      <c r="L43" s="24"/>
      <c r="N43" s="29"/>
    </row>
    <row r="44" spans="1:14" x14ac:dyDescent="0.25">
      <c r="A44" s="38" t="s">
        <v>38</v>
      </c>
      <c r="B44" s="41"/>
      <c r="C44" s="142">
        <f>+W4</f>
        <v>865067.86019187397</v>
      </c>
      <c r="D44" s="147"/>
      <c r="E44" s="147"/>
      <c r="F44" s="143">
        <f>+C44</f>
        <v>865067.86019187397</v>
      </c>
      <c r="G44" s="145">
        <f>+F44*G15</f>
        <v>876470.24144709064</v>
      </c>
      <c r="H44" s="1"/>
      <c r="I44" s="25">
        <f>G44/C44-1</f>
        <v>1.3180909590939649E-2</v>
      </c>
      <c r="J44" s="24">
        <f>+(G44-C44)/G44</f>
        <v>1.3009433425133561E-2</v>
      </c>
      <c r="L44" s="24"/>
      <c r="N44" s="29"/>
    </row>
    <row r="45" spans="1:14" x14ac:dyDescent="0.25">
      <c r="A45" s="17" t="s">
        <v>8</v>
      </c>
      <c r="B45" s="58"/>
      <c r="C45" s="148">
        <f>SUM(C40:C44)</f>
        <v>2025114.3365900004</v>
      </c>
      <c r="D45" s="149">
        <f>SUM(D40:D44)</f>
        <v>0</v>
      </c>
      <c r="E45" s="149">
        <f>SUM(E40:E44)</f>
        <v>1160046.4763981265</v>
      </c>
      <c r="F45" s="149">
        <f>SUM(F40:F44)</f>
        <v>2039296.0788577634</v>
      </c>
      <c r="G45" s="150">
        <f>SUM(G40:G44)</f>
        <v>2066175.8561023453</v>
      </c>
      <c r="H45" s="1"/>
      <c r="I45" s="25">
        <f>G45/C45-1</f>
        <v>2.0276148744019284E-2</v>
      </c>
      <c r="J45" s="24">
        <f>+(G45-C45)/G45</f>
        <v>1.9873196848695981E-2</v>
      </c>
      <c r="L45" s="24"/>
      <c r="N45" s="8"/>
    </row>
    <row r="46" spans="1:14" x14ac:dyDescent="0.25">
      <c r="A46" s="17"/>
      <c r="B46" s="6"/>
      <c r="C46" s="7"/>
      <c r="D46" s="7"/>
      <c r="E46" s="7"/>
      <c r="F46" s="7"/>
      <c r="G46" s="21"/>
      <c r="H46" s="1"/>
      <c r="I46" s="25"/>
      <c r="J46" s="24"/>
      <c r="L46" s="24"/>
    </row>
    <row r="47" spans="1:14" x14ac:dyDescent="0.25">
      <c r="A47" s="17" t="s">
        <v>58</v>
      </c>
      <c r="B47" s="6"/>
      <c r="C47" s="7"/>
      <c r="D47" s="7"/>
      <c r="E47" s="7"/>
      <c r="F47" s="7"/>
      <c r="G47" s="21"/>
      <c r="H47" s="1"/>
      <c r="I47" s="25"/>
      <c r="J47" s="24"/>
      <c r="L47" s="24"/>
      <c r="N47" s="8"/>
    </row>
    <row r="48" spans="1:14" x14ac:dyDescent="0.25">
      <c r="A48" s="17" t="s">
        <v>4</v>
      </c>
      <c r="B48" s="58"/>
      <c r="C48" s="138">
        <f>+X4</f>
        <v>107727.52524999999</v>
      </c>
      <c r="D48" s="139">
        <f>C48</f>
        <v>107727.52524999999</v>
      </c>
      <c r="E48" s="140">
        <f>+D48*E15</f>
        <v>110821.49151754769</v>
      </c>
      <c r="F48" s="140">
        <f>+E48*F15</f>
        <v>112176.30088286794</v>
      </c>
      <c r="G48" s="141">
        <f>+F48*G15</f>
        <v>113654.88656305107</v>
      </c>
      <c r="H48" s="1"/>
      <c r="I48" s="25">
        <f>G48/C48-1</f>
        <v>5.5021790385471503E-2</v>
      </c>
      <c r="J48" s="24">
        <f>+(G48-C48)/G48</f>
        <v>5.2152278641911465E-2</v>
      </c>
      <c r="L48" s="24"/>
      <c r="N48" s="8"/>
    </row>
    <row r="49" spans="1:18" x14ac:dyDescent="0.25">
      <c r="A49" s="17"/>
      <c r="B49" s="6"/>
      <c r="C49" s="7"/>
      <c r="D49" s="7"/>
      <c r="E49" s="7"/>
      <c r="F49" s="7"/>
      <c r="G49" s="21"/>
      <c r="H49" s="1"/>
      <c r="I49" s="25"/>
      <c r="J49" s="24"/>
      <c r="L49" s="24"/>
      <c r="N49" s="8"/>
    </row>
    <row r="50" spans="1:18" x14ac:dyDescent="0.25">
      <c r="A50" s="17" t="s">
        <v>10</v>
      </c>
      <c r="B50" s="6"/>
      <c r="C50" s="7"/>
      <c r="D50" s="7"/>
      <c r="E50" s="7"/>
      <c r="F50" s="7"/>
      <c r="G50" s="21"/>
      <c r="H50" s="1"/>
      <c r="I50" s="25"/>
      <c r="J50" s="24"/>
      <c r="L50" s="24"/>
      <c r="N50" s="8"/>
    </row>
    <row r="51" spans="1:18" x14ac:dyDescent="0.25">
      <c r="A51" s="38" t="s">
        <v>32</v>
      </c>
      <c r="B51" s="6"/>
      <c r="C51" s="7">
        <f>+C19+C22+C30+C48</f>
        <v>18146311.745572858</v>
      </c>
      <c r="D51" s="7">
        <f>+D19+D22+D30+D48</f>
        <v>18146311.745572858</v>
      </c>
      <c r="E51" s="7">
        <f>+E19+E22+E30+E48</f>
        <v>18667479.16579267</v>
      </c>
      <c r="F51" s="7">
        <f>+F19+F22+F30+F48</f>
        <v>18895691.900113538</v>
      </c>
      <c r="G51" s="21">
        <f>+G19+G22+G30+G48</f>
        <v>19144754.306707185</v>
      </c>
      <c r="H51" s="1"/>
      <c r="I51" s="25">
        <f>G51/C51-1</f>
        <v>5.5021790385471281E-2</v>
      </c>
      <c r="J51" s="24">
        <f>+(G51-C51)/G51</f>
        <v>5.2152278641911444E-2</v>
      </c>
      <c r="L51" s="24"/>
      <c r="N51" s="29"/>
    </row>
    <row r="52" spans="1:18" x14ac:dyDescent="0.25">
      <c r="A52" s="38" t="s">
        <v>33</v>
      </c>
      <c r="B52" s="6"/>
      <c r="C52" s="7">
        <f>+C23+C31</f>
        <v>0</v>
      </c>
      <c r="D52" s="7">
        <f>+D23+D31</f>
        <v>0</v>
      </c>
      <c r="E52" s="7">
        <f>+E23+E31</f>
        <v>0</v>
      </c>
      <c r="F52" s="7">
        <f>+F23+F31</f>
        <v>0</v>
      </c>
      <c r="G52" s="21">
        <f>+G23+G31</f>
        <v>0</v>
      </c>
      <c r="H52" s="1"/>
      <c r="I52" s="25"/>
      <c r="J52" s="24"/>
      <c r="R52" s="10"/>
    </row>
    <row r="53" spans="1:18" x14ac:dyDescent="0.25">
      <c r="A53" s="38" t="s">
        <v>34</v>
      </c>
      <c r="B53" s="6"/>
      <c r="C53" s="7">
        <f t="shared" ref="C53:G55" si="0">+C24+C32+C40</f>
        <v>209304.6307152893</v>
      </c>
      <c r="D53" s="7">
        <f t="shared" si="0"/>
        <v>208284.37944906496</v>
      </c>
      <c r="E53" s="7">
        <f t="shared" si="0"/>
        <v>209304.6307152893</v>
      </c>
      <c r="F53" s="7">
        <f t="shared" si="0"/>
        <v>211863.41123714388</v>
      </c>
      <c r="G53" s="21">
        <f t="shared" si="0"/>
        <v>214655.96370628872</v>
      </c>
      <c r="H53" s="1"/>
      <c r="I53" s="25">
        <f t="shared" ref="I53:I58" si="1">G53/C53-1</f>
        <v>2.5567198263657609E-2</v>
      </c>
      <c r="J53" s="24">
        <f t="shared" ref="J53:J58" si="2">+(G53-C53)/G53</f>
        <v>2.4929812797195739E-2</v>
      </c>
      <c r="R53" s="10"/>
    </row>
    <row r="54" spans="1:18" x14ac:dyDescent="0.25">
      <c r="A54" s="38" t="s">
        <v>35</v>
      </c>
      <c r="B54" s="6"/>
      <c r="C54" s="7">
        <f t="shared" si="0"/>
        <v>1243803.9541584407</v>
      </c>
      <c r="D54" s="147">
        <f t="shared" si="0"/>
        <v>0</v>
      </c>
      <c r="E54" s="7">
        <f t="shared" si="0"/>
        <v>1243803.9541584407</v>
      </c>
      <c r="F54" s="7">
        <f t="shared" si="0"/>
        <v>1259009.644161714</v>
      </c>
      <c r="G54" s="21">
        <f t="shared" si="0"/>
        <v>1275604.5364555307</v>
      </c>
      <c r="H54" s="1"/>
      <c r="I54" s="25">
        <f t="shared" si="1"/>
        <v>2.5567198263657387E-2</v>
      </c>
      <c r="J54" s="24">
        <f t="shared" si="2"/>
        <v>2.4929812797195697E-2</v>
      </c>
      <c r="R54" s="10"/>
    </row>
    <row r="55" spans="1:18" x14ac:dyDescent="0.25">
      <c r="A55" s="38" t="s">
        <v>36</v>
      </c>
      <c r="B55" s="6"/>
      <c r="C55" s="7">
        <f t="shared" si="0"/>
        <v>58.775790222898905</v>
      </c>
      <c r="D55" s="147">
        <f t="shared" si="0"/>
        <v>0</v>
      </c>
      <c r="E55" s="7">
        <f t="shared" si="0"/>
        <v>58.775790222898905</v>
      </c>
      <c r="F55" s="7">
        <f t="shared" si="0"/>
        <v>59.494333079141484</v>
      </c>
      <c r="G55" s="21">
        <f t="shared" si="0"/>
        <v>60.278522504630899</v>
      </c>
      <c r="H55" s="1"/>
      <c r="I55" s="25">
        <f t="shared" si="1"/>
        <v>2.5567198263657387E-2</v>
      </c>
      <c r="J55" s="24">
        <f t="shared" si="2"/>
        <v>2.4929812797195663E-2</v>
      </c>
      <c r="R55" s="10"/>
    </row>
    <row r="56" spans="1:18" x14ac:dyDescent="0.25">
      <c r="A56" s="38" t="s">
        <v>37</v>
      </c>
      <c r="B56" s="6"/>
      <c r="C56" s="7">
        <f t="shared" ref="C56:G57" si="3">+C35+C43</f>
        <v>522.03741451639507</v>
      </c>
      <c r="D56" s="147">
        <f t="shared" si="3"/>
        <v>0</v>
      </c>
      <c r="E56" s="7">
        <f t="shared" si="3"/>
        <v>521.43160269402983</v>
      </c>
      <c r="F56" s="7">
        <f t="shared" si="3"/>
        <v>522.03741451639507</v>
      </c>
      <c r="G56" s="21">
        <f t="shared" si="3"/>
        <v>528.9183424802236</v>
      </c>
      <c r="H56" s="1"/>
      <c r="I56" s="25">
        <f t="shared" si="1"/>
        <v>1.3180909590939649E-2</v>
      </c>
      <c r="J56" s="24">
        <f t="shared" si="2"/>
        <v>1.3009433425133684E-2</v>
      </c>
      <c r="R56" s="10"/>
    </row>
    <row r="57" spans="1:18" ht="13.8" thickBot="1" x14ac:dyDescent="0.3">
      <c r="A57" s="38" t="s">
        <v>38</v>
      </c>
      <c r="B57" s="6"/>
      <c r="C57" s="7">
        <f t="shared" si="3"/>
        <v>866081.74409867451</v>
      </c>
      <c r="D57" s="147">
        <f t="shared" si="3"/>
        <v>0</v>
      </c>
      <c r="E57" s="147">
        <f t="shared" si="3"/>
        <v>0</v>
      </c>
      <c r="F57" s="7">
        <f t="shared" si="3"/>
        <v>866081.74409867451</v>
      </c>
      <c r="G57" s="21">
        <f t="shared" si="3"/>
        <v>877497.48926600243</v>
      </c>
      <c r="H57" s="1"/>
      <c r="I57" s="25">
        <f t="shared" si="1"/>
        <v>1.3180909590939649E-2</v>
      </c>
      <c r="J57" s="24">
        <f t="shared" si="2"/>
        <v>1.3009433425133582E-2</v>
      </c>
    </row>
    <row r="58" spans="1:18" ht="15" thickBot="1" x14ac:dyDescent="0.35">
      <c r="A58" s="17" t="s">
        <v>10</v>
      </c>
      <c r="B58" s="6"/>
      <c r="C58" s="152">
        <f>SUM(C51:C57)</f>
        <v>20466082.88775</v>
      </c>
      <c r="D58" s="153">
        <f>SUM(D51:D57)</f>
        <v>18354596.125021923</v>
      </c>
      <c r="E58" s="153">
        <f>SUM(E51:E57)</f>
        <v>20121167.958059315</v>
      </c>
      <c r="F58" s="153">
        <f>SUM(F51:F57)</f>
        <v>21233228.231358666</v>
      </c>
      <c r="G58" s="154">
        <f>SUM(G51:G57)</f>
        <v>21513101.49299999</v>
      </c>
      <c r="H58" s="154">
        <v>21513101.493000001</v>
      </c>
      <c r="I58" s="25">
        <f t="shared" si="1"/>
        <v>5.1158720063460894E-2</v>
      </c>
      <c r="J58" s="24">
        <f t="shared" si="2"/>
        <v>4.8668882336220673E-2</v>
      </c>
      <c r="K58" s="197"/>
    </row>
    <row r="59" spans="1:18" ht="13.8" thickBot="1" x14ac:dyDescent="0.3">
      <c r="A59" s="17"/>
      <c r="B59" s="6"/>
      <c r="C59" s="7"/>
      <c r="D59" s="7"/>
      <c r="E59" s="7"/>
      <c r="F59" s="7"/>
      <c r="G59" s="21"/>
      <c r="H59" s="154">
        <f>+H58-G58</f>
        <v>0</v>
      </c>
      <c r="I59" s="25"/>
      <c r="J59" s="24"/>
    </row>
    <row r="60" spans="1:18" x14ac:dyDescent="0.25">
      <c r="A60" s="17" t="s">
        <v>27</v>
      </c>
      <c r="B60" s="6"/>
      <c r="C60" s="7"/>
      <c r="D60" s="7">
        <f>+D74</f>
        <v>521167.42021981435</v>
      </c>
      <c r="E60" s="7">
        <f>+E74</f>
        <v>245977.92338885507</v>
      </c>
      <c r="F60" s="7">
        <f>+G60-E60-D60</f>
        <v>279873.26164132037</v>
      </c>
      <c r="G60" s="21">
        <f>+G58-C58</f>
        <v>1047018.6052499898</v>
      </c>
      <c r="H60" s="1"/>
      <c r="I60" s="25"/>
      <c r="J60" s="24"/>
    </row>
    <row r="61" spans="1:18" x14ac:dyDescent="0.25">
      <c r="A61" s="17"/>
      <c r="B61" s="6"/>
      <c r="C61" s="13"/>
      <c r="D61" s="13"/>
      <c r="E61" s="13"/>
      <c r="F61" s="13"/>
      <c r="G61" s="60"/>
      <c r="H61" s="10"/>
      <c r="I61" s="25"/>
      <c r="J61" s="24"/>
    </row>
    <row r="62" spans="1:18" x14ac:dyDescent="0.25">
      <c r="A62" s="17" t="s">
        <v>11</v>
      </c>
      <c r="B62" s="6"/>
      <c r="C62" s="13"/>
      <c r="D62" s="13"/>
      <c r="E62" s="13"/>
      <c r="F62" s="13"/>
      <c r="G62" s="60"/>
      <c r="I62" s="25"/>
      <c r="J62" s="24"/>
    </row>
    <row r="63" spans="1:18" x14ac:dyDescent="0.25">
      <c r="A63" s="17" t="s">
        <v>12</v>
      </c>
      <c r="B63" s="6"/>
      <c r="C63" s="61">
        <f>+Y4</f>
        <v>0</v>
      </c>
      <c r="D63" s="42"/>
      <c r="E63" s="42"/>
      <c r="F63" s="40">
        <f>C63</f>
        <v>0</v>
      </c>
      <c r="G63" s="62">
        <f>F63*G$15</f>
        <v>0</v>
      </c>
      <c r="I63" s="25"/>
      <c r="J63" s="24"/>
    </row>
    <row r="64" spans="1:18" x14ac:dyDescent="0.25">
      <c r="A64" s="17" t="s">
        <v>13</v>
      </c>
      <c r="B64" s="6"/>
      <c r="C64" s="61">
        <f>+Z4</f>
        <v>0</v>
      </c>
      <c r="D64" s="42"/>
      <c r="E64" s="42"/>
      <c r="F64" s="40">
        <f>C64</f>
        <v>0</v>
      </c>
      <c r="G64" s="62">
        <f>F64*G$15</f>
        <v>0</v>
      </c>
      <c r="H64" s="129" t="e">
        <f>+G64/C64-1</f>
        <v>#DIV/0!</v>
      </c>
      <c r="I64" s="130" t="e">
        <f>G64/C64-1</f>
        <v>#DIV/0!</v>
      </c>
      <c r="J64" s="129" t="e">
        <f>+(G64-C64)/G64</f>
        <v>#DIV/0!</v>
      </c>
      <c r="L64" s="24"/>
      <c r="N64" s="8"/>
    </row>
    <row r="65" spans="1:17" x14ac:dyDescent="0.25">
      <c r="A65" s="17" t="s">
        <v>14</v>
      </c>
      <c r="B65" s="6"/>
      <c r="C65" s="61">
        <f>+AA4</f>
        <v>0</v>
      </c>
      <c r="D65" s="42"/>
      <c r="E65" s="42"/>
      <c r="F65" s="40">
        <f>C65</f>
        <v>0</v>
      </c>
      <c r="G65" s="113">
        <v>0</v>
      </c>
      <c r="H65" s="129"/>
      <c r="I65" s="130"/>
      <c r="J65" s="129"/>
      <c r="L65" s="24"/>
      <c r="N65" s="8"/>
    </row>
    <row r="66" spans="1:17" x14ac:dyDescent="0.25">
      <c r="A66" s="17" t="s">
        <v>8</v>
      </c>
      <c r="B66" s="6"/>
      <c r="C66" s="11">
        <f>SUM(C63:C65)</f>
        <v>0</v>
      </c>
      <c r="D66" s="43"/>
      <c r="E66" s="43"/>
      <c r="F66" s="12">
        <f>SUM(F63:F65)</f>
        <v>0</v>
      </c>
      <c r="G66" s="63">
        <f>SUM(G63:G65)</f>
        <v>0</v>
      </c>
      <c r="H66" s="131">
        <f>+G66-F66</f>
        <v>0</v>
      </c>
      <c r="I66" s="130" t="e">
        <f>G66/C66-1</f>
        <v>#DIV/0!</v>
      </c>
      <c r="J66" s="129" t="e">
        <f>+(G66-C66)/G66</f>
        <v>#DIV/0!</v>
      </c>
      <c r="L66" s="23"/>
      <c r="N66" s="8"/>
    </row>
    <row r="67" spans="1:17" x14ac:dyDescent="0.25">
      <c r="A67" s="64"/>
      <c r="B67" s="6"/>
      <c r="C67" s="13"/>
      <c r="D67" s="13"/>
      <c r="E67" s="13"/>
      <c r="F67" s="13"/>
      <c r="G67" s="60"/>
      <c r="I67" s="25"/>
      <c r="J67" s="24"/>
      <c r="L67" s="23"/>
      <c r="N67" s="26"/>
    </row>
    <row r="68" spans="1:17" x14ac:dyDescent="0.25">
      <c r="A68" s="17" t="s">
        <v>15</v>
      </c>
      <c r="B68" s="6"/>
      <c r="C68" s="44">
        <f>+AB4</f>
        <v>0</v>
      </c>
      <c r="D68" s="43"/>
      <c r="E68" s="43"/>
      <c r="F68" s="39">
        <f>C68</f>
        <v>0</v>
      </c>
      <c r="G68" s="59">
        <f>+G72-G58-G66</f>
        <v>7.4505805969238281E-9</v>
      </c>
      <c r="H68" s="10">
        <f>+G68-C68</f>
        <v>7.4505805969238281E-9</v>
      </c>
      <c r="I68" s="25" t="e">
        <f>G68/C68-1</f>
        <v>#DIV/0!</v>
      </c>
      <c r="J68" s="24">
        <f>+(G68-C68)/G68</f>
        <v>1</v>
      </c>
      <c r="L68" s="23"/>
      <c r="N68" s="8"/>
    </row>
    <row r="69" spans="1:17" x14ac:dyDescent="0.25">
      <c r="A69" s="17"/>
      <c r="B69" s="6"/>
      <c r="C69" s="13"/>
      <c r="D69" s="13"/>
      <c r="E69" s="13"/>
      <c r="F69" s="13"/>
      <c r="G69" s="60"/>
      <c r="H69" s="10">
        <f>+H68+H66</f>
        <v>7.4505805969238281E-9</v>
      </c>
      <c r="I69" s="25"/>
      <c r="J69" s="24"/>
      <c r="L69" s="23"/>
      <c r="N69" s="8"/>
    </row>
    <row r="70" spans="1:17" x14ac:dyDescent="0.25">
      <c r="A70" s="17" t="s">
        <v>28</v>
      </c>
      <c r="B70" s="6"/>
      <c r="C70" s="13"/>
      <c r="D70" s="42">
        <f>(D74*(D66+D68))/D72</f>
        <v>0</v>
      </c>
      <c r="E70" s="42">
        <f>(E74*(E66+E68))/E72</f>
        <v>0</v>
      </c>
      <c r="F70" s="13">
        <f>+F74-F60</f>
        <v>7.4505805969238281E-9</v>
      </c>
      <c r="G70" s="60">
        <f>+G74-G60</f>
        <v>7.4505805969238281E-9</v>
      </c>
      <c r="H70" s="10"/>
      <c r="I70" s="25"/>
      <c r="J70" s="24"/>
      <c r="L70" s="24"/>
      <c r="N70" s="8"/>
    </row>
    <row r="71" spans="1:17" ht="13.8" thickBot="1" x14ac:dyDescent="0.3">
      <c r="A71" s="17"/>
      <c r="B71" s="6"/>
      <c r="C71" s="13"/>
      <c r="D71" s="13"/>
      <c r="E71" s="13"/>
      <c r="F71" s="13"/>
      <c r="G71" s="60"/>
      <c r="H71" s="27"/>
      <c r="I71" s="25"/>
      <c r="J71" s="24"/>
      <c r="L71" s="24"/>
      <c r="N71" s="8"/>
    </row>
    <row r="72" spans="1:17" ht="13.8" thickBot="1" x14ac:dyDescent="0.3">
      <c r="A72" s="17" t="s">
        <v>10</v>
      </c>
      <c r="B72" s="6"/>
      <c r="C72" s="152">
        <f>C58+C66+C68</f>
        <v>20466082.88775</v>
      </c>
      <c r="D72" s="153">
        <f>D58+D66+D68</f>
        <v>18354596.125021923</v>
      </c>
      <c r="E72" s="153">
        <f>E58+E66+E68</f>
        <v>20121167.958059315</v>
      </c>
      <c r="F72" s="153">
        <f>F58+F66+F68</f>
        <v>21233228.231358666</v>
      </c>
      <c r="G72" s="85">
        <f>C72*H72</f>
        <v>21513101.492999997</v>
      </c>
      <c r="H72" s="88">
        <v>1.0511587200634613</v>
      </c>
      <c r="I72" s="25">
        <f>G72/C72-1</f>
        <v>5.1158720063461338E-2</v>
      </c>
      <c r="J72" s="24">
        <f>+(G72-C72)/G72</f>
        <v>4.8668882336220999E-2</v>
      </c>
      <c r="L72" s="24"/>
      <c r="N72" s="8"/>
    </row>
    <row r="73" spans="1:17" x14ac:dyDescent="0.25">
      <c r="A73" s="17"/>
      <c r="B73" s="6"/>
      <c r="C73" s="7"/>
      <c r="D73" s="7"/>
      <c r="E73" s="7"/>
      <c r="F73" s="7"/>
      <c r="G73" s="155"/>
      <c r="H73" s="126"/>
      <c r="N73" s="8"/>
    </row>
    <row r="74" spans="1:17" ht="13.8" thickBot="1" x14ac:dyDescent="0.3">
      <c r="A74" s="65" t="s">
        <v>29</v>
      </c>
      <c r="B74" s="34"/>
      <c r="C74" s="156"/>
      <c r="D74" s="86">
        <f>B80*$G74</f>
        <v>521167.42021981435</v>
      </c>
      <c r="E74" s="86">
        <f>D80*$G74</f>
        <v>245977.92338885507</v>
      </c>
      <c r="F74" s="86">
        <f>F80*$G74</f>
        <v>279873.26164132782</v>
      </c>
      <c r="G74" s="22">
        <f>G72-C72</f>
        <v>1047018.6052499972</v>
      </c>
      <c r="H74" s="10"/>
      <c r="N74" s="8"/>
    </row>
    <row r="75" spans="1:17" x14ac:dyDescent="0.25">
      <c r="N75" s="8"/>
    </row>
    <row r="76" spans="1:17" x14ac:dyDescent="0.25">
      <c r="A76" s="8" t="s">
        <v>124</v>
      </c>
      <c r="C76" s="1"/>
    </row>
    <row r="77" spans="1:17" x14ac:dyDescent="0.25">
      <c r="A77" s="3"/>
      <c r="B77" s="3" t="s">
        <v>18</v>
      </c>
      <c r="C77" s="81" t="s">
        <v>88</v>
      </c>
      <c r="D77" s="3" t="s">
        <v>20</v>
      </c>
      <c r="E77" s="3" t="s">
        <v>89</v>
      </c>
      <c r="F77" s="3" t="s">
        <v>90</v>
      </c>
      <c r="G77" s="3" t="s">
        <v>10</v>
      </c>
    </row>
    <row r="78" spans="1:17" x14ac:dyDescent="0.25">
      <c r="A78" s="3"/>
      <c r="B78" s="3"/>
      <c r="C78" s="81" t="s">
        <v>91</v>
      </c>
      <c r="D78" s="3"/>
      <c r="E78" s="3" t="s">
        <v>92</v>
      </c>
      <c r="F78" s="3"/>
      <c r="G78" s="3"/>
    </row>
    <row r="79" spans="1:17" x14ac:dyDescent="0.25">
      <c r="A79" s="8" t="s">
        <v>93</v>
      </c>
      <c r="B79" s="82">
        <f>+'Loss Inputs'!B4</f>
        <v>668739</v>
      </c>
      <c r="C79" s="82">
        <f>+'Loss Inputs'!C4</f>
        <v>502567</v>
      </c>
      <c r="D79" s="82">
        <f>+'Loss Inputs'!D4</f>
        <v>315628</v>
      </c>
      <c r="E79" s="82">
        <f>+'Loss Inputs'!E4</f>
        <v>129093</v>
      </c>
      <c r="F79" s="82">
        <f>+'Loss Inputs'!F4</f>
        <v>359121</v>
      </c>
      <c r="G79" s="82">
        <f>B79+D79+F79</f>
        <v>1343488</v>
      </c>
      <c r="I79" s="6"/>
    </row>
    <row r="80" spans="1:17" x14ac:dyDescent="0.25">
      <c r="A80" s="8" t="s">
        <v>94</v>
      </c>
      <c r="B80" s="83">
        <f>B79/$G79</f>
        <v>0.49776328482278964</v>
      </c>
      <c r="C80" s="83">
        <f>C79/$G79</f>
        <v>0.37407628501333839</v>
      </c>
      <c r="D80" s="83">
        <f>D79/$G79</f>
        <v>0.2349317597179878</v>
      </c>
      <c r="E80" s="83">
        <f>E79/$G79</f>
        <v>9.6087944216844509E-2</v>
      </c>
      <c r="F80" s="83">
        <f>F79/$G79</f>
        <v>0.26730495545922256</v>
      </c>
      <c r="Q80" s="10"/>
    </row>
    <row r="81" spans="1:17" x14ac:dyDescent="0.25">
      <c r="A81" s="8"/>
      <c r="B81" s="100"/>
      <c r="C81" s="1"/>
      <c r="D81" s="27"/>
      <c r="F81" s="27"/>
    </row>
    <row r="82" spans="1:17" x14ac:dyDescent="0.25">
      <c r="A82" s="8"/>
      <c r="C82" s="1"/>
    </row>
    <row r="83" spans="1:17" x14ac:dyDescent="0.25">
      <c r="A83" s="8"/>
      <c r="C83" s="1"/>
    </row>
    <row r="84" spans="1:17" x14ac:dyDescent="0.25">
      <c r="A84" s="8"/>
      <c r="B84" s="84" t="s">
        <v>95</v>
      </c>
      <c r="C84" s="1">
        <f>+C19+C22+C23+C24+C25+C26+C30+C31+C32+C33+C34+C35+C36+C40+C41+C42+C43+C44+C48+C60+C63+C64+C65+C68+C70-C72-C74</f>
        <v>0</v>
      </c>
      <c r="D84" s="1">
        <f>+D19+D22+D23+D24+D25+D26+D30+D31+D32+D33+D34+D35+D36+D40+D41+D42+D43+D44+D48+D60+D63+D64+D65+D68+D70-D72-D74</f>
        <v>-1.8044374883174896E-9</v>
      </c>
      <c r="E84" s="1">
        <f>+E19+E22+E23+E24+E25+E26+E30+E31+E32+E33+E34+E35+E36+E40+E41+E42+E43+E44+E48+E60+E63+E64+E65+E68+E70-E72-E74</f>
        <v>-1.3969838619232178E-9</v>
      </c>
      <c r="F84" s="1">
        <f>+F19+F22+F23+F24+F25+F26+F30+F31+F32+F33+F34+F35+F36+F40+F41+F42+F43+F44+F48+F60+F63+F64+F65+F68+F70-F72-F74</f>
        <v>3.2014213502407074E-9</v>
      </c>
      <c r="G84" s="1">
        <f>+G19+G22+G23+G24+G25+G26+G30+G31+G32+G33+G34+G35+G36+G40+G41+G42+G43+G44+G48+G60+G63+G64+G65+G68+G70-G72-G74</f>
        <v>7.4505805969238281E-9</v>
      </c>
      <c r="Q84" s="99"/>
    </row>
    <row r="85" spans="1:17" x14ac:dyDescent="0.25">
      <c r="F85" s="23"/>
    </row>
    <row r="87" spans="1:17" x14ac:dyDescent="0.25">
      <c r="C87" s="3" t="s">
        <v>101</v>
      </c>
      <c r="D87" s="3" t="s">
        <v>18</v>
      </c>
      <c r="E87" s="3" t="s">
        <v>20</v>
      </c>
      <c r="F87" s="3" t="s">
        <v>21</v>
      </c>
      <c r="G87" s="3" t="s">
        <v>100</v>
      </c>
      <c r="H87" s="3" t="s">
        <v>103</v>
      </c>
    </row>
    <row r="88" spans="1:17" x14ac:dyDescent="0.25">
      <c r="B88" s="3" t="s">
        <v>24</v>
      </c>
      <c r="C88" s="23">
        <f>+C19</f>
        <v>10290068.453940002</v>
      </c>
      <c r="D88" s="23">
        <f>+D19</f>
        <v>10290068.453940002</v>
      </c>
      <c r="E88" s="23">
        <f>+E19</f>
        <v>10585602.25194904</v>
      </c>
      <c r="F88" s="23">
        <f>+F19</f>
        <v>10715012.82811174</v>
      </c>
      <c r="G88" s="23">
        <f>+G19</f>
        <v>10856246.44346484</v>
      </c>
      <c r="H88" s="23"/>
    </row>
    <row r="89" spans="1:17" x14ac:dyDescent="0.25">
      <c r="B89" s="3" t="s">
        <v>25</v>
      </c>
      <c r="C89" s="23">
        <f>+C22+C23+C24+C25+C26</f>
        <v>950935.90074000007</v>
      </c>
      <c r="D89" s="23">
        <f>+D22+D23+D24+D25+D26</f>
        <v>950618.59607003769</v>
      </c>
      <c r="E89" s="23">
        <f>+E22+E23+E24+E25+E26</f>
        <v>978233.56642181973</v>
      </c>
      <c r="F89" s="23">
        <f>+F22+F23+F24+F25+F26</f>
        <v>990192.61857957777</v>
      </c>
      <c r="G89" s="23">
        <f>+G22+G23+G24+G25+G26</f>
        <v>1003244.2579626911</v>
      </c>
      <c r="H89" s="23"/>
    </row>
    <row r="90" spans="1:17" x14ac:dyDescent="0.25">
      <c r="B90" s="3" t="s">
        <v>6</v>
      </c>
      <c r="C90" s="23">
        <f>+C30+C31+C32+C33+C34+C35+C36</f>
        <v>7092236.6712300004</v>
      </c>
      <c r="D90" s="23">
        <f>+D30+D31+D32+D33+D34+D35+D36</f>
        <v>7006181.5497618848</v>
      </c>
      <c r="E90" s="23">
        <f>+E30+E31+E32+E33+E34+E35+E36</f>
        <v>7286464.1717727827</v>
      </c>
      <c r="F90" s="23">
        <f>+F30+F31+F32+F33+F34+F35+F36</f>
        <v>7376550.4049267164</v>
      </c>
      <c r="G90" s="23">
        <f>+G30+G31+G32+G33+G34+G35+G36</f>
        <v>7473780.0489070648</v>
      </c>
      <c r="H90" s="23"/>
    </row>
    <row r="91" spans="1:17" x14ac:dyDescent="0.25">
      <c r="B91" s="3" t="s">
        <v>108</v>
      </c>
      <c r="C91" s="23">
        <f>+C40+C41+C42+C43+C44</f>
        <v>2025114.3365900004</v>
      </c>
      <c r="D91" s="23">
        <f>+D40+D41+D42+D43+D44</f>
        <v>0</v>
      </c>
      <c r="E91" s="23">
        <f>+E40+E41+E42+E43+E44</f>
        <v>1160046.4763981265</v>
      </c>
      <c r="F91" s="23">
        <f>+F40+F41+F42+F43+F44</f>
        <v>2039296.0788577634</v>
      </c>
      <c r="G91" s="23">
        <f>+G40+G41+G42+G43+G44</f>
        <v>2066175.8561023453</v>
      </c>
      <c r="H91" s="23"/>
    </row>
    <row r="92" spans="1:17" x14ac:dyDescent="0.25">
      <c r="B92" s="3" t="s">
        <v>58</v>
      </c>
      <c r="C92" s="23">
        <f>+C48</f>
        <v>107727.52524999999</v>
      </c>
      <c r="D92" s="23">
        <f>+D48</f>
        <v>107727.52524999999</v>
      </c>
      <c r="E92" s="23">
        <f>+E48</f>
        <v>110821.49151754769</v>
      </c>
      <c r="F92" s="23">
        <f>+F48</f>
        <v>112176.30088286794</v>
      </c>
      <c r="G92" s="23">
        <f>+G48</f>
        <v>113654.88656305107</v>
      </c>
      <c r="H92" s="23"/>
    </row>
    <row r="93" spans="1:17" x14ac:dyDescent="0.25">
      <c r="B93" s="3" t="s">
        <v>98</v>
      </c>
      <c r="C93" s="23">
        <f>+C88+C89+C90+C91+C92</f>
        <v>20466082.88775</v>
      </c>
      <c r="D93" s="23">
        <f>+D88+D89+D90+D91+D92</f>
        <v>18354596.125021923</v>
      </c>
      <c r="E93" s="23">
        <f>+E88+E89+E90+E91+E92</f>
        <v>20121167.958059315</v>
      </c>
      <c r="F93" s="23">
        <f>+F88+F89+F90+F91+F92</f>
        <v>21233228.231358666</v>
      </c>
      <c r="G93" s="23">
        <f>+G88+G89+G90+G91+G92</f>
        <v>21513101.49299999</v>
      </c>
      <c r="H93" s="23">
        <f>+G93-C93</f>
        <v>1047018.6052499898</v>
      </c>
    </row>
    <row r="94" spans="1:17" x14ac:dyDescent="0.25">
      <c r="B94" s="3"/>
      <c r="C94" s="96">
        <f>+C93-C58</f>
        <v>0</v>
      </c>
      <c r="D94" s="96">
        <f>+D93-D58</f>
        <v>0</v>
      </c>
      <c r="E94" s="96">
        <f>+E93-E58</f>
        <v>0</v>
      </c>
      <c r="F94" s="96">
        <f>+F93-F58</f>
        <v>0</v>
      </c>
      <c r="G94" s="96">
        <f>+G93-G58</f>
        <v>0</v>
      </c>
      <c r="H94" s="97">
        <f>+H93-G60</f>
        <v>0</v>
      </c>
    </row>
    <row r="95" spans="1:17" x14ac:dyDescent="0.25">
      <c r="B95" s="3"/>
      <c r="C95" s="23"/>
      <c r="D95" s="95"/>
      <c r="E95" s="23"/>
      <c r="F95" s="23"/>
      <c r="G95" s="23"/>
      <c r="H95" s="23"/>
      <c r="K95" s="23"/>
      <c r="L95" s="23"/>
      <c r="M95" s="23"/>
      <c r="N95" s="23"/>
      <c r="O95" s="23"/>
      <c r="P95" s="23"/>
    </row>
    <row r="96" spans="1:17" x14ac:dyDescent="0.25">
      <c r="B96" s="98" t="s">
        <v>102</v>
      </c>
      <c r="C96" s="23">
        <f>+C63+C64+C65+C68</f>
        <v>0</v>
      </c>
      <c r="D96" s="23">
        <f>+D63+D64+D65+D68</f>
        <v>0</v>
      </c>
      <c r="E96" s="23">
        <f>+E63+E64+E65+E68</f>
        <v>0</v>
      </c>
      <c r="F96" s="23">
        <f>+F63+F64+F65+F68</f>
        <v>0</v>
      </c>
      <c r="G96" s="23">
        <f>+G63+G64+G65+G68</f>
        <v>7.4505805969238281E-9</v>
      </c>
      <c r="H96" s="23">
        <f>+G96-C96</f>
        <v>7.4505805969238281E-9</v>
      </c>
    </row>
    <row r="97" spans="2:8" x14ac:dyDescent="0.25">
      <c r="B97" s="3"/>
      <c r="C97" s="97">
        <f>+C96-C66-C68</f>
        <v>0</v>
      </c>
      <c r="D97" s="97">
        <f>+D96-D66-D68</f>
        <v>0</v>
      </c>
      <c r="E97" s="97">
        <f>+E96-E66-E68</f>
        <v>0</v>
      </c>
      <c r="F97" s="97">
        <f>+F96-F66-F68</f>
        <v>0</v>
      </c>
      <c r="G97" s="97">
        <f>+G96-G66-G68</f>
        <v>0</v>
      </c>
      <c r="H97" s="97">
        <f>+H96-G70</f>
        <v>0</v>
      </c>
    </row>
    <row r="98" spans="2:8" x14ac:dyDescent="0.25">
      <c r="B98" s="3"/>
      <c r="C98" s="23"/>
      <c r="D98" s="23"/>
      <c r="E98" s="23"/>
      <c r="F98" s="23"/>
      <c r="G98" s="23"/>
      <c r="H98" s="23"/>
    </row>
    <row r="101" spans="2:8" x14ac:dyDescent="0.25">
      <c r="B101" s="3" t="s">
        <v>99</v>
      </c>
      <c r="C101" s="23">
        <f>+C58+C66+C68</f>
        <v>20466082.88775</v>
      </c>
      <c r="D101" s="23">
        <f>+D58+D66+D68</f>
        <v>18354596.125021923</v>
      </c>
      <c r="E101" s="23">
        <f>+E58+E66+E68</f>
        <v>20121167.958059315</v>
      </c>
      <c r="F101" s="23">
        <f>+F58+F66+F68</f>
        <v>21233228.231358666</v>
      </c>
      <c r="G101" s="23">
        <f>+G58+G66+G68</f>
        <v>21513101.492999997</v>
      </c>
      <c r="H101" s="23">
        <f>+G101-C101</f>
        <v>1047018.6052499972</v>
      </c>
    </row>
    <row r="102" spans="2:8" x14ac:dyDescent="0.25">
      <c r="B102" s="3"/>
      <c r="C102" s="97">
        <f>+C101-C72</f>
        <v>0</v>
      </c>
      <c r="D102" s="97">
        <f>+D101-D72</f>
        <v>0</v>
      </c>
      <c r="E102" s="97">
        <f>+E101-E72</f>
        <v>0</v>
      </c>
      <c r="F102" s="97">
        <f>+F101-F72</f>
        <v>0</v>
      </c>
      <c r="G102" s="97">
        <f>+G101-G72</f>
        <v>0</v>
      </c>
      <c r="H102" s="97">
        <f>+H101-G74</f>
        <v>0</v>
      </c>
    </row>
  </sheetData>
  <mergeCells count="1">
    <mergeCell ref="Y1:AB1"/>
  </mergeCells>
  <phoneticPr fontId="0" type="noConversion"/>
  <printOptions horizontalCentered="1" verticalCentered="1"/>
  <pageMargins left="0.25" right="0.25" top="0.25" bottom="0.25" header="0.5" footer="0.5"/>
  <pageSetup scale="89" orientation="portrait" r:id="rId1"/>
  <headerFooter alignWithMargins="0"/>
  <customProperties>
    <customPr name="_pios_id" r:id="rId2"/>
    <customPr name="EpmWorksheetKeyString_GUID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4" sqref="H4"/>
    </sheetView>
  </sheetViews>
  <sheetFormatPr defaultRowHeight="13.2" x14ac:dyDescent="0.25"/>
  <cols>
    <col min="1" max="1" width="25.6640625" bestFit="1" customWidth="1"/>
    <col min="2" max="2" width="12.21875" bestFit="1" customWidth="1"/>
    <col min="3" max="3" width="13.88671875" bestFit="1" customWidth="1"/>
    <col min="4" max="4" width="8.88671875" bestFit="1" customWidth="1"/>
    <col min="5" max="5" width="13.44140625" bestFit="1" customWidth="1"/>
    <col min="6" max="6" width="10.88671875" bestFit="1" customWidth="1"/>
  </cols>
  <sheetData>
    <row r="1" spans="1:8" x14ac:dyDescent="0.25">
      <c r="A1" s="8" t="s">
        <v>124</v>
      </c>
      <c r="C1" s="1"/>
    </row>
    <row r="2" spans="1:8" x14ac:dyDescent="0.25">
      <c r="A2" s="3"/>
      <c r="B2" s="201" t="s">
        <v>18</v>
      </c>
      <c r="C2" s="202" t="s">
        <v>88</v>
      </c>
      <c r="D2" s="201" t="s">
        <v>20</v>
      </c>
      <c r="E2" s="201" t="s">
        <v>89</v>
      </c>
      <c r="F2" s="201" t="s">
        <v>90</v>
      </c>
    </row>
    <row r="3" spans="1:8" x14ac:dyDescent="0.25">
      <c r="A3" s="3"/>
      <c r="B3" s="201"/>
      <c r="C3" s="202" t="s">
        <v>91</v>
      </c>
      <c r="D3" s="201"/>
      <c r="E3" s="201" t="s">
        <v>92</v>
      </c>
      <c r="F3" s="201"/>
    </row>
    <row r="4" spans="1:8" x14ac:dyDescent="0.25">
      <c r="A4" s="8" t="s">
        <v>93</v>
      </c>
      <c r="B4" s="82">
        <v>668739</v>
      </c>
      <c r="C4" s="82">
        <v>502567</v>
      </c>
      <c r="D4" s="82">
        <v>315628</v>
      </c>
      <c r="E4" s="82">
        <v>129093</v>
      </c>
      <c r="F4" s="82">
        <v>359121</v>
      </c>
      <c r="H4" s="1">
        <f>+B4+D4+F4</f>
        <v>1343488</v>
      </c>
    </row>
    <row r="6" spans="1:8" x14ac:dyDescent="0.25">
      <c r="A6" t="s">
        <v>125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3"/>
  <sheetViews>
    <sheetView zoomScale="70" zoomScaleNormal="70" workbookViewId="0">
      <selection activeCell="P5" sqref="P5"/>
    </sheetView>
  </sheetViews>
  <sheetFormatPr defaultRowHeight="13.2" x14ac:dyDescent="0.25"/>
  <cols>
    <col min="2" max="2" width="13" bestFit="1" customWidth="1"/>
    <col min="3" max="14" width="16.44140625" bestFit="1" customWidth="1"/>
    <col min="15" max="15" width="12.88671875" customWidth="1"/>
    <col min="17" max="17" width="13.5546875" bestFit="1" customWidth="1"/>
    <col min="18" max="18" width="13.88671875" bestFit="1" customWidth="1"/>
  </cols>
  <sheetData>
    <row r="1" spans="1:19" ht="17.399999999999999" x14ac:dyDescent="0.25">
      <c r="B1" s="253" t="s">
        <v>126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19" ht="17.399999999999999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9" ht="16.2" thickBot="1" x14ac:dyDescent="0.3">
      <c r="B3" s="254" t="s">
        <v>66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9" x14ac:dyDescent="0.25">
      <c r="B4" s="169" t="s">
        <v>67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72"/>
      <c r="P4" s="128">
        <v>2025</v>
      </c>
      <c r="Q4" s="28" t="s">
        <v>105</v>
      </c>
    </row>
    <row r="5" spans="1:19" ht="13.8" thickBot="1" x14ac:dyDescent="0.3">
      <c r="B5" s="170" t="s">
        <v>68</v>
      </c>
      <c r="C5" s="168" t="s">
        <v>69</v>
      </c>
      <c r="D5" s="168" t="s">
        <v>70</v>
      </c>
      <c r="E5" s="168" t="s">
        <v>71</v>
      </c>
      <c r="F5" s="168" t="s">
        <v>72</v>
      </c>
      <c r="G5" s="168" t="s">
        <v>73</v>
      </c>
      <c r="H5" s="168" t="s">
        <v>74</v>
      </c>
      <c r="I5" s="168" t="s">
        <v>75</v>
      </c>
      <c r="J5" s="168" t="s">
        <v>76</v>
      </c>
      <c r="K5" s="168" t="s">
        <v>77</v>
      </c>
      <c r="L5" s="168" t="s">
        <v>78</v>
      </c>
      <c r="M5" s="168" t="s">
        <v>79</v>
      </c>
      <c r="N5" s="171" t="s">
        <v>80</v>
      </c>
      <c r="O5" s="170" t="s">
        <v>10</v>
      </c>
      <c r="P5" s="135" t="s">
        <v>104</v>
      </c>
      <c r="Q5" s="28" t="s">
        <v>104</v>
      </c>
    </row>
    <row r="6" spans="1:19" ht="14.4" x14ac:dyDescent="0.3">
      <c r="B6" s="158" t="s">
        <v>24</v>
      </c>
      <c r="C6" s="186">
        <v>775785.19264000002</v>
      </c>
      <c r="D6" s="187">
        <v>704994.33736999996</v>
      </c>
      <c r="E6" s="187">
        <v>655533.38372000004</v>
      </c>
      <c r="F6" s="187">
        <v>692749.01418000006</v>
      </c>
      <c r="G6" s="187">
        <v>811880.72375</v>
      </c>
      <c r="H6" s="187">
        <v>1003546.32849</v>
      </c>
      <c r="I6" s="187">
        <v>1076424.03831</v>
      </c>
      <c r="J6" s="187">
        <v>1068841.7567199999</v>
      </c>
      <c r="K6" s="187">
        <v>1099545.9888900002</v>
      </c>
      <c r="L6" s="187">
        <v>943960.12976000004</v>
      </c>
      <c r="M6" s="187">
        <v>755130.58232000005</v>
      </c>
      <c r="N6" s="188">
        <v>701676.97779000003</v>
      </c>
      <c r="O6" s="164">
        <f>SUM(C6:N6)</f>
        <v>10290068.453940002</v>
      </c>
      <c r="P6" s="69">
        <v>0</v>
      </c>
      <c r="Q6" s="69">
        <f>+O6+P6</f>
        <v>10290068.453940002</v>
      </c>
      <c r="R6" s="99"/>
      <c r="S6" s="1"/>
    </row>
    <row r="7" spans="1:19" ht="14.4" x14ac:dyDescent="0.3">
      <c r="B7" s="159" t="s">
        <v>25</v>
      </c>
      <c r="C7" s="189">
        <v>72855.783389999982</v>
      </c>
      <c r="D7" s="190">
        <v>67112.231070000009</v>
      </c>
      <c r="E7" s="190">
        <v>68172.999340000009</v>
      </c>
      <c r="F7" s="190">
        <v>72534.28677999998</v>
      </c>
      <c r="G7" s="190">
        <v>77420.043810000003</v>
      </c>
      <c r="H7" s="190">
        <v>86149.256980000006</v>
      </c>
      <c r="I7" s="190">
        <v>90050.526729999983</v>
      </c>
      <c r="J7" s="190">
        <v>90104.707309999983</v>
      </c>
      <c r="K7" s="190">
        <v>92582.189830000018</v>
      </c>
      <c r="L7" s="190">
        <v>84698.457410000017</v>
      </c>
      <c r="M7" s="190">
        <v>77033.783209999994</v>
      </c>
      <c r="N7" s="191">
        <v>72221.634880000012</v>
      </c>
      <c r="O7" s="165">
        <f>SUM(C7:N7)</f>
        <v>950935.90074000007</v>
      </c>
      <c r="P7" s="69">
        <v>0</v>
      </c>
      <c r="Q7" s="69">
        <f>+O7+P7</f>
        <v>950935.90074000007</v>
      </c>
      <c r="R7" s="99"/>
      <c r="S7" s="1"/>
    </row>
    <row r="8" spans="1:19" ht="14.4" x14ac:dyDescent="0.3">
      <c r="A8" s="137"/>
      <c r="B8" s="160" t="s">
        <v>6</v>
      </c>
      <c r="C8" s="189">
        <v>538443.70311999996</v>
      </c>
      <c r="D8" s="190">
        <v>503850.80610000005</v>
      </c>
      <c r="E8" s="190">
        <v>513593.22577999998</v>
      </c>
      <c r="F8" s="190">
        <v>546438.50157999992</v>
      </c>
      <c r="G8" s="190">
        <v>582740.26284999994</v>
      </c>
      <c r="H8" s="190">
        <v>642373.45149999997</v>
      </c>
      <c r="I8" s="190">
        <v>668767.26812999998</v>
      </c>
      <c r="J8" s="190">
        <v>669073.16819000011</v>
      </c>
      <c r="K8" s="190">
        <v>684147.21292000008</v>
      </c>
      <c r="L8" s="190">
        <v>629965.10266999993</v>
      </c>
      <c r="M8" s="190">
        <v>574893.71561000007</v>
      </c>
      <c r="N8" s="191">
        <v>537950.25277999998</v>
      </c>
      <c r="O8" s="165">
        <f>SUM(C8:N8)</f>
        <v>7092236.6712300004</v>
      </c>
      <c r="P8" s="69">
        <v>0</v>
      </c>
      <c r="Q8" s="69">
        <f>+O8+P8</f>
        <v>7092236.6712300004</v>
      </c>
      <c r="R8" s="99"/>
      <c r="S8" s="1"/>
    </row>
    <row r="9" spans="1:19" ht="14.4" x14ac:dyDescent="0.3">
      <c r="A9" s="137"/>
      <c r="B9" s="159" t="s">
        <v>108</v>
      </c>
      <c r="C9" s="189">
        <v>164342.23903999999</v>
      </c>
      <c r="D9" s="190">
        <v>153448.61436000001</v>
      </c>
      <c r="E9" s="190">
        <v>163631.04701999997</v>
      </c>
      <c r="F9" s="190">
        <v>165499.46248000002</v>
      </c>
      <c r="G9" s="190">
        <v>171406.34709</v>
      </c>
      <c r="H9" s="190">
        <v>173111.72482</v>
      </c>
      <c r="I9" s="190">
        <v>177831.12873000003</v>
      </c>
      <c r="J9" s="190">
        <v>177713.42257</v>
      </c>
      <c r="K9" s="190">
        <v>175787.01933000001</v>
      </c>
      <c r="L9" s="190">
        <v>173899.07868000001</v>
      </c>
      <c r="M9" s="190">
        <v>164480.03417000003</v>
      </c>
      <c r="N9" s="191">
        <v>163964.21830000001</v>
      </c>
      <c r="O9" s="165">
        <f>SUM(C9:N9)</f>
        <v>2025114.3365900002</v>
      </c>
      <c r="P9" s="69">
        <v>0</v>
      </c>
      <c r="Q9" s="69">
        <f>+O9+P9</f>
        <v>2025114.3365900002</v>
      </c>
      <c r="R9" s="99"/>
      <c r="S9" s="1"/>
    </row>
    <row r="10" spans="1:19" ht="15" thickBot="1" x14ac:dyDescent="0.35">
      <c r="B10" s="161" t="s">
        <v>9</v>
      </c>
      <c r="C10" s="192">
        <v>9114.0241300000016</v>
      </c>
      <c r="D10" s="193">
        <v>9107.4799000000003</v>
      </c>
      <c r="E10" s="193">
        <v>9070.5746999999992</v>
      </c>
      <c r="F10" s="193">
        <v>8955.0699100000002</v>
      </c>
      <c r="G10" s="193">
        <v>8861.4026300000005</v>
      </c>
      <c r="H10" s="193">
        <v>8839.28838</v>
      </c>
      <c r="I10" s="193">
        <v>8828.9970499999999</v>
      </c>
      <c r="J10" s="193">
        <v>8842.9862300000004</v>
      </c>
      <c r="K10" s="193">
        <v>8922.6067300000013</v>
      </c>
      <c r="L10" s="193">
        <v>8884.5046500000008</v>
      </c>
      <c r="M10" s="193">
        <v>9030.7909899999995</v>
      </c>
      <c r="N10" s="194">
        <v>9269.7999499999987</v>
      </c>
      <c r="O10" s="166">
        <f>SUM(C10:N10)</f>
        <v>107727.52524999999</v>
      </c>
      <c r="P10" s="69">
        <v>0</v>
      </c>
      <c r="Q10" s="69">
        <f>+O10+P10</f>
        <v>107727.52524999999</v>
      </c>
      <c r="R10" s="99"/>
      <c r="S10" s="1"/>
    </row>
    <row r="11" spans="1:19" x14ac:dyDescent="0.25">
      <c r="C11" s="200">
        <f>SUM(C6:C10)</f>
        <v>1560540.9423199999</v>
      </c>
      <c r="D11" s="200">
        <f t="shared" ref="D11:N11" si="0">SUM(D6:D10)</f>
        <v>1438513.4687999999</v>
      </c>
      <c r="E11" s="200">
        <f t="shared" si="0"/>
        <v>1410001.2305599998</v>
      </c>
      <c r="F11" s="200">
        <f t="shared" si="0"/>
        <v>1486176.3349300001</v>
      </c>
      <c r="G11" s="200">
        <f t="shared" si="0"/>
        <v>1652308.7801300001</v>
      </c>
      <c r="H11" s="200">
        <f t="shared" si="0"/>
        <v>1914020.0501699999</v>
      </c>
      <c r="I11" s="200">
        <f t="shared" si="0"/>
        <v>2021901.9589499999</v>
      </c>
      <c r="J11" s="200">
        <f t="shared" si="0"/>
        <v>2014576.0410199999</v>
      </c>
      <c r="K11" s="200">
        <f t="shared" si="0"/>
        <v>2060985.0177000004</v>
      </c>
      <c r="L11" s="200">
        <f t="shared" si="0"/>
        <v>1841407.2731700002</v>
      </c>
      <c r="M11" s="200">
        <f t="shared" si="0"/>
        <v>1580568.9063000001</v>
      </c>
      <c r="N11" s="200">
        <f t="shared" si="0"/>
        <v>1485082.8836999999</v>
      </c>
      <c r="O11" s="93">
        <f>SUM(O6:O10)</f>
        <v>20466082.88775</v>
      </c>
      <c r="P11" s="69">
        <f>SUM(P6:P10)</f>
        <v>0</v>
      </c>
      <c r="Q11" s="69">
        <f>SUM(Q6:Q10)</f>
        <v>20466082.88775</v>
      </c>
      <c r="R11" s="99"/>
      <c r="S11" s="1"/>
    </row>
    <row r="12" spans="1:19" x14ac:dyDescent="0.25"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"/>
      <c r="P12" s="69"/>
      <c r="Q12" s="69"/>
      <c r="R12" s="99"/>
      <c r="S12" s="1"/>
    </row>
    <row r="19" spans="1:15" x14ac:dyDescent="0.25">
      <c r="A19" s="133" t="s">
        <v>107</v>
      </c>
      <c r="B19" s="133" t="s">
        <v>127</v>
      </c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5" x14ac:dyDescent="0.25">
      <c r="B20" s="132"/>
    </row>
    <row r="21" spans="1:15" x14ac:dyDescent="0.25">
      <c r="B21" s="132"/>
    </row>
    <row r="22" spans="1:15" ht="14.4" x14ac:dyDescent="0.3">
      <c r="E22" s="185"/>
      <c r="F22" s="185"/>
      <c r="G22" s="185"/>
      <c r="H22" s="185"/>
      <c r="I22" s="185"/>
      <c r="O22" s="27"/>
    </row>
    <row r="23" spans="1:15" ht="14.4" x14ac:dyDescent="0.3">
      <c r="E23" s="185"/>
      <c r="F23" s="185"/>
      <c r="G23" s="185"/>
      <c r="H23" s="185"/>
      <c r="I23" s="185"/>
    </row>
    <row r="24" spans="1:15" ht="14.4" x14ac:dyDescent="0.3">
      <c r="E24" s="185"/>
      <c r="F24" s="185"/>
      <c r="G24" s="185"/>
      <c r="H24" s="185"/>
      <c r="I24" s="185"/>
    </row>
    <row r="25" spans="1:15" ht="14.4" x14ac:dyDescent="0.3">
      <c r="E25" s="185"/>
      <c r="F25" s="185"/>
      <c r="G25" s="185"/>
      <c r="H25" s="185"/>
      <c r="I25" s="185"/>
    </row>
    <row r="26" spans="1:15" ht="14.4" x14ac:dyDescent="0.3">
      <c r="E26" s="185"/>
      <c r="F26" s="185"/>
      <c r="G26" s="185"/>
      <c r="H26" s="185"/>
      <c r="I26" s="185"/>
    </row>
    <row r="27" spans="1:15" ht="14.4" x14ac:dyDescent="0.3">
      <c r="E27" s="185"/>
      <c r="F27" s="185"/>
      <c r="G27" s="185"/>
      <c r="H27" s="185"/>
      <c r="I27" s="185"/>
    </row>
    <row r="28" spans="1:15" ht="14.4" x14ac:dyDescent="0.3">
      <c r="E28" s="185"/>
      <c r="F28" s="185"/>
      <c r="G28" s="185"/>
      <c r="H28" s="185"/>
      <c r="I28" s="185"/>
    </row>
    <row r="29" spans="1:15" ht="14.4" x14ac:dyDescent="0.3">
      <c r="E29" s="185"/>
      <c r="F29" s="185"/>
      <c r="G29" s="185"/>
      <c r="H29" s="185"/>
      <c r="I29" s="185"/>
    </row>
    <row r="30" spans="1:15" ht="14.4" x14ac:dyDescent="0.3">
      <c r="E30" s="185"/>
      <c r="F30" s="185"/>
      <c r="G30" s="185"/>
      <c r="H30" s="185"/>
      <c r="I30" s="185"/>
    </row>
    <row r="31" spans="1:15" ht="14.4" x14ac:dyDescent="0.3">
      <c r="E31" s="185"/>
      <c r="F31" s="185"/>
      <c r="G31" s="185"/>
      <c r="H31" s="185"/>
      <c r="I31" s="185"/>
    </row>
    <row r="32" spans="1:15" ht="14.4" x14ac:dyDescent="0.3">
      <c r="E32" s="185"/>
      <c r="F32" s="185"/>
      <c r="G32" s="185"/>
      <c r="H32" s="185"/>
      <c r="I32" s="185"/>
    </row>
    <row r="33" spans="5:9" ht="14.4" x14ac:dyDescent="0.3">
      <c r="E33" s="185"/>
      <c r="F33" s="185"/>
      <c r="G33" s="185"/>
      <c r="H33" s="185"/>
      <c r="I33" s="185"/>
    </row>
  </sheetData>
  <mergeCells count="2">
    <mergeCell ref="B1:O1"/>
    <mergeCell ref="B3:O3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="90" zoomScaleNormal="9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N6" sqref="N6:N42"/>
    </sheetView>
  </sheetViews>
  <sheetFormatPr defaultRowHeight="13.2" x14ac:dyDescent="0.25"/>
  <cols>
    <col min="14" max="14" width="9.21875" style="242" customWidth="1"/>
    <col min="17" max="17" width="13.5546875" bestFit="1" customWidth="1"/>
    <col min="18" max="18" width="5.5546875" bestFit="1" customWidth="1"/>
    <col min="20" max="20" width="15.88671875" customWidth="1"/>
    <col min="21" max="21" width="12.6640625" bestFit="1" customWidth="1"/>
    <col min="22" max="22" width="13.88671875" bestFit="1" customWidth="1"/>
    <col min="23" max="23" width="12.6640625" bestFit="1" customWidth="1"/>
    <col min="24" max="25" width="11.109375" bestFit="1" customWidth="1"/>
    <col min="26" max="26" width="13.88671875" bestFit="1" customWidth="1"/>
  </cols>
  <sheetData>
    <row r="1" spans="1:26" x14ac:dyDescent="0.25">
      <c r="A1" s="203"/>
      <c r="B1" s="204"/>
      <c r="C1" s="204" t="s">
        <v>130</v>
      </c>
      <c r="D1" s="204"/>
      <c r="E1" s="204" t="s">
        <v>131</v>
      </c>
      <c r="F1" s="204"/>
      <c r="G1" s="204"/>
      <c r="H1" s="204" t="s">
        <v>132</v>
      </c>
      <c r="I1" s="204"/>
      <c r="J1" s="204"/>
      <c r="K1" s="204" t="s">
        <v>133</v>
      </c>
      <c r="L1" s="204"/>
      <c r="M1" s="204"/>
      <c r="N1" s="236" t="s">
        <v>134</v>
      </c>
      <c r="O1" s="204"/>
      <c r="P1" s="204" t="s">
        <v>135</v>
      </c>
      <c r="Q1" s="204"/>
    </row>
    <row r="2" spans="1:26" x14ac:dyDescent="0.25">
      <c r="A2" s="203"/>
      <c r="B2" s="205"/>
      <c r="C2" s="204" t="s">
        <v>136</v>
      </c>
      <c r="D2" s="203"/>
      <c r="E2" s="203" t="s">
        <v>137</v>
      </c>
      <c r="F2" s="204"/>
      <c r="G2" s="203"/>
      <c r="H2" s="203"/>
      <c r="I2" s="204"/>
      <c r="J2" s="203"/>
      <c r="K2" s="204" t="s">
        <v>138</v>
      </c>
      <c r="L2" s="203"/>
      <c r="M2" s="203"/>
      <c r="N2" s="237" t="s">
        <v>136</v>
      </c>
      <c r="O2" s="203"/>
      <c r="P2" s="203" t="s">
        <v>136</v>
      </c>
      <c r="Q2" s="203"/>
    </row>
    <row r="3" spans="1:26" x14ac:dyDescent="0.25">
      <c r="A3" s="203" t="s">
        <v>139</v>
      </c>
      <c r="B3" s="203"/>
      <c r="C3" s="203" t="s">
        <v>140</v>
      </c>
      <c r="D3" s="204"/>
      <c r="E3" s="204" t="s">
        <v>141</v>
      </c>
      <c r="F3" s="203"/>
      <c r="G3" s="255" t="s">
        <v>142</v>
      </c>
      <c r="H3" s="255"/>
      <c r="I3" s="255"/>
      <c r="J3" s="204"/>
      <c r="K3" s="203" t="s">
        <v>143</v>
      </c>
      <c r="L3" s="204"/>
      <c r="M3" s="204"/>
      <c r="N3" s="236" t="s">
        <v>144</v>
      </c>
      <c r="O3" s="204"/>
      <c r="P3" s="204" t="s">
        <v>99</v>
      </c>
      <c r="Q3" s="203"/>
      <c r="T3" s="27" t="s">
        <v>173</v>
      </c>
    </row>
    <row r="4" spans="1:26" ht="13.8" thickBot="1" x14ac:dyDescent="0.3">
      <c r="A4" s="206" t="s">
        <v>145</v>
      </c>
      <c r="B4" s="206"/>
      <c r="C4" s="206" t="s">
        <v>146</v>
      </c>
      <c r="D4" s="207"/>
      <c r="E4" s="207" t="s">
        <v>101</v>
      </c>
      <c r="F4" s="207"/>
      <c r="G4" s="207" t="s">
        <v>136</v>
      </c>
      <c r="H4" s="207"/>
      <c r="I4" s="207" t="s">
        <v>147</v>
      </c>
      <c r="J4" s="207"/>
      <c r="K4" s="207" t="s">
        <v>148</v>
      </c>
      <c r="L4" s="207"/>
      <c r="M4" s="207"/>
      <c r="N4" s="238" t="s">
        <v>149</v>
      </c>
      <c r="O4" s="207"/>
      <c r="P4" s="207" t="s">
        <v>103</v>
      </c>
      <c r="Q4" s="207"/>
    </row>
    <row r="5" spans="1:26" ht="14.4" x14ac:dyDescent="0.3">
      <c r="A5" s="208" t="s">
        <v>3</v>
      </c>
      <c r="B5" s="209"/>
      <c r="C5" s="205"/>
      <c r="D5" s="208"/>
      <c r="E5" s="208"/>
      <c r="F5" s="208"/>
      <c r="G5" s="223" t="s">
        <v>154</v>
      </c>
      <c r="H5" s="209"/>
      <c r="I5" s="223" t="s">
        <v>154</v>
      </c>
      <c r="J5" s="209"/>
      <c r="K5" s="223" t="s">
        <v>154</v>
      </c>
      <c r="L5" s="209"/>
      <c r="M5" s="209"/>
      <c r="N5" s="213"/>
      <c r="O5" s="209"/>
      <c r="P5" s="223" t="s">
        <v>154</v>
      </c>
      <c r="Q5" s="209"/>
      <c r="T5" s="225" t="s">
        <v>157</v>
      </c>
      <c r="U5" s="225" t="s">
        <v>158</v>
      </c>
      <c r="V5" s="225"/>
      <c r="W5" s="225"/>
      <c r="X5" s="225"/>
      <c r="Y5" s="225"/>
      <c r="Z5" s="225"/>
    </row>
    <row r="6" spans="1:26" ht="14.4" x14ac:dyDescent="0.3">
      <c r="A6" s="210" t="s">
        <v>4</v>
      </c>
      <c r="B6" s="205"/>
      <c r="C6" s="211">
        <f>+Annual!G19</f>
        <v>10856246.44346484</v>
      </c>
      <c r="D6" s="210"/>
      <c r="E6" s="211">
        <f>+Annual!C19</f>
        <v>10290068.453940002</v>
      </c>
      <c r="F6" s="210"/>
      <c r="G6" s="216">
        <f>+C6-E6+N6</f>
        <v>566177.98952483758</v>
      </c>
      <c r="H6" s="217"/>
      <c r="I6" s="218">
        <f>+G6/C6</f>
        <v>5.2152278641911368E-2</v>
      </c>
      <c r="J6" s="217"/>
      <c r="K6" s="218">
        <f>+E6/C6</f>
        <v>0.94784772135808859</v>
      </c>
      <c r="L6" s="209"/>
      <c r="M6" s="209"/>
      <c r="N6" s="212">
        <v>0</v>
      </c>
      <c r="O6" s="209"/>
      <c r="P6" s="219">
        <f>+G6-N6</f>
        <v>566177.98952483758</v>
      </c>
      <c r="Q6" s="209"/>
      <c r="T6" s="225"/>
      <c r="U6" s="225"/>
      <c r="V6" s="225"/>
      <c r="W6" s="225"/>
      <c r="X6" s="225"/>
      <c r="Y6" s="225"/>
      <c r="Z6" s="225"/>
    </row>
    <row r="7" spans="1:26" ht="14.4" x14ac:dyDescent="0.3">
      <c r="A7" s="210"/>
      <c r="B7" s="205"/>
      <c r="C7" s="211"/>
      <c r="D7" s="210"/>
      <c r="E7" s="211"/>
      <c r="F7" s="210"/>
      <c r="G7" s="216"/>
      <c r="H7" s="219"/>
      <c r="I7" s="219"/>
      <c r="J7" s="219"/>
      <c r="K7" s="219"/>
      <c r="L7" s="211"/>
      <c r="M7" s="211"/>
      <c r="N7" s="212"/>
      <c r="O7" s="211"/>
      <c r="P7" s="219"/>
      <c r="Q7" s="211"/>
      <c r="T7" s="225" t="s">
        <v>159</v>
      </c>
      <c r="U7" s="225" t="s">
        <v>160</v>
      </c>
      <c r="V7" s="225"/>
      <c r="W7" s="225"/>
      <c r="X7" s="225"/>
      <c r="Y7" s="225"/>
      <c r="Z7" s="225"/>
    </row>
    <row r="8" spans="1:26" ht="14.4" x14ac:dyDescent="0.3">
      <c r="A8" s="210" t="s">
        <v>5</v>
      </c>
      <c r="B8" s="205"/>
      <c r="C8" s="211"/>
      <c r="D8" s="210"/>
      <c r="E8" s="211"/>
      <c r="F8" s="210"/>
      <c r="G8" s="216"/>
      <c r="H8" s="217"/>
      <c r="I8" s="217"/>
      <c r="J8" s="217"/>
      <c r="K8" s="220"/>
      <c r="L8" s="208"/>
      <c r="M8" s="208"/>
      <c r="N8" s="212"/>
      <c r="O8" s="208"/>
      <c r="P8" s="220"/>
      <c r="Q8" s="208"/>
      <c r="T8" s="228"/>
      <c r="U8" s="226" t="s">
        <v>161</v>
      </c>
      <c r="V8" s="228" t="s">
        <v>168</v>
      </c>
      <c r="W8" s="228" t="s">
        <v>166</v>
      </c>
      <c r="X8" s="229"/>
      <c r="Y8" s="229" t="s">
        <v>167</v>
      </c>
      <c r="Z8" s="226" t="s">
        <v>164</v>
      </c>
    </row>
    <row r="9" spans="1:26" ht="14.4" x14ac:dyDescent="0.3">
      <c r="A9" s="210" t="s">
        <v>7</v>
      </c>
      <c r="B9" s="205"/>
      <c r="C9" s="211">
        <f>+Annual!G22</f>
        <v>1002762.418273676</v>
      </c>
      <c r="D9" s="210"/>
      <c r="E9" s="211">
        <f>+Annual!C22</f>
        <v>950466.07322423032</v>
      </c>
      <c r="F9" s="210"/>
      <c r="G9" s="216">
        <f t="shared" ref="G9:G14" si="0">+C9-E9+N9</f>
        <v>53835.222780587137</v>
      </c>
      <c r="H9" s="217"/>
      <c r="I9" s="218">
        <f>+G9/C9</f>
        <v>5.36869170598437E-2</v>
      </c>
      <c r="J9" s="219"/>
      <c r="K9" s="218">
        <f t="shared" ref="K9:K14" si="1">+E9/C9</f>
        <v>0.94784772135808859</v>
      </c>
      <c r="L9" s="210"/>
      <c r="M9" s="210"/>
      <c r="N9" s="212">
        <f>(U10+V10+U11+V11+U14+V14)/T19*T22</f>
        <v>1538.877731141501</v>
      </c>
      <c r="O9" s="209"/>
      <c r="P9" s="219">
        <f t="shared" ref="P9:P14" si="2">+G9-N9</f>
        <v>52296.345049445634</v>
      </c>
      <c r="Q9" s="210"/>
      <c r="T9" s="230" t="s">
        <v>165</v>
      </c>
      <c r="U9" s="227" t="s">
        <v>161</v>
      </c>
      <c r="V9" s="230" t="s">
        <v>163</v>
      </c>
      <c r="W9" s="230" t="s">
        <v>163</v>
      </c>
      <c r="X9" s="231" t="s">
        <v>162</v>
      </c>
      <c r="Y9" s="231" t="s">
        <v>162</v>
      </c>
      <c r="Z9" s="227"/>
    </row>
    <row r="10" spans="1:26" ht="14.4" x14ac:dyDescent="0.3">
      <c r="A10" s="210" t="s">
        <v>150</v>
      </c>
      <c r="B10" s="205"/>
      <c r="C10" s="211">
        <f>+Annual!G23</f>
        <v>0</v>
      </c>
      <c r="D10" s="210"/>
      <c r="E10" s="211">
        <f>+Annual!C23</f>
        <v>0</v>
      </c>
      <c r="F10" s="210"/>
      <c r="G10" s="216">
        <f t="shared" si="0"/>
        <v>0</v>
      </c>
      <c r="H10" s="216"/>
      <c r="I10" s="218">
        <v>0</v>
      </c>
      <c r="J10" s="216"/>
      <c r="K10" s="218">
        <v>0</v>
      </c>
      <c r="L10" s="210"/>
      <c r="M10" s="210"/>
      <c r="N10" s="212"/>
      <c r="O10" s="209"/>
      <c r="P10" s="219">
        <f t="shared" si="2"/>
        <v>0</v>
      </c>
      <c r="Q10" s="210"/>
      <c r="T10" s="232" t="s">
        <v>169</v>
      </c>
      <c r="U10" s="244">
        <v>44616</v>
      </c>
      <c r="V10" s="245"/>
      <c r="W10" s="245"/>
      <c r="X10" s="246"/>
      <c r="Y10" s="246"/>
      <c r="Z10" s="244">
        <v>44616</v>
      </c>
    </row>
    <row r="11" spans="1:26" ht="14.4" x14ac:dyDescent="0.3">
      <c r="A11" s="205" t="s">
        <v>41</v>
      </c>
      <c r="B11" s="205"/>
      <c r="C11" s="211">
        <f>+Annual!G24</f>
        <v>157.18864055290183</v>
      </c>
      <c r="D11" s="211"/>
      <c r="E11" s="211">
        <f>+Annual!C24</f>
        <v>153.2699571700723</v>
      </c>
      <c r="F11" s="211"/>
      <c r="G11" s="216">
        <f t="shared" si="0"/>
        <v>25.343499696449719</v>
      </c>
      <c r="H11" s="221"/>
      <c r="I11" s="218">
        <f t="shared" ref="I11:I14" si="3">+G11/C11</f>
        <v>0.16122984210121954</v>
      </c>
      <c r="J11" s="221"/>
      <c r="K11" s="218">
        <f t="shared" si="1"/>
        <v>0.97507018720280425</v>
      </c>
      <c r="L11" s="205"/>
      <c r="M11" s="205"/>
      <c r="N11" s="212">
        <f>(W11+W10+W14)/T19*T22</f>
        <v>21.424816313620191</v>
      </c>
      <c r="O11" s="209"/>
      <c r="P11" s="219">
        <f t="shared" si="2"/>
        <v>3.9186833828295278</v>
      </c>
      <c r="Q11" s="210"/>
      <c r="T11" s="233" t="s">
        <v>25</v>
      </c>
      <c r="U11" s="244">
        <v>1093746</v>
      </c>
      <c r="V11" s="245">
        <v>398146</v>
      </c>
      <c r="W11" s="245">
        <v>21465</v>
      </c>
      <c r="X11" s="246"/>
      <c r="Y11" s="246"/>
      <c r="Z11" s="244">
        <v>1513357</v>
      </c>
    </row>
    <row r="12" spans="1:26" ht="14.4" x14ac:dyDescent="0.3">
      <c r="A12" s="205" t="s">
        <v>42</v>
      </c>
      <c r="B12" s="205"/>
      <c r="C12" s="211">
        <f>+Annual!G25</f>
        <v>324.65104846220248</v>
      </c>
      <c r="D12" s="211"/>
      <c r="E12" s="211">
        <f>+Annual!C25</f>
        <v>316.55755859962647</v>
      </c>
      <c r="F12" s="211"/>
      <c r="G12" s="216">
        <f t="shared" si="0"/>
        <v>8.093489862576007</v>
      </c>
      <c r="H12" s="221"/>
      <c r="I12" s="218">
        <f t="shared" si="3"/>
        <v>2.492981279719567E-2</v>
      </c>
      <c r="J12" s="221"/>
      <c r="K12" s="218">
        <f t="shared" si="1"/>
        <v>0.97507018720280436</v>
      </c>
      <c r="L12" s="205"/>
      <c r="M12" s="205"/>
      <c r="N12" s="212">
        <f>(+X11+X10+X14)/T19*T22</f>
        <v>0</v>
      </c>
      <c r="O12" s="209"/>
      <c r="P12" s="219">
        <f t="shared" si="2"/>
        <v>8.093489862576007</v>
      </c>
      <c r="Q12" s="210"/>
      <c r="T12" s="233" t="s">
        <v>6</v>
      </c>
      <c r="U12" s="244">
        <v>884633</v>
      </c>
      <c r="V12" s="245">
        <v>25862517</v>
      </c>
      <c r="W12" s="245">
        <v>5277064</v>
      </c>
      <c r="X12" s="246">
        <v>168770</v>
      </c>
      <c r="Y12" s="246">
        <v>284350</v>
      </c>
      <c r="Z12" s="244">
        <v>32477334</v>
      </c>
    </row>
    <row r="13" spans="1:26" ht="14.4" x14ac:dyDescent="0.3">
      <c r="A13" s="205" t="s">
        <v>43</v>
      </c>
      <c r="B13" s="205"/>
      <c r="C13" s="211">
        <f>+Annual!G26</f>
        <v>0</v>
      </c>
      <c r="D13" s="211"/>
      <c r="E13" s="211">
        <f>+Annual!C26</f>
        <v>0</v>
      </c>
      <c r="F13" s="211"/>
      <c r="G13" s="216">
        <f t="shared" si="0"/>
        <v>0</v>
      </c>
      <c r="H13" s="221"/>
      <c r="I13" s="218">
        <v>0</v>
      </c>
      <c r="J13" s="221"/>
      <c r="K13" s="218">
        <v>0</v>
      </c>
      <c r="L13" s="205"/>
      <c r="M13" s="205"/>
      <c r="N13" s="212"/>
      <c r="O13" s="209"/>
      <c r="P13" s="219">
        <f t="shared" si="2"/>
        <v>0</v>
      </c>
      <c r="Q13" s="210"/>
      <c r="T13" s="233" t="s">
        <v>170</v>
      </c>
      <c r="U13" s="244"/>
      <c r="V13" s="245">
        <v>203866</v>
      </c>
      <c r="W13" s="245"/>
      <c r="X13" s="246"/>
      <c r="Y13" s="246"/>
      <c r="Z13" s="244">
        <v>203866</v>
      </c>
    </row>
    <row r="14" spans="1:26" ht="14.4" x14ac:dyDescent="0.3">
      <c r="A14" s="210" t="s">
        <v>8</v>
      </c>
      <c r="B14" s="205"/>
      <c r="C14" s="211">
        <f>+Annual!G27</f>
        <v>1003244.2579626911</v>
      </c>
      <c r="D14" s="211"/>
      <c r="E14" s="211">
        <f>+Annual!C27</f>
        <v>950935.90074000007</v>
      </c>
      <c r="F14" s="211"/>
      <c r="G14" s="216">
        <f t="shared" si="0"/>
        <v>53868.65977014618</v>
      </c>
      <c r="H14" s="221"/>
      <c r="I14" s="218">
        <f t="shared" si="3"/>
        <v>5.3694461087211584E-2</v>
      </c>
      <c r="J14" s="221"/>
      <c r="K14" s="218">
        <f t="shared" si="1"/>
        <v>0.94786079580568472</v>
      </c>
      <c r="L14" s="205"/>
      <c r="M14" s="205"/>
      <c r="N14" s="212">
        <f>N9+N10+N11+N12+N13</f>
        <v>1560.3025474551212</v>
      </c>
      <c r="O14" s="209"/>
      <c r="P14" s="219">
        <f t="shared" si="2"/>
        <v>52308.357222691062</v>
      </c>
      <c r="Q14" s="210"/>
      <c r="T14" s="233" t="s">
        <v>171</v>
      </c>
      <c r="U14" s="244">
        <v>5256</v>
      </c>
      <c r="V14" s="245"/>
      <c r="W14" s="245"/>
      <c r="X14" s="246"/>
      <c r="Y14" s="246"/>
      <c r="Z14" s="244">
        <v>5256</v>
      </c>
    </row>
    <row r="15" spans="1:26" ht="14.4" x14ac:dyDescent="0.3">
      <c r="A15" s="205"/>
      <c r="B15" s="205"/>
      <c r="C15" s="211"/>
      <c r="D15" s="211"/>
      <c r="E15" s="211"/>
      <c r="F15" s="211"/>
      <c r="G15" s="219"/>
      <c r="H15" s="221"/>
      <c r="I15" s="221"/>
      <c r="J15" s="221"/>
      <c r="K15" s="221"/>
      <c r="L15" s="205"/>
      <c r="M15" s="205"/>
      <c r="N15" s="239"/>
      <c r="O15" s="205"/>
      <c r="P15" s="221"/>
      <c r="Q15" s="210"/>
      <c r="T15" s="233" t="s">
        <v>172</v>
      </c>
      <c r="U15" s="244">
        <v>1318268</v>
      </c>
      <c r="V15" s="245">
        <v>36840</v>
      </c>
      <c r="W15" s="245"/>
      <c r="X15" s="246"/>
      <c r="Y15" s="246"/>
      <c r="Z15" s="244">
        <v>1355108</v>
      </c>
    </row>
    <row r="16" spans="1:26" ht="14.4" x14ac:dyDescent="0.3">
      <c r="A16" s="210" t="s">
        <v>6</v>
      </c>
      <c r="B16" s="205"/>
      <c r="C16" s="211"/>
      <c r="D16" s="210"/>
      <c r="E16" s="211"/>
      <c r="F16" s="210"/>
      <c r="G16" s="216"/>
      <c r="H16" s="216"/>
      <c r="I16" s="216"/>
      <c r="J16" s="216"/>
      <c r="K16" s="216"/>
      <c r="L16" s="210"/>
      <c r="M16" s="210"/>
      <c r="N16" s="212"/>
      <c r="O16" s="210"/>
      <c r="P16" s="216"/>
      <c r="Q16" s="210"/>
      <c r="T16" s="234" t="s">
        <v>164</v>
      </c>
      <c r="U16" s="247">
        <v>3346519</v>
      </c>
      <c r="V16" s="248">
        <v>26501369</v>
      </c>
      <c r="W16" s="248">
        <v>5298529</v>
      </c>
      <c r="X16" s="249">
        <v>168770</v>
      </c>
      <c r="Y16" s="249">
        <v>284350</v>
      </c>
      <c r="Z16" s="247">
        <v>35599537</v>
      </c>
    </row>
    <row r="17" spans="1:26" x14ac:dyDescent="0.25">
      <c r="A17" s="210" t="s">
        <v>7</v>
      </c>
      <c r="B17" s="205"/>
      <c r="C17" s="211">
        <f>+Annual!G30</f>
        <v>7172090.5584056191</v>
      </c>
      <c r="D17" s="210"/>
      <c r="E17" s="211">
        <f>+Annual!C30</f>
        <v>6798049.6931586275</v>
      </c>
      <c r="F17" s="210"/>
      <c r="G17" s="216">
        <f t="shared" ref="G17:G24" si="4">+C17-E17+N17</f>
        <v>400941.42743033374</v>
      </c>
      <c r="H17" s="221"/>
      <c r="I17" s="218">
        <f t="shared" ref="I17:I24" si="5">+G17/C17</f>
        <v>5.590300682420056E-2</v>
      </c>
      <c r="J17" s="216"/>
      <c r="K17" s="218">
        <f t="shared" ref="K17:K24" si="6">+E17/C17</f>
        <v>0.94784772135808859</v>
      </c>
      <c r="L17" s="210"/>
      <c r="M17" s="210"/>
      <c r="N17" s="212">
        <f>(U12+V12+U13+V13)/T19*T22</f>
        <v>26900.562183342125</v>
      </c>
      <c r="O17" s="209"/>
      <c r="P17" s="219">
        <f t="shared" ref="P17:P24" si="7">+G17-N17</f>
        <v>374040.86524699163</v>
      </c>
      <c r="Q17" s="210"/>
      <c r="Z17" s="99">
        <f>N42*1000</f>
        <v>35532892.66596438</v>
      </c>
    </row>
    <row r="18" spans="1:26" ht="14.4" x14ac:dyDescent="0.3">
      <c r="A18" s="210" t="s">
        <v>40</v>
      </c>
      <c r="B18" s="205"/>
      <c r="C18" s="211">
        <f>+Annual!G31</f>
        <v>0</v>
      </c>
      <c r="D18" s="210"/>
      <c r="E18" s="211">
        <f>+Annual!C31</f>
        <v>0</v>
      </c>
      <c r="F18" s="210"/>
      <c r="G18" s="216">
        <f t="shared" si="4"/>
        <v>0</v>
      </c>
      <c r="H18" s="221"/>
      <c r="I18" s="218">
        <v>0</v>
      </c>
      <c r="J18" s="216"/>
      <c r="K18" s="218">
        <v>0</v>
      </c>
      <c r="L18" s="210"/>
      <c r="M18" s="210"/>
      <c r="N18" s="212"/>
      <c r="O18" s="209"/>
      <c r="P18" s="219">
        <f t="shared" si="7"/>
        <v>0</v>
      </c>
      <c r="Q18" s="210"/>
      <c r="T18" s="235" t="s">
        <v>175</v>
      </c>
      <c r="Z18" s="99">
        <f>Z17-Z16</f>
        <v>-66644.334035620093</v>
      </c>
    </row>
    <row r="19" spans="1:26" x14ac:dyDescent="0.25">
      <c r="A19" s="210" t="s">
        <v>41</v>
      </c>
      <c r="B19" s="205"/>
      <c r="C19" s="211">
        <f>+Annual!G32</f>
        <v>214498.77506573583</v>
      </c>
      <c r="D19" s="210"/>
      <c r="E19" s="211">
        <f>+Annual!C32</f>
        <v>209151.36075811923</v>
      </c>
      <c r="F19" s="210"/>
      <c r="G19" s="216">
        <f t="shared" si="4"/>
        <v>10614.599347226089</v>
      </c>
      <c r="H19" s="221"/>
      <c r="I19" s="218">
        <f t="shared" si="5"/>
        <v>4.9485594236951293E-2</v>
      </c>
      <c r="J19" s="216"/>
      <c r="K19" s="218">
        <f t="shared" si="6"/>
        <v>0.97507018720280425</v>
      </c>
      <c r="L19" s="210"/>
      <c r="M19" s="210"/>
      <c r="N19" s="212">
        <f>(+W12+W13)/T19*T22</f>
        <v>5267.1850396094951</v>
      </c>
      <c r="O19" s="209"/>
      <c r="P19" s="219">
        <f t="shared" si="7"/>
        <v>5347.4143076165938</v>
      </c>
      <c r="Q19" s="210"/>
      <c r="T19" s="23">
        <v>20504468405</v>
      </c>
    </row>
    <row r="20" spans="1:26" x14ac:dyDescent="0.25">
      <c r="A20" s="210" t="s">
        <v>42</v>
      </c>
      <c r="B20" s="205"/>
      <c r="C20" s="211">
        <f>+Annual!G33</f>
        <v>85574.270751813776</v>
      </c>
      <c r="D20" s="210"/>
      <c r="E20" s="211">
        <f>+Annual!C33</f>
        <v>83440.920201714529</v>
      </c>
      <c r="F20" s="210"/>
      <c r="G20" s="216">
        <f t="shared" si="4"/>
        <v>2301.804603174005</v>
      </c>
      <c r="H20" s="221"/>
      <c r="I20" s="218">
        <f t="shared" si="5"/>
        <v>2.6898325664378712E-2</v>
      </c>
      <c r="J20" s="216"/>
      <c r="K20" s="218">
        <f t="shared" si="6"/>
        <v>0.97507018720280436</v>
      </c>
      <c r="L20" s="210"/>
      <c r="M20" s="210"/>
      <c r="N20" s="212">
        <f>(+X12+X13)/T19*T22</f>
        <v>168.45405307475798</v>
      </c>
      <c r="O20" s="209"/>
      <c r="P20" s="219">
        <f t="shared" si="7"/>
        <v>2133.3505500992469</v>
      </c>
      <c r="Q20" s="210"/>
    </row>
    <row r="21" spans="1:26" x14ac:dyDescent="0.25">
      <c r="A21" s="210" t="s">
        <v>43</v>
      </c>
      <c r="B21" s="205"/>
      <c r="C21" s="211">
        <f>+Annual!G34</f>
        <v>60.278522504630899</v>
      </c>
      <c r="D21" s="210"/>
      <c r="E21" s="211">
        <f>+Annual!C34</f>
        <v>58.775790222898905</v>
      </c>
      <c r="F21" s="210"/>
      <c r="G21" s="216">
        <f t="shared" si="4"/>
        <v>1.5027322817319941</v>
      </c>
      <c r="H21" s="221"/>
      <c r="I21" s="218">
        <f t="shared" si="5"/>
        <v>2.4929812797195663E-2</v>
      </c>
      <c r="J21" s="216"/>
      <c r="K21" s="218">
        <f t="shared" si="6"/>
        <v>0.97507018720280436</v>
      </c>
      <c r="L21" s="210"/>
      <c r="M21" s="210"/>
      <c r="N21" s="212"/>
      <c r="O21" s="209"/>
      <c r="P21" s="219">
        <f t="shared" si="7"/>
        <v>1.5027322817319941</v>
      </c>
      <c r="Q21" s="210"/>
      <c r="T21" s="133" t="s">
        <v>174</v>
      </c>
    </row>
    <row r="22" spans="1:26" x14ac:dyDescent="0.25">
      <c r="A22" s="210" t="s">
        <v>49</v>
      </c>
      <c r="B22" s="205"/>
      <c r="C22" s="211">
        <f>+Annual!G35</f>
        <v>528.9183424802236</v>
      </c>
      <c r="D22" s="210"/>
      <c r="E22" s="211">
        <f>+Annual!C35</f>
        <v>522.03741451639507</v>
      </c>
      <c r="F22" s="210"/>
      <c r="G22" s="216">
        <f t="shared" si="4"/>
        <v>290.6986087827384</v>
      </c>
      <c r="H22" s="221"/>
      <c r="I22" s="218">
        <f t="shared" si="5"/>
        <v>0.54960961917029316</v>
      </c>
      <c r="J22" s="216"/>
      <c r="K22" s="218">
        <f t="shared" si="6"/>
        <v>0.98699056657486628</v>
      </c>
      <c r="L22" s="210"/>
      <c r="M22" s="210"/>
      <c r="N22" s="212">
        <f>(+Y12+Y13)/T19*T22</f>
        <v>283.81768081890988</v>
      </c>
      <c r="O22" s="209"/>
      <c r="P22" s="219">
        <f t="shared" si="7"/>
        <v>6.8809279638285261</v>
      </c>
      <c r="Q22" s="210"/>
      <c r="T22" s="243">
        <f>Annual!C72</f>
        <v>20466082.88775</v>
      </c>
    </row>
    <row r="23" spans="1:26" x14ac:dyDescent="0.25">
      <c r="A23" s="210" t="s">
        <v>83</v>
      </c>
      <c r="B23" s="205"/>
      <c r="C23" s="211">
        <f>+Annual!G36</f>
        <v>1027.2478189117817</v>
      </c>
      <c r="D23" s="210"/>
      <c r="E23" s="211">
        <f>+Annual!C36</f>
        <v>1013.8839068005352</v>
      </c>
      <c r="F23" s="210"/>
      <c r="G23" s="216">
        <f t="shared" si="4"/>
        <v>13.363912111246464</v>
      </c>
      <c r="H23" s="221"/>
      <c r="I23" s="218">
        <v>0</v>
      </c>
      <c r="J23" s="216"/>
      <c r="K23" s="218">
        <v>0</v>
      </c>
      <c r="L23" s="210"/>
      <c r="M23" s="210"/>
      <c r="N23" s="212"/>
      <c r="O23" s="209"/>
      <c r="P23" s="219">
        <f t="shared" si="7"/>
        <v>13.363912111246464</v>
      </c>
      <c r="Q23" s="210"/>
    </row>
    <row r="24" spans="1:26" x14ac:dyDescent="0.25">
      <c r="A24" s="210" t="s">
        <v>8</v>
      </c>
      <c r="B24" s="205"/>
      <c r="C24" s="211">
        <f>+Annual!G37</f>
        <v>7473780.0489070648</v>
      </c>
      <c r="D24" s="210"/>
      <c r="E24" s="211">
        <f>+Annual!C37</f>
        <v>7092236.6712300004</v>
      </c>
      <c r="F24" s="210"/>
      <c r="G24" s="216">
        <f t="shared" si="4"/>
        <v>414163.39663390967</v>
      </c>
      <c r="H24" s="221"/>
      <c r="I24" s="218">
        <f t="shared" si="5"/>
        <v>5.5415518509201407E-2</v>
      </c>
      <c r="J24" s="216"/>
      <c r="K24" s="218">
        <f t="shared" si="6"/>
        <v>0.94894907594546352</v>
      </c>
      <c r="L24" s="210"/>
      <c r="M24" s="210"/>
      <c r="N24" s="212">
        <f>N17+N18+N19+N20+N21+N22+N23</f>
        <v>32620.018956845288</v>
      </c>
      <c r="O24" s="209"/>
      <c r="P24" s="219">
        <f t="shared" si="7"/>
        <v>381543.37767706439</v>
      </c>
      <c r="Q24" s="210"/>
    </row>
    <row r="25" spans="1:26" x14ac:dyDescent="0.25">
      <c r="A25" s="205"/>
      <c r="B25" s="205"/>
      <c r="C25" s="211"/>
      <c r="D25" s="211"/>
      <c r="E25" s="211"/>
      <c r="F25" s="211"/>
      <c r="G25" s="219"/>
      <c r="H25" s="221"/>
      <c r="I25" s="221"/>
      <c r="J25" s="221"/>
      <c r="K25" s="221"/>
      <c r="L25" s="205"/>
      <c r="M25" s="205"/>
      <c r="N25" s="239"/>
      <c r="O25" s="205"/>
      <c r="P25" s="221"/>
      <c r="Q25" s="210"/>
    </row>
    <row r="26" spans="1:26" x14ac:dyDescent="0.25">
      <c r="A26" s="210" t="s">
        <v>108</v>
      </c>
      <c r="B26" s="210"/>
      <c r="C26" s="210"/>
      <c r="D26" s="210"/>
      <c r="E26" s="210"/>
      <c r="F26" s="210"/>
      <c r="G26" s="216"/>
      <c r="H26" s="219"/>
      <c r="I26" s="216"/>
      <c r="J26" s="219"/>
      <c r="K26" s="216"/>
      <c r="L26" s="210"/>
      <c r="M26" s="210"/>
      <c r="N26" s="212"/>
      <c r="O26" s="210"/>
      <c r="P26" s="216"/>
      <c r="Q26" s="210"/>
    </row>
    <row r="27" spans="1:26" x14ac:dyDescent="0.25">
      <c r="A27" s="210" t="s">
        <v>151</v>
      </c>
      <c r="B27" s="205"/>
      <c r="C27" s="211">
        <f>+Annual!G41</f>
        <v>1189705.6146552546</v>
      </c>
      <c r="D27" s="210"/>
      <c r="E27" s="211">
        <f>+Annual!C41</f>
        <v>1160046.4763981265</v>
      </c>
      <c r="F27" s="210"/>
      <c r="G27" s="216">
        <f>+C27-E27+N27</f>
        <v>29659.138257128187</v>
      </c>
      <c r="H27" s="221"/>
      <c r="I27" s="218">
        <f>+G27/C27</f>
        <v>2.4929812797195736E-2</v>
      </c>
      <c r="J27" s="219"/>
      <c r="K27" s="218">
        <f>+E27/C27</f>
        <v>0.97507018720280425</v>
      </c>
      <c r="L27" s="210"/>
      <c r="M27" s="210"/>
      <c r="N27" s="212">
        <v>0</v>
      </c>
      <c r="O27" s="209"/>
      <c r="P27" s="219">
        <f>+G27-N27</f>
        <v>29659.138257128187</v>
      </c>
      <c r="Q27" s="210"/>
    </row>
    <row r="28" spans="1:26" x14ac:dyDescent="0.25">
      <c r="A28" s="210" t="s">
        <v>152</v>
      </c>
      <c r="B28" s="205"/>
      <c r="C28" s="211">
        <f>+Annual!G44</f>
        <v>876470.24144709064</v>
      </c>
      <c r="D28" s="210"/>
      <c r="E28" s="211">
        <f>+Annual!C44</f>
        <v>865067.86019187397</v>
      </c>
      <c r="F28" s="210"/>
      <c r="G28" s="216">
        <f>+C28-E28+N28</f>
        <v>11402.381255216664</v>
      </c>
      <c r="H28" s="221"/>
      <c r="I28" s="218">
        <f>+G28/C28</f>
        <v>1.3009433425133561E-2</v>
      </c>
      <c r="J28" s="219"/>
      <c r="K28" s="218">
        <f>+E28/C28</f>
        <v>0.98699056657486639</v>
      </c>
      <c r="L28" s="210"/>
      <c r="M28" s="210"/>
      <c r="N28" s="212">
        <v>0</v>
      </c>
      <c r="O28" s="209"/>
      <c r="P28" s="219">
        <f>+G28-N28</f>
        <v>11402.381255216664</v>
      </c>
      <c r="Q28" s="210"/>
    </row>
    <row r="29" spans="1:26" x14ac:dyDescent="0.25">
      <c r="A29" s="210" t="s">
        <v>8</v>
      </c>
      <c r="B29" s="205"/>
      <c r="C29" s="211">
        <f>+Annual!G45</f>
        <v>2066175.8561023453</v>
      </c>
      <c r="D29" s="210"/>
      <c r="E29" s="211">
        <f>+Annual!C45</f>
        <v>2025114.3365900004</v>
      </c>
      <c r="F29" s="210"/>
      <c r="G29" s="216">
        <f>+C29-E29+N29</f>
        <v>41061.51951234485</v>
      </c>
      <c r="H29" s="221"/>
      <c r="I29" s="218">
        <f>+G29/C29</f>
        <v>1.9873196848695981E-2</v>
      </c>
      <c r="J29" s="219"/>
      <c r="K29" s="218">
        <f>+E29/C29</f>
        <v>0.98012680315130407</v>
      </c>
      <c r="L29" s="210"/>
      <c r="M29" s="210"/>
      <c r="N29" s="212">
        <v>0</v>
      </c>
      <c r="O29" s="209"/>
      <c r="P29" s="219">
        <f>+G29-N29</f>
        <v>41061.51951234485</v>
      </c>
      <c r="Q29" s="210"/>
    </row>
    <row r="30" spans="1:26" x14ac:dyDescent="0.25">
      <c r="A30" s="210"/>
      <c r="B30" s="205"/>
      <c r="C30" s="211"/>
      <c r="D30" s="210"/>
      <c r="E30" s="211"/>
      <c r="F30" s="210"/>
      <c r="G30" s="216"/>
      <c r="H30" s="217"/>
      <c r="I30" s="218"/>
      <c r="J30" s="219"/>
      <c r="K30" s="218"/>
      <c r="L30" s="210"/>
      <c r="M30" s="210"/>
      <c r="N30" s="212"/>
      <c r="O30" s="210"/>
      <c r="P30" s="219"/>
      <c r="Q30" s="210"/>
    </row>
    <row r="31" spans="1:26" x14ac:dyDescent="0.25">
      <c r="A31" s="210" t="s">
        <v>9</v>
      </c>
      <c r="B31" s="205"/>
      <c r="C31" s="211"/>
      <c r="D31" s="210"/>
      <c r="E31" s="211"/>
      <c r="F31" s="210"/>
      <c r="G31" s="216"/>
      <c r="H31" s="219"/>
      <c r="I31" s="216"/>
      <c r="J31" s="219"/>
      <c r="K31" s="216"/>
      <c r="L31" s="210"/>
      <c r="M31" s="210"/>
      <c r="N31" s="212"/>
      <c r="O31" s="210"/>
      <c r="P31" s="216"/>
      <c r="Q31" s="205"/>
    </row>
    <row r="32" spans="1:26" x14ac:dyDescent="0.25">
      <c r="A32" s="210" t="s">
        <v>4</v>
      </c>
      <c r="B32" s="205"/>
      <c r="C32" s="211">
        <f>+Annual!G48</f>
        <v>113654.88656305107</v>
      </c>
      <c r="D32" s="210"/>
      <c r="E32" s="211">
        <f>+Annual!C48</f>
        <v>107727.52524999999</v>
      </c>
      <c r="F32" s="210"/>
      <c r="G32" s="216">
        <f>+C32-E32+N32</f>
        <v>7279.9324747150531</v>
      </c>
      <c r="H32" s="221"/>
      <c r="I32" s="218">
        <f>+G32/C32</f>
        <v>6.4052965031788978E-2</v>
      </c>
      <c r="J32" s="219"/>
      <c r="K32" s="218">
        <f>+E32/C32</f>
        <v>0.94784772135808859</v>
      </c>
      <c r="L32" s="210"/>
      <c r="M32" s="210"/>
      <c r="N32" s="212">
        <f>(U15+V15)/T19*T22</f>
        <v>1352.5711616639751</v>
      </c>
      <c r="O32" s="209"/>
      <c r="P32" s="219">
        <f>+G32-N32</f>
        <v>5927.3613130510785</v>
      </c>
      <c r="Q32" s="210"/>
    </row>
    <row r="33" spans="1:18" x14ac:dyDescent="0.25">
      <c r="A33" s="205"/>
      <c r="B33" s="205"/>
      <c r="C33" s="211"/>
      <c r="D33" s="211"/>
      <c r="E33" s="211"/>
      <c r="F33" s="211"/>
      <c r="G33" s="219"/>
      <c r="H33" s="221"/>
      <c r="I33" s="221"/>
      <c r="J33" s="221"/>
      <c r="K33" s="221"/>
      <c r="L33" s="205"/>
      <c r="M33" s="205"/>
      <c r="N33" s="239"/>
      <c r="O33" s="205"/>
      <c r="P33" s="221"/>
      <c r="Q33" s="210"/>
    </row>
    <row r="34" spans="1:18" x14ac:dyDescent="0.25">
      <c r="A34" s="210" t="s">
        <v>10</v>
      </c>
      <c r="B34" s="205"/>
      <c r="C34" s="211"/>
      <c r="D34" s="210"/>
      <c r="E34" s="211"/>
      <c r="F34" s="210"/>
      <c r="G34" s="216"/>
      <c r="H34" s="219"/>
      <c r="I34" s="216"/>
      <c r="J34" s="219"/>
      <c r="K34" s="216"/>
      <c r="L34" s="210"/>
      <c r="M34" s="210"/>
      <c r="N34" s="212"/>
      <c r="O34" s="210"/>
      <c r="P34" s="216"/>
      <c r="Q34" s="210"/>
    </row>
    <row r="35" spans="1:18" x14ac:dyDescent="0.25">
      <c r="A35" s="210" t="s">
        <v>39</v>
      </c>
      <c r="B35" s="205"/>
      <c r="C35" s="212">
        <f>+Annual!G51</f>
        <v>19144754.306707185</v>
      </c>
      <c r="D35" s="210"/>
      <c r="E35" s="212">
        <f>+Annual!C51</f>
        <v>18146311.745572858</v>
      </c>
      <c r="F35" s="210"/>
      <c r="G35" s="222">
        <f>+G6+G9+G17+G32</f>
        <v>1028234.5722104736</v>
      </c>
      <c r="H35" s="221"/>
      <c r="I35" s="218">
        <f t="shared" ref="I35:I42" si="8">+G35/C35</f>
        <v>5.3708423505348477E-2</v>
      </c>
      <c r="J35" s="219"/>
      <c r="K35" s="218">
        <f t="shared" ref="K35:K42" si="9">+E35/C35</f>
        <v>0.94784772135808859</v>
      </c>
      <c r="L35" s="210"/>
      <c r="M35" s="210"/>
      <c r="N35" s="212">
        <f>+N6+N9+N17+N32</f>
        <v>29792.011076147599</v>
      </c>
      <c r="O35" s="213"/>
      <c r="P35" s="219">
        <f t="shared" ref="P35:P42" si="10">+G35-N35</f>
        <v>998442.56113432604</v>
      </c>
      <c r="Q35" s="210"/>
    </row>
    <row r="36" spans="1:18" x14ac:dyDescent="0.25">
      <c r="A36" s="210" t="s">
        <v>40</v>
      </c>
      <c r="B36" s="205"/>
      <c r="C36" s="212">
        <f>+Annual!G52</f>
        <v>0</v>
      </c>
      <c r="D36" s="210"/>
      <c r="E36" s="212">
        <f>+Annual!C52</f>
        <v>0</v>
      </c>
      <c r="F36" s="210"/>
      <c r="G36" s="222">
        <f>+G10+G18</f>
        <v>0</v>
      </c>
      <c r="H36" s="221"/>
      <c r="I36" s="218">
        <v>0</v>
      </c>
      <c r="J36" s="219"/>
      <c r="K36" s="218">
        <v>0</v>
      </c>
      <c r="L36" s="210"/>
      <c r="M36" s="210"/>
      <c r="N36" s="212">
        <f>+N10+N18</f>
        <v>0</v>
      </c>
      <c r="O36" s="213"/>
      <c r="P36" s="219">
        <f t="shared" si="10"/>
        <v>0</v>
      </c>
      <c r="Q36" s="210"/>
    </row>
    <row r="37" spans="1:18" x14ac:dyDescent="0.25">
      <c r="A37" s="210" t="s">
        <v>41</v>
      </c>
      <c r="B37" s="205"/>
      <c r="C37" s="212">
        <f>+Annual!G53</f>
        <v>214655.96370628872</v>
      </c>
      <c r="D37" s="210"/>
      <c r="E37" s="212">
        <f>+Annual!C53</f>
        <v>209304.6307152893</v>
      </c>
      <c r="F37" s="210"/>
      <c r="G37" s="222">
        <f>+G11+G19</f>
        <v>10639.942846922539</v>
      </c>
      <c r="H37" s="221"/>
      <c r="I37" s="218">
        <f t="shared" si="8"/>
        <v>4.9567422508144471E-2</v>
      </c>
      <c r="J37" s="219"/>
      <c r="K37" s="218">
        <f t="shared" si="9"/>
        <v>0.97507018720280425</v>
      </c>
      <c r="L37" s="210"/>
      <c r="M37" s="210"/>
      <c r="N37" s="212">
        <f>+N11+N19</f>
        <v>5288.609855923115</v>
      </c>
      <c r="O37" s="213"/>
      <c r="P37" s="219">
        <f t="shared" si="10"/>
        <v>5351.3329909994236</v>
      </c>
      <c r="Q37" s="210"/>
    </row>
    <row r="38" spans="1:18" x14ac:dyDescent="0.25">
      <c r="A38" s="210" t="s">
        <v>42</v>
      </c>
      <c r="B38" s="205"/>
      <c r="C38" s="212">
        <f>+Annual!G54</f>
        <v>1275604.5364555307</v>
      </c>
      <c r="D38" s="210"/>
      <c r="E38" s="212">
        <f>+Annual!C54</f>
        <v>1243803.9541584407</v>
      </c>
      <c r="F38" s="210"/>
      <c r="G38" s="222">
        <f>+G12+G20+G27</f>
        <v>31969.036350164766</v>
      </c>
      <c r="H38" s="221"/>
      <c r="I38" s="218">
        <f t="shared" si="8"/>
        <v>2.5061871008232536E-2</v>
      </c>
      <c r="J38" s="219"/>
      <c r="K38" s="218">
        <f t="shared" si="9"/>
        <v>0.97507018720280425</v>
      </c>
      <c r="L38" s="210"/>
      <c r="M38" s="210"/>
      <c r="N38" s="212">
        <f>+N12+N20+N27</f>
        <v>168.45405307475798</v>
      </c>
      <c r="O38" s="213"/>
      <c r="P38" s="219">
        <f t="shared" si="10"/>
        <v>31800.582297090008</v>
      </c>
      <c r="Q38" s="210"/>
    </row>
    <row r="39" spans="1:18" x14ac:dyDescent="0.25">
      <c r="A39" s="210" t="s">
        <v>43</v>
      </c>
      <c r="B39" s="205"/>
      <c r="C39" s="212">
        <f>+Annual!G55</f>
        <v>60.278522504630899</v>
      </c>
      <c r="D39" s="210"/>
      <c r="E39" s="212">
        <f>+Annual!C55</f>
        <v>58.775790222898905</v>
      </c>
      <c r="F39" s="210"/>
      <c r="G39" s="222">
        <f>+G13+G21</f>
        <v>1.5027322817319941</v>
      </c>
      <c r="H39" s="221"/>
      <c r="I39" s="218">
        <f t="shared" si="8"/>
        <v>2.4929812797195663E-2</v>
      </c>
      <c r="J39" s="219"/>
      <c r="K39" s="218">
        <f t="shared" si="9"/>
        <v>0.97507018720280436</v>
      </c>
      <c r="L39" s="210"/>
      <c r="M39" s="210"/>
      <c r="N39" s="212">
        <f>+N13+N21</f>
        <v>0</v>
      </c>
      <c r="O39" s="213"/>
      <c r="P39" s="219">
        <f t="shared" si="10"/>
        <v>1.5027322817319941</v>
      </c>
      <c r="Q39" s="210"/>
    </row>
    <row r="40" spans="1:18" x14ac:dyDescent="0.25">
      <c r="A40" s="210" t="s">
        <v>49</v>
      </c>
      <c r="B40" s="205"/>
      <c r="C40" s="212">
        <f>+Annual!G56</f>
        <v>528.9183424802236</v>
      </c>
      <c r="D40" s="210"/>
      <c r="E40" s="212">
        <f>+Annual!C56</f>
        <v>522.03741451639507</v>
      </c>
      <c r="F40" s="210"/>
      <c r="G40" s="222">
        <f>+G22</f>
        <v>290.6986087827384</v>
      </c>
      <c r="H40" s="221"/>
      <c r="I40" s="218">
        <f t="shared" si="8"/>
        <v>0.54960961917029316</v>
      </c>
      <c r="J40" s="219"/>
      <c r="K40" s="218">
        <f t="shared" si="9"/>
        <v>0.98699056657486628</v>
      </c>
      <c r="L40" s="210"/>
      <c r="M40" s="210"/>
      <c r="N40" s="212">
        <f>+N22</f>
        <v>283.81768081890988</v>
      </c>
      <c r="O40" s="213"/>
      <c r="P40" s="219">
        <f t="shared" si="10"/>
        <v>6.8809279638285261</v>
      </c>
      <c r="Q40" s="210"/>
    </row>
    <row r="41" spans="1:18" x14ac:dyDescent="0.25">
      <c r="A41" s="205" t="s">
        <v>83</v>
      </c>
      <c r="B41" s="205"/>
      <c r="C41" s="212">
        <f>+Annual!G57</f>
        <v>877497.48926600243</v>
      </c>
      <c r="D41" s="210"/>
      <c r="E41" s="212">
        <f>+Annual!C57</f>
        <v>866081.74409867451</v>
      </c>
      <c r="F41" s="210"/>
      <c r="G41" s="222">
        <f>+G23+G28</f>
        <v>11415.74516732791</v>
      </c>
      <c r="H41" s="221"/>
      <c r="I41" s="218">
        <f t="shared" si="8"/>
        <v>1.3009433425133561E-2</v>
      </c>
      <c r="J41" s="219"/>
      <c r="K41" s="218">
        <f t="shared" si="9"/>
        <v>0.98699056657486639</v>
      </c>
      <c r="L41" s="210"/>
      <c r="M41" s="210"/>
      <c r="N41" s="212">
        <f>+N23+N28</f>
        <v>0</v>
      </c>
      <c r="O41" s="213"/>
      <c r="P41" s="219">
        <f t="shared" si="10"/>
        <v>11415.74516732791</v>
      </c>
      <c r="Q41" s="210"/>
    </row>
    <row r="42" spans="1:18" x14ac:dyDescent="0.25">
      <c r="A42" s="210" t="s">
        <v>10</v>
      </c>
      <c r="B42" s="205"/>
      <c r="C42" s="212">
        <f>+Annual!G58</f>
        <v>21513101.49299999</v>
      </c>
      <c r="D42" s="211"/>
      <c r="E42" s="212">
        <f>+Annual!C58</f>
        <v>20466082.88775</v>
      </c>
      <c r="F42" s="211"/>
      <c r="G42" s="222">
        <f>SUM(G35:G41)</f>
        <v>1082551.4979159534</v>
      </c>
      <c r="H42" s="221"/>
      <c r="I42" s="218">
        <f t="shared" si="8"/>
        <v>5.0320568527424926E-2</v>
      </c>
      <c r="J42" s="221"/>
      <c r="K42" s="218">
        <f t="shared" si="9"/>
        <v>0.95133111766377931</v>
      </c>
      <c r="L42" s="205"/>
      <c r="M42" s="205"/>
      <c r="N42" s="212">
        <f>SUM(N35:N41)</f>
        <v>35532.892665964377</v>
      </c>
      <c r="O42" s="213"/>
      <c r="P42" s="219">
        <f t="shared" si="10"/>
        <v>1047018.6052499891</v>
      </c>
      <c r="Q42" s="210" t="s">
        <v>156</v>
      </c>
      <c r="R42" s="224">
        <f>+P42-Annual!G60</f>
        <v>0</v>
      </c>
    </row>
    <row r="43" spans="1:18" x14ac:dyDescent="0.25">
      <c r="A43" s="205"/>
      <c r="B43" s="205"/>
      <c r="C43" s="214"/>
      <c r="D43" s="205"/>
      <c r="E43" s="214"/>
      <c r="F43" s="205"/>
      <c r="G43" s="221"/>
      <c r="H43" s="221"/>
      <c r="I43" s="221"/>
      <c r="J43" s="221"/>
      <c r="K43" s="221"/>
      <c r="L43" s="205"/>
      <c r="M43" s="205"/>
      <c r="N43" s="239"/>
      <c r="O43" s="205"/>
      <c r="P43" s="221"/>
      <c r="Q43" s="205"/>
    </row>
    <row r="44" spans="1:18" x14ac:dyDescent="0.25">
      <c r="A44" s="205" t="s">
        <v>153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40"/>
      <c r="O44" s="205"/>
      <c r="P44" s="205"/>
      <c r="Q44" s="205"/>
    </row>
    <row r="45" spans="1:18" ht="13.8" thickBot="1" x14ac:dyDescent="0.3">
      <c r="A45" s="215" t="s">
        <v>155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41"/>
      <c r="O45" s="215"/>
      <c r="P45" s="215"/>
      <c r="Q45" s="215"/>
    </row>
  </sheetData>
  <mergeCells count="1">
    <mergeCell ref="G3:I3"/>
  </mergeCells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D8B97F-047D-4122-B06D-A912A5B01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03E09-E6C7-44F0-9CDB-4CA24EFB739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2F10885-CC4B-4C0C-97EC-0EDB3F8890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8959DD-67BE-4404-8B8B-A7C04459D733}">
  <ds:schemaRefs>
    <ds:schemaRef ds:uri="48215e7f-c7c9-482e-8541-9f0dcdf0a62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README</vt:lpstr>
      <vt:lpstr>Annual</vt:lpstr>
      <vt:lpstr>Loss Inputs</vt:lpstr>
      <vt:lpstr>RateClass Forecast</vt:lpstr>
      <vt:lpstr>MFR E19b</vt:lpstr>
      <vt:lpstr>Annual!Print_Area</vt:lpstr>
    </vt:vector>
  </TitlesOfParts>
  <Company>Tampa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TECO</dc:creator>
  <cp:lastModifiedBy>Danyel Wheeler</cp:lastModifiedBy>
  <cp:lastPrinted>2010-01-20T16:27:44Z</cp:lastPrinted>
  <dcterms:created xsi:type="dcterms:W3CDTF">2000-03-06T19:42:21Z</dcterms:created>
  <dcterms:modified xsi:type="dcterms:W3CDTF">2024-08-23T16:24:05Z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2022-02-15T18:41:12Z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5b6dd363-a435-44c4-8790-1c0de3a2d772</vt:lpwstr>
  </property>
  <property fmtid="{D5CDD505-2E9C-101B-9397-08002B2CF9AE}" pid="8" name="MSIP_Label_a83f872e-d8d7-43ac-9961-0f2ad31e50e5_ContentBits">
    <vt:lpwstr>0</vt:lpwstr>
  </property>
  <property fmtid="{D5CDD505-2E9C-101B-9397-08002B2CF9AE}" pid="9" name="xd_Signature">
    <vt:lpwstr/>
  </property>
  <property fmtid="{D5CDD505-2E9C-101B-9397-08002B2CF9AE}" pid="10" name="display_urn:schemas-microsoft-com:office:office#Editor">
    <vt:lpwstr>Cutting, Kayla N.</vt:lpwstr>
  </property>
  <property fmtid="{D5CDD505-2E9C-101B-9397-08002B2CF9AE}" pid="11" name="Order">
    <vt:lpwstr>757200.000000000</vt:lpwstr>
  </property>
  <property fmtid="{D5CDD505-2E9C-101B-9397-08002B2CF9AE}" pid="12" name="xd_ProgID">
    <vt:lpwstr/>
  </property>
  <property fmtid="{D5CDD505-2E9C-101B-9397-08002B2CF9AE}" pid="13" name="SharedWithUsers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display_urn:schemas-microsoft-com:office:office#Author">
    <vt:lpwstr>Brown, Paula K.</vt:lpwstr>
  </property>
  <property fmtid="{D5CDD505-2E9C-101B-9397-08002B2CF9AE}" pid="18" name="TriggerFlowInfo">
    <vt:lpwstr/>
  </property>
  <property fmtid="{D5CDD505-2E9C-101B-9397-08002B2CF9AE}" pid="19" name="ContentTypeId">
    <vt:lpwstr>0x010100A7C62911604C744B99624EB6CD7DE9F7</vt:lpwstr>
  </property>
  <property fmtid="{D5CDD505-2E9C-101B-9397-08002B2CF9AE}" pid="20" name="_SourceUrl">
    <vt:lpwstr/>
  </property>
  <property fmtid="{D5CDD505-2E9C-101B-9397-08002B2CF9AE}" pid="21" name="_SharedFileIndex">
    <vt:lpwstr/>
  </property>
</Properties>
</file>